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Piau-Im\tools\"/>
    </mc:Choice>
  </mc:AlternateContent>
  <xr:revisionPtr revIDLastSave="0" documentId="13_ncr:1_{C9511E48-8A38-4DE7-89B1-1342ABCDD4BD}" xr6:coauthVersionLast="47" xr6:coauthVersionMax="47" xr10:uidLastSave="{00000000-0000-0000-0000-000000000000}"/>
  <bookViews>
    <workbookView xWindow="-28920" yWindow="-120" windowWidth="29040" windowHeight="15840" activeTab="3" xr2:uid="{3EA7FC10-FB6A-C649-B9C7-F25D1D616718}"/>
  </bookViews>
  <sheets>
    <sheet name="台語聲母18音排序" sheetId="54" r:id="rId1"/>
    <sheet name="台語韻母45音排序" sheetId="53" r:id="rId2"/>
    <sheet name="聲母碼" sheetId="15" r:id="rId3"/>
    <sheet name="韻母碼" sheetId="5" r:id="rId4"/>
    <sheet name="調號碼" sheetId="11" r:id="rId5"/>
    <sheet name="閩拚調號" sheetId="56" r:id="rId6"/>
    <sheet name="變調規則" sheetId="55" r:id="rId7"/>
    <sheet name="十五音-聲母" sheetId="3" r:id="rId8"/>
    <sheet name="十五音聲母清單" sheetId="7" r:id="rId9"/>
    <sheet name="十五音-韻母" sheetId="4" r:id="rId10"/>
    <sheet name="十五音韻母清單" sheetId="8" r:id="rId11"/>
    <sheet name="十五音韻母排序表" sheetId="52" r:id="rId12"/>
    <sheet name="十五音-韻母八音反切" sheetId="32" r:id="rId13"/>
    <sheet name="閩拚方案45韻母" sheetId="57" r:id="rId14"/>
    <sheet name="彙音寶鑑45韻母" sheetId="49" r:id="rId15"/>
    <sheet name="彙音妙悟50韻母" sheetId="50" r:id="rId16"/>
    <sheet name="台語45韻母" sheetId="48" r:id="rId17"/>
    <sheet name="台語彙音44韻母" sheetId="51" r:id="rId18"/>
    <sheet name="台語十五音-聲母（切音）" sheetId="43" r:id="rId19"/>
    <sheet name="台語十五音-。韻母 (字祖)" sheetId="44" r:id="rId20"/>
    <sheet name="十五音聲母排序" sheetId="41" r:id="rId21"/>
    <sheet name="台羅韻母排序" sheetId="42" r:id="rId22"/>
    <sheet name="閩拼-聲母" sheetId="24" state="hidden" r:id="rId23"/>
    <sheet name="閩拼-韻母" sheetId="12" state="hidden" r:id="rId24"/>
    <sheet name="閩拼-聲調" sheetId="31" state="hidden" r:id="rId25"/>
    <sheet name="閩拼-韻母八音反切" sheetId="35" state="hidden" r:id="rId26"/>
    <sheet name="方音聲母排序" sheetId="29" r:id="rId27"/>
    <sheet name="方音韻母排序" sheetId="30" r:id="rId28"/>
    <sheet name="方音符號．鍵盤" sheetId="22" r:id="rId29"/>
    <sheet name="白話字-音節表" sheetId="14" r:id="rId30"/>
    <sheet name="方音-音節表" sheetId="28" r:id="rId31"/>
    <sheet name="台語ㄅㄆㄇ-聲母碼" sheetId="16" state="hidden" r:id="rId32"/>
    <sheet name="台語ㄅㄆㄇ-韻母碼" sheetId="17" state="hidden" r:id="rId33"/>
    <sheet name="台語ㄅㄆㄇ轉換對照表" sheetId="18" state="hidden" r:id="rId34"/>
    <sheet name="韻母碼 (台羅)" sheetId="13" state="hidden" r:id="rId35"/>
    <sheet name="十五音韻母比較表" sheetId="26" r:id="rId36"/>
    <sheet name="方音-聲母" sheetId="20" state="hidden" r:id="rId37"/>
    <sheet name="方音-韻母" sheetId="19" state="hidden" r:id="rId38"/>
    <sheet name="方音．組合韻母表" sheetId="21" state="hidden" r:id="rId39"/>
    <sheet name="方音符號表" sheetId="10" state="hidden" r:id="rId40"/>
    <sheet name="聲母對照表（舊）" sheetId="1" state="hidden" r:id="rId41"/>
    <sheet name="韻母對照表（舊）" sheetId="2" state="hidden" r:id="rId42"/>
    <sheet name="白話字-韻母八音反切" sheetId="33" r:id="rId43"/>
    <sheet name="台羅拼音-音節表" sheetId="9" r:id="rId44"/>
    <sheet name="台羅-韻母八音反切" sheetId="34" r:id="rId45"/>
    <sheet name="增補彙音" sheetId="25" r:id="rId46"/>
  </sheets>
  <definedNames>
    <definedName name="_xlnm._FilterDatabase" localSheetId="9" hidden="1">'十五音-韻母'!$B$4:$R$54</definedName>
    <definedName name="_xlnm._FilterDatabase" localSheetId="11" hidden="1">十五音韻母排序表!#REF!</definedName>
    <definedName name="_xlnm._FilterDatabase" localSheetId="10" hidden="1">十五音韻母清單!$B$5:$K$105</definedName>
    <definedName name="_xlnm._FilterDatabase" localSheetId="27" hidden="1">方音韻母排序!$F$4:$L$78</definedName>
    <definedName name="_xlnm._FilterDatabase" localSheetId="16" hidden="1">台語45韻母!$J$7:$M$57</definedName>
    <definedName name="_xlnm._FilterDatabase" localSheetId="19" hidden="1">'台語十五音-。韻母 (字祖)'!$L$5:$L$54</definedName>
    <definedName name="_xlnm._FilterDatabase" localSheetId="17" hidden="1">台語彙音44韻母!$J$7:$M$57</definedName>
    <definedName name="_xlnm._FilterDatabase" localSheetId="1" hidden="1">台語韻母45音排序!#REF!</definedName>
    <definedName name="_xlnm._FilterDatabase" localSheetId="21" hidden="1">台羅韻母排序!$B$2:$H$76</definedName>
    <definedName name="_xlnm._FilterDatabase" localSheetId="15" hidden="1">彙音妙悟50韻母!$J$7:$M$57</definedName>
    <definedName name="_xlnm._FilterDatabase" localSheetId="14" hidden="1">彙音寶鑑45韻母!$J$7:$M$57</definedName>
    <definedName name="_xlnm._FilterDatabase" localSheetId="13" hidden="1">閩拚方案45韻母!$J$7:$M$57</definedName>
    <definedName name="_xlnm._FilterDatabase" localSheetId="3" hidden="1">韻母碼!$Q$4:$U$103</definedName>
    <definedName name="_xlnm._FilterDatabase" localSheetId="34" hidden="1">'韻母碼 (台羅)'!$F$4:$M$79</definedName>
    <definedName name="_xlnm.Criteria" localSheetId="16">台語45韻母!$O$2:$O$3</definedName>
    <definedName name="_xlnm.Criteria" localSheetId="17">台語彙音44韻母!$O$2:$O$3</definedName>
    <definedName name="_xlnm.Criteria" localSheetId="15">彙音妙悟50韻母!$O$2:$O$3</definedName>
    <definedName name="_xlnm.Criteria" localSheetId="14">彙音寶鑑45韻母!$O$2:$O$3</definedName>
    <definedName name="_xlnm.Criteria" localSheetId="13">閩拚方案45韻母!$O$2:$O$3</definedName>
    <definedName name="_xlnm.Criteria" localSheetId="3">韻母碼!$W$1:$W$2</definedName>
    <definedName name="_xlnm.Extract" localSheetId="16">台語45韻母!$O$7:$P$7</definedName>
    <definedName name="_xlnm.Extract" localSheetId="17">台語彙音44韻母!$O$7:$P$7</definedName>
    <definedName name="_xlnm.Extract" localSheetId="15">彙音妙悟50韻母!$O$7:$P$7</definedName>
    <definedName name="_xlnm.Extract" localSheetId="14">彙音寶鑑45韻母!$O$7</definedName>
    <definedName name="_xlnm.Extract" localSheetId="13">閩拚方案45韻母!$O$7</definedName>
    <definedName name="_xlnm.Extract" localSheetId="3">韻母碼!$O$4</definedName>
    <definedName name="十五音聲母">'十五音-聲母'!$C$3:$C$17</definedName>
    <definedName name="十五音韻母" localSheetId="19">'台語十五音-。韻母 (字祖)'!$Q$5:$Q$54</definedName>
    <definedName name="十五音韻母">'十五音-韻母'!$C$5:$C$54</definedName>
    <definedName name="十五音韻母對照表" localSheetId="19">'台語十五音-。韻母 (字祖)'!$B$5:$AF$54</definedName>
    <definedName name="十五音韻母對照表">'十五音-韻母'!$B$5:$R$54</definedName>
    <definedName name="方音入聲韻母">'十五音-韻母'!$O$5:$O$54</definedName>
    <definedName name="方音舒聲韻母">'十五音-韻母'!$N$5:$N$54</definedName>
    <definedName name="台羅入聲韻母">'十五音-韻母'!$K$5:$K$54</definedName>
    <definedName name="台羅舒聲韻母">'十五音-韻母'!$J$5:$J$54</definedName>
    <definedName name="台羅韻母" localSheetId="34">'韻母碼 (台羅)'!$K$5:$K$79</definedName>
    <definedName name="台羅韻母八音反切">'台羅-韻母八音反切'!$R$5:$Y$54</definedName>
    <definedName name="四十五韻母順序表">台語韻母45音排序!$Q$7:$Q$56</definedName>
    <definedName name="白話字入聲韻母">'十五音-韻母'!$I$5:$I$54</definedName>
    <definedName name="白話字舒聲韻母">'十五音-韻母'!$H$5:$H$54</definedName>
    <definedName name="國際音標入聲韻母">'十五音-韻母'!$G$5:$G$54</definedName>
    <definedName name="國際音標舒聲韻母">'十五音-韻母'!$F$5:$F$54</definedName>
    <definedName name="麥氏都入聲韻母">'十五音-韻母'!$Q$5:$Q$54</definedName>
    <definedName name="麥氏舒聲韻母">'十五音-韻母'!$P$5:$P$54</definedName>
    <definedName name="閩拼入聲韻母">'十五音-韻母'!$M$5:$M$54</definedName>
    <definedName name="閩拼舒聲韻母">'十五音-韻母'!$L$5:$L$54</definedName>
    <definedName name="閩拼聲母">'閩拼-聲母'!$C$7:$C$22</definedName>
    <definedName name="閩拼韻母" localSheetId="34">'韻母碼 (台羅)'!$L$5:$L$79</definedName>
    <definedName name="聲母碼" localSheetId="0">台語聲母18音排序!$E$6:$E$23</definedName>
    <definedName name="聲母碼">聲母碼!$E$6:$E$23</definedName>
    <definedName name="聲母碼表" localSheetId="0">台語聲母18音排序!$D$6:$K$23</definedName>
    <definedName name="聲母碼表">聲母碼!$D$6:$K$23</definedName>
    <definedName name="韻母入聲碼">'十五音-韻母'!$E$5:$E$54</definedName>
    <definedName name="韻母國際音標">韻母碼!$H$5:$H$78</definedName>
    <definedName name="韻母舒聲碼">'十五音-韻母'!$D$5:$D$54</definedName>
    <definedName name="韻母對照表">十五音韻母清單!$B$6:$K$105</definedName>
    <definedName name="韻母碼表" localSheetId="34">'韻母碼 (台羅)'!$F$5:$M$79</definedName>
    <definedName name="韻母碼表">韻母碼!$F$5:$M$78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7" i="57" l="1"/>
  <c r="M57" i="57" s="1"/>
  <c r="K57" i="57"/>
  <c r="M56" i="57"/>
  <c r="L56" i="57"/>
  <c r="K56" i="57"/>
  <c r="L55" i="57"/>
  <c r="M55" i="57" s="1"/>
  <c r="K55" i="57"/>
  <c r="L54" i="57"/>
  <c r="M54" i="57" s="1"/>
  <c r="K54" i="57"/>
  <c r="M53" i="57"/>
  <c r="L53" i="57"/>
  <c r="K53" i="57"/>
  <c r="M52" i="57"/>
  <c r="L52" i="57"/>
  <c r="K52" i="57"/>
  <c r="E52" i="57"/>
  <c r="G52" i="57" s="1" a="1"/>
  <c r="G52" i="57" s="1"/>
  <c r="L51" i="57"/>
  <c r="M51" i="57" s="1"/>
  <c r="K51" i="57"/>
  <c r="E51" i="57"/>
  <c r="F51" i="57" s="1" a="1"/>
  <c r="F51" i="57" s="1"/>
  <c r="L50" i="57"/>
  <c r="M50" i="57" s="1"/>
  <c r="K50" i="57"/>
  <c r="H50" i="57" a="1"/>
  <c r="H50" i="57" s="1"/>
  <c r="E50" i="57"/>
  <c r="G50" i="57" s="1" a="1"/>
  <c r="G50" i="57" s="1"/>
  <c r="L49" i="57"/>
  <c r="M49" i="57" s="1"/>
  <c r="K49" i="57"/>
  <c r="G49" i="57" a="1"/>
  <c r="G49" i="57" s="1"/>
  <c r="E49" i="57"/>
  <c r="H49" i="57" s="1" a="1"/>
  <c r="H49" i="57" s="1"/>
  <c r="L48" i="57"/>
  <c r="M48" i="57" s="1"/>
  <c r="K48" i="57"/>
  <c r="F48" i="57" a="1"/>
  <c r="F48" i="57" s="1"/>
  <c r="E48" i="57"/>
  <c r="H48" i="57" s="1" a="1"/>
  <c r="H48" i="57" s="1"/>
  <c r="L47" i="57"/>
  <c r="M47" i="57" s="1"/>
  <c r="K47" i="57"/>
  <c r="E47" i="57"/>
  <c r="H47" i="57" s="1" a="1"/>
  <c r="H47" i="57" s="1"/>
  <c r="M46" i="57"/>
  <c r="L46" i="57"/>
  <c r="K46" i="57"/>
  <c r="E46" i="57"/>
  <c r="G46" i="57" s="1" a="1"/>
  <c r="G46" i="57" s="1"/>
  <c r="L45" i="57"/>
  <c r="M45" i="57" s="1"/>
  <c r="K45" i="57"/>
  <c r="E45" i="57"/>
  <c r="F45" i="57" s="1" a="1"/>
  <c r="F45" i="57" s="1"/>
  <c r="L44" i="57"/>
  <c r="M44" i="57" s="1"/>
  <c r="K44" i="57"/>
  <c r="H44" i="57" a="1"/>
  <c r="H44" i="57" s="1"/>
  <c r="E44" i="57"/>
  <c r="G44" i="57" s="1" a="1"/>
  <c r="G44" i="57" s="1"/>
  <c r="L43" i="57"/>
  <c r="M43" i="57" s="1"/>
  <c r="K43" i="57"/>
  <c r="G43" i="57" a="1"/>
  <c r="G43" i="57" s="1"/>
  <c r="E43" i="57"/>
  <c r="H43" i="57" s="1" a="1"/>
  <c r="H43" i="57" s="1"/>
  <c r="L42" i="57"/>
  <c r="M42" i="57" s="1"/>
  <c r="K42" i="57"/>
  <c r="F42" i="57" a="1"/>
  <c r="F42" i="57" s="1"/>
  <c r="E42" i="57"/>
  <c r="H42" i="57" s="1" a="1"/>
  <c r="H42" i="57" s="1"/>
  <c r="L41" i="57"/>
  <c r="M41" i="57" s="1"/>
  <c r="K41" i="57"/>
  <c r="E41" i="57"/>
  <c r="H41" i="57" s="1" a="1"/>
  <c r="H41" i="57" s="1"/>
  <c r="M40" i="57"/>
  <c r="L40" i="57"/>
  <c r="K40" i="57"/>
  <c r="E40" i="57"/>
  <c r="G40" i="57" s="1" a="1"/>
  <c r="G40" i="57" s="1"/>
  <c r="L39" i="57"/>
  <c r="M39" i="57" s="1"/>
  <c r="K39" i="57"/>
  <c r="E39" i="57"/>
  <c r="F39" i="57" s="1" a="1"/>
  <c r="F39" i="57" s="1"/>
  <c r="L38" i="57"/>
  <c r="M38" i="57" s="1"/>
  <c r="K38" i="57"/>
  <c r="H38" i="57" a="1"/>
  <c r="H38" i="57" s="1"/>
  <c r="E38" i="57"/>
  <c r="G38" i="57" s="1" a="1"/>
  <c r="G38" i="57" s="1"/>
  <c r="L37" i="57"/>
  <c r="M37" i="57" s="1"/>
  <c r="K37" i="57"/>
  <c r="G37" i="57" a="1"/>
  <c r="G37" i="57" s="1"/>
  <c r="E37" i="57"/>
  <c r="H37" i="57" s="1" a="1"/>
  <c r="H37" i="57" s="1"/>
  <c r="L36" i="57"/>
  <c r="M36" i="57" s="1"/>
  <c r="K36" i="57"/>
  <c r="F36" i="57" a="1"/>
  <c r="F36" i="57" s="1"/>
  <c r="E36" i="57"/>
  <c r="H36" i="57" s="1" a="1"/>
  <c r="H36" i="57" s="1"/>
  <c r="L35" i="57"/>
  <c r="M35" i="57" s="1"/>
  <c r="K35" i="57"/>
  <c r="E35" i="57"/>
  <c r="H35" i="57" s="1" a="1"/>
  <c r="H35" i="57" s="1"/>
  <c r="M34" i="57"/>
  <c r="L34" i="57"/>
  <c r="K34" i="57"/>
  <c r="E34" i="57"/>
  <c r="G34" i="57" s="1" a="1"/>
  <c r="G34" i="57" s="1"/>
  <c r="L33" i="57"/>
  <c r="M33" i="57" s="1"/>
  <c r="K33" i="57"/>
  <c r="E33" i="57"/>
  <c r="F33" i="57" s="1" a="1"/>
  <c r="F33" i="57" s="1"/>
  <c r="L32" i="57"/>
  <c r="M32" i="57" s="1"/>
  <c r="K32" i="57"/>
  <c r="H32" i="57" a="1"/>
  <c r="H32" i="57" s="1"/>
  <c r="E32" i="57"/>
  <c r="G32" i="57" s="1" a="1"/>
  <c r="G32" i="57" s="1"/>
  <c r="L31" i="57"/>
  <c r="M31" i="57" s="1"/>
  <c r="K31" i="57"/>
  <c r="G31" i="57" a="1"/>
  <c r="G31" i="57" s="1"/>
  <c r="E31" i="57"/>
  <c r="H31" i="57" s="1" a="1"/>
  <c r="H31" i="57" s="1"/>
  <c r="L30" i="57"/>
  <c r="M30" i="57" s="1"/>
  <c r="K30" i="57"/>
  <c r="F30" i="57" a="1"/>
  <c r="F30" i="57" s="1"/>
  <c r="E30" i="57"/>
  <c r="H30" i="57" s="1" a="1"/>
  <c r="H30" i="57" s="1"/>
  <c r="L29" i="57"/>
  <c r="M29" i="57" s="1"/>
  <c r="K29" i="57"/>
  <c r="E29" i="57"/>
  <c r="H29" i="57" s="1" a="1"/>
  <c r="H29" i="57" s="1"/>
  <c r="M28" i="57"/>
  <c r="L28" i="57"/>
  <c r="K28" i="57"/>
  <c r="E28" i="57"/>
  <c r="G28" i="57" s="1" a="1"/>
  <c r="G28" i="57" s="1"/>
  <c r="L27" i="57"/>
  <c r="M27" i="57" s="1"/>
  <c r="K27" i="57"/>
  <c r="E27" i="57"/>
  <c r="F27" i="57" s="1" a="1"/>
  <c r="F27" i="57" s="1"/>
  <c r="L26" i="57"/>
  <c r="M26" i="57" s="1"/>
  <c r="K26" i="57"/>
  <c r="H26" i="57" a="1"/>
  <c r="H26" i="57" s="1"/>
  <c r="E26" i="57"/>
  <c r="G26" i="57" s="1" a="1"/>
  <c r="G26" i="57" s="1"/>
  <c r="L25" i="57"/>
  <c r="M25" i="57" s="1"/>
  <c r="K25" i="57"/>
  <c r="G25" i="57" a="1"/>
  <c r="G25" i="57" s="1"/>
  <c r="E25" i="57"/>
  <c r="H25" i="57" s="1" a="1"/>
  <c r="H25" i="57" s="1"/>
  <c r="L24" i="57"/>
  <c r="M24" i="57" s="1"/>
  <c r="K24" i="57"/>
  <c r="F24" i="57" a="1"/>
  <c r="F24" i="57" s="1"/>
  <c r="E24" i="57"/>
  <c r="H24" i="57" s="1" a="1"/>
  <c r="H24" i="57" s="1"/>
  <c r="L23" i="57"/>
  <c r="M23" i="57" s="1"/>
  <c r="K23" i="57"/>
  <c r="E23" i="57"/>
  <c r="H23" i="57" s="1" a="1"/>
  <c r="H23" i="57" s="1"/>
  <c r="M22" i="57"/>
  <c r="L22" i="57"/>
  <c r="K22" i="57"/>
  <c r="E22" i="57"/>
  <c r="G22" i="57" s="1" a="1"/>
  <c r="G22" i="57" s="1"/>
  <c r="L21" i="57"/>
  <c r="M21" i="57" s="1"/>
  <c r="K21" i="57"/>
  <c r="E21" i="57"/>
  <c r="F21" i="57" s="1" a="1"/>
  <c r="F21" i="57" s="1"/>
  <c r="L20" i="57"/>
  <c r="M20" i="57" s="1"/>
  <c r="K20" i="57"/>
  <c r="H20" i="57" a="1"/>
  <c r="H20" i="57" s="1"/>
  <c r="E20" i="57"/>
  <c r="G20" i="57" s="1" a="1"/>
  <c r="G20" i="57" s="1"/>
  <c r="L19" i="57"/>
  <c r="M19" i="57" s="1"/>
  <c r="K19" i="57"/>
  <c r="G19" i="57" a="1"/>
  <c r="G19" i="57" s="1"/>
  <c r="E19" i="57"/>
  <c r="H19" i="57" s="1" a="1"/>
  <c r="H19" i="57" s="1"/>
  <c r="L18" i="57"/>
  <c r="M18" i="57" s="1"/>
  <c r="K18" i="57"/>
  <c r="F18" i="57" a="1"/>
  <c r="F18" i="57" s="1"/>
  <c r="E18" i="57"/>
  <c r="H18" i="57" s="1" a="1"/>
  <c r="H18" i="57" s="1"/>
  <c r="L17" i="57"/>
  <c r="M17" i="57" s="1"/>
  <c r="K17" i="57"/>
  <c r="E17" i="57"/>
  <c r="H17" i="57" s="1" a="1"/>
  <c r="H17" i="57" s="1"/>
  <c r="M16" i="57"/>
  <c r="L16" i="57"/>
  <c r="K16" i="57"/>
  <c r="E16" i="57"/>
  <c r="G16" i="57" s="1" a="1"/>
  <c r="G16" i="57" s="1"/>
  <c r="L15" i="57"/>
  <c r="M15" i="57" s="1"/>
  <c r="K15" i="57"/>
  <c r="E15" i="57"/>
  <c r="F15" i="57" s="1" a="1"/>
  <c r="F15" i="57" s="1"/>
  <c r="L14" i="57"/>
  <c r="M14" i="57" s="1"/>
  <c r="K14" i="57"/>
  <c r="H14" i="57" a="1"/>
  <c r="H14" i="57" s="1"/>
  <c r="E14" i="57"/>
  <c r="G14" i="57" s="1" a="1"/>
  <c r="G14" i="57" s="1"/>
  <c r="L13" i="57"/>
  <c r="M13" i="57" s="1"/>
  <c r="K13" i="57"/>
  <c r="G13" i="57" a="1"/>
  <c r="G13" i="57" s="1"/>
  <c r="E13" i="57"/>
  <c r="H13" i="57" s="1" a="1"/>
  <c r="H13" i="57" s="1"/>
  <c r="L12" i="57"/>
  <c r="M12" i="57" s="1"/>
  <c r="K12" i="57"/>
  <c r="F12" i="57" a="1"/>
  <c r="F12" i="57" s="1"/>
  <c r="E12" i="57"/>
  <c r="H12" i="57" s="1" a="1"/>
  <c r="H12" i="57" s="1"/>
  <c r="L11" i="57"/>
  <c r="M11" i="57" s="1"/>
  <c r="K11" i="57"/>
  <c r="E11" i="57"/>
  <c r="H11" i="57" s="1" a="1"/>
  <c r="H11" i="57" s="1"/>
  <c r="M10" i="57"/>
  <c r="L10" i="57"/>
  <c r="K10" i="57"/>
  <c r="E10" i="57"/>
  <c r="G10" i="57" s="1" a="1"/>
  <c r="G10" i="57" s="1"/>
  <c r="L9" i="57"/>
  <c r="M9" i="57" s="1"/>
  <c r="K9" i="57"/>
  <c r="M59" i="57" s="1"/>
  <c r="E9" i="57"/>
  <c r="F9" i="57" s="1" a="1"/>
  <c r="F9" i="57" s="1"/>
  <c r="L8" i="57"/>
  <c r="M8" i="57" s="1"/>
  <c r="K8" i="57"/>
  <c r="H8" i="57" a="1"/>
  <c r="H8" i="57" s="1"/>
  <c r="E8" i="57"/>
  <c r="G8" i="57" s="1" a="1"/>
  <c r="G8" i="57" s="1"/>
  <c r="O3" i="57"/>
  <c r="X22" i="54"/>
  <c r="Z22" i="54" s="1" a="1"/>
  <c r="Z22" i="54" s="1"/>
  <c r="B22" i="54"/>
  <c r="X21" i="54"/>
  <c r="Z21" i="54" s="1" a="1"/>
  <c r="Z21" i="54" s="1"/>
  <c r="B21" i="54"/>
  <c r="X20" i="54"/>
  <c r="Z20" i="54" s="1" a="1"/>
  <c r="Z20" i="54" s="1"/>
  <c r="B20" i="54"/>
  <c r="X19" i="54"/>
  <c r="Z19" i="54" s="1" a="1"/>
  <c r="Z19" i="54" s="1"/>
  <c r="B19" i="54"/>
  <c r="X23" i="54"/>
  <c r="Z23" i="54" s="1" a="1"/>
  <c r="Z23" i="54" s="1"/>
  <c r="B23" i="54"/>
  <c r="X13" i="54"/>
  <c r="Z13" i="54" s="1" a="1"/>
  <c r="Z13" i="54" s="1"/>
  <c r="B13" i="54"/>
  <c r="X14" i="54"/>
  <c r="Z14" i="54" s="1" a="1"/>
  <c r="Z14" i="54" s="1"/>
  <c r="B14" i="54"/>
  <c r="X12" i="54"/>
  <c r="Z12" i="54" s="1" a="1"/>
  <c r="Z12" i="54" s="1"/>
  <c r="B12" i="54"/>
  <c r="X11" i="54"/>
  <c r="Z11" i="54" s="1" a="1"/>
  <c r="Z11" i="54" s="1"/>
  <c r="B11" i="54"/>
  <c r="X18" i="54"/>
  <c r="Z18" i="54" s="1" a="1"/>
  <c r="Z18" i="54" s="1"/>
  <c r="B18" i="54"/>
  <c r="X17" i="54"/>
  <c r="Z17" i="54" s="1" a="1"/>
  <c r="Z17" i="54" s="1"/>
  <c r="B17" i="54"/>
  <c r="X16" i="54"/>
  <c r="Z16" i="54" s="1" a="1"/>
  <c r="Z16" i="54" s="1"/>
  <c r="X15" i="54"/>
  <c r="Z15" i="54" s="1" a="1"/>
  <c r="Z15" i="54" s="1"/>
  <c r="B15" i="54"/>
  <c r="X9" i="54"/>
  <c r="Z9" i="54" s="1" a="1"/>
  <c r="Z9" i="54" s="1"/>
  <c r="B9" i="54"/>
  <c r="X8" i="54"/>
  <c r="Z8" i="54" s="1" a="1"/>
  <c r="Z8" i="54" s="1"/>
  <c r="B8" i="54"/>
  <c r="X10" i="54"/>
  <c r="Z10" i="54" s="1" a="1"/>
  <c r="Z10" i="54" s="1"/>
  <c r="B10" i="54"/>
  <c r="X7" i="54"/>
  <c r="Z7" i="54" s="1" a="1"/>
  <c r="Z7" i="54" s="1"/>
  <c r="B7" i="54"/>
  <c r="X6" i="54"/>
  <c r="Z6" i="54" s="1" a="1"/>
  <c r="Z6" i="54" s="1"/>
  <c r="B6" i="54"/>
  <c r="K3" i="54" a="1"/>
  <c r="K3" i="54" s="1"/>
  <c r="J3" i="54" a="1"/>
  <c r="J3" i="54" s="1"/>
  <c r="I3" i="54" a="1"/>
  <c r="I3" i="54" s="1"/>
  <c r="H3" i="54" a="1"/>
  <c r="H3" i="54" s="1"/>
  <c r="G3" i="54" a="1"/>
  <c r="G3" i="54" s="1"/>
  <c r="F3" i="54" a="1"/>
  <c r="F3" i="54" s="1"/>
  <c r="E3" i="54" a="1"/>
  <c r="E3" i="54" s="1"/>
  <c r="D3" i="54" a="1"/>
  <c r="D3" i="54" s="1"/>
  <c r="R56" i="53"/>
  <c r="T56" i="53" s="1" a="1"/>
  <c r="T56" i="53" s="1"/>
  <c r="R55" i="53"/>
  <c r="T55" i="53" s="1" a="1"/>
  <c r="T55" i="53" s="1"/>
  <c r="R54" i="53"/>
  <c r="S54" i="53" s="1" a="1"/>
  <c r="S54" i="53" s="1"/>
  <c r="R53" i="53"/>
  <c r="S53" i="53" s="1" a="1"/>
  <c r="S53" i="53" s="1"/>
  <c r="R52" i="53"/>
  <c r="S52" i="53" s="1" a="1"/>
  <c r="S52" i="53" s="1"/>
  <c r="R47" i="53"/>
  <c r="T47" i="53" s="1" a="1"/>
  <c r="T47" i="53" s="1"/>
  <c r="R51" i="53"/>
  <c r="T51" i="53" s="1" a="1"/>
  <c r="T51" i="53" s="1"/>
  <c r="R50" i="53"/>
  <c r="T50" i="53" s="1" a="1"/>
  <c r="T50" i="53" s="1"/>
  <c r="R49" i="53"/>
  <c r="S49" i="53" s="1" a="1"/>
  <c r="S49" i="53" s="1"/>
  <c r="R48" i="53"/>
  <c r="T48" i="53" s="1" a="1"/>
  <c r="T48" i="53" s="1"/>
  <c r="R46" i="53"/>
  <c r="T46" i="53" s="1" a="1"/>
  <c r="T46" i="53" s="1"/>
  <c r="R45" i="53"/>
  <c r="T45" i="53" s="1" a="1"/>
  <c r="T45" i="53" s="1"/>
  <c r="R42" i="53"/>
  <c r="T42" i="53" s="1" a="1"/>
  <c r="T42" i="53" s="1"/>
  <c r="R41" i="53"/>
  <c r="T41" i="53" s="1" a="1"/>
  <c r="T41" i="53" s="1"/>
  <c r="R40" i="53"/>
  <c r="S40" i="53" s="1" a="1"/>
  <c r="S40" i="53" s="1"/>
  <c r="R44" i="53"/>
  <c r="T44" i="53" s="1" a="1"/>
  <c r="T44" i="53" s="1"/>
  <c r="R43" i="53"/>
  <c r="T43" i="53" s="1" a="1"/>
  <c r="T43" i="53" s="1"/>
  <c r="R39" i="53"/>
  <c r="T39" i="53" s="1" a="1"/>
  <c r="T39" i="53" s="1"/>
  <c r="R38" i="53"/>
  <c r="T38" i="53" s="1" a="1"/>
  <c r="T38" i="53" s="1"/>
  <c r="R37" i="53"/>
  <c r="S37" i="53" s="1" a="1"/>
  <c r="S37" i="53" s="1"/>
  <c r="R36" i="53"/>
  <c r="S36" i="53" s="1" a="1"/>
  <c r="S36" i="53" s="1"/>
  <c r="R35" i="53"/>
  <c r="S35" i="53" s="1" a="1"/>
  <c r="S35" i="53" s="1"/>
  <c r="R33" i="53"/>
  <c r="T33" i="53" s="1" a="1"/>
  <c r="T33" i="53" s="1"/>
  <c r="R34" i="53"/>
  <c r="T34" i="53" s="1" a="1"/>
  <c r="T34" i="53" s="1"/>
  <c r="R32" i="53"/>
  <c r="T32" i="53" s="1" a="1"/>
  <c r="T32" i="53" s="1"/>
  <c r="R21" i="53"/>
  <c r="S21" i="53" s="1" a="1"/>
  <c r="S21" i="53" s="1"/>
  <c r="R31" i="53"/>
  <c r="S31" i="53" s="1" a="1"/>
  <c r="S31" i="53" s="1"/>
  <c r="R30" i="53"/>
  <c r="T30" i="53" s="1" a="1"/>
  <c r="T30" i="53" s="1"/>
  <c r="R29" i="53"/>
  <c r="T29" i="53" s="1" a="1"/>
  <c r="T29" i="53" s="1"/>
  <c r="R28" i="53"/>
  <c r="T28" i="53" s="1" a="1"/>
  <c r="T28" i="53" s="1"/>
  <c r="R27" i="53"/>
  <c r="T27" i="53" s="1" a="1"/>
  <c r="T27" i="53" s="1"/>
  <c r="R23" i="53"/>
  <c r="S23" i="53" s="1" a="1"/>
  <c r="S23" i="53" s="1"/>
  <c r="R26" i="53"/>
  <c r="S26" i="53" s="1" a="1"/>
  <c r="S26" i="53" s="1"/>
  <c r="R25" i="53"/>
  <c r="T25" i="53" s="1" a="1"/>
  <c r="T25" i="53" s="1"/>
  <c r="R24" i="53"/>
  <c r="T24" i="53" s="1" a="1"/>
  <c r="T24" i="53" s="1"/>
  <c r="R22" i="53"/>
  <c r="S22" i="53" s="1" a="1"/>
  <c r="S22" i="53" s="1"/>
  <c r="R20" i="53"/>
  <c r="T20" i="53" s="1" a="1"/>
  <c r="T20" i="53" s="1"/>
  <c r="R17" i="53"/>
  <c r="T17" i="53" s="1" a="1"/>
  <c r="T17" i="53" s="1"/>
  <c r="R19" i="53"/>
  <c r="S19" i="53" s="1" a="1"/>
  <c r="S19" i="53" s="1"/>
  <c r="R18" i="53"/>
  <c r="T18" i="53" s="1" a="1"/>
  <c r="T18" i="53" s="1"/>
  <c r="R16" i="53"/>
  <c r="T16" i="53" s="1" a="1"/>
  <c r="T16" i="53" s="1"/>
  <c r="R15" i="53"/>
  <c r="T15" i="53" s="1" a="1"/>
  <c r="T15" i="53" s="1"/>
  <c r="R14" i="53"/>
  <c r="T14" i="53" s="1" a="1"/>
  <c r="T14" i="53" s="1"/>
  <c r="R8" i="53"/>
  <c r="S8" i="53" s="1" a="1"/>
  <c r="S8" i="53" s="1"/>
  <c r="R13" i="53"/>
  <c r="S13" i="53" s="1" a="1"/>
  <c r="S13" i="53" s="1"/>
  <c r="R12" i="53"/>
  <c r="T12" i="53" s="1" a="1"/>
  <c r="T12" i="53" s="1"/>
  <c r="R11" i="53"/>
  <c r="T11" i="53" s="1" a="1"/>
  <c r="T11" i="53" s="1"/>
  <c r="R10" i="53"/>
  <c r="T10" i="53" s="1" a="1"/>
  <c r="T10" i="53" s="1"/>
  <c r="R9" i="53"/>
  <c r="T9" i="53" s="1" a="1"/>
  <c r="T9" i="53" s="1"/>
  <c r="R7" i="53"/>
  <c r="S7" i="53" s="1" a="1"/>
  <c r="S7" i="53" s="1"/>
  <c r="E52" i="52"/>
  <c r="F52" i="52" s="1" a="1"/>
  <c r="F52" i="52" s="1"/>
  <c r="E53" i="52"/>
  <c r="F53" i="52" s="1" a="1"/>
  <c r="F53" i="52" s="1"/>
  <c r="E54" i="52"/>
  <c r="G54" i="52" s="1" a="1"/>
  <c r="G54" i="52" s="1"/>
  <c r="E55" i="52"/>
  <c r="F55" i="52" s="1" a="1"/>
  <c r="F55" i="52" s="1"/>
  <c r="E56" i="52"/>
  <c r="F56" i="52" s="1" a="1"/>
  <c r="F56" i="52" s="1"/>
  <c r="E51" i="52"/>
  <c r="G51" i="52" s="1" a="1"/>
  <c r="G51" i="52" s="1"/>
  <c r="E45" i="52"/>
  <c r="G45" i="52" s="1" a="1"/>
  <c r="G45" i="52" s="1"/>
  <c r="E42" i="52"/>
  <c r="E39" i="52"/>
  <c r="G39" i="52" s="1" a="1"/>
  <c r="G39" i="52" s="1"/>
  <c r="E33" i="52"/>
  <c r="E28" i="52"/>
  <c r="G28" i="52" s="1" a="1"/>
  <c r="G28" i="52" s="1"/>
  <c r="E27" i="52"/>
  <c r="G27" i="52" s="1" a="1"/>
  <c r="G27" i="52" s="1"/>
  <c r="E22" i="52"/>
  <c r="E21" i="52"/>
  <c r="E17" i="52"/>
  <c r="E16" i="52"/>
  <c r="G16" i="52" s="1" a="1"/>
  <c r="G16" i="52" s="1"/>
  <c r="E15" i="52"/>
  <c r="G15" i="52" s="1" a="1"/>
  <c r="G15" i="52" s="1"/>
  <c r="E10" i="52"/>
  <c r="E9" i="52"/>
  <c r="E50" i="52"/>
  <c r="G50" i="52" s="1" a="1"/>
  <c r="G50" i="52" s="1"/>
  <c r="E49" i="52"/>
  <c r="F49" i="52" s="1" a="1"/>
  <c r="F49" i="52" s="1"/>
  <c r="E48" i="52"/>
  <c r="F48" i="52" s="1" a="1"/>
  <c r="F48" i="52" s="1"/>
  <c r="E47" i="52"/>
  <c r="E46" i="52"/>
  <c r="E44" i="52"/>
  <c r="F44" i="52" s="1" a="1"/>
  <c r="F44" i="52" s="1"/>
  <c r="E43" i="52"/>
  <c r="G43" i="52" s="1" a="1"/>
  <c r="G43" i="52" s="1"/>
  <c r="E41" i="52"/>
  <c r="E40" i="52"/>
  <c r="F40" i="52" s="1" a="1"/>
  <c r="F40" i="52" s="1"/>
  <c r="E38" i="52"/>
  <c r="G38" i="52" s="1" a="1"/>
  <c r="G38" i="52" s="1"/>
  <c r="E37" i="52"/>
  <c r="G37" i="52" s="1" a="1"/>
  <c r="G37" i="52" s="1"/>
  <c r="E36" i="52"/>
  <c r="F36" i="52" s="1" a="1"/>
  <c r="F36" i="52" s="1"/>
  <c r="E35" i="52"/>
  <c r="E34" i="52"/>
  <c r="E32" i="52"/>
  <c r="F32" i="52" s="1" a="1"/>
  <c r="F32" i="52" s="1"/>
  <c r="E31" i="52"/>
  <c r="E30" i="52"/>
  <c r="G30" i="52" s="1" a="1"/>
  <c r="G30" i="52" s="1"/>
  <c r="E29" i="52"/>
  <c r="E26" i="52"/>
  <c r="G26" i="52" s="1" a="1"/>
  <c r="G26" i="52" s="1"/>
  <c r="E25" i="52"/>
  <c r="E24" i="52"/>
  <c r="F24" i="52" s="1" a="1"/>
  <c r="F24" i="52" s="1"/>
  <c r="E23" i="52"/>
  <c r="E20" i="52"/>
  <c r="F20" i="52" s="1" a="1"/>
  <c r="F20" i="52" s="1"/>
  <c r="E19" i="52"/>
  <c r="E18" i="52"/>
  <c r="G18" i="52" s="1" a="1"/>
  <c r="G18" i="52" s="1"/>
  <c r="E14" i="52"/>
  <c r="G14" i="52" s="1" a="1"/>
  <c r="G14" i="52" s="1"/>
  <c r="E13" i="52"/>
  <c r="G13" i="52" s="1" a="1"/>
  <c r="G13" i="52" s="1"/>
  <c r="E12" i="52"/>
  <c r="F12" i="52" s="1" a="1"/>
  <c r="F12" i="52" s="1"/>
  <c r="E11" i="52"/>
  <c r="E8" i="52"/>
  <c r="F8" i="52" s="1" a="1"/>
  <c r="F8" i="52" s="1"/>
  <c r="E7" i="52"/>
  <c r="J8" i="48"/>
  <c r="K8" i="48"/>
  <c r="L8" i="48"/>
  <c r="M8" i="48" s="1"/>
  <c r="J9" i="48"/>
  <c r="K9" i="48"/>
  <c r="L9" i="48"/>
  <c r="M9" i="48" s="1"/>
  <c r="J10" i="48"/>
  <c r="K10" i="48"/>
  <c r="L10" i="48"/>
  <c r="M10" i="48" s="1"/>
  <c r="J11" i="48"/>
  <c r="K11" i="48"/>
  <c r="L11" i="48"/>
  <c r="M11" i="48" s="1"/>
  <c r="J12" i="48"/>
  <c r="K12" i="48"/>
  <c r="L12" i="48"/>
  <c r="M12" i="48" s="1"/>
  <c r="J13" i="48"/>
  <c r="K13" i="48"/>
  <c r="L13" i="48"/>
  <c r="M13" i="48" s="1"/>
  <c r="J14" i="48"/>
  <c r="K14" i="48"/>
  <c r="L14" i="48"/>
  <c r="M14" i="48" s="1"/>
  <c r="J15" i="48"/>
  <c r="K15" i="48"/>
  <c r="L15" i="48"/>
  <c r="M15" i="48" s="1"/>
  <c r="J16" i="48"/>
  <c r="K16" i="48"/>
  <c r="L16" i="48"/>
  <c r="M16" i="48" s="1"/>
  <c r="J17" i="48"/>
  <c r="K17" i="48"/>
  <c r="L17" i="48"/>
  <c r="M17" i="48" s="1"/>
  <c r="J18" i="48"/>
  <c r="K18" i="48"/>
  <c r="L18" i="48"/>
  <c r="M18" i="48" s="1"/>
  <c r="J19" i="48"/>
  <c r="K19" i="48"/>
  <c r="L19" i="48"/>
  <c r="M19" i="48" s="1"/>
  <c r="J20" i="48"/>
  <c r="K20" i="48"/>
  <c r="L20" i="48"/>
  <c r="M20" i="48" s="1"/>
  <c r="J21" i="48"/>
  <c r="K21" i="48"/>
  <c r="L21" i="48"/>
  <c r="M21" i="48" s="1"/>
  <c r="J22" i="48"/>
  <c r="K22" i="48"/>
  <c r="L22" i="48"/>
  <c r="M22" i="48" s="1"/>
  <c r="J23" i="48"/>
  <c r="K23" i="48"/>
  <c r="L23" i="48"/>
  <c r="M23" i="48" s="1"/>
  <c r="J24" i="48"/>
  <c r="K24" i="48"/>
  <c r="L24" i="48"/>
  <c r="M24" i="48" s="1"/>
  <c r="J25" i="48"/>
  <c r="K25" i="48"/>
  <c r="L25" i="48"/>
  <c r="M25" i="48" s="1"/>
  <c r="J26" i="48"/>
  <c r="K26" i="48"/>
  <c r="L26" i="48"/>
  <c r="M26" i="48" s="1"/>
  <c r="J27" i="48"/>
  <c r="K27" i="48"/>
  <c r="L27" i="48"/>
  <c r="M27" i="48" s="1"/>
  <c r="J28" i="48"/>
  <c r="K28" i="48"/>
  <c r="L28" i="48"/>
  <c r="M28" i="48" s="1"/>
  <c r="J29" i="48"/>
  <c r="K29" i="48"/>
  <c r="L29" i="48"/>
  <c r="M29" i="48" s="1"/>
  <c r="J30" i="48"/>
  <c r="K30" i="48"/>
  <c r="L30" i="48"/>
  <c r="M30" i="48" s="1"/>
  <c r="J31" i="48"/>
  <c r="K31" i="48"/>
  <c r="L31" i="48"/>
  <c r="M31" i="48" s="1"/>
  <c r="J32" i="48"/>
  <c r="K32" i="48"/>
  <c r="L32" i="48"/>
  <c r="M32" i="48" s="1"/>
  <c r="J33" i="48"/>
  <c r="K33" i="48"/>
  <c r="L33" i="48"/>
  <c r="M33" i="48" s="1"/>
  <c r="J34" i="48"/>
  <c r="K34" i="48"/>
  <c r="L34" i="48"/>
  <c r="M34" i="48" s="1"/>
  <c r="J35" i="48"/>
  <c r="K35" i="48"/>
  <c r="L35" i="48"/>
  <c r="M35" i="48" s="1"/>
  <c r="J36" i="48"/>
  <c r="K36" i="48"/>
  <c r="L36" i="48"/>
  <c r="M36" i="48" s="1"/>
  <c r="J37" i="48"/>
  <c r="K37" i="48"/>
  <c r="L37" i="48"/>
  <c r="M37" i="48" s="1"/>
  <c r="J38" i="48"/>
  <c r="K38" i="48"/>
  <c r="L38" i="48"/>
  <c r="M38" i="48" s="1"/>
  <c r="J39" i="48"/>
  <c r="K39" i="48"/>
  <c r="L39" i="48"/>
  <c r="M39" i="48" s="1"/>
  <c r="J40" i="48"/>
  <c r="K40" i="48"/>
  <c r="L40" i="48"/>
  <c r="M40" i="48" s="1"/>
  <c r="J41" i="48"/>
  <c r="K41" i="48"/>
  <c r="L41" i="48"/>
  <c r="M41" i="48" s="1"/>
  <c r="J42" i="48"/>
  <c r="K42" i="48"/>
  <c r="L42" i="48"/>
  <c r="M42" i="48" s="1"/>
  <c r="J43" i="48"/>
  <c r="K43" i="48"/>
  <c r="L43" i="48"/>
  <c r="M43" i="48" s="1"/>
  <c r="J44" i="48"/>
  <c r="K44" i="48"/>
  <c r="L44" i="48"/>
  <c r="M44" i="48" s="1"/>
  <c r="J45" i="48"/>
  <c r="K45" i="48"/>
  <c r="L45" i="48"/>
  <c r="M45" i="48" s="1"/>
  <c r="J46" i="48"/>
  <c r="K46" i="48"/>
  <c r="L46" i="48"/>
  <c r="M46" i="48" s="1"/>
  <c r="J47" i="48"/>
  <c r="K47" i="48"/>
  <c r="L47" i="48"/>
  <c r="M47" i="48" s="1"/>
  <c r="J48" i="48"/>
  <c r="K48" i="48"/>
  <c r="L48" i="48"/>
  <c r="M48" i="48" s="1"/>
  <c r="J49" i="48"/>
  <c r="K49" i="48"/>
  <c r="L49" i="48"/>
  <c r="M49" i="48" s="1"/>
  <c r="J50" i="48"/>
  <c r="K50" i="48"/>
  <c r="L50" i="48"/>
  <c r="M50" i="48" s="1"/>
  <c r="J51" i="48"/>
  <c r="K51" i="48"/>
  <c r="L51" i="48"/>
  <c r="M51" i="48" s="1"/>
  <c r="J52" i="48"/>
  <c r="K52" i="48"/>
  <c r="L52" i="48"/>
  <c r="M52" i="48" s="1"/>
  <c r="J53" i="48"/>
  <c r="K53" i="48"/>
  <c r="L53" i="48"/>
  <c r="M53" i="48" s="1"/>
  <c r="J54" i="48"/>
  <c r="K54" i="48"/>
  <c r="L54" i="48"/>
  <c r="M54" i="48" s="1"/>
  <c r="J55" i="48"/>
  <c r="K55" i="48"/>
  <c r="L55" i="48"/>
  <c r="M55" i="48" s="1"/>
  <c r="J56" i="48"/>
  <c r="K56" i="48"/>
  <c r="L56" i="48"/>
  <c r="M56" i="48" s="1"/>
  <c r="J57" i="48"/>
  <c r="K57" i="48"/>
  <c r="L57" i="48"/>
  <c r="M57" i="48" s="1"/>
  <c r="O3" i="48"/>
  <c r="L57" i="51"/>
  <c r="M57" i="51" s="1"/>
  <c r="K57" i="51"/>
  <c r="E57" i="51"/>
  <c r="H57" i="51" s="1" a="1"/>
  <c r="H57" i="51" s="1"/>
  <c r="L56" i="51"/>
  <c r="M56" i="51" s="1"/>
  <c r="K56" i="51"/>
  <c r="E56" i="51"/>
  <c r="H56" i="51" s="1" a="1"/>
  <c r="H56" i="51" s="1"/>
  <c r="L55" i="51"/>
  <c r="M55" i="51" s="1"/>
  <c r="K55" i="51"/>
  <c r="E55" i="51"/>
  <c r="H55" i="51" s="1" a="1"/>
  <c r="H55" i="51" s="1"/>
  <c r="L54" i="51"/>
  <c r="M54" i="51" s="1"/>
  <c r="K54" i="51"/>
  <c r="E54" i="51"/>
  <c r="G54" i="51" s="1" a="1"/>
  <c r="G54" i="51" s="1"/>
  <c r="L53" i="51"/>
  <c r="M53" i="51" s="1"/>
  <c r="K53" i="51"/>
  <c r="E53" i="51"/>
  <c r="F53" i="51" s="1" a="1"/>
  <c r="F53" i="51" s="1"/>
  <c r="L52" i="51"/>
  <c r="M52" i="51" s="1"/>
  <c r="K52" i="51"/>
  <c r="E52" i="51"/>
  <c r="H52" i="51" s="1" a="1"/>
  <c r="H52" i="51" s="1"/>
  <c r="L51" i="51"/>
  <c r="M51" i="51" s="1"/>
  <c r="K51" i="51"/>
  <c r="E51" i="51"/>
  <c r="G51" i="51" s="1" a="1"/>
  <c r="G51" i="51" s="1"/>
  <c r="L50" i="51"/>
  <c r="M50" i="51" s="1"/>
  <c r="K50" i="51"/>
  <c r="E50" i="51"/>
  <c r="H50" i="51" s="1" a="1"/>
  <c r="H50" i="51" s="1"/>
  <c r="L49" i="51"/>
  <c r="M49" i="51" s="1"/>
  <c r="K49" i="51"/>
  <c r="E49" i="51"/>
  <c r="H49" i="51" s="1" a="1"/>
  <c r="H49" i="51" s="1"/>
  <c r="L48" i="51"/>
  <c r="M48" i="51" s="1"/>
  <c r="K48" i="51"/>
  <c r="E48" i="51"/>
  <c r="G48" i="51" s="1" a="1"/>
  <c r="G48" i="51" s="1"/>
  <c r="L47" i="51"/>
  <c r="M47" i="51" s="1"/>
  <c r="K47" i="51"/>
  <c r="E47" i="51"/>
  <c r="F47" i="51" s="1" a="1"/>
  <c r="F47" i="51" s="1"/>
  <c r="L46" i="51"/>
  <c r="M46" i="51" s="1"/>
  <c r="K46" i="51"/>
  <c r="E46" i="51"/>
  <c r="H46" i="51" s="1" a="1"/>
  <c r="H46" i="51" s="1"/>
  <c r="L45" i="51"/>
  <c r="M45" i="51" s="1"/>
  <c r="K45" i="51"/>
  <c r="E45" i="51"/>
  <c r="G45" i="51" s="1" a="1"/>
  <c r="G45" i="51" s="1"/>
  <c r="L44" i="51"/>
  <c r="M44" i="51" s="1"/>
  <c r="K44" i="51"/>
  <c r="E44" i="51"/>
  <c r="H44" i="51" s="1" a="1"/>
  <c r="H44" i="51" s="1"/>
  <c r="L43" i="51"/>
  <c r="M43" i="51" s="1"/>
  <c r="K43" i="51"/>
  <c r="E43" i="51"/>
  <c r="H43" i="51" s="1" a="1"/>
  <c r="H43" i="51" s="1"/>
  <c r="L42" i="51"/>
  <c r="M42" i="51" s="1"/>
  <c r="K42" i="51"/>
  <c r="E42" i="51"/>
  <c r="G42" i="51" s="1" a="1"/>
  <c r="G42" i="51" s="1"/>
  <c r="L41" i="51"/>
  <c r="M41" i="51" s="1"/>
  <c r="K41" i="51"/>
  <c r="E41" i="51"/>
  <c r="F41" i="51" s="1" a="1"/>
  <c r="F41" i="51" s="1"/>
  <c r="L40" i="51"/>
  <c r="M40" i="51" s="1"/>
  <c r="K40" i="51"/>
  <c r="E40" i="51"/>
  <c r="H40" i="51" s="1" a="1"/>
  <c r="H40" i="51" s="1"/>
  <c r="L39" i="51"/>
  <c r="M39" i="51" s="1"/>
  <c r="K39" i="51"/>
  <c r="E39" i="51"/>
  <c r="G39" i="51" s="1" a="1"/>
  <c r="G39" i="51" s="1"/>
  <c r="L38" i="51"/>
  <c r="M38" i="51" s="1"/>
  <c r="K38" i="51"/>
  <c r="E38" i="51"/>
  <c r="H38" i="51" s="1" a="1"/>
  <c r="H38" i="51" s="1"/>
  <c r="L37" i="51"/>
  <c r="M37" i="51" s="1"/>
  <c r="K37" i="51"/>
  <c r="E37" i="51"/>
  <c r="H37" i="51" s="1" a="1"/>
  <c r="H37" i="51" s="1"/>
  <c r="L36" i="51"/>
  <c r="M36" i="51" s="1"/>
  <c r="K36" i="51"/>
  <c r="E36" i="51"/>
  <c r="G36" i="51" s="1" a="1"/>
  <c r="G36" i="51" s="1"/>
  <c r="L35" i="51"/>
  <c r="M35" i="51" s="1"/>
  <c r="K35" i="51"/>
  <c r="E35" i="51"/>
  <c r="F35" i="51" s="1" a="1"/>
  <c r="F35" i="51" s="1"/>
  <c r="L34" i="51"/>
  <c r="M34" i="51" s="1"/>
  <c r="K34" i="51"/>
  <c r="E34" i="51"/>
  <c r="H34" i="51" s="1" a="1"/>
  <c r="H34" i="51" s="1"/>
  <c r="L33" i="51"/>
  <c r="M33" i="51" s="1"/>
  <c r="K33" i="51"/>
  <c r="E33" i="51"/>
  <c r="G33" i="51" s="1" a="1"/>
  <c r="G33" i="51" s="1"/>
  <c r="L32" i="51"/>
  <c r="M32" i="51" s="1"/>
  <c r="K32" i="51"/>
  <c r="E32" i="51"/>
  <c r="H32" i="51" s="1" a="1"/>
  <c r="H32" i="51" s="1"/>
  <c r="L31" i="51"/>
  <c r="M31" i="51" s="1"/>
  <c r="K31" i="51"/>
  <c r="E31" i="51"/>
  <c r="H31" i="51" s="1" a="1"/>
  <c r="H31" i="51" s="1"/>
  <c r="L30" i="51"/>
  <c r="M30" i="51" s="1"/>
  <c r="K30" i="51"/>
  <c r="E30" i="51"/>
  <c r="G30" i="51" s="1" a="1"/>
  <c r="G30" i="51" s="1"/>
  <c r="L29" i="51"/>
  <c r="M29" i="51" s="1"/>
  <c r="K29" i="51"/>
  <c r="E29" i="51"/>
  <c r="F29" i="51" s="1" a="1"/>
  <c r="F29" i="51" s="1"/>
  <c r="L28" i="51"/>
  <c r="M28" i="51" s="1"/>
  <c r="K28" i="51"/>
  <c r="E28" i="51"/>
  <c r="H28" i="51" s="1" a="1"/>
  <c r="H28" i="51" s="1"/>
  <c r="L27" i="51"/>
  <c r="M27" i="51" s="1"/>
  <c r="K27" i="51"/>
  <c r="E27" i="51"/>
  <c r="G27" i="51" s="1" a="1"/>
  <c r="G27" i="51" s="1"/>
  <c r="L26" i="51"/>
  <c r="M26" i="51" s="1"/>
  <c r="K26" i="51"/>
  <c r="E26" i="51"/>
  <c r="H26" i="51" s="1" a="1"/>
  <c r="H26" i="51" s="1"/>
  <c r="L25" i="51"/>
  <c r="M25" i="51" s="1"/>
  <c r="K25" i="51"/>
  <c r="E25" i="51"/>
  <c r="H25" i="51" s="1" a="1"/>
  <c r="H25" i="51" s="1"/>
  <c r="L24" i="51"/>
  <c r="M24" i="51" s="1"/>
  <c r="K24" i="51"/>
  <c r="E24" i="51"/>
  <c r="G24" i="51" s="1" a="1"/>
  <c r="G24" i="51" s="1"/>
  <c r="L23" i="51"/>
  <c r="M23" i="51" s="1"/>
  <c r="K23" i="51"/>
  <c r="E23" i="51"/>
  <c r="F23" i="51" s="1" a="1"/>
  <c r="F23" i="51" s="1"/>
  <c r="L22" i="51"/>
  <c r="M22" i="51" s="1"/>
  <c r="K22" i="51"/>
  <c r="E22" i="51"/>
  <c r="H22" i="51" s="1" a="1"/>
  <c r="H22" i="51" s="1"/>
  <c r="L21" i="51"/>
  <c r="M21" i="51" s="1"/>
  <c r="K21" i="51"/>
  <c r="E21" i="51"/>
  <c r="G21" i="51" s="1" a="1"/>
  <c r="G21" i="51" s="1"/>
  <c r="L20" i="51"/>
  <c r="M20" i="51" s="1"/>
  <c r="K20" i="51"/>
  <c r="E20" i="51"/>
  <c r="H20" i="51" s="1" a="1"/>
  <c r="H20" i="51" s="1"/>
  <c r="L19" i="51"/>
  <c r="M19" i="51" s="1"/>
  <c r="K19" i="51"/>
  <c r="E19" i="51"/>
  <c r="H19" i="51" s="1" a="1"/>
  <c r="H19" i="51" s="1"/>
  <c r="L18" i="51"/>
  <c r="M18" i="51" s="1"/>
  <c r="K18" i="51"/>
  <c r="E18" i="51"/>
  <c r="G18" i="51" s="1" a="1"/>
  <c r="G18" i="51" s="1"/>
  <c r="L17" i="51"/>
  <c r="M17" i="51" s="1"/>
  <c r="K17" i="51"/>
  <c r="E17" i="51"/>
  <c r="F17" i="51" s="1" a="1"/>
  <c r="F17" i="51" s="1"/>
  <c r="L16" i="51"/>
  <c r="M16" i="51" s="1"/>
  <c r="K16" i="51"/>
  <c r="E16" i="51"/>
  <c r="H16" i="51" s="1" a="1"/>
  <c r="H16" i="51" s="1"/>
  <c r="L15" i="51"/>
  <c r="M15" i="51" s="1"/>
  <c r="K15" i="51"/>
  <c r="E15" i="51"/>
  <c r="G15" i="51" s="1" a="1"/>
  <c r="G15" i="51" s="1"/>
  <c r="L14" i="51"/>
  <c r="M14" i="51" s="1"/>
  <c r="K14" i="51"/>
  <c r="E14" i="51"/>
  <c r="H14" i="51" s="1" a="1"/>
  <c r="H14" i="51" s="1"/>
  <c r="L13" i="51"/>
  <c r="M13" i="51" s="1"/>
  <c r="K13" i="51"/>
  <c r="E13" i="51"/>
  <c r="H13" i="51" s="1" a="1"/>
  <c r="H13" i="51" s="1"/>
  <c r="L12" i="51"/>
  <c r="M12" i="51" s="1"/>
  <c r="K12" i="51"/>
  <c r="E12" i="51"/>
  <c r="G12" i="51" s="1" a="1"/>
  <c r="G12" i="51" s="1"/>
  <c r="L11" i="51"/>
  <c r="M11" i="51" s="1"/>
  <c r="K11" i="51"/>
  <c r="E11" i="51"/>
  <c r="F11" i="51" s="1" a="1"/>
  <c r="F11" i="51" s="1"/>
  <c r="L10" i="51"/>
  <c r="M10" i="51" s="1"/>
  <c r="K10" i="51"/>
  <c r="E10" i="51"/>
  <c r="H10" i="51" s="1" a="1"/>
  <c r="H10" i="51" s="1"/>
  <c r="L9" i="51"/>
  <c r="M9" i="51" s="1"/>
  <c r="K9" i="51"/>
  <c r="E9" i="51"/>
  <c r="G9" i="51" s="1" a="1"/>
  <c r="G9" i="51" s="1"/>
  <c r="L8" i="51"/>
  <c r="M8" i="51" s="1"/>
  <c r="K8" i="51"/>
  <c r="E8" i="51"/>
  <c r="H8" i="51" s="1" a="1"/>
  <c r="H8" i="51" s="1"/>
  <c r="R3" i="51"/>
  <c r="O3" i="51"/>
  <c r="L8" i="50"/>
  <c r="M8" i="50" s="1"/>
  <c r="K8" i="50"/>
  <c r="O3" i="50"/>
  <c r="K8" i="49"/>
  <c r="L8" i="49"/>
  <c r="M8" i="49" s="1"/>
  <c r="K9" i="49"/>
  <c r="L9" i="49"/>
  <c r="M9" i="49" s="1"/>
  <c r="K10" i="49"/>
  <c r="L10" i="49"/>
  <c r="M10" i="49" s="1"/>
  <c r="K11" i="49"/>
  <c r="L11" i="49"/>
  <c r="M11" i="49" s="1"/>
  <c r="K12" i="49"/>
  <c r="L12" i="49"/>
  <c r="M12" i="49" s="1"/>
  <c r="K13" i="49"/>
  <c r="L13" i="49"/>
  <c r="M13" i="49" s="1"/>
  <c r="K14" i="49"/>
  <c r="L14" i="49"/>
  <c r="M14" i="49" s="1"/>
  <c r="K15" i="49"/>
  <c r="L15" i="49"/>
  <c r="M15" i="49" s="1"/>
  <c r="K16" i="49"/>
  <c r="L16" i="49"/>
  <c r="M16" i="49" s="1"/>
  <c r="K17" i="49"/>
  <c r="L17" i="49"/>
  <c r="M17" i="49" s="1"/>
  <c r="K18" i="49"/>
  <c r="L18" i="49"/>
  <c r="M18" i="49" s="1"/>
  <c r="K19" i="49"/>
  <c r="L19" i="49"/>
  <c r="M19" i="49" s="1"/>
  <c r="K20" i="49"/>
  <c r="L20" i="49"/>
  <c r="M20" i="49" s="1"/>
  <c r="K21" i="49"/>
  <c r="L21" i="49"/>
  <c r="M21" i="49" s="1"/>
  <c r="K22" i="49"/>
  <c r="L22" i="49"/>
  <c r="M22" i="49" s="1"/>
  <c r="K23" i="49"/>
  <c r="L23" i="49"/>
  <c r="M23" i="49" s="1"/>
  <c r="K24" i="49"/>
  <c r="L24" i="49"/>
  <c r="M24" i="49" s="1"/>
  <c r="K25" i="49"/>
  <c r="L25" i="49"/>
  <c r="M25" i="49" s="1"/>
  <c r="K26" i="49"/>
  <c r="L26" i="49"/>
  <c r="M26" i="49" s="1"/>
  <c r="K27" i="49"/>
  <c r="L27" i="49"/>
  <c r="M27" i="49" s="1"/>
  <c r="K28" i="49"/>
  <c r="L28" i="49"/>
  <c r="M28" i="49" s="1"/>
  <c r="K29" i="49"/>
  <c r="L29" i="49"/>
  <c r="M29" i="49" s="1"/>
  <c r="K30" i="49"/>
  <c r="L30" i="49"/>
  <c r="M30" i="49" s="1"/>
  <c r="K31" i="49"/>
  <c r="L31" i="49"/>
  <c r="M31" i="49" s="1"/>
  <c r="K32" i="49"/>
  <c r="L32" i="49"/>
  <c r="M32" i="49" s="1"/>
  <c r="K33" i="49"/>
  <c r="L33" i="49"/>
  <c r="M33" i="49" s="1"/>
  <c r="K34" i="49"/>
  <c r="L34" i="49"/>
  <c r="M34" i="49" s="1"/>
  <c r="K35" i="49"/>
  <c r="L35" i="49"/>
  <c r="M35" i="49" s="1"/>
  <c r="K36" i="49"/>
  <c r="L36" i="49"/>
  <c r="M36" i="49" s="1"/>
  <c r="K37" i="49"/>
  <c r="L37" i="49"/>
  <c r="M37" i="49" s="1"/>
  <c r="K38" i="49"/>
  <c r="L38" i="49"/>
  <c r="M38" i="49" s="1"/>
  <c r="K39" i="49"/>
  <c r="L39" i="49"/>
  <c r="M39" i="49" s="1"/>
  <c r="K40" i="49"/>
  <c r="L40" i="49"/>
  <c r="M40" i="49" s="1"/>
  <c r="K41" i="49"/>
  <c r="L41" i="49"/>
  <c r="M41" i="49" s="1"/>
  <c r="K42" i="49"/>
  <c r="L42" i="49"/>
  <c r="M42" i="49" s="1"/>
  <c r="K43" i="49"/>
  <c r="L43" i="49"/>
  <c r="M43" i="49" s="1"/>
  <c r="K44" i="49"/>
  <c r="L44" i="49"/>
  <c r="M44" i="49" s="1"/>
  <c r="K45" i="49"/>
  <c r="L45" i="49"/>
  <c r="M45" i="49" s="1"/>
  <c r="K46" i="49"/>
  <c r="L46" i="49"/>
  <c r="M46" i="49" s="1"/>
  <c r="K47" i="49"/>
  <c r="L47" i="49"/>
  <c r="M47" i="49" s="1"/>
  <c r="K48" i="49"/>
  <c r="L48" i="49"/>
  <c r="M48" i="49" s="1"/>
  <c r="K49" i="49"/>
  <c r="L49" i="49"/>
  <c r="M49" i="49" s="1"/>
  <c r="K50" i="49"/>
  <c r="L50" i="49"/>
  <c r="M50" i="49" s="1"/>
  <c r="K51" i="49"/>
  <c r="L51" i="49"/>
  <c r="M51" i="49" s="1"/>
  <c r="K52" i="49"/>
  <c r="L52" i="49"/>
  <c r="M52" i="49" s="1"/>
  <c r="K53" i="49"/>
  <c r="L53" i="49"/>
  <c r="M53" i="49" s="1"/>
  <c r="K54" i="49"/>
  <c r="L54" i="49"/>
  <c r="M54" i="49" s="1"/>
  <c r="K55" i="49"/>
  <c r="L55" i="49"/>
  <c r="M55" i="49" s="1"/>
  <c r="K56" i="49"/>
  <c r="L56" i="49"/>
  <c r="M56" i="49" s="1"/>
  <c r="K57" i="49"/>
  <c r="L57" i="49"/>
  <c r="M57" i="49" s="1"/>
  <c r="O3" i="49"/>
  <c r="K9" i="50"/>
  <c r="L9" i="50"/>
  <c r="M9" i="50" s="1"/>
  <c r="K10" i="50"/>
  <c r="L10" i="50"/>
  <c r="M10" i="50" s="1"/>
  <c r="K11" i="50"/>
  <c r="L11" i="50"/>
  <c r="M11" i="50" s="1"/>
  <c r="K12" i="50"/>
  <c r="L12" i="50"/>
  <c r="M12" i="50" s="1"/>
  <c r="K13" i="50"/>
  <c r="L13" i="50"/>
  <c r="M13" i="50" s="1"/>
  <c r="K14" i="50"/>
  <c r="L14" i="50"/>
  <c r="M14" i="50" s="1"/>
  <c r="K15" i="50"/>
  <c r="L15" i="50"/>
  <c r="M15" i="50" s="1"/>
  <c r="K16" i="50"/>
  <c r="L16" i="50"/>
  <c r="M16" i="50" s="1"/>
  <c r="K17" i="50"/>
  <c r="L17" i="50"/>
  <c r="M17" i="50" s="1"/>
  <c r="K18" i="50"/>
  <c r="L18" i="50"/>
  <c r="M18" i="50" s="1"/>
  <c r="K19" i="50"/>
  <c r="L19" i="50"/>
  <c r="M19" i="50" s="1"/>
  <c r="K20" i="50"/>
  <c r="L20" i="50"/>
  <c r="M20" i="50" s="1"/>
  <c r="K21" i="50"/>
  <c r="L21" i="50"/>
  <c r="M21" i="50" s="1"/>
  <c r="K22" i="50"/>
  <c r="L22" i="50"/>
  <c r="M22" i="50" s="1"/>
  <c r="K23" i="50"/>
  <c r="L23" i="50"/>
  <c r="M23" i="50" s="1"/>
  <c r="K24" i="50"/>
  <c r="L24" i="50"/>
  <c r="M24" i="50" s="1"/>
  <c r="K25" i="50"/>
  <c r="L25" i="50"/>
  <c r="M25" i="50" s="1"/>
  <c r="K26" i="50"/>
  <c r="L26" i="50"/>
  <c r="M26" i="50" s="1"/>
  <c r="K27" i="50"/>
  <c r="L27" i="50"/>
  <c r="M27" i="50" s="1"/>
  <c r="K28" i="50"/>
  <c r="L28" i="50"/>
  <c r="M28" i="50" s="1"/>
  <c r="K29" i="50"/>
  <c r="L29" i="50"/>
  <c r="M29" i="50" s="1"/>
  <c r="K30" i="50"/>
  <c r="L30" i="50"/>
  <c r="M30" i="50" s="1"/>
  <c r="K31" i="50"/>
  <c r="L31" i="50"/>
  <c r="M31" i="50" s="1"/>
  <c r="K32" i="50"/>
  <c r="L32" i="50"/>
  <c r="M32" i="50" s="1"/>
  <c r="K33" i="50"/>
  <c r="L33" i="50"/>
  <c r="M33" i="50" s="1"/>
  <c r="K34" i="50"/>
  <c r="L34" i="50"/>
  <c r="M34" i="50" s="1"/>
  <c r="K35" i="50"/>
  <c r="L35" i="50"/>
  <c r="M35" i="50" s="1"/>
  <c r="K36" i="50"/>
  <c r="L36" i="50"/>
  <c r="M36" i="50" s="1"/>
  <c r="K37" i="50"/>
  <c r="L37" i="50"/>
  <c r="M37" i="50" s="1"/>
  <c r="K38" i="50"/>
  <c r="L38" i="50"/>
  <c r="M38" i="50" s="1"/>
  <c r="K39" i="50"/>
  <c r="L39" i="50"/>
  <c r="M39" i="50" s="1"/>
  <c r="K40" i="50"/>
  <c r="L40" i="50"/>
  <c r="M40" i="50" s="1"/>
  <c r="K41" i="50"/>
  <c r="L41" i="50"/>
  <c r="M41" i="50" s="1"/>
  <c r="K42" i="50"/>
  <c r="L42" i="50"/>
  <c r="M42" i="50" s="1"/>
  <c r="K43" i="50"/>
  <c r="L43" i="50"/>
  <c r="M43" i="50" s="1"/>
  <c r="K44" i="50"/>
  <c r="L44" i="50"/>
  <c r="M44" i="50" s="1"/>
  <c r="K45" i="50"/>
  <c r="L45" i="50"/>
  <c r="M45" i="50" s="1"/>
  <c r="K46" i="50"/>
  <c r="L46" i="50"/>
  <c r="M46" i="50" s="1"/>
  <c r="K47" i="50"/>
  <c r="L47" i="50"/>
  <c r="M47" i="50" s="1"/>
  <c r="K48" i="50"/>
  <c r="L48" i="50"/>
  <c r="M48" i="50" s="1"/>
  <c r="K49" i="50"/>
  <c r="L49" i="50"/>
  <c r="M49" i="50" s="1"/>
  <c r="K50" i="50"/>
  <c r="L50" i="50"/>
  <c r="M50" i="50" s="1"/>
  <c r="K51" i="50"/>
  <c r="L51" i="50"/>
  <c r="M51" i="50" s="1"/>
  <c r="K52" i="50"/>
  <c r="L52" i="50"/>
  <c r="M52" i="50" s="1"/>
  <c r="K53" i="50"/>
  <c r="L53" i="50"/>
  <c r="M53" i="50" s="1"/>
  <c r="K54" i="50"/>
  <c r="L54" i="50"/>
  <c r="M54" i="50" s="1"/>
  <c r="K55" i="50"/>
  <c r="L55" i="50"/>
  <c r="M55" i="50" s="1"/>
  <c r="K56" i="50"/>
  <c r="L56" i="50"/>
  <c r="M56" i="50" s="1"/>
  <c r="K57" i="50"/>
  <c r="L57" i="50"/>
  <c r="M57" i="50" s="1"/>
  <c r="E9" i="49"/>
  <c r="F9" i="49" s="1" a="1"/>
  <c r="F9" i="49" s="1"/>
  <c r="E10" i="49"/>
  <c r="H10" i="49" s="1" a="1"/>
  <c r="H10" i="49" s="1"/>
  <c r="E11" i="49"/>
  <c r="F11" i="49" s="1" a="1"/>
  <c r="F11" i="49" s="1"/>
  <c r="E12" i="49"/>
  <c r="G12" i="49" s="1" a="1"/>
  <c r="G12" i="49" s="1"/>
  <c r="E13" i="49"/>
  <c r="F13" i="49" s="1" a="1"/>
  <c r="F13" i="49" s="1"/>
  <c r="E14" i="49"/>
  <c r="F14" i="49" s="1" a="1"/>
  <c r="F14" i="49" s="1"/>
  <c r="E15" i="49"/>
  <c r="F15" i="49" s="1" a="1"/>
  <c r="F15" i="49" s="1"/>
  <c r="E16" i="49"/>
  <c r="H16" i="49" s="1" a="1"/>
  <c r="H16" i="49" s="1"/>
  <c r="E17" i="49"/>
  <c r="H17" i="49" s="1" a="1"/>
  <c r="H17" i="49" s="1"/>
  <c r="E18" i="49"/>
  <c r="G18" i="49" s="1" a="1"/>
  <c r="G18" i="49" s="1"/>
  <c r="E19" i="49"/>
  <c r="G19" i="49" s="1" a="1"/>
  <c r="G19" i="49" s="1"/>
  <c r="E20" i="49"/>
  <c r="F20" i="49" s="1" a="1"/>
  <c r="F20" i="49" s="1"/>
  <c r="E21" i="49"/>
  <c r="F21" i="49" s="1" a="1"/>
  <c r="F21" i="49" s="1"/>
  <c r="E22" i="49"/>
  <c r="H22" i="49" s="1" a="1"/>
  <c r="H22" i="49" s="1"/>
  <c r="E23" i="49"/>
  <c r="F23" i="49" s="1" a="1"/>
  <c r="F23" i="49" s="1"/>
  <c r="E24" i="49"/>
  <c r="G24" i="49" s="1" a="1"/>
  <c r="G24" i="49" s="1"/>
  <c r="E25" i="49"/>
  <c r="F25" i="49" s="1" a="1"/>
  <c r="F25" i="49" s="1"/>
  <c r="E26" i="49"/>
  <c r="F26" i="49" s="1" a="1"/>
  <c r="F26" i="49" s="1"/>
  <c r="E27" i="49"/>
  <c r="F27" i="49" s="1" a="1"/>
  <c r="F27" i="49" s="1"/>
  <c r="E28" i="49"/>
  <c r="G28" i="49" s="1" a="1"/>
  <c r="G28" i="49" s="1"/>
  <c r="E29" i="49"/>
  <c r="H29" i="49" s="1" a="1"/>
  <c r="H29" i="49" s="1"/>
  <c r="E30" i="49"/>
  <c r="G30" i="49" s="1" a="1"/>
  <c r="G30" i="49" s="1"/>
  <c r="E31" i="49"/>
  <c r="G31" i="49" s="1" a="1"/>
  <c r="G31" i="49" s="1"/>
  <c r="E32" i="49"/>
  <c r="F32" i="49" s="1" a="1"/>
  <c r="F32" i="49" s="1"/>
  <c r="E33" i="49"/>
  <c r="H33" i="49" s="1" a="1"/>
  <c r="H33" i="49" s="1"/>
  <c r="E34" i="49"/>
  <c r="H34" i="49" s="1" a="1"/>
  <c r="H34" i="49" s="1"/>
  <c r="E35" i="49"/>
  <c r="F35" i="49" s="1" a="1"/>
  <c r="F35" i="49" s="1"/>
  <c r="E36" i="49"/>
  <c r="G36" i="49" s="1" a="1"/>
  <c r="G36" i="49" s="1"/>
  <c r="E37" i="49"/>
  <c r="F37" i="49" s="1" a="1"/>
  <c r="F37" i="49" s="1"/>
  <c r="E38" i="49"/>
  <c r="F38" i="49" s="1" a="1"/>
  <c r="F38" i="49" s="1"/>
  <c r="E39" i="49"/>
  <c r="G39" i="49" s="1" a="1"/>
  <c r="G39" i="49" s="1"/>
  <c r="E40" i="49"/>
  <c r="F40" i="49" s="1" a="1"/>
  <c r="F40" i="49" s="1"/>
  <c r="E41" i="49"/>
  <c r="H41" i="49" s="1" a="1"/>
  <c r="H41" i="49" s="1"/>
  <c r="E42" i="49"/>
  <c r="G42" i="49" s="1" a="1"/>
  <c r="G42" i="49" s="1"/>
  <c r="E43" i="49"/>
  <c r="G43" i="49" s="1" a="1"/>
  <c r="G43" i="49" s="1"/>
  <c r="E44" i="49"/>
  <c r="F44" i="49" s="1" a="1"/>
  <c r="F44" i="49" s="1"/>
  <c r="E45" i="49"/>
  <c r="G45" i="49" s="1" a="1"/>
  <c r="G45" i="49" s="1"/>
  <c r="E46" i="49"/>
  <c r="H46" i="49" s="1" a="1"/>
  <c r="H46" i="49" s="1"/>
  <c r="E47" i="49"/>
  <c r="F47" i="49" s="1" a="1"/>
  <c r="F47" i="49" s="1"/>
  <c r="E48" i="49"/>
  <c r="G48" i="49" s="1" a="1"/>
  <c r="G48" i="49" s="1"/>
  <c r="E49" i="49"/>
  <c r="F49" i="49" s="1" a="1"/>
  <c r="F49" i="49" s="1"/>
  <c r="E50" i="49"/>
  <c r="F50" i="49" s="1" a="1"/>
  <c r="F50" i="49" s="1"/>
  <c r="E51" i="49"/>
  <c r="H51" i="49" s="1" a="1"/>
  <c r="H51" i="49" s="1"/>
  <c r="E52" i="49"/>
  <c r="H52" i="49" s="1" a="1"/>
  <c r="H52" i="49" s="1"/>
  <c r="E8" i="49"/>
  <c r="H8" i="49" s="1" a="1"/>
  <c r="H8" i="49" s="1"/>
  <c r="R3" i="50"/>
  <c r="E9" i="50"/>
  <c r="F9" i="50" s="1" a="1"/>
  <c r="F9" i="50" s="1"/>
  <c r="E10" i="50"/>
  <c r="F10" i="50" s="1" a="1"/>
  <c r="F10" i="50" s="1"/>
  <c r="E11" i="50"/>
  <c r="G11" i="50" s="1" a="1"/>
  <c r="G11" i="50" s="1"/>
  <c r="E12" i="50"/>
  <c r="G12" i="50" s="1" a="1"/>
  <c r="G12" i="50" s="1"/>
  <c r="E13" i="50"/>
  <c r="F13" i="50" s="1" a="1"/>
  <c r="F13" i="50" s="1"/>
  <c r="E14" i="50"/>
  <c r="F14" i="50" s="1" a="1"/>
  <c r="F14" i="50" s="1"/>
  <c r="E15" i="50"/>
  <c r="F15" i="50" s="1" a="1"/>
  <c r="F15" i="50" s="1"/>
  <c r="E16" i="50"/>
  <c r="H16" i="50" s="1" a="1"/>
  <c r="H16" i="50" s="1"/>
  <c r="E17" i="50"/>
  <c r="G17" i="50" s="1" a="1"/>
  <c r="G17" i="50" s="1"/>
  <c r="E18" i="50"/>
  <c r="F18" i="50" s="1" a="1"/>
  <c r="F18" i="50" s="1"/>
  <c r="E19" i="50"/>
  <c r="G19" i="50" s="1" a="1"/>
  <c r="G19" i="50" s="1"/>
  <c r="E20" i="50"/>
  <c r="F20" i="50" s="1" a="1"/>
  <c r="F20" i="50" s="1"/>
  <c r="E21" i="50"/>
  <c r="F21" i="50" s="1" a="1"/>
  <c r="F21" i="50" s="1"/>
  <c r="E22" i="50"/>
  <c r="F22" i="50" s="1" a="1"/>
  <c r="F22" i="50" s="1"/>
  <c r="E23" i="50"/>
  <c r="F23" i="50" s="1" a="1"/>
  <c r="F23" i="50" s="1"/>
  <c r="E24" i="50"/>
  <c r="G24" i="50" s="1" a="1"/>
  <c r="G24" i="50" s="1"/>
  <c r="E25" i="50"/>
  <c r="G25" i="50" s="1" a="1"/>
  <c r="G25" i="50" s="1"/>
  <c r="E26" i="50"/>
  <c r="G26" i="50" s="1" a="1"/>
  <c r="G26" i="50" s="1"/>
  <c r="E27" i="50"/>
  <c r="F27" i="50" s="1" a="1"/>
  <c r="F27" i="50" s="1"/>
  <c r="E28" i="50"/>
  <c r="G28" i="50" s="1" a="1"/>
  <c r="G28" i="50" s="1"/>
  <c r="E29" i="50"/>
  <c r="G29" i="50" s="1" a="1"/>
  <c r="G29" i="50" s="1"/>
  <c r="E30" i="50"/>
  <c r="F30" i="50" s="1" a="1"/>
  <c r="F30" i="50" s="1"/>
  <c r="E31" i="50"/>
  <c r="F31" i="50" s="1" a="1"/>
  <c r="F31" i="50" s="1"/>
  <c r="E32" i="50"/>
  <c r="F32" i="50" s="1" a="1"/>
  <c r="F32" i="50" s="1"/>
  <c r="E33" i="50"/>
  <c r="F33" i="50" s="1" a="1"/>
  <c r="F33" i="50" s="1"/>
  <c r="E34" i="50"/>
  <c r="F34" i="50" s="1" a="1"/>
  <c r="F34" i="50" s="1"/>
  <c r="E35" i="50"/>
  <c r="F35" i="50" s="1" a="1"/>
  <c r="F35" i="50" s="1"/>
  <c r="E36" i="50"/>
  <c r="G36" i="50" s="1" a="1"/>
  <c r="G36" i="50" s="1"/>
  <c r="E37" i="50"/>
  <c r="G37" i="50" s="1" a="1"/>
  <c r="G37" i="50" s="1"/>
  <c r="E38" i="50"/>
  <c r="H38" i="50" s="1" a="1"/>
  <c r="H38" i="50" s="1"/>
  <c r="E39" i="50"/>
  <c r="F39" i="50" s="1" a="1"/>
  <c r="F39" i="50" s="1"/>
  <c r="E40" i="50"/>
  <c r="H40" i="50" s="1" a="1"/>
  <c r="H40" i="50" s="1"/>
  <c r="E41" i="50"/>
  <c r="F41" i="50" s="1" a="1"/>
  <c r="F41" i="50" s="1"/>
  <c r="E42" i="50"/>
  <c r="F42" i="50" s="1" a="1"/>
  <c r="F42" i="50" s="1"/>
  <c r="E43" i="50"/>
  <c r="F43" i="50" s="1" a="1"/>
  <c r="F43" i="50" s="1"/>
  <c r="E44" i="50"/>
  <c r="F44" i="50" s="1" a="1"/>
  <c r="F44" i="50" s="1"/>
  <c r="E45" i="50"/>
  <c r="F45" i="50" s="1" a="1"/>
  <c r="F45" i="50" s="1"/>
  <c r="E46" i="50"/>
  <c r="F46" i="50" s="1" a="1"/>
  <c r="F46" i="50" s="1"/>
  <c r="E47" i="50"/>
  <c r="F47" i="50" s="1" a="1"/>
  <c r="F47" i="50" s="1"/>
  <c r="E48" i="50"/>
  <c r="G48" i="50" s="1" a="1"/>
  <c r="G48" i="50" s="1"/>
  <c r="E49" i="50"/>
  <c r="G49" i="50" s="1" a="1"/>
  <c r="G49" i="50" s="1"/>
  <c r="E50" i="50"/>
  <c r="G50" i="50" s="1" a="1"/>
  <c r="G50" i="50" s="1"/>
  <c r="E51" i="50"/>
  <c r="G51" i="50" s="1" a="1"/>
  <c r="G51" i="50" s="1"/>
  <c r="E52" i="50"/>
  <c r="H52" i="50" s="1" a="1"/>
  <c r="H52" i="50" s="1"/>
  <c r="E53" i="50"/>
  <c r="F53" i="50" s="1" a="1"/>
  <c r="F53" i="50" s="1"/>
  <c r="E54" i="50"/>
  <c r="F54" i="50" s="1" a="1"/>
  <c r="F54" i="50" s="1"/>
  <c r="E55" i="50"/>
  <c r="H55" i="50" s="1" a="1"/>
  <c r="H55" i="50" s="1"/>
  <c r="E56" i="50"/>
  <c r="F56" i="50" s="1" a="1"/>
  <c r="F56" i="50" s="1"/>
  <c r="E57" i="50"/>
  <c r="F57" i="50" s="1" a="1"/>
  <c r="F57" i="50" s="1"/>
  <c r="E8" i="50"/>
  <c r="H8" i="50" s="1" a="1"/>
  <c r="H8" i="50" s="1"/>
  <c r="E52" i="48"/>
  <c r="G52" i="48" s="1" a="1"/>
  <c r="G52" i="48" s="1"/>
  <c r="E51" i="48"/>
  <c r="F51" i="48" s="1" a="1"/>
  <c r="F51" i="48" s="1"/>
  <c r="E50" i="48"/>
  <c r="H50" i="48" s="1" a="1"/>
  <c r="H50" i="48" s="1"/>
  <c r="E49" i="48"/>
  <c r="H49" i="48" s="1" a="1"/>
  <c r="H49" i="48" s="1"/>
  <c r="E48" i="48"/>
  <c r="H48" i="48" s="1" a="1"/>
  <c r="H48" i="48" s="1"/>
  <c r="E47" i="48"/>
  <c r="H47" i="48" s="1" a="1"/>
  <c r="H47" i="48" s="1"/>
  <c r="E46" i="48"/>
  <c r="G46" i="48" s="1" a="1"/>
  <c r="G46" i="48" s="1"/>
  <c r="E45" i="48"/>
  <c r="F45" i="48" s="1" a="1"/>
  <c r="F45" i="48" s="1"/>
  <c r="E44" i="48"/>
  <c r="H44" i="48" s="1" a="1"/>
  <c r="H44" i="48" s="1"/>
  <c r="E43" i="48"/>
  <c r="H43" i="48" s="1" a="1"/>
  <c r="H43" i="48" s="1"/>
  <c r="E42" i="48"/>
  <c r="H42" i="48" s="1" a="1"/>
  <c r="H42" i="48" s="1"/>
  <c r="E41" i="48"/>
  <c r="H41" i="48" s="1" a="1"/>
  <c r="H41" i="48" s="1"/>
  <c r="E40" i="48"/>
  <c r="G40" i="48" s="1" a="1"/>
  <c r="G40" i="48" s="1"/>
  <c r="E39" i="48"/>
  <c r="F39" i="48" s="1" a="1"/>
  <c r="F39" i="48" s="1"/>
  <c r="E38" i="48"/>
  <c r="H38" i="48" s="1" a="1"/>
  <c r="H38" i="48" s="1"/>
  <c r="E37" i="48"/>
  <c r="H37" i="48" s="1" a="1"/>
  <c r="H37" i="48" s="1"/>
  <c r="E36" i="48"/>
  <c r="H36" i="48" s="1" a="1"/>
  <c r="H36" i="48" s="1"/>
  <c r="E35" i="48"/>
  <c r="H35" i="48" s="1" a="1"/>
  <c r="H35" i="48" s="1"/>
  <c r="E34" i="48"/>
  <c r="G34" i="48" s="1" a="1"/>
  <c r="G34" i="48" s="1"/>
  <c r="E33" i="48"/>
  <c r="F33" i="48" s="1" a="1"/>
  <c r="F33" i="48" s="1"/>
  <c r="E32" i="48"/>
  <c r="H32" i="48" s="1" a="1"/>
  <c r="H32" i="48" s="1"/>
  <c r="E31" i="48"/>
  <c r="H31" i="48" s="1" a="1"/>
  <c r="H31" i="48" s="1"/>
  <c r="E30" i="48"/>
  <c r="H30" i="48" s="1" a="1"/>
  <c r="H30" i="48" s="1"/>
  <c r="E29" i="48"/>
  <c r="H29" i="48" s="1" a="1"/>
  <c r="H29" i="48" s="1"/>
  <c r="E28" i="48"/>
  <c r="G28" i="48" s="1" a="1"/>
  <c r="G28" i="48" s="1"/>
  <c r="E27" i="48"/>
  <c r="F27" i="48" s="1" a="1"/>
  <c r="F27" i="48" s="1"/>
  <c r="E26" i="48"/>
  <c r="H26" i="48" s="1" a="1"/>
  <c r="H26" i="48" s="1"/>
  <c r="E25" i="48"/>
  <c r="H25" i="48" s="1" a="1"/>
  <c r="H25" i="48" s="1"/>
  <c r="E24" i="48"/>
  <c r="H24" i="48" s="1" a="1"/>
  <c r="H24" i="48" s="1"/>
  <c r="E23" i="48"/>
  <c r="H23" i="48" s="1" a="1"/>
  <c r="H23" i="48" s="1"/>
  <c r="E22" i="48"/>
  <c r="G22" i="48" s="1" a="1"/>
  <c r="G22" i="48" s="1"/>
  <c r="E21" i="48"/>
  <c r="F21" i="48" s="1" a="1"/>
  <c r="F21" i="48" s="1"/>
  <c r="E20" i="48"/>
  <c r="H20" i="48" s="1" a="1"/>
  <c r="H20" i="48" s="1"/>
  <c r="E19" i="48"/>
  <c r="H19" i="48" s="1" a="1"/>
  <c r="H19" i="48" s="1"/>
  <c r="E18" i="48"/>
  <c r="H18" i="48" s="1" a="1"/>
  <c r="H18" i="48" s="1"/>
  <c r="E17" i="48"/>
  <c r="H17" i="48" s="1" a="1"/>
  <c r="H17" i="48" s="1"/>
  <c r="E16" i="48"/>
  <c r="G16" i="48" s="1" a="1"/>
  <c r="G16" i="48" s="1"/>
  <c r="E15" i="48"/>
  <c r="F15" i="48" s="1" a="1"/>
  <c r="F15" i="48" s="1"/>
  <c r="E14" i="48"/>
  <c r="H14" i="48" s="1" a="1"/>
  <c r="H14" i="48" s="1"/>
  <c r="E13" i="48"/>
  <c r="H13" i="48" s="1" a="1"/>
  <c r="H13" i="48" s="1"/>
  <c r="E12" i="48"/>
  <c r="H12" i="48" s="1" a="1"/>
  <c r="H12" i="48" s="1"/>
  <c r="E11" i="48"/>
  <c r="H11" i="48" s="1" a="1"/>
  <c r="H11" i="48" s="1"/>
  <c r="E10" i="48"/>
  <c r="G10" i="48" s="1" a="1"/>
  <c r="G10" i="48" s="1"/>
  <c r="E9" i="48"/>
  <c r="F9" i="48" s="1" a="1"/>
  <c r="F9" i="48" s="1"/>
  <c r="E8" i="48"/>
  <c r="H8" i="48" s="1" a="1"/>
  <c r="H8" i="48" s="1"/>
  <c r="R6" i="5"/>
  <c r="S6" i="5"/>
  <c r="R7" i="5"/>
  <c r="S7" i="5"/>
  <c r="R8" i="5"/>
  <c r="S8" i="5"/>
  <c r="R9" i="5"/>
  <c r="S9" i="5"/>
  <c r="R10" i="5"/>
  <c r="S10" i="5"/>
  <c r="R11" i="5"/>
  <c r="S11" i="5"/>
  <c r="R12" i="5"/>
  <c r="S12" i="5"/>
  <c r="R13" i="5"/>
  <c r="S13" i="5"/>
  <c r="R14" i="5"/>
  <c r="S14" i="5"/>
  <c r="R15" i="5"/>
  <c r="S15" i="5"/>
  <c r="R16" i="5"/>
  <c r="S16" i="5"/>
  <c r="R17" i="5"/>
  <c r="S17" i="5"/>
  <c r="R18" i="5"/>
  <c r="S18" i="5"/>
  <c r="R19" i="5"/>
  <c r="S19" i="5"/>
  <c r="R20" i="5"/>
  <c r="S20" i="5"/>
  <c r="R21" i="5"/>
  <c r="S21" i="5"/>
  <c r="R22" i="5"/>
  <c r="S22" i="5"/>
  <c r="R23" i="5"/>
  <c r="S23" i="5"/>
  <c r="R24" i="5"/>
  <c r="S24" i="5"/>
  <c r="R25" i="5"/>
  <c r="S25" i="5"/>
  <c r="R26" i="5"/>
  <c r="S26" i="5"/>
  <c r="R27" i="5"/>
  <c r="S27" i="5"/>
  <c r="R28" i="5"/>
  <c r="S28" i="5"/>
  <c r="R29" i="5"/>
  <c r="S29" i="5"/>
  <c r="R30" i="5"/>
  <c r="S30" i="5"/>
  <c r="R31" i="5"/>
  <c r="S31" i="5"/>
  <c r="R32" i="5"/>
  <c r="S32" i="5"/>
  <c r="R33" i="5"/>
  <c r="S33" i="5"/>
  <c r="R34" i="5"/>
  <c r="S34" i="5"/>
  <c r="R35" i="5"/>
  <c r="S35" i="5"/>
  <c r="R36" i="5"/>
  <c r="S36" i="5"/>
  <c r="R37" i="5"/>
  <c r="S37" i="5"/>
  <c r="R38" i="5"/>
  <c r="S38" i="5"/>
  <c r="R39" i="5"/>
  <c r="S39" i="5"/>
  <c r="R40" i="5"/>
  <c r="S40" i="5"/>
  <c r="R41" i="5"/>
  <c r="S41" i="5"/>
  <c r="R42" i="5"/>
  <c r="S42" i="5"/>
  <c r="R43" i="5"/>
  <c r="S43" i="5"/>
  <c r="R44" i="5"/>
  <c r="S44" i="5"/>
  <c r="R45" i="5"/>
  <c r="S45" i="5"/>
  <c r="R46" i="5"/>
  <c r="S46" i="5"/>
  <c r="R47" i="5"/>
  <c r="S47" i="5"/>
  <c r="R48" i="5"/>
  <c r="S48" i="5"/>
  <c r="R49" i="5"/>
  <c r="S49" i="5"/>
  <c r="R50" i="5"/>
  <c r="S50" i="5"/>
  <c r="R51" i="5"/>
  <c r="S51" i="5"/>
  <c r="R52" i="5"/>
  <c r="S52" i="5"/>
  <c r="R53" i="5"/>
  <c r="S53" i="5"/>
  <c r="R54" i="5"/>
  <c r="S54" i="5"/>
  <c r="R55" i="5"/>
  <c r="S55" i="5"/>
  <c r="R56" i="5"/>
  <c r="S56" i="5"/>
  <c r="R57" i="5"/>
  <c r="S57" i="5"/>
  <c r="R58" i="5"/>
  <c r="S58" i="5"/>
  <c r="R59" i="5"/>
  <c r="S59" i="5"/>
  <c r="R60" i="5"/>
  <c r="S60" i="5"/>
  <c r="R61" i="5"/>
  <c r="S61" i="5"/>
  <c r="R62" i="5"/>
  <c r="S62" i="5"/>
  <c r="R63" i="5"/>
  <c r="S63" i="5"/>
  <c r="R64" i="5"/>
  <c r="S64" i="5"/>
  <c r="R65" i="5"/>
  <c r="S65" i="5"/>
  <c r="R66" i="5"/>
  <c r="S66" i="5"/>
  <c r="R67" i="5"/>
  <c r="S67" i="5"/>
  <c r="R68" i="5"/>
  <c r="S68" i="5"/>
  <c r="R69" i="5"/>
  <c r="S69" i="5"/>
  <c r="R70" i="5"/>
  <c r="S70" i="5"/>
  <c r="R71" i="5"/>
  <c r="S71" i="5"/>
  <c r="R72" i="5"/>
  <c r="S72" i="5"/>
  <c r="R73" i="5"/>
  <c r="S73" i="5"/>
  <c r="R74" i="5"/>
  <c r="S74" i="5"/>
  <c r="R75" i="5"/>
  <c r="S75" i="5"/>
  <c r="R76" i="5"/>
  <c r="S76" i="5"/>
  <c r="R77" i="5"/>
  <c r="S77" i="5"/>
  <c r="R78" i="5"/>
  <c r="S78" i="5"/>
  <c r="R79" i="5"/>
  <c r="S79" i="5"/>
  <c r="R80" i="5"/>
  <c r="S80" i="5"/>
  <c r="R81" i="5"/>
  <c r="S81" i="5"/>
  <c r="R82" i="5"/>
  <c r="S82" i="5"/>
  <c r="R83" i="5"/>
  <c r="S83" i="5"/>
  <c r="R84" i="5"/>
  <c r="S84" i="5"/>
  <c r="R85" i="5"/>
  <c r="S85" i="5"/>
  <c r="R86" i="5"/>
  <c r="S86" i="5"/>
  <c r="R87" i="5"/>
  <c r="S87" i="5"/>
  <c r="R88" i="5"/>
  <c r="S88" i="5"/>
  <c r="R89" i="5"/>
  <c r="S89" i="5"/>
  <c r="R90" i="5"/>
  <c r="S90" i="5"/>
  <c r="R91" i="5"/>
  <c r="S91" i="5"/>
  <c r="R92" i="5"/>
  <c r="S92" i="5"/>
  <c r="R93" i="5"/>
  <c r="S93" i="5"/>
  <c r="R94" i="5"/>
  <c r="S94" i="5"/>
  <c r="R95" i="5"/>
  <c r="S95" i="5"/>
  <c r="R96" i="5"/>
  <c r="S96" i="5"/>
  <c r="R97" i="5"/>
  <c r="S97" i="5"/>
  <c r="R98" i="5"/>
  <c r="S98" i="5"/>
  <c r="R99" i="5"/>
  <c r="S99" i="5"/>
  <c r="R100" i="5"/>
  <c r="S100" i="5"/>
  <c r="R101" i="5"/>
  <c r="S101" i="5"/>
  <c r="R102" i="5"/>
  <c r="S102" i="5"/>
  <c r="R103" i="5"/>
  <c r="S103" i="5"/>
  <c r="S5" i="5"/>
  <c r="R5" i="5"/>
  <c r="AC56" i="4"/>
  <c r="W6" i="4"/>
  <c r="Y6" i="4" s="1" a="1"/>
  <c r="Y6" i="4" s="1"/>
  <c r="W7" i="4"/>
  <c r="Y7" i="4" s="1" a="1"/>
  <c r="Y7" i="4" s="1"/>
  <c r="W8" i="4"/>
  <c r="Z8" i="4" s="1" a="1"/>
  <c r="Z8" i="4" s="1"/>
  <c r="W9" i="4"/>
  <c r="Y9" i="4" s="1" a="1"/>
  <c r="Y9" i="4" s="1"/>
  <c r="W10" i="4"/>
  <c r="Y10" i="4" s="1" a="1"/>
  <c r="Y10" i="4" s="1"/>
  <c r="W11" i="4"/>
  <c r="Y11" i="4" s="1" a="1"/>
  <c r="Y11" i="4" s="1"/>
  <c r="W12" i="4"/>
  <c r="Y12" i="4" s="1" a="1"/>
  <c r="Y12" i="4" s="1"/>
  <c r="W13" i="4"/>
  <c r="Y13" i="4" s="1" a="1"/>
  <c r="Y13" i="4" s="1"/>
  <c r="W14" i="4"/>
  <c r="X14" i="4" s="1" a="1"/>
  <c r="X14" i="4" s="1"/>
  <c r="W15" i="4"/>
  <c r="X15" i="4" s="1" a="1"/>
  <c r="X15" i="4" s="1"/>
  <c r="W16" i="4"/>
  <c r="Y16" i="4" s="1" a="1"/>
  <c r="Y16" i="4" s="1"/>
  <c r="W17" i="4"/>
  <c r="Y17" i="4" s="1" a="1"/>
  <c r="Y17" i="4" s="1"/>
  <c r="W18" i="4"/>
  <c r="Z18" i="4" s="1" a="1"/>
  <c r="Z18" i="4" s="1"/>
  <c r="W19" i="4"/>
  <c r="Y19" i="4" s="1" a="1"/>
  <c r="Y19" i="4" s="1"/>
  <c r="W20" i="4"/>
  <c r="Y20" i="4" s="1" a="1"/>
  <c r="Y20" i="4" s="1"/>
  <c r="W21" i="4"/>
  <c r="Y21" i="4" s="1" a="1"/>
  <c r="Y21" i="4" s="1"/>
  <c r="W22" i="4"/>
  <c r="Y22" i="4" s="1" a="1"/>
  <c r="Y22" i="4" s="1"/>
  <c r="W23" i="4"/>
  <c r="Y23" i="4" s="1" a="1"/>
  <c r="Y23" i="4" s="1"/>
  <c r="W24" i="4"/>
  <c r="X24" i="4" s="1" a="1"/>
  <c r="X24" i="4" s="1"/>
  <c r="W25" i="4"/>
  <c r="Y25" i="4" s="1" a="1"/>
  <c r="Y25" i="4" s="1"/>
  <c r="W26" i="4"/>
  <c r="Z26" i="4" s="1" a="1"/>
  <c r="Z26" i="4" s="1"/>
  <c r="W27" i="4"/>
  <c r="Y27" i="4" s="1" a="1"/>
  <c r="Y27" i="4" s="1"/>
  <c r="W28" i="4"/>
  <c r="Y28" i="4" s="1" a="1"/>
  <c r="Y28" i="4" s="1"/>
  <c r="W29" i="4"/>
  <c r="Z29" i="4" s="1" a="1"/>
  <c r="Z29" i="4" s="1"/>
  <c r="W30" i="4"/>
  <c r="Y30" i="4" s="1" a="1"/>
  <c r="Y30" i="4" s="1"/>
  <c r="W31" i="4"/>
  <c r="Z31" i="4" s="1" a="1"/>
  <c r="Z31" i="4" s="1"/>
  <c r="W32" i="4"/>
  <c r="Y32" i="4" s="1" a="1"/>
  <c r="Y32" i="4" s="1"/>
  <c r="W33" i="4"/>
  <c r="Y33" i="4" s="1" a="1"/>
  <c r="Y33" i="4" s="1"/>
  <c r="W34" i="4"/>
  <c r="Y34" i="4" s="1" a="1"/>
  <c r="Y34" i="4" s="1"/>
  <c r="W35" i="4"/>
  <c r="X35" i="4" s="1" a="1"/>
  <c r="X35" i="4" s="1"/>
  <c r="W36" i="4"/>
  <c r="Z36" i="4" s="1" a="1"/>
  <c r="Z36" i="4" s="1"/>
  <c r="W37" i="4"/>
  <c r="Y37" i="4" s="1" a="1"/>
  <c r="Y37" i="4" s="1"/>
  <c r="W38" i="4"/>
  <c r="Y38" i="4" s="1" a="1"/>
  <c r="Y38" i="4" s="1"/>
  <c r="W39" i="4"/>
  <c r="Y39" i="4" s="1" a="1"/>
  <c r="Y39" i="4" s="1"/>
  <c r="W40" i="4"/>
  <c r="Y40" i="4" s="1" a="1"/>
  <c r="Y40" i="4" s="1"/>
  <c r="W41" i="4"/>
  <c r="Y41" i="4" s="1" a="1"/>
  <c r="Y41" i="4" s="1"/>
  <c r="W42" i="4"/>
  <c r="Y42" i="4" s="1" a="1"/>
  <c r="Y42" i="4" s="1"/>
  <c r="W43" i="4"/>
  <c r="Y43" i="4" s="1" a="1"/>
  <c r="Y43" i="4" s="1"/>
  <c r="W44" i="4"/>
  <c r="Z44" i="4" s="1" a="1"/>
  <c r="Z44" i="4" s="1"/>
  <c r="W45" i="4"/>
  <c r="X45" i="4" s="1" a="1"/>
  <c r="X45" i="4" s="1"/>
  <c r="W46" i="4"/>
  <c r="X46" i="4" s="1" a="1"/>
  <c r="X46" i="4" s="1"/>
  <c r="W47" i="4"/>
  <c r="Y47" i="4" s="1" a="1"/>
  <c r="Y47" i="4" s="1"/>
  <c r="W48" i="4"/>
  <c r="Y48" i="4" s="1" a="1"/>
  <c r="Y48" i="4" s="1"/>
  <c r="W49" i="4"/>
  <c r="Y49" i="4" s="1" a="1"/>
  <c r="Y49" i="4" s="1"/>
  <c r="W5" i="4"/>
  <c r="Z5" i="4" s="1" a="1"/>
  <c r="Z5" i="4" s="1"/>
  <c r="X7" i="15"/>
  <c r="Y7" i="15" s="1" a="1"/>
  <c r="Y7" i="15" s="1"/>
  <c r="X8" i="15"/>
  <c r="Y8" i="15" s="1" a="1"/>
  <c r="Y8" i="15" s="1"/>
  <c r="X9" i="15"/>
  <c r="Y9" i="15" s="1" a="1"/>
  <c r="Y9" i="15" s="1"/>
  <c r="X10" i="15"/>
  <c r="Y10" i="15" s="1" a="1"/>
  <c r="Y10" i="15" s="1"/>
  <c r="X11" i="15"/>
  <c r="Z11" i="15" s="1" a="1"/>
  <c r="Z11" i="15" s="1"/>
  <c r="X12" i="15"/>
  <c r="Z12" i="15" s="1" a="1"/>
  <c r="Z12" i="15" s="1"/>
  <c r="X13" i="15"/>
  <c r="Y13" i="15" s="1" a="1"/>
  <c r="Y13" i="15" s="1"/>
  <c r="X14" i="15"/>
  <c r="Z14" i="15" s="1" a="1"/>
  <c r="Z14" i="15" s="1"/>
  <c r="X15" i="15"/>
  <c r="Y15" i="15" s="1" a="1"/>
  <c r="Y15" i="15" s="1"/>
  <c r="X16" i="15"/>
  <c r="Y16" i="15" s="1" a="1"/>
  <c r="Y16" i="15" s="1"/>
  <c r="X17" i="15"/>
  <c r="Y17" i="15" s="1" a="1"/>
  <c r="Y17" i="15" s="1"/>
  <c r="X18" i="15"/>
  <c r="Y18" i="15" s="1" a="1"/>
  <c r="Y18" i="15" s="1"/>
  <c r="X19" i="15"/>
  <c r="Z19" i="15" s="1" a="1"/>
  <c r="Z19" i="15" s="1"/>
  <c r="X20" i="15"/>
  <c r="Z20" i="15" s="1" a="1"/>
  <c r="Z20" i="15" s="1"/>
  <c r="X21" i="15"/>
  <c r="Z21" i="15" s="1" a="1"/>
  <c r="Z21" i="15" s="1"/>
  <c r="X22" i="15"/>
  <c r="Z22" i="15" s="1" a="1"/>
  <c r="Z22" i="15" s="1"/>
  <c r="X23" i="15"/>
  <c r="Y23" i="15" s="1" a="1"/>
  <c r="Y23" i="15" s="1"/>
  <c r="X6" i="15"/>
  <c r="Z6" i="15" s="1" a="1"/>
  <c r="Z6" i="15" s="1"/>
  <c r="E8" i="24"/>
  <c r="F8" i="24" s="1" a="1"/>
  <c r="F8" i="24" s="1"/>
  <c r="E9" i="24"/>
  <c r="F9" i="24" s="1" a="1"/>
  <c r="F9" i="24" s="1"/>
  <c r="E10" i="24"/>
  <c r="F10" i="24" s="1" a="1"/>
  <c r="F10" i="24" s="1"/>
  <c r="E11" i="24"/>
  <c r="F11" i="24" s="1" a="1"/>
  <c r="F11" i="24" s="1"/>
  <c r="E12" i="24"/>
  <c r="F12" i="24" s="1" a="1"/>
  <c r="F12" i="24" s="1"/>
  <c r="E13" i="24"/>
  <c r="F13" i="24" s="1" a="1"/>
  <c r="F13" i="24" s="1"/>
  <c r="E14" i="24"/>
  <c r="F14" i="24" s="1" a="1"/>
  <c r="F14" i="24" s="1"/>
  <c r="E15" i="24"/>
  <c r="F15" i="24" s="1" a="1"/>
  <c r="F15" i="24" s="1"/>
  <c r="E16" i="24"/>
  <c r="F16" i="24" s="1" a="1"/>
  <c r="F16" i="24" s="1"/>
  <c r="E17" i="24"/>
  <c r="F17" i="24" s="1" a="1"/>
  <c r="F17" i="24" s="1"/>
  <c r="E18" i="24"/>
  <c r="F18" i="24" s="1" a="1"/>
  <c r="F18" i="24" s="1"/>
  <c r="E19" i="24"/>
  <c r="F19" i="24" s="1" a="1"/>
  <c r="F19" i="24" s="1"/>
  <c r="E20" i="24"/>
  <c r="F20" i="24" s="1" a="1"/>
  <c r="F20" i="24" s="1"/>
  <c r="E21" i="24"/>
  <c r="F21" i="24" s="1" a="1"/>
  <c r="F21" i="24" s="1"/>
  <c r="E22" i="24"/>
  <c r="F22" i="24" s="1" a="1"/>
  <c r="F22" i="24" s="1"/>
  <c r="E23" i="24"/>
  <c r="F23" i="24" s="1" a="1"/>
  <c r="F23" i="24" s="1"/>
  <c r="E24" i="24"/>
  <c r="F24" i="24" s="1" a="1"/>
  <c r="F24" i="24" s="1"/>
  <c r="B23" i="24" a="1"/>
  <c r="B23" i="24" s="1"/>
  <c r="B24" i="24" a="1"/>
  <c r="B24" i="24" s="1"/>
  <c r="B8" i="24" a="1"/>
  <c r="B8" i="24" s="1"/>
  <c r="B9" i="24" a="1"/>
  <c r="B9" i="24" s="1"/>
  <c r="B10" i="24" a="1"/>
  <c r="B10" i="24" s="1"/>
  <c r="B11" i="24" a="1"/>
  <c r="B11" i="24" s="1"/>
  <c r="B12" i="24" a="1"/>
  <c r="B12" i="24" s="1"/>
  <c r="B13" i="24" a="1"/>
  <c r="B13" i="24" s="1"/>
  <c r="B14" i="24" a="1"/>
  <c r="B14" i="24" s="1"/>
  <c r="B15" i="24" a="1"/>
  <c r="B15" i="24" s="1"/>
  <c r="B16" i="24" a="1"/>
  <c r="B16" i="24" s="1"/>
  <c r="B17" i="24" a="1"/>
  <c r="B17" i="24" s="1"/>
  <c r="B18" i="24" a="1"/>
  <c r="B18" i="24" s="1"/>
  <c r="B19" i="24" a="1"/>
  <c r="B19" i="24" s="1"/>
  <c r="B20" i="24" a="1"/>
  <c r="B20" i="24" s="1"/>
  <c r="B21" i="24" a="1"/>
  <c r="B21" i="24" s="1"/>
  <c r="B22" i="24" a="1"/>
  <c r="B22" i="24" s="1"/>
  <c r="S7" i="12" a="1"/>
  <c r="S7" i="12" s="1"/>
  <c r="S8" i="12" a="1"/>
  <c r="S8" i="12" s="1"/>
  <c r="S9" i="12" a="1"/>
  <c r="S9" i="12" s="1"/>
  <c r="C1" i="24" a="1"/>
  <c r="C1" i="24" s="1"/>
  <c r="D1" i="24" a="1"/>
  <c r="D1" i="24" s="1"/>
  <c r="E1" i="24" a="1"/>
  <c r="E1" i="24" s="1"/>
  <c r="F1" i="24" a="1"/>
  <c r="F1" i="24" s="1"/>
  <c r="B1" i="24" a="1"/>
  <c r="B1" i="24" s="1"/>
  <c r="B7" i="24" a="1"/>
  <c r="B7" i="24" s="1"/>
  <c r="E7" i="24"/>
  <c r="T9" i="12" a="1"/>
  <c r="T9" i="12" s="1"/>
  <c r="U9" i="12"/>
  <c r="T7" i="12" a="1"/>
  <c r="T7" i="12" s="1"/>
  <c r="U7" i="12"/>
  <c r="T8" i="12" a="1"/>
  <c r="T8" i="12" s="1"/>
  <c r="U8" i="12"/>
  <c r="I1" i="12" a="1"/>
  <c r="I1" i="12" s="1"/>
  <c r="J1" i="12" a="1"/>
  <c r="J1" i="12" s="1"/>
  <c r="Z7" i="12"/>
  <c r="AA7" i="12" a="1"/>
  <c r="AA7" i="12" s="1"/>
  <c r="AB7" i="12"/>
  <c r="C1" i="12" a="1"/>
  <c r="C1" i="12" s="1"/>
  <c r="D1" i="12" a="1"/>
  <c r="D1" i="12" s="1"/>
  <c r="E1" i="12" a="1"/>
  <c r="E1" i="12" s="1"/>
  <c r="F1" i="12" a="1"/>
  <c r="F1" i="12" s="1"/>
  <c r="G1" i="12" a="1"/>
  <c r="G1" i="12" s="1"/>
  <c r="H1" i="12" a="1"/>
  <c r="H1" i="12" s="1"/>
  <c r="B1" i="12" a="1"/>
  <c r="B1" i="12" s="1"/>
  <c r="E8" i="12"/>
  <c r="G8" i="12" s="1"/>
  <c r="E9" i="12"/>
  <c r="F9" i="12" s="1"/>
  <c r="E10" i="12"/>
  <c r="F10" i="12" s="1"/>
  <c r="E11" i="12"/>
  <c r="F11" i="12" s="1"/>
  <c r="E12" i="12"/>
  <c r="F12" i="12" s="1"/>
  <c r="E13" i="12"/>
  <c r="E14" i="12"/>
  <c r="E15" i="12"/>
  <c r="E16" i="12"/>
  <c r="E17" i="12"/>
  <c r="E18" i="12"/>
  <c r="F18" i="12" s="1"/>
  <c r="E19" i="12"/>
  <c r="E20" i="12"/>
  <c r="F20" i="12" s="1"/>
  <c r="E21" i="12"/>
  <c r="F21" i="12" s="1"/>
  <c r="E22" i="12"/>
  <c r="F22" i="12" s="1"/>
  <c r="E23" i="12"/>
  <c r="F23" i="12" s="1"/>
  <c r="E24" i="12"/>
  <c r="E25" i="12"/>
  <c r="G25" i="12" s="1"/>
  <c r="E26" i="12"/>
  <c r="E27" i="12"/>
  <c r="G27" i="12" s="1"/>
  <c r="E28" i="12"/>
  <c r="F28" i="12" s="1"/>
  <c r="E29" i="12"/>
  <c r="E30" i="12"/>
  <c r="E31" i="12"/>
  <c r="G31" i="12" s="1"/>
  <c r="E32" i="12"/>
  <c r="E33" i="12"/>
  <c r="F33" i="12" s="1"/>
  <c r="E34" i="12"/>
  <c r="F34" i="12" s="1"/>
  <c r="G34" i="12" s="1"/>
  <c r="H34" i="12" s="1" a="1"/>
  <c r="H34" i="12" s="1"/>
  <c r="E35" i="12"/>
  <c r="G35" i="12" s="1"/>
  <c r="E36" i="12"/>
  <c r="E37" i="12"/>
  <c r="G37" i="12" s="1"/>
  <c r="E38" i="12"/>
  <c r="F38" i="12" s="1"/>
  <c r="E39" i="12"/>
  <c r="F39" i="12" s="1"/>
  <c r="E40" i="12"/>
  <c r="E41" i="12"/>
  <c r="G41" i="12" s="1"/>
  <c r="E42" i="12"/>
  <c r="G42" i="12" s="1"/>
  <c r="E43" i="12"/>
  <c r="F43" i="12" s="1"/>
  <c r="E44" i="12"/>
  <c r="F44" i="12" s="1"/>
  <c r="E45" i="12"/>
  <c r="F45" i="12" s="1"/>
  <c r="E46" i="12"/>
  <c r="G46" i="12" s="1"/>
  <c r="E47" i="12"/>
  <c r="E48" i="12"/>
  <c r="F48" i="12" s="1"/>
  <c r="E49" i="12"/>
  <c r="F49" i="12" s="1"/>
  <c r="E50" i="12"/>
  <c r="F50" i="12" s="1"/>
  <c r="E51" i="12"/>
  <c r="E52" i="12"/>
  <c r="G52" i="12" s="1"/>
  <c r="E53" i="12"/>
  <c r="G53" i="12" s="1"/>
  <c r="E54" i="12"/>
  <c r="F54" i="12" s="1"/>
  <c r="E55" i="12"/>
  <c r="G55" i="12" s="1"/>
  <c r="H55" i="12" s="1" a="1"/>
  <c r="H55" i="12" s="1"/>
  <c r="E56" i="12"/>
  <c r="G56" i="12" s="1"/>
  <c r="E57" i="12"/>
  <c r="F57" i="12" s="1"/>
  <c r="E58" i="12"/>
  <c r="F58" i="12" s="1"/>
  <c r="E59" i="12"/>
  <c r="F59" i="12" s="1"/>
  <c r="E60" i="12"/>
  <c r="F60" i="12" s="1"/>
  <c r="E61" i="12"/>
  <c r="F61" i="12" s="1"/>
  <c r="G61" i="12" s="1"/>
  <c r="H61" i="12" s="1" a="1"/>
  <c r="H61" i="12" s="1"/>
  <c r="E62" i="12"/>
  <c r="G62" i="12" s="1"/>
  <c r="E63" i="12"/>
  <c r="E64" i="12"/>
  <c r="G64" i="12" s="1"/>
  <c r="E65" i="12"/>
  <c r="E66" i="12"/>
  <c r="F66" i="12" s="1"/>
  <c r="E67" i="12"/>
  <c r="E68" i="12"/>
  <c r="G68" i="12" s="1"/>
  <c r="E69" i="12"/>
  <c r="F69" i="12" s="1"/>
  <c r="E70" i="12"/>
  <c r="F70" i="12" s="1"/>
  <c r="E71" i="12"/>
  <c r="F71" i="12" s="1"/>
  <c r="E72" i="12"/>
  <c r="G72" i="12" s="1"/>
  <c r="E73" i="12"/>
  <c r="E74" i="12"/>
  <c r="E75" i="12"/>
  <c r="G75" i="12" s="1"/>
  <c r="E76" i="12"/>
  <c r="F76" i="12" s="1"/>
  <c r="E77" i="12"/>
  <c r="E78" i="12"/>
  <c r="G78" i="12" s="1"/>
  <c r="E79" i="12"/>
  <c r="G79" i="12" s="1"/>
  <c r="E80" i="12"/>
  <c r="F80" i="12" s="1"/>
  <c r="E81" i="12"/>
  <c r="F81" i="12" s="1"/>
  <c r="E82" i="12"/>
  <c r="F82" i="12" s="1"/>
  <c r="E83" i="12"/>
  <c r="G83" i="12" s="1"/>
  <c r="E84" i="12"/>
  <c r="E85" i="12"/>
  <c r="G85" i="12" s="1"/>
  <c r="E86" i="12"/>
  <c r="F86" i="12" s="1"/>
  <c r="E87" i="12"/>
  <c r="F87" i="12" s="1"/>
  <c r="E88" i="12"/>
  <c r="G88" i="12" s="1"/>
  <c r="E89" i="12"/>
  <c r="E90" i="12"/>
  <c r="G90" i="12" s="1"/>
  <c r="E91" i="12"/>
  <c r="F91" i="12" s="1"/>
  <c r="E92" i="12"/>
  <c r="G92" i="12" s="1"/>
  <c r="E7" i="12"/>
  <c r="G7" i="12" s="1"/>
  <c r="I35" i="44"/>
  <c r="D35" i="44" s="1" a="1"/>
  <c r="D35" i="44" s="1"/>
  <c r="I36" i="44"/>
  <c r="F36" i="44" s="1" a="1"/>
  <c r="F36" i="44" s="1"/>
  <c r="I37" i="44"/>
  <c r="D37" i="44" s="1" a="1"/>
  <c r="D37" i="44" s="1"/>
  <c r="I38" i="44"/>
  <c r="I39" i="44"/>
  <c r="E39" i="44" s="1" a="1"/>
  <c r="E39" i="44" s="1"/>
  <c r="I40" i="44"/>
  <c r="I41" i="44"/>
  <c r="F41" i="44" s="1" a="1"/>
  <c r="F41" i="44" s="1"/>
  <c r="I42" i="44"/>
  <c r="D42" i="44" s="1" a="1"/>
  <c r="D42" i="44" s="1"/>
  <c r="I43" i="44"/>
  <c r="I44" i="44"/>
  <c r="I45" i="44"/>
  <c r="D45" i="44" s="1" a="1"/>
  <c r="D45" i="44" s="1"/>
  <c r="I46" i="44"/>
  <c r="D46" i="44" s="1" a="1"/>
  <c r="D46" i="44" s="1"/>
  <c r="I47" i="44"/>
  <c r="E47" i="44" s="1" a="1"/>
  <c r="E47" i="44" s="1"/>
  <c r="I48" i="44"/>
  <c r="D48" i="44" s="1" a="1"/>
  <c r="D48" i="44" s="1"/>
  <c r="R2" i="44" a="1"/>
  <c r="R2" i="44" s="1"/>
  <c r="S2" i="44" a="1"/>
  <c r="S2" i="44" s="1"/>
  <c r="T2" i="44" a="1"/>
  <c r="T2" i="44" s="1"/>
  <c r="U2" i="44" a="1"/>
  <c r="U2" i="44" s="1"/>
  <c r="V2" i="44" a="1"/>
  <c r="V2" i="44" s="1"/>
  <c r="W2" i="44" a="1"/>
  <c r="W2" i="44" s="1"/>
  <c r="X2" i="44" a="1"/>
  <c r="X2" i="44" s="1"/>
  <c r="Y2" i="44" a="1"/>
  <c r="Y2" i="44" s="1"/>
  <c r="Z2" i="44" a="1"/>
  <c r="Z2" i="44" s="1"/>
  <c r="AA2" i="44" a="1"/>
  <c r="AA2" i="44" s="1"/>
  <c r="AB2" i="44" a="1"/>
  <c r="AB2" i="44" s="1"/>
  <c r="AC2" i="44" a="1"/>
  <c r="AC2" i="44" s="1"/>
  <c r="AD2" i="44" a="1"/>
  <c r="AD2" i="44" s="1"/>
  <c r="AE2" i="44" a="1"/>
  <c r="AE2" i="44" s="1"/>
  <c r="AF2" i="44" a="1"/>
  <c r="AF2" i="44" s="1"/>
  <c r="Q2" i="44" a="1"/>
  <c r="Q2" i="44" s="1"/>
  <c r="P2" i="44" a="1"/>
  <c r="P2" i="44" s="1"/>
  <c r="I7" i="44"/>
  <c r="D7" i="44" s="1" a="1"/>
  <c r="D7" i="44" s="1"/>
  <c r="I8" i="44"/>
  <c r="I9" i="44"/>
  <c r="D9" i="44" s="1" a="1"/>
  <c r="D9" i="44" s="1"/>
  <c r="I10" i="44"/>
  <c r="D10" i="44" s="1" a="1"/>
  <c r="D10" i="44" s="1"/>
  <c r="I11" i="44"/>
  <c r="I12" i="44"/>
  <c r="D12" i="44" s="1" a="1"/>
  <c r="D12" i="44" s="1"/>
  <c r="I13" i="44"/>
  <c r="I14" i="44"/>
  <c r="D14" i="44" s="1" a="1"/>
  <c r="D14" i="44" s="1"/>
  <c r="I15" i="44"/>
  <c r="I16" i="44"/>
  <c r="I17" i="44"/>
  <c r="F17" i="44" s="1" a="1"/>
  <c r="F17" i="44" s="1"/>
  <c r="I18" i="44"/>
  <c r="D18" i="44" s="1" a="1"/>
  <c r="D18" i="44" s="1"/>
  <c r="I19" i="44"/>
  <c r="I20" i="44"/>
  <c r="I21" i="44"/>
  <c r="D21" i="44" s="1" a="1"/>
  <c r="D21" i="44" s="1"/>
  <c r="I22" i="44"/>
  <c r="I23" i="44"/>
  <c r="D23" i="44" s="1" a="1"/>
  <c r="D23" i="44" s="1"/>
  <c r="I24" i="44"/>
  <c r="D24" i="44" s="1" a="1"/>
  <c r="D24" i="44" s="1"/>
  <c r="I25" i="44"/>
  <c r="I26" i="44"/>
  <c r="D26" i="44" s="1" a="1"/>
  <c r="D26" i="44" s="1"/>
  <c r="I27" i="44"/>
  <c r="I28" i="44"/>
  <c r="I29" i="44"/>
  <c r="D29" i="44" s="1" a="1"/>
  <c r="D29" i="44" s="1"/>
  <c r="I30" i="44"/>
  <c r="I31" i="44"/>
  <c r="I32" i="44"/>
  <c r="G32" i="44" s="1" a="1"/>
  <c r="G32" i="44" s="1"/>
  <c r="I33" i="44"/>
  <c r="I34" i="44"/>
  <c r="D34" i="44" s="1" a="1"/>
  <c r="D34" i="44" s="1"/>
  <c r="I5" i="44"/>
  <c r="G5" i="44" s="1" a="1"/>
  <c r="G5" i="44" s="1"/>
  <c r="H6" i="44"/>
  <c r="I6" i="44" s="1"/>
  <c r="D6" i="44" s="1" a="1"/>
  <c r="D6" i="44" s="1"/>
  <c r="B2" i="44" a="1"/>
  <c r="B2" i="44" s="1"/>
  <c r="B23" i="43" a="1"/>
  <c r="B23" i="43" s="1"/>
  <c r="B22" i="43" a="1"/>
  <c r="B22" i="43" s="1"/>
  <c r="B21" i="43" a="1"/>
  <c r="B21" i="43" s="1"/>
  <c r="B20" i="43" a="1"/>
  <c r="B20" i="43" s="1"/>
  <c r="B19" i="43" a="1"/>
  <c r="B19" i="43" s="1"/>
  <c r="B18" i="43" a="1"/>
  <c r="B18" i="43" s="1"/>
  <c r="B17" i="43" a="1"/>
  <c r="B17" i="43" s="1"/>
  <c r="B16" i="43" a="1"/>
  <c r="B16" i="43" s="1"/>
  <c r="B15" i="43" a="1"/>
  <c r="B15" i="43" s="1"/>
  <c r="B14" i="43" a="1"/>
  <c r="B14" i="43" s="1"/>
  <c r="B13" i="43" a="1"/>
  <c r="B13" i="43" s="1"/>
  <c r="B12" i="43" a="1"/>
  <c r="B12" i="43" s="1"/>
  <c r="B11" i="43" a="1"/>
  <c r="B11" i="43" s="1"/>
  <c r="B10" i="43" a="1"/>
  <c r="B10" i="43" s="1"/>
  <c r="B9" i="43" a="1"/>
  <c r="B9" i="43" s="1"/>
  <c r="B8" i="43" a="1"/>
  <c r="B8" i="43" s="1"/>
  <c r="B7" i="43" a="1"/>
  <c r="B7" i="43" s="1"/>
  <c r="B6" i="43" a="1"/>
  <c r="B6" i="43" s="1"/>
  <c r="D3" i="43" a="1"/>
  <c r="D3" i="43" s="1"/>
  <c r="K3" i="43" a="1"/>
  <c r="K3" i="43" s="1"/>
  <c r="E3" i="43" a="1"/>
  <c r="E3" i="43" s="1"/>
  <c r="J3" i="43" a="1"/>
  <c r="J3" i="43" s="1"/>
  <c r="I3" i="43" a="1"/>
  <c r="I3" i="43" s="1"/>
  <c r="H3" i="43" a="1"/>
  <c r="H3" i="43" s="1"/>
  <c r="G3" i="43" a="1"/>
  <c r="G3" i="43" s="1"/>
  <c r="B3" i="43" a="1"/>
  <c r="B3" i="43" s="1"/>
  <c r="B19" i="41" a="1"/>
  <c r="B19" i="41" s="1"/>
  <c r="B20" i="41" a="1"/>
  <c r="B20" i="41" s="1"/>
  <c r="B23" i="41" a="1"/>
  <c r="B23" i="41" s="1"/>
  <c r="B15" i="41" a="1"/>
  <c r="B15" i="41" s="1"/>
  <c r="B9" i="41" a="1"/>
  <c r="B9" i="41" s="1"/>
  <c r="B10" i="41" a="1"/>
  <c r="B10" i="41" s="1"/>
  <c r="B6" i="41" a="1"/>
  <c r="B6" i="41" s="1"/>
  <c r="B18" i="41" a="1"/>
  <c r="B18" i="41" s="1"/>
  <c r="B7" i="41" a="1"/>
  <c r="B7" i="41" s="1"/>
  <c r="B21" i="41" a="1"/>
  <c r="B21" i="41" s="1"/>
  <c r="B8" i="41" a="1"/>
  <c r="B8" i="41" s="1"/>
  <c r="B12" i="41" a="1"/>
  <c r="B12" i="41" s="1"/>
  <c r="B16" i="41" a="1"/>
  <c r="B16" i="41" s="1"/>
  <c r="B11" i="41" a="1"/>
  <c r="B11" i="41" s="1"/>
  <c r="B13" i="41" a="1"/>
  <c r="B13" i="41" s="1"/>
  <c r="B14" i="41" a="1"/>
  <c r="B14" i="41" s="1"/>
  <c r="B22" i="41" a="1"/>
  <c r="B22" i="41" s="1"/>
  <c r="B17" i="41" a="1"/>
  <c r="B17" i="41" s="1"/>
  <c r="D3" i="41" a="1"/>
  <c r="D3" i="41" s="1"/>
  <c r="J3" i="41" a="1"/>
  <c r="J3" i="41" s="1"/>
  <c r="I3" i="41" a="1"/>
  <c r="I3" i="41" s="1"/>
  <c r="H3" i="41" a="1"/>
  <c r="H3" i="41" s="1"/>
  <c r="G3" i="41" a="1"/>
  <c r="G3" i="41" s="1"/>
  <c r="F3" i="41" a="1"/>
  <c r="F3" i="41" s="1"/>
  <c r="E3" i="41" a="1"/>
  <c r="E3" i="41" s="1"/>
  <c r="B3" i="41" a="1"/>
  <c r="B3" i="41" s="1"/>
  <c r="K3" i="15" a="1"/>
  <c r="K3" i="15" s="1"/>
  <c r="AL16" i="34"/>
  <c r="AM16" i="34" s="1"/>
  <c r="AM18" i="34" s="1"/>
  <c r="AL15" i="34"/>
  <c r="AL14" i="34"/>
  <c r="AB54" i="35"/>
  <c r="AJ54" i="35" s="1"/>
  <c r="AB53" i="35"/>
  <c r="AJ53" i="35" s="1"/>
  <c r="AB52" i="35"/>
  <c r="AF52" i="35" s="1"/>
  <c r="AB51" i="35"/>
  <c r="AD51" i="35" s="1"/>
  <c r="AB50" i="35"/>
  <c r="AJ50" i="35" s="1"/>
  <c r="AB49" i="35"/>
  <c r="AJ49" i="35" s="1"/>
  <c r="AB48" i="35"/>
  <c r="AJ48" i="35" s="1"/>
  <c r="AB47" i="35"/>
  <c r="AH47" i="35" s="1"/>
  <c r="AB46" i="35"/>
  <c r="AF46" i="35" s="1"/>
  <c r="AB45" i="35"/>
  <c r="AD45" i="35" s="1"/>
  <c r="AB44" i="35"/>
  <c r="AI44" i="35" s="1"/>
  <c r="AB43" i="35"/>
  <c r="AB42" i="35"/>
  <c r="AJ42" i="35" s="1"/>
  <c r="AB41" i="35"/>
  <c r="AH41" i="35" s="1"/>
  <c r="AB40" i="35"/>
  <c r="AF40" i="35" s="1"/>
  <c r="AB39" i="35"/>
  <c r="AD39" i="35" s="1"/>
  <c r="AB38" i="35"/>
  <c r="AG38" i="35" s="1"/>
  <c r="AB37" i="35"/>
  <c r="AB36" i="35"/>
  <c r="AB35" i="35"/>
  <c r="AH35" i="35" s="1"/>
  <c r="AB34" i="35"/>
  <c r="AF34" i="35" s="1"/>
  <c r="AB33" i="35"/>
  <c r="AD33" i="35" s="1"/>
  <c r="AB32" i="35"/>
  <c r="AF32" i="35" s="1"/>
  <c r="AB31" i="35"/>
  <c r="AB30" i="35"/>
  <c r="AB29" i="35"/>
  <c r="AH29" i="35" s="1"/>
  <c r="AB28" i="35"/>
  <c r="AF28" i="35" s="1"/>
  <c r="AB27" i="35"/>
  <c r="AD27" i="35" s="1"/>
  <c r="AB26" i="35"/>
  <c r="AG26" i="35" s="1"/>
  <c r="AB25" i="35"/>
  <c r="AF25" i="35" s="1"/>
  <c r="AB24" i="35"/>
  <c r="AE24" i="35" s="1"/>
  <c r="AB23" i="35"/>
  <c r="AJ23" i="35" s="1"/>
  <c r="AB22" i="35"/>
  <c r="AJ22" i="35" s="1"/>
  <c r="AB21" i="35"/>
  <c r="AD21" i="35" s="1"/>
  <c r="AB20" i="35"/>
  <c r="AH20" i="35" s="1"/>
  <c r="AB19" i="35"/>
  <c r="AF19" i="35" s="1"/>
  <c r="AB18" i="35"/>
  <c r="AB17" i="35"/>
  <c r="AB16" i="35"/>
  <c r="AB15" i="35"/>
  <c r="AJ15" i="35" s="1"/>
  <c r="AB14" i="35"/>
  <c r="AI14" i="35" s="1"/>
  <c r="AB13" i="35"/>
  <c r="AI13" i="35" s="1"/>
  <c r="AB12" i="35"/>
  <c r="AB11" i="35"/>
  <c r="AE11" i="35" s="1"/>
  <c r="AB10" i="35"/>
  <c r="AJ10" i="35" s="1"/>
  <c r="AB9" i="35"/>
  <c r="AB8" i="35"/>
  <c r="AF8" i="35" s="1"/>
  <c r="AB7" i="35"/>
  <c r="AE7" i="35" s="1"/>
  <c r="AB6" i="35"/>
  <c r="AD6" i="35" s="1"/>
  <c r="AB5" i="35"/>
  <c r="AC5" i="35" s="1"/>
  <c r="U1" i="35"/>
  <c r="AB54" i="34"/>
  <c r="AB53" i="34"/>
  <c r="AB52" i="34"/>
  <c r="AJ52" i="34" s="1"/>
  <c r="AB51" i="34"/>
  <c r="AD51" i="34" s="1"/>
  <c r="AB50" i="34"/>
  <c r="AJ50" i="34" s="1"/>
  <c r="AB49" i="34"/>
  <c r="AB48" i="34"/>
  <c r="AB47" i="34"/>
  <c r="AI47" i="34" s="1"/>
  <c r="AB46" i="34"/>
  <c r="AJ46" i="34" s="1"/>
  <c r="AB45" i="34"/>
  <c r="AD45" i="34" s="1"/>
  <c r="AB44" i="34"/>
  <c r="AJ44" i="34" s="1"/>
  <c r="AB43" i="34"/>
  <c r="AB42" i="34"/>
  <c r="AB41" i="34"/>
  <c r="AC41" i="34" s="1"/>
  <c r="AB40" i="34"/>
  <c r="AJ40" i="34" s="1"/>
  <c r="AB39" i="34"/>
  <c r="AD39" i="34" s="1"/>
  <c r="AB38" i="34"/>
  <c r="AI38" i="34" s="1"/>
  <c r="AB37" i="34"/>
  <c r="AE37" i="34" s="1"/>
  <c r="AB36" i="34"/>
  <c r="AB35" i="34"/>
  <c r="AB34" i="34"/>
  <c r="AF34" i="34" s="1"/>
  <c r="AB33" i="34"/>
  <c r="AD33" i="34" s="1"/>
  <c r="AB32" i="34"/>
  <c r="AJ32" i="34" s="1"/>
  <c r="AB31" i="34"/>
  <c r="AB30" i="34"/>
  <c r="AB29" i="34"/>
  <c r="AJ29" i="34" s="1"/>
  <c r="AB28" i="34"/>
  <c r="AJ28" i="34" s="1"/>
  <c r="AB27" i="34"/>
  <c r="AD27" i="34" s="1"/>
  <c r="AB26" i="34"/>
  <c r="AJ26" i="34" s="1"/>
  <c r="AB25" i="34"/>
  <c r="AB24" i="34"/>
  <c r="AF24" i="34" s="1"/>
  <c r="AB23" i="34"/>
  <c r="AI23" i="34" s="1"/>
  <c r="AB22" i="34"/>
  <c r="AB21" i="34"/>
  <c r="AD21" i="34" s="1"/>
  <c r="AB20" i="34"/>
  <c r="AG20" i="34" s="1"/>
  <c r="AB19" i="34"/>
  <c r="AB18" i="34"/>
  <c r="AF18" i="34" s="1"/>
  <c r="AB17" i="34"/>
  <c r="AB16" i="34"/>
  <c r="AJ16" i="34" s="1"/>
  <c r="AB15" i="34"/>
  <c r="AD15" i="34" s="1"/>
  <c r="AB14" i="34"/>
  <c r="AJ14" i="34" s="1"/>
  <c r="AB13" i="34"/>
  <c r="G12" i="34"/>
  <c r="AB12" i="34"/>
  <c r="AE12" i="34" s="1"/>
  <c r="AB11" i="34"/>
  <c r="I11" i="34"/>
  <c r="AB10" i="34"/>
  <c r="AC10" i="34" s="1"/>
  <c r="I10" i="34"/>
  <c r="AB9" i="34"/>
  <c r="AD9" i="34" s="1"/>
  <c r="AB8" i="34"/>
  <c r="AG8" i="34" s="1"/>
  <c r="I8" i="34"/>
  <c r="AB7" i="34"/>
  <c r="I7" i="34"/>
  <c r="AB6" i="34"/>
  <c r="AJ6" i="34" s="1"/>
  <c r="I6" i="34"/>
  <c r="AB5" i="34"/>
  <c r="I5" i="34"/>
  <c r="U1" i="34"/>
  <c r="AB6" i="33"/>
  <c r="AC6" i="33" s="1"/>
  <c r="AB7" i="33"/>
  <c r="AE7" i="33" s="1"/>
  <c r="AB8" i="33"/>
  <c r="AB9" i="33"/>
  <c r="AG9" i="33" s="1"/>
  <c r="AB10" i="33"/>
  <c r="AC10" i="33" s="1"/>
  <c r="AB11" i="33"/>
  <c r="AE11" i="33" s="1"/>
  <c r="AB12" i="33"/>
  <c r="AB13" i="33"/>
  <c r="AC13" i="33" s="1"/>
  <c r="AB14" i="33"/>
  <c r="AC14" i="33" s="1"/>
  <c r="AB15" i="33"/>
  <c r="AE15" i="33" s="1"/>
  <c r="AB16" i="33"/>
  <c r="AG16" i="33" s="1"/>
  <c r="AB17" i="33"/>
  <c r="AC17" i="33" s="1"/>
  <c r="AB18" i="33"/>
  <c r="AC18" i="33" s="1"/>
  <c r="AB19" i="33"/>
  <c r="AE19" i="33" s="1"/>
  <c r="AB20" i="33"/>
  <c r="AG20" i="33" s="1"/>
  <c r="AB21" i="33"/>
  <c r="AE21" i="33" s="1"/>
  <c r="AB22" i="33"/>
  <c r="AC22" i="33" s="1"/>
  <c r="AB23" i="33"/>
  <c r="AE23" i="33" s="1"/>
  <c r="AB24" i="33"/>
  <c r="AG24" i="33" s="1"/>
  <c r="AB25" i="33"/>
  <c r="AD25" i="33" s="1"/>
  <c r="AB26" i="33"/>
  <c r="AC26" i="33" s="1"/>
  <c r="AB27" i="33"/>
  <c r="AE27" i="33" s="1"/>
  <c r="AB28" i="33"/>
  <c r="AG28" i="33" s="1"/>
  <c r="AB29" i="33"/>
  <c r="AC29" i="33" s="1"/>
  <c r="AB30" i="33"/>
  <c r="AC30" i="33" s="1"/>
  <c r="AB31" i="33"/>
  <c r="AE31" i="33" s="1"/>
  <c r="AB32" i="33"/>
  <c r="AB33" i="33"/>
  <c r="AC33" i="33" s="1"/>
  <c r="AB34" i="33"/>
  <c r="AC34" i="33" s="1"/>
  <c r="AB35" i="33"/>
  <c r="AE35" i="33" s="1"/>
  <c r="AB36" i="33"/>
  <c r="AB37" i="33"/>
  <c r="AC37" i="33" s="1"/>
  <c r="AB38" i="33"/>
  <c r="AC38" i="33" s="1"/>
  <c r="AB39" i="33"/>
  <c r="AE39" i="33" s="1"/>
  <c r="AB40" i="33"/>
  <c r="AG40" i="33" s="1"/>
  <c r="AB41" i="33"/>
  <c r="AE41" i="33" s="1"/>
  <c r="AB42" i="33"/>
  <c r="AC42" i="33" s="1"/>
  <c r="AB43" i="33"/>
  <c r="AE43" i="33" s="1"/>
  <c r="AB44" i="33"/>
  <c r="AG44" i="33" s="1"/>
  <c r="AB45" i="33"/>
  <c r="AD45" i="33" s="1"/>
  <c r="AB46" i="33"/>
  <c r="AC46" i="33" s="1"/>
  <c r="AB47" i="33"/>
  <c r="AE47" i="33" s="1"/>
  <c r="AB48" i="33"/>
  <c r="AE48" i="33" s="1"/>
  <c r="AB49" i="33"/>
  <c r="AC49" i="33" s="1"/>
  <c r="AB50" i="33"/>
  <c r="AC50" i="33" s="1"/>
  <c r="AB51" i="33"/>
  <c r="AE51" i="33" s="1"/>
  <c r="AB52" i="33"/>
  <c r="AE52" i="33" s="1"/>
  <c r="AB53" i="33"/>
  <c r="AC53" i="33" s="1"/>
  <c r="AB54" i="33"/>
  <c r="AC54" i="33" s="1"/>
  <c r="AB5" i="33"/>
  <c r="AI5" i="33" s="1"/>
  <c r="G12" i="33"/>
  <c r="I11" i="33"/>
  <c r="G11" i="33"/>
  <c r="I10" i="33"/>
  <c r="G10" i="33"/>
  <c r="I8" i="33"/>
  <c r="G8" i="33"/>
  <c r="I7" i="33"/>
  <c r="G7" i="33"/>
  <c r="I6" i="33"/>
  <c r="G6" i="33"/>
  <c r="I5" i="33"/>
  <c r="G5" i="33"/>
  <c r="U1" i="33"/>
  <c r="M60" i="57" l="1"/>
  <c r="M61" i="57" s="1"/>
  <c r="F8" i="57" a="1"/>
  <c r="F8" i="57" s="1"/>
  <c r="G9" i="57" a="1"/>
  <c r="G9" i="57" s="1"/>
  <c r="H10" i="57" a="1"/>
  <c r="H10" i="57" s="1"/>
  <c r="F14" i="57" a="1"/>
  <c r="F14" i="57" s="1"/>
  <c r="G15" i="57" a="1"/>
  <c r="G15" i="57" s="1"/>
  <c r="H16" i="57" a="1"/>
  <c r="H16" i="57" s="1"/>
  <c r="F20" i="57" a="1"/>
  <c r="F20" i="57" s="1"/>
  <c r="G21" i="57" a="1"/>
  <c r="G21" i="57" s="1"/>
  <c r="H22" i="57" a="1"/>
  <c r="H22" i="57" s="1"/>
  <c r="F26" i="57" a="1"/>
  <c r="F26" i="57" s="1"/>
  <c r="G27" i="57" a="1"/>
  <c r="G27" i="57" s="1"/>
  <c r="H28" i="57" a="1"/>
  <c r="H28" i="57" s="1"/>
  <c r="F32" i="57" a="1"/>
  <c r="F32" i="57" s="1"/>
  <c r="G33" i="57" a="1"/>
  <c r="G33" i="57" s="1"/>
  <c r="H34" i="57" a="1"/>
  <c r="H34" i="57" s="1"/>
  <c r="F38" i="57" a="1"/>
  <c r="F38" i="57" s="1"/>
  <c r="G39" i="57" a="1"/>
  <c r="G39" i="57" s="1"/>
  <c r="H40" i="57" a="1"/>
  <c r="H40" i="57" s="1"/>
  <c r="F44" i="57" a="1"/>
  <c r="F44" i="57" s="1"/>
  <c r="G45" i="57" a="1"/>
  <c r="G45" i="57" s="1"/>
  <c r="H46" i="57" a="1"/>
  <c r="H46" i="57" s="1"/>
  <c r="F50" i="57" a="1"/>
  <c r="F50" i="57" s="1"/>
  <c r="G51" i="57" a="1"/>
  <c r="G51" i="57" s="1"/>
  <c r="H52" i="57" a="1"/>
  <c r="H52" i="57" s="1"/>
  <c r="H9" i="57" a="1"/>
  <c r="H9" i="57" s="1"/>
  <c r="F13" i="57" a="1"/>
  <c r="F13" i="57" s="1"/>
  <c r="H15" i="57" a="1"/>
  <c r="H15" i="57" s="1"/>
  <c r="F19" i="57" a="1"/>
  <c r="F19" i="57" s="1"/>
  <c r="H21" i="57" a="1"/>
  <c r="H21" i="57" s="1"/>
  <c r="F25" i="57" a="1"/>
  <c r="F25" i="57" s="1"/>
  <c r="H27" i="57" a="1"/>
  <c r="H27" i="57" s="1"/>
  <c r="F31" i="57" a="1"/>
  <c r="F31" i="57" s="1"/>
  <c r="H33" i="57" a="1"/>
  <c r="H33" i="57" s="1"/>
  <c r="F37" i="57" a="1"/>
  <c r="F37" i="57" s="1"/>
  <c r="H39" i="57" a="1"/>
  <c r="H39" i="57" s="1"/>
  <c r="F43" i="57" a="1"/>
  <c r="F43" i="57" s="1"/>
  <c r="H45" i="57" a="1"/>
  <c r="H45" i="57" s="1"/>
  <c r="F49" i="57" a="1"/>
  <c r="F49" i="57" s="1"/>
  <c r="H51" i="57" a="1"/>
  <c r="H51" i="57" s="1"/>
  <c r="F11" i="57" a="1"/>
  <c r="F11" i="57" s="1"/>
  <c r="G12" i="57" a="1"/>
  <c r="G12" i="57" s="1"/>
  <c r="F17" i="57" a="1"/>
  <c r="F17" i="57" s="1"/>
  <c r="G18" i="57" a="1"/>
  <c r="G18" i="57" s="1"/>
  <c r="F23" i="57" a="1"/>
  <c r="F23" i="57" s="1"/>
  <c r="G24" i="57" a="1"/>
  <c r="G24" i="57" s="1"/>
  <c r="F29" i="57" a="1"/>
  <c r="F29" i="57" s="1"/>
  <c r="G30" i="57" a="1"/>
  <c r="G30" i="57" s="1"/>
  <c r="F35" i="57" a="1"/>
  <c r="F35" i="57" s="1"/>
  <c r="G36" i="57" a="1"/>
  <c r="G36" i="57" s="1"/>
  <c r="F41" i="57" a="1"/>
  <c r="F41" i="57" s="1"/>
  <c r="G42" i="57" a="1"/>
  <c r="G42" i="57" s="1"/>
  <c r="F47" i="57" a="1"/>
  <c r="F47" i="57" s="1"/>
  <c r="G48" i="57" a="1"/>
  <c r="G48" i="57" s="1"/>
  <c r="F10" i="57" a="1"/>
  <c r="F10" i="57" s="1"/>
  <c r="G11" i="57" a="1"/>
  <c r="G11" i="57" s="1"/>
  <c r="F16" i="57" a="1"/>
  <c r="F16" i="57" s="1"/>
  <c r="G17" i="57" a="1"/>
  <c r="G17" i="57" s="1"/>
  <c r="F22" i="57" a="1"/>
  <c r="F22" i="57" s="1"/>
  <c r="G23" i="57" a="1"/>
  <c r="G23" i="57" s="1"/>
  <c r="F28" i="57" a="1"/>
  <c r="F28" i="57" s="1"/>
  <c r="G29" i="57" a="1"/>
  <c r="G29" i="57" s="1"/>
  <c r="F34" i="57" a="1"/>
  <c r="F34" i="57" s="1"/>
  <c r="G35" i="57" a="1"/>
  <c r="G35" i="57" s="1"/>
  <c r="F40" i="57" a="1"/>
  <c r="F40" i="57" s="1"/>
  <c r="G41" i="57" a="1"/>
  <c r="G41" i="57" s="1"/>
  <c r="F46" i="57" a="1"/>
  <c r="F46" i="57" s="1"/>
  <c r="G47" i="57" a="1"/>
  <c r="G47" i="57" s="1"/>
  <c r="F52" i="57" a="1"/>
  <c r="F52" i="57" s="1"/>
  <c r="G56" i="52" a="1"/>
  <c r="G56" i="52" s="1"/>
  <c r="Y16" i="54" a="1"/>
  <c r="Y16" i="54" s="1"/>
  <c r="Y18" i="54" a="1"/>
  <c r="Y18" i="54" s="1"/>
  <c r="Y12" i="54" a="1"/>
  <c r="Y12" i="54" s="1"/>
  <c r="Y13" i="54" a="1"/>
  <c r="Y13" i="54" s="1"/>
  <c r="Y19" i="54" a="1"/>
  <c r="Y19" i="54" s="1"/>
  <c r="Y21" i="54" a="1"/>
  <c r="Y21" i="54" s="1"/>
  <c r="Y6" i="54" a="1"/>
  <c r="Y6" i="54" s="1"/>
  <c r="Y10" i="54" a="1"/>
  <c r="Y10" i="54" s="1"/>
  <c r="Y9" i="54" a="1"/>
  <c r="Y9" i="54" s="1"/>
  <c r="Y17" i="54" a="1"/>
  <c r="Y17" i="54" s="1"/>
  <c r="Y11" i="54" a="1"/>
  <c r="Y11" i="54" s="1"/>
  <c r="Y14" i="54" a="1"/>
  <c r="Y14" i="54" s="1"/>
  <c r="Y23" i="54" a="1"/>
  <c r="Y23" i="54" s="1"/>
  <c r="Y20" i="54" a="1"/>
  <c r="Y20" i="54" s="1"/>
  <c r="Y22" i="54" a="1"/>
  <c r="Y22" i="54" s="1"/>
  <c r="Y7" i="54" a="1"/>
  <c r="Y7" i="54" s="1"/>
  <c r="Y8" i="54" a="1"/>
  <c r="Y8" i="54" s="1"/>
  <c r="Y15" i="54" a="1"/>
  <c r="Y15" i="54" s="1"/>
  <c r="S18" i="53" a="1"/>
  <c r="S18" i="53" s="1"/>
  <c r="T7" i="53" a="1"/>
  <c r="T7" i="53" s="1"/>
  <c r="S17" i="53" a="1"/>
  <c r="S17" i="53" s="1"/>
  <c r="T36" i="53" a="1"/>
  <c r="T36" i="53" s="1"/>
  <c r="S11" i="53" a="1"/>
  <c r="S11" i="53" s="1"/>
  <c r="T21" i="53" a="1"/>
  <c r="T21" i="53" s="1"/>
  <c r="S44" i="53" a="1"/>
  <c r="S44" i="53" s="1"/>
  <c r="T8" i="53" a="1"/>
  <c r="T8" i="53" s="1"/>
  <c r="T13" i="53" a="1"/>
  <c r="T13" i="53" s="1"/>
  <c r="S41" i="53" a="1"/>
  <c r="S41" i="53" s="1"/>
  <c r="T35" i="53" a="1"/>
  <c r="T35" i="53" s="1"/>
  <c r="S45" i="53" a="1"/>
  <c r="S45" i="53" s="1"/>
  <c r="T22" i="53" a="1"/>
  <c r="T22" i="53" s="1"/>
  <c r="S34" i="53" a="1"/>
  <c r="S34" i="53" s="1"/>
  <c r="S47" i="53" a="1"/>
  <c r="S47" i="53" s="1"/>
  <c r="T37" i="53" a="1"/>
  <c r="T37" i="53" s="1"/>
  <c r="S24" i="53" a="1"/>
  <c r="S24" i="53" s="1"/>
  <c r="S30" i="53" a="1"/>
  <c r="S30" i="53" s="1"/>
  <c r="S46" i="53" a="1"/>
  <c r="S46" i="53" s="1"/>
  <c r="T52" i="53" a="1"/>
  <c r="T52" i="53" s="1"/>
  <c r="T23" i="53" a="1"/>
  <c r="T23" i="53" s="1"/>
  <c r="S12" i="53" a="1"/>
  <c r="S12" i="53" s="1"/>
  <c r="S33" i="53" a="1"/>
  <c r="S33" i="53" s="1"/>
  <c r="S25" i="53" a="1"/>
  <c r="S25" i="53" s="1"/>
  <c r="S48" i="53" a="1"/>
  <c r="S48" i="53" s="1"/>
  <c r="T53" i="53" a="1"/>
  <c r="T53" i="53" s="1"/>
  <c r="S10" i="53" a="1"/>
  <c r="S10" i="53" s="1"/>
  <c r="S51" i="53" a="1"/>
  <c r="S51" i="53" s="1"/>
  <c r="T26" i="53" a="1"/>
  <c r="T26" i="53" s="1"/>
  <c r="T49" i="53" a="1"/>
  <c r="T49" i="53" s="1"/>
  <c r="S16" i="53" a="1"/>
  <c r="S16" i="53" s="1"/>
  <c r="T19" i="53" a="1"/>
  <c r="T19" i="53" s="1"/>
  <c r="S29" i="53" a="1"/>
  <c r="S29" i="53" s="1"/>
  <c r="T31" i="53" a="1"/>
  <c r="T31" i="53" s="1"/>
  <c r="S43" i="53" a="1"/>
  <c r="S43" i="53" s="1"/>
  <c r="T40" i="53" a="1"/>
  <c r="T40" i="53" s="1"/>
  <c r="T54" i="53" a="1"/>
  <c r="T54" i="53" s="1"/>
  <c r="S14" i="53" a="1"/>
  <c r="S14" i="53" s="1"/>
  <c r="S27" i="53" a="1"/>
  <c r="S27" i="53" s="1"/>
  <c r="S38" i="53" a="1"/>
  <c r="S38" i="53" s="1"/>
  <c r="S55" i="53" a="1"/>
  <c r="S55" i="53" s="1"/>
  <c r="S15" i="53" a="1"/>
  <c r="S15" i="53" s="1"/>
  <c r="S28" i="53" a="1"/>
  <c r="S28" i="53" s="1"/>
  <c r="S39" i="53" a="1"/>
  <c r="S39" i="53" s="1"/>
  <c r="S9" i="53" a="1"/>
  <c r="S9" i="53" s="1"/>
  <c r="S20" i="53" a="1"/>
  <c r="S20" i="53" s="1"/>
  <c r="S32" i="53" a="1"/>
  <c r="S32" i="53" s="1"/>
  <c r="S42" i="53" a="1"/>
  <c r="S42" i="53" s="1"/>
  <c r="S56" i="53" a="1"/>
  <c r="S56" i="53" s="1"/>
  <c r="S50" i="53" a="1"/>
  <c r="S50" i="53" s="1"/>
  <c r="F54" i="52" a="1"/>
  <c r="F54" i="52" s="1"/>
  <c r="G53" i="52" a="1"/>
  <c r="G53" i="52" s="1"/>
  <c r="G55" i="52" a="1"/>
  <c r="G55" i="52" s="1"/>
  <c r="G52" i="52" a="1"/>
  <c r="G52" i="52" s="1"/>
  <c r="F25" i="52" a="1"/>
  <c r="F25" i="52" s="1"/>
  <c r="G25" i="52" a="1"/>
  <c r="G25" i="52" s="1"/>
  <c r="F31" i="52" a="1"/>
  <c r="F31" i="52" s="1"/>
  <c r="G31" i="52" a="1"/>
  <c r="G31" i="52" s="1"/>
  <c r="F18" i="52" a="1"/>
  <c r="F18" i="52" s="1"/>
  <c r="F37" i="52" a="1"/>
  <c r="F37" i="52" s="1"/>
  <c r="F7" i="52" a="1"/>
  <c r="F7" i="52" s="1"/>
  <c r="G7" i="52" a="1"/>
  <c r="G7" i="52" s="1"/>
  <c r="F10" i="52" a="1"/>
  <c r="F10" i="52" s="1"/>
  <c r="F22" i="52" a="1"/>
  <c r="F22" i="52" s="1"/>
  <c r="F9" i="52" a="1"/>
  <c r="F9" i="52" s="1"/>
  <c r="G9" i="52" a="1"/>
  <c r="G9" i="52" s="1"/>
  <c r="F21" i="52" a="1"/>
  <c r="F21" i="52" s="1"/>
  <c r="G21" i="52" a="1"/>
  <c r="G21" i="52" s="1"/>
  <c r="G17" i="52" a="1"/>
  <c r="G17" i="52" s="1"/>
  <c r="F17" i="52" a="1"/>
  <c r="F17" i="52" s="1"/>
  <c r="G42" i="52" a="1"/>
  <c r="G42" i="52" s="1"/>
  <c r="F42" i="52" a="1"/>
  <c r="F42" i="52" s="1"/>
  <c r="F33" i="52" a="1"/>
  <c r="F33" i="52" s="1"/>
  <c r="G33" i="52" a="1"/>
  <c r="G33" i="52" s="1"/>
  <c r="F29" i="52" a="1"/>
  <c r="F29" i="52" s="1"/>
  <c r="G29" i="52" a="1"/>
  <c r="G29" i="52" s="1"/>
  <c r="G40" i="52" a="1"/>
  <c r="G40" i="52" s="1"/>
  <c r="G32" i="52" a="1"/>
  <c r="G32" i="52" s="1"/>
  <c r="F41" i="52" a="1"/>
  <c r="F41" i="52" s="1"/>
  <c r="G44" i="52" a="1"/>
  <c r="G44" i="52" s="1"/>
  <c r="F11" i="52" a="1"/>
  <c r="F11" i="52" s="1"/>
  <c r="F30" i="52" a="1"/>
  <c r="F30" i="52" s="1"/>
  <c r="G41" i="52" a="1"/>
  <c r="G41" i="52" s="1"/>
  <c r="F13" i="52" a="1"/>
  <c r="F13" i="52" s="1"/>
  <c r="F19" i="52" a="1"/>
  <c r="F19" i="52" s="1"/>
  <c r="G20" i="52" a="1"/>
  <c r="G20" i="52" s="1"/>
  <c r="G19" i="52" a="1"/>
  <c r="G19" i="52" s="1"/>
  <c r="G8" i="52" a="1"/>
  <c r="G8" i="52" s="1"/>
  <c r="F23" i="52" a="1"/>
  <c r="F23" i="52" s="1"/>
  <c r="F35" i="52" a="1"/>
  <c r="F35" i="52" s="1"/>
  <c r="F47" i="52" a="1"/>
  <c r="F47" i="52" s="1"/>
  <c r="G49" i="52" a="1"/>
  <c r="G49" i="52" s="1"/>
  <c r="G12" i="52" a="1"/>
  <c r="G12" i="52" s="1"/>
  <c r="G24" i="52" a="1"/>
  <c r="G24" i="52" s="1"/>
  <c r="F34" i="52" a="1"/>
  <c r="F34" i="52" s="1"/>
  <c r="G36" i="52" a="1"/>
  <c r="G36" i="52" s="1"/>
  <c r="F46" i="52" a="1"/>
  <c r="F46" i="52" s="1"/>
  <c r="G48" i="52" a="1"/>
  <c r="G48" i="52" s="1"/>
  <c r="G11" i="52" a="1"/>
  <c r="G11" i="52" s="1"/>
  <c r="G23" i="52" a="1"/>
  <c r="G23" i="52" s="1"/>
  <c r="G35" i="52" a="1"/>
  <c r="G35" i="52" s="1"/>
  <c r="F45" i="52" a="1"/>
  <c r="F45" i="52" s="1"/>
  <c r="G47" i="52" a="1"/>
  <c r="G47" i="52" s="1"/>
  <c r="G10" i="52" a="1"/>
  <c r="G10" i="52" s="1"/>
  <c r="G22" i="52" a="1"/>
  <c r="G22" i="52" s="1"/>
  <c r="G34" i="52" a="1"/>
  <c r="G34" i="52" s="1"/>
  <c r="G46" i="52" a="1"/>
  <c r="G46" i="52" s="1"/>
  <c r="F43" i="52" a="1"/>
  <c r="F43" i="52" s="1"/>
  <c r="F16" i="52" a="1"/>
  <c r="F16" i="52" s="1"/>
  <c r="F28" i="52" a="1"/>
  <c r="F28" i="52" s="1"/>
  <c r="F15" i="52" a="1"/>
  <c r="F15" i="52" s="1"/>
  <c r="F27" i="52" a="1"/>
  <c r="F27" i="52" s="1"/>
  <c r="F39" i="52" a="1"/>
  <c r="F39" i="52" s="1"/>
  <c r="F51" i="52" a="1"/>
  <c r="F51" i="52" s="1"/>
  <c r="F14" i="52" a="1"/>
  <c r="F14" i="52" s="1"/>
  <c r="F26" i="52" a="1"/>
  <c r="F26" i="52" s="1"/>
  <c r="F38" i="52" a="1"/>
  <c r="F38" i="52" s="1"/>
  <c r="F50" i="52" a="1"/>
  <c r="F50" i="52" s="1"/>
  <c r="H27" i="51" a="1"/>
  <c r="H27" i="51" s="1"/>
  <c r="G47" i="51" a="1"/>
  <c r="G47" i="51" s="1"/>
  <c r="G29" i="51" a="1"/>
  <c r="G29" i="51" s="1"/>
  <c r="G23" i="51" a="1"/>
  <c r="G23" i="51" s="1"/>
  <c r="G8" i="51" a="1"/>
  <c r="G8" i="51" s="1"/>
  <c r="F25" i="51" a="1"/>
  <c r="F25" i="51" s="1"/>
  <c r="H18" i="51" a="1"/>
  <c r="H18" i="51" s="1"/>
  <c r="H12" i="51" a="1"/>
  <c r="H12" i="51" s="1"/>
  <c r="H45" i="51" a="1"/>
  <c r="H45" i="51" s="1"/>
  <c r="F13" i="51" a="1"/>
  <c r="F13" i="51" s="1"/>
  <c r="G35" i="51" a="1"/>
  <c r="G35" i="51" s="1"/>
  <c r="G41" i="51" a="1"/>
  <c r="G41" i="51" s="1"/>
  <c r="G38" i="51" a="1"/>
  <c r="G38" i="51" s="1"/>
  <c r="F55" i="51" a="1"/>
  <c r="F55" i="51" s="1"/>
  <c r="G17" i="51" a="1"/>
  <c r="G17" i="51" s="1"/>
  <c r="G20" i="51" a="1"/>
  <c r="G20" i="51" s="1"/>
  <c r="H36" i="51" a="1"/>
  <c r="H36" i="51" s="1"/>
  <c r="H42" i="51" a="1"/>
  <c r="H42" i="51" s="1"/>
  <c r="M59" i="51"/>
  <c r="H15" i="51" a="1"/>
  <c r="H15" i="51" s="1"/>
  <c r="F37" i="51" a="1"/>
  <c r="F37" i="51" s="1"/>
  <c r="F40" i="51" a="1"/>
  <c r="F40" i="51" s="1"/>
  <c r="F43" i="51" a="1"/>
  <c r="F43" i="51" s="1"/>
  <c r="F28" i="51" a="1"/>
  <c r="F28" i="51" s="1"/>
  <c r="H33" i="51" a="1"/>
  <c r="H33" i="51" s="1"/>
  <c r="H48" i="51" a="1"/>
  <c r="H48" i="51" s="1"/>
  <c r="G53" i="51" a="1"/>
  <c r="G53" i="51" s="1"/>
  <c r="G11" i="51" a="1"/>
  <c r="G11" i="51" s="1"/>
  <c r="G26" i="51" a="1"/>
  <c r="G26" i="51" s="1"/>
  <c r="F31" i="51" a="1"/>
  <c r="F31" i="51" s="1"/>
  <c r="F16" i="51" a="1"/>
  <c r="F16" i="51" s="1"/>
  <c r="H21" i="51" a="1"/>
  <c r="H21" i="51" s="1"/>
  <c r="G56" i="51" a="1"/>
  <c r="G56" i="51" s="1"/>
  <c r="G14" i="51" a="1"/>
  <c r="G14" i="51" s="1"/>
  <c r="F19" i="51" a="1"/>
  <c r="F19" i="51" s="1"/>
  <c r="F46" i="51" a="1"/>
  <c r="F46" i="51" s="1"/>
  <c r="H51" i="51" a="1"/>
  <c r="H51" i="51" s="1"/>
  <c r="H9" i="51" a="1"/>
  <c r="H9" i="51" s="1"/>
  <c r="H24" i="51" a="1"/>
  <c r="H24" i="51" s="1"/>
  <c r="G44" i="51" a="1"/>
  <c r="G44" i="51" s="1"/>
  <c r="F49" i="51" a="1"/>
  <c r="F49" i="51" s="1"/>
  <c r="F34" i="51" a="1"/>
  <c r="F34" i="51" s="1"/>
  <c r="H39" i="51" a="1"/>
  <c r="H39" i="51" s="1"/>
  <c r="H54" i="51" a="1"/>
  <c r="H54" i="51" s="1"/>
  <c r="G32" i="51" a="1"/>
  <c r="G32" i="51" s="1"/>
  <c r="F22" i="51" a="1"/>
  <c r="F22" i="51" s="1"/>
  <c r="F52" i="51" a="1"/>
  <c r="F52" i="51" s="1"/>
  <c r="F10" i="51" a="1"/>
  <c r="F10" i="51" s="1"/>
  <c r="H30" i="51" a="1"/>
  <c r="H30" i="51" s="1"/>
  <c r="G50" i="51" a="1"/>
  <c r="G50" i="51" s="1"/>
  <c r="M60" i="51"/>
  <c r="F9" i="51" a="1"/>
  <c r="F9" i="51" s="1"/>
  <c r="G10" i="51" a="1"/>
  <c r="G10" i="51" s="1"/>
  <c r="H11" i="51" a="1"/>
  <c r="H11" i="51" s="1"/>
  <c r="F15" i="51" a="1"/>
  <c r="F15" i="51" s="1"/>
  <c r="G16" i="51" a="1"/>
  <c r="G16" i="51" s="1"/>
  <c r="H17" i="51" a="1"/>
  <c r="H17" i="51" s="1"/>
  <c r="F21" i="51" a="1"/>
  <c r="F21" i="51" s="1"/>
  <c r="G22" i="51" a="1"/>
  <c r="G22" i="51" s="1"/>
  <c r="H23" i="51" a="1"/>
  <c r="H23" i="51" s="1"/>
  <c r="F27" i="51" a="1"/>
  <c r="F27" i="51" s="1"/>
  <c r="G28" i="51" a="1"/>
  <c r="G28" i="51" s="1"/>
  <c r="H29" i="51" a="1"/>
  <c r="H29" i="51" s="1"/>
  <c r="F33" i="51" a="1"/>
  <c r="F33" i="51" s="1"/>
  <c r="G34" i="51" a="1"/>
  <c r="G34" i="51" s="1"/>
  <c r="H35" i="51" a="1"/>
  <c r="H35" i="51" s="1"/>
  <c r="F39" i="51" a="1"/>
  <c r="F39" i="51" s="1"/>
  <c r="G40" i="51" a="1"/>
  <c r="G40" i="51" s="1"/>
  <c r="H41" i="51" a="1"/>
  <c r="H41" i="51" s="1"/>
  <c r="F45" i="51" a="1"/>
  <c r="F45" i="51" s="1"/>
  <c r="G46" i="51" a="1"/>
  <c r="G46" i="51" s="1"/>
  <c r="H47" i="51" a="1"/>
  <c r="H47" i="51" s="1"/>
  <c r="F51" i="51" a="1"/>
  <c r="F51" i="51" s="1"/>
  <c r="G52" i="51" a="1"/>
  <c r="G52" i="51" s="1"/>
  <c r="H53" i="51" a="1"/>
  <c r="H53" i="51" s="1"/>
  <c r="F57" i="51" a="1"/>
  <c r="F57" i="51" s="1"/>
  <c r="F8" i="51" a="1"/>
  <c r="F8" i="51" s="1"/>
  <c r="F14" i="51" a="1"/>
  <c r="F14" i="51" s="1"/>
  <c r="F20" i="51" a="1"/>
  <c r="F20" i="51" s="1"/>
  <c r="F26" i="51" a="1"/>
  <c r="F26" i="51" s="1"/>
  <c r="F32" i="51" a="1"/>
  <c r="F32" i="51" s="1"/>
  <c r="F38" i="51" a="1"/>
  <c r="F38" i="51" s="1"/>
  <c r="F44" i="51" a="1"/>
  <c r="F44" i="51" s="1"/>
  <c r="F50" i="51" a="1"/>
  <c r="F50" i="51" s="1"/>
  <c r="F56" i="51" a="1"/>
  <c r="F56" i="51" s="1"/>
  <c r="G57" i="51" a="1"/>
  <c r="G57" i="51" s="1"/>
  <c r="F12" i="51" a="1"/>
  <c r="F12" i="51" s="1"/>
  <c r="G13" i="51" a="1"/>
  <c r="G13" i="51" s="1"/>
  <c r="F18" i="51" a="1"/>
  <c r="F18" i="51" s="1"/>
  <c r="G19" i="51" a="1"/>
  <c r="G19" i="51" s="1"/>
  <c r="F24" i="51" a="1"/>
  <c r="F24" i="51" s="1"/>
  <c r="G25" i="51" a="1"/>
  <c r="G25" i="51" s="1"/>
  <c r="F30" i="51" a="1"/>
  <c r="F30" i="51" s="1"/>
  <c r="G31" i="51" a="1"/>
  <c r="G31" i="51" s="1"/>
  <c r="F36" i="51" a="1"/>
  <c r="F36" i="51" s="1"/>
  <c r="G37" i="51" a="1"/>
  <c r="G37" i="51" s="1"/>
  <c r="F42" i="51" a="1"/>
  <c r="F42" i="51" s="1"/>
  <c r="G43" i="51" a="1"/>
  <c r="G43" i="51" s="1"/>
  <c r="F48" i="51" a="1"/>
  <c r="F48" i="51" s="1"/>
  <c r="G49" i="51" a="1"/>
  <c r="G49" i="51" s="1"/>
  <c r="F54" i="51" a="1"/>
  <c r="F54" i="51" s="1"/>
  <c r="G55" i="51" a="1"/>
  <c r="G55" i="51" s="1"/>
  <c r="M59" i="50"/>
  <c r="M60" i="50"/>
  <c r="M59" i="49"/>
  <c r="H42" i="49" a="1"/>
  <c r="H42" i="49" s="1"/>
  <c r="F51" i="49" a="1"/>
  <c r="F51" i="49" s="1"/>
  <c r="G41" i="49" a="1"/>
  <c r="G41" i="49" s="1"/>
  <c r="H15" i="49" a="1"/>
  <c r="H15" i="49" s="1"/>
  <c r="G33" i="49" a="1"/>
  <c r="G33" i="49" s="1"/>
  <c r="H23" i="49" a="1"/>
  <c r="H23" i="49" s="1"/>
  <c r="G15" i="49" a="1"/>
  <c r="G15" i="49" s="1"/>
  <c r="F33" i="49" a="1"/>
  <c r="F33" i="49" s="1"/>
  <c r="H47" i="49" a="1"/>
  <c r="H47" i="49" s="1"/>
  <c r="H40" i="49" a="1"/>
  <c r="H40" i="49" s="1"/>
  <c r="G40" i="49" a="1"/>
  <c r="G40" i="49" s="1"/>
  <c r="G21" i="49" a="1"/>
  <c r="G21" i="49" s="1"/>
  <c r="G52" i="49" a="1"/>
  <c r="G52" i="49" s="1"/>
  <c r="F52" i="49" a="1"/>
  <c r="F52" i="49" s="1"/>
  <c r="G51" i="49" a="1"/>
  <c r="G51" i="49" s="1"/>
  <c r="G17" i="49" a="1"/>
  <c r="G17" i="49" s="1"/>
  <c r="H27" i="49" a="1"/>
  <c r="H27" i="49" s="1"/>
  <c r="H18" i="49" a="1"/>
  <c r="H18" i="49" s="1"/>
  <c r="H30" i="49" a="1"/>
  <c r="H30" i="49" s="1"/>
  <c r="F42" i="49" a="1"/>
  <c r="F42" i="49" s="1"/>
  <c r="G23" i="49" a="1"/>
  <c r="G23" i="49" s="1"/>
  <c r="H11" i="49" a="1"/>
  <c r="H11" i="49" s="1"/>
  <c r="F30" i="49" a="1"/>
  <c r="F30" i="49" s="1"/>
  <c r="G16" i="49" a="1"/>
  <c r="G16" i="49" s="1"/>
  <c r="F41" i="49" a="1"/>
  <c r="F41" i="49" s="1"/>
  <c r="F29" i="49" a="1"/>
  <c r="F29" i="49" s="1"/>
  <c r="H21" i="49" a="1"/>
  <c r="H21" i="49" s="1"/>
  <c r="F16" i="49" a="1"/>
  <c r="F16" i="49" s="1"/>
  <c r="F45" i="49" a="1"/>
  <c r="F45" i="49" s="1"/>
  <c r="F39" i="49" a="1"/>
  <c r="F39" i="49" s="1"/>
  <c r="F28" i="49" a="1"/>
  <c r="F28" i="49" s="1"/>
  <c r="G47" i="49" a="1"/>
  <c r="G47" i="49" s="1"/>
  <c r="H37" i="49" a="1"/>
  <c r="H37" i="49" s="1"/>
  <c r="G27" i="49" a="1"/>
  <c r="G27" i="49" s="1"/>
  <c r="G11" i="49" a="1"/>
  <c r="G11" i="49" s="1"/>
  <c r="H43" i="49" a="1"/>
  <c r="H43" i="49" s="1"/>
  <c r="G37" i="49" a="1"/>
  <c r="G37" i="49" s="1"/>
  <c r="G29" i="49" a="1"/>
  <c r="G29" i="49" s="1"/>
  <c r="F18" i="49" a="1"/>
  <c r="F18" i="49" s="1"/>
  <c r="F43" i="49" a="1"/>
  <c r="F43" i="49" s="1"/>
  <c r="H25" i="49" a="1"/>
  <c r="H25" i="49" s="1"/>
  <c r="F17" i="49" a="1"/>
  <c r="F17" i="49" s="1"/>
  <c r="H45" i="49" a="1"/>
  <c r="H45" i="49" s="1"/>
  <c r="H35" i="49" a="1"/>
  <c r="H35" i="49" s="1"/>
  <c r="H28" i="49" a="1"/>
  <c r="H28" i="49" s="1"/>
  <c r="G25" i="49" a="1"/>
  <c r="G25" i="49" s="1"/>
  <c r="H9" i="49" a="1"/>
  <c r="H9" i="49" s="1"/>
  <c r="H49" i="49" a="1"/>
  <c r="H49" i="49" s="1"/>
  <c r="G35" i="49" a="1"/>
  <c r="G35" i="49" s="1"/>
  <c r="F31" i="49" a="1"/>
  <c r="F31" i="49" s="1"/>
  <c r="H13" i="49" a="1"/>
  <c r="H13" i="49" s="1"/>
  <c r="G49" i="49" a="1"/>
  <c r="G49" i="49" s="1"/>
  <c r="H39" i="49" a="1"/>
  <c r="H39" i="49" s="1"/>
  <c r="G13" i="49" a="1"/>
  <c r="G13" i="49" s="1"/>
  <c r="G9" i="49" a="1"/>
  <c r="G9" i="49" s="1"/>
  <c r="F19" i="49" a="1"/>
  <c r="F19" i="49" s="1"/>
  <c r="F48" i="49" a="1"/>
  <c r="F48" i="49" s="1"/>
  <c r="G46" i="49" a="1"/>
  <c r="G46" i="49" s="1"/>
  <c r="H44" i="49" a="1"/>
  <c r="H44" i="49" s="1"/>
  <c r="F36" i="49" a="1"/>
  <c r="F36" i="49" s="1"/>
  <c r="G34" i="49" a="1"/>
  <c r="G34" i="49" s="1"/>
  <c r="H32" i="49" a="1"/>
  <c r="H32" i="49" s="1"/>
  <c r="F24" i="49" a="1"/>
  <c r="F24" i="49" s="1"/>
  <c r="G22" i="49" a="1"/>
  <c r="G22" i="49" s="1"/>
  <c r="H20" i="49" a="1"/>
  <c r="H20" i="49" s="1"/>
  <c r="F12" i="49" a="1"/>
  <c r="F12" i="49" s="1"/>
  <c r="G10" i="49" a="1"/>
  <c r="G10" i="49" s="1"/>
  <c r="F46" i="49" a="1"/>
  <c r="F46" i="49" s="1"/>
  <c r="G44" i="49" a="1"/>
  <c r="G44" i="49" s="1"/>
  <c r="F34" i="49" a="1"/>
  <c r="F34" i="49" s="1"/>
  <c r="G32" i="49" a="1"/>
  <c r="G32" i="49" s="1"/>
  <c r="F22" i="49" a="1"/>
  <c r="F22" i="49" s="1"/>
  <c r="G20" i="49" a="1"/>
  <c r="G20" i="49" s="1"/>
  <c r="F10" i="49" a="1"/>
  <c r="F10" i="49" s="1"/>
  <c r="H50" i="49" a="1"/>
  <c r="H50" i="49" s="1"/>
  <c r="H38" i="49" a="1"/>
  <c r="H38" i="49" s="1"/>
  <c r="H26" i="49" a="1"/>
  <c r="H26" i="49" s="1"/>
  <c r="H14" i="49" a="1"/>
  <c r="H14" i="49" s="1"/>
  <c r="H31" i="49" a="1"/>
  <c r="H31" i="49" s="1"/>
  <c r="H19" i="49" a="1"/>
  <c r="H19" i="49" s="1"/>
  <c r="G50" i="49" a="1"/>
  <c r="G50" i="49" s="1"/>
  <c r="H48" i="49" a="1"/>
  <c r="H48" i="49" s="1"/>
  <c r="G38" i="49" a="1"/>
  <c r="G38" i="49" s="1"/>
  <c r="H36" i="49" a="1"/>
  <c r="H36" i="49" s="1"/>
  <c r="G26" i="49" a="1"/>
  <c r="G26" i="49" s="1"/>
  <c r="H24" i="49" a="1"/>
  <c r="H24" i="49" s="1"/>
  <c r="G14" i="49" a="1"/>
  <c r="G14" i="49" s="1"/>
  <c r="H12" i="49" a="1"/>
  <c r="H12" i="49" s="1"/>
  <c r="F8" i="49" a="1"/>
  <c r="F8" i="49" s="1"/>
  <c r="G8" i="49" a="1"/>
  <c r="G8" i="49" s="1"/>
  <c r="H39" i="50" a="1"/>
  <c r="H39" i="50" s="1"/>
  <c r="F29" i="50" a="1"/>
  <c r="F29" i="50" s="1"/>
  <c r="H36" i="50" a="1"/>
  <c r="H36" i="50" s="1"/>
  <c r="G15" i="50" a="1"/>
  <c r="G15" i="50" s="1"/>
  <c r="H53" i="50" a="1"/>
  <c r="H53" i="50" s="1"/>
  <c r="F51" i="50" a="1"/>
  <c r="F51" i="50" s="1"/>
  <c r="G40" i="50" a="1"/>
  <c r="G40" i="50" s="1"/>
  <c r="G33" i="50" a="1"/>
  <c r="G33" i="50" s="1"/>
  <c r="F40" i="50" a="1"/>
  <c r="F40" i="50" s="1"/>
  <c r="H27" i="50" a="1"/>
  <c r="H27" i="50" s="1"/>
  <c r="H34" i="50" a="1"/>
  <c r="H34" i="50" s="1"/>
  <c r="F50" i="50" a="1"/>
  <c r="F50" i="50" s="1"/>
  <c r="F16" i="50" a="1"/>
  <c r="F16" i="50" s="1"/>
  <c r="H24" i="50" a="1"/>
  <c r="H24" i="50" s="1"/>
  <c r="G52" i="50" a="1"/>
  <c r="G52" i="50" s="1"/>
  <c r="F52" i="50" a="1"/>
  <c r="F52" i="50" s="1"/>
  <c r="H51" i="50" a="1"/>
  <c r="H51" i="50" s="1"/>
  <c r="G53" i="50" a="1"/>
  <c r="G53" i="50" s="1"/>
  <c r="H49" i="50" a="1"/>
  <c r="H49" i="50" s="1"/>
  <c r="F28" i="50" a="1"/>
  <c r="F28" i="50" s="1"/>
  <c r="G27" i="50" a="1"/>
  <c r="G27" i="50" s="1"/>
  <c r="H13" i="50" a="1"/>
  <c r="H13" i="50" s="1"/>
  <c r="H19" i="50" a="1"/>
  <c r="H19" i="50" s="1"/>
  <c r="G38" i="50" a="1"/>
  <c r="G38" i="50" s="1"/>
  <c r="G55" i="50" a="1"/>
  <c r="G55" i="50" s="1"/>
  <c r="H43" i="50" a="1"/>
  <c r="H43" i="50" s="1"/>
  <c r="F38" i="50" a="1"/>
  <c r="F38" i="50" s="1"/>
  <c r="H31" i="50" a="1"/>
  <c r="H31" i="50" s="1"/>
  <c r="F26" i="50" a="1"/>
  <c r="F26" i="50" s="1"/>
  <c r="F17" i="50" a="1"/>
  <c r="F17" i="50" s="1"/>
  <c r="H37" i="50" a="1"/>
  <c r="H37" i="50" s="1"/>
  <c r="H25" i="50" a="1"/>
  <c r="H25" i="50" s="1"/>
  <c r="F55" i="50" a="1"/>
  <c r="F55" i="50" s="1"/>
  <c r="F49" i="50" a="1"/>
  <c r="F49" i="50" s="1"/>
  <c r="F25" i="50" a="1"/>
  <c r="F25" i="50" s="1"/>
  <c r="G43" i="50" a="1"/>
  <c r="G43" i="50" s="1"/>
  <c r="F37" i="50" a="1"/>
  <c r="F37" i="50" s="1"/>
  <c r="H15" i="50" a="1"/>
  <c r="H15" i="50" s="1"/>
  <c r="H12" i="50" a="1"/>
  <c r="H12" i="50" s="1"/>
  <c r="H48" i="50" a="1"/>
  <c r="H48" i="50" s="1"/>
  <c r="G31" i="50" a="1"/>
  <c r="G31" i="50" s="1"/>
  <c r="H17" i="50" a="1"/>
  <c r="H17" i="50" s="1"/>
  <c r="F11" i="50" a="1"/>
  <c r="F11" i="50" s="1"/>
  <c r="H57" i="50" a="1"/>
  <c r="H57" i="50" s="1"/>
  <c r="G39" i="50" a="1"/>
  <c r="G39" i="50" s="1"/>
  <c r="G57" i="50" a="1"/>
  <c r="G57" i="50" s="1"/>
  <c r="H46" i="50" a="1"/>
  <c r="H46" i="50" s="1"/>
  <c r="H41" i="50" a="1"/>
  <c r="H41" i="50" s="1"/>
  <c r="H22" i="50" a="1"/>
  <c r="H22" i="50" s="1"/>
  <c r="H14" i="50" a="1"/>
  <c r="H14" i="50" s="1"/>
  <c r="H10" i="50" a="1"/>
  <c r="H10" i="50" s="1"/>
  <c r="H29" i="50" a="1"/>
  <c r="H29" i="50" s="1"/>
  <c r="H50" i="50" a="1"/>
  <c r="H50" i="50" s="1"/>
  <c r="H45" i="50" a="1"/>
  <c r="H45" i="50" s="1"/>
  <c r="G41" i="50" a="1"/>
  <c r="G41" i="50" s="1"/>
  <c r="H26" i="50" a="1"/>
  <c r="H26" i="50" s="1"/>
  <c r="H21" i="50" a="1"/>
  <c r="H21" i="50" s="1"/>
  <c r="G14" i="50" a="1"/>
  <c r="G14" i="50" s="1"/>
  <c r="G9" i="50" a="1"/>
  <c r="G9" i="50" s="1"/>
  <c r="G45" i="50" a="1"/>
  <c r="G45" i="50" s="1"/>
  <c r="H33" i="50" a="1"/>
  <c r="H33" i="50" s="1"/>
  <c r="G21" i="50" a="1"/>
  <c r="G21" i="50" s="1"/>
  <c r="G16" i="50" a="1"/>
  <c r="G16" i="50" s="1"/>
  <c r="F19" i="50" a="1"/>
  <c r="F19" i="50" s="1"/>
  <c r="H56" i="50" a="1"/>
  <c r="H56" i="50" s="1"/>
  <c r="F48" i="50" a="1"/>
  <c r="F48" i="50" s="1"/>
  <c r="G46" i="50" a="1"/>
  <c r="G46" i="50" s="1"/>
  <c r="H44" i="50" a="1"/>
  <c r="H44" i="50" s="1"/>
  <c r="F36" i="50" a="1"/>
  <c r="F36" i="50" s="1"/>
  <c r="G34" i="50" a="1"/>
  <c r="G34" i="50" s="1"/>
  <c r="H32" i="50" a="1"/>
  <c r="H32" i="50" s="1"/>
  <c r="F24" i="50" a="1"/>
  <c r="F24" i="50" s="1"/>
  <c r="G22" i="50" a="1"/>
  <c r="G22" i="50" s="1"/>
  <c r="H20" i="50" a="1"/>
  <c r="H20" i="50" s="1"/>
  <c r="F12" i="50" a="1"/>
  <c r="F12" i="50" s="1"/>
  <c r="G10" i="50" a="1"/>
  <c r="G10" i="50" s="1"/>
  <c r="G56" i="50" a="1"/>
  <c r="G56" i="50" s="1"/>
  <c r="H54" i="50" a="1"/>
  <c r="H54" i="50" s="1"/>
  <c r="G44" i="50" a="1"/>
  <c r="G44" i="50" s="1"/>
  <c r="H42" i="50" a="1"/>
  <c r="H42" i="50" s="1"/>
  <c r="G32" i="50" a="1"/>
  <c r="G32" i="50" s="1"/>
  <c r="H30" i="50" a="1"/>
  <c r="H30" i="50" s="1"/>
  <c r="G20" i="50" a="1"/>
  <c r="G20" i="50" s="1"/>
  <c r="H18" i="50" a="1"/>
  <c r="H18" i="50" s="1"/>
  <c r="H47" i="50" a="1"/>
  <c r="H47" i="50" s="1"/>
  <c r="H35" i="50" a="1"/>
  <c r="H35" i="50" s="1"/>
  <c r="H23" i="50" a="1"/>
  <c r="H23" i="50" s="1"/>
  <c r="G13" i="50" a="1"/>
  <c r="G13" i="50" s="1"/>
  <c r="H11" i="50" a="1"/>
  <c r="H11" i="50" s="1"/>
  <c r="G54" i="50" a="1"/>
  <c r="G54" i="50" s="1"/>
  <c r="G42" i="50" a="1"/>
  <c r="G42" i="50" s="1"/>
  <c r="G30" i="50" a="1"/>
  <c r="G30" i="50" s="1"/>
  <c r="H28" i="50" a="1"/>
  <c r="H28" i="50" s="1"/>
  <c r="G18" i="50" a="1"/>
  <c r="G18" i="50" s="1"/>
  <c r="G47" i="50" a="1"/>
  <c r="G47" i="50" s="1"/>
  <c r="G35" i="50" a="1"/>
  <c r="G35" i="50" s="1"/>
  <c r="G23" i="50" a="1"/>
  <c r="G23" i="50" s="1"/>
  <c r="H9" i="50" a="1"/>
  <c r="H9" i="50" s="1"/>
  <c r="G8" i="50" a="1"/>
  <c r="G8" i="50" s="1"/>
  <c r="F8" i="50" a="1"/>
  <c r="F8" i="50" s="1"/>
  <c r="T53" i="5" a="1"/>
  <c r="T53" i="5" s="1"/>
  <c r="T47" i="5" a="1"/>
  <c r="T47" i="5" s="1"/>
  <c r="T41" i="5" a="1"/>
  <c r="T41" i="5" s="1"/>
  <c r="T35" i="5" a="1"/>
  <c r="T35" i="5" s="1"/>
  <c r="T29" i="5" a="1"/>
  <c r="T29" i="5" s="1"/>
  <c r="T23" i="5" a="1"/>
  <c r="T23" i="5" s="1"/>
  <c r="T17" i="5" a="1"/>
  <c r="T17" i="5" s="1"/>
  <c r="T51" i="5" a="1"/>
  <c r="T51" i="5" s="1"/>
  <c r="T39" i="5" a="1"/>
  <c r="T39" i="5" s="1"/>
  <c r="T33" i="5" a="1"/>
  <c r="T33" i="5" s="1"/>
  <c r="T21" i="5" a="1"/>
  <c r="T21" i="5" s="1"/>
  <c r="T15" i="5" a="1"/>
  <c r="T15" i="5" s="1"/>
  <c r="AF38" i="33"/>
  <c r="Z13" i="15" a="1"/>
  <c r="Z13" i="15" s="1"/>
  <c r="AD17" i="33"/>
  <c r="Z23" i="15" a="1"/>
  <c r="Z23" i="15" s="1"/>
  <c r="T49" i="5" a="1"/>
  <c r="T49" i="5" s="1"/>
  <c r="T43" i="5" a="1"/>
  <c r="T43" i="5" s="1"/>
  <c r="T37" i="5" a="1"/>
  <c r="T37" i="5" s="1"/>
  <c r="T31" i="5" a="1"/>
  <c r="T31" i="5" s="1"/>
  <c r="AD37" i="33"/>
  <c r="T11" i="5" a="1"/>
  <c r="T11" i="5" s="1"/>
  <c r="AD33" i="33"/>
  <c r="AE17" i="33"/>
  <c r="T50" i="5" a="1"/>
  <c r="T50" i="5" s="1"/>
  <c r="T44" i="5" a="1"/>
  <c r="T44" i="5" s="1"/>
  <c r="T38" i="5" a="1"/>
  <c r="T38" i="5" s="1"/>
  <c r="T32" i="5" a="1"/>
  <c r="T32" i="5" s="1"/>
  <c r="AE44" i="33"/>
  <c r="AD35" i="33"/>
  <c r="AH38" i="33"/>
  <c r="AD41" i="33"/>
  <c r="AD11" i="33"/>
  <c r="AH45" i="33"/>
  <c r="AD49" i="33"/>
  <c r="AG41" i="33"/>
  <c r="T26" i="5" a="1"/>
  <c r="T26" i="5" s="1"/>
  <c r="T20" i="5" a="1"/>
  <c r="T20" i="5" s="1"/>
  <c r="T14" i="5" a="1"/>
  <c r="T14" i="5" s="1"/>
  <c r="T8" i="5" a="1"/>
  <c r="T8" i="5" s="1"/>
  <c r="Y14" i="15" a="1"/>
  <c r="Y14" i="15" s="1"/>
  <c r="T25" i="5" a="1"/>
  <c r="T25" i="5" s="1"/>
  <c r="T19" i="5" a="1"/>
  <c r="T19" i="5" s="1"/>
  <c r="T13" i="5" a="1"/>
  <c r="T13" i="5" s="1"/>
  <c r="T7" i="5" a="1"/>
  <c r="T7" i="5" s="1"/>
  <c r="AE38" i="33"/>
  <c r="AH6" i="33"/>
  <c r="AF6" i="33"/>
  <c r="AE53" i="33"/>
  <c r="AG6" i="33"/>
  <c r="AD44" i="35"/>
  <c r="AH8" i="33"/>
  <c r="AD24" i="35"/>
  <c r="AI6" i="34"/>
  <c r="AG30" i="33"/>
  <c r="AI22" i="33"/>
  <c r="AF5" i="33"/>
  <c r="AH13" i="33"/>
  <c r="AE5" i="33"/>
  <c r="AE30" i="33"/>
  <c r="AG22" i="33"/>
  <c r="AJ20" i="34"/>
  <c r="AH29" i="33"/>
  <c r="AJ21" i="33"/>
  <c r="AD43" i="33"/>
  <c r="AH36" i="33"/>
  <c r="AG29" i="33"/>
  <c r="AI21" i="33"/>
  <c r="T52" i="5" a="1"/>
  <c r="T52" i="5" s="1"/>
  <c r="T46" i="5" a="1"/>
  <c r="T46" i="5" s="1"/>
  <c r="T40" i="5" a="1"/>
  <c r="T40" i="5" s="1"/>
  <c r="T34" i="5" a="1"/>
  <c r="T34" i="5" s="1"/>
  <c r="T28" i="5" a="1"/>
  <c r="T28" i="5" s="1"/>
  <c r="T22" i="5" a="1"/>
  <c r="T22" i="5" s="1"/>
  <c r="T16" i="5" a="1"/>
  <c r="T16" i="5" s="1"/>
  <c r="T10" i="5" a="1"/>
  <c r="T10" i="5" s="1"/>
  <c r="AG13" i="33"/>
  <c r="AF9" i="33"/>
  <c r="AI41" i="33"/>
  <c r="AI18" i="33"/>
  <c r="AG5" i="33"/>
  <c r="AE49" i="33"/>
  <c r="AH41" i="33"/>
  <c r="AD23" i="33"/>
  <c r="AG18" i="33"/>
  <c r="AD13" i="33"/>
  <c r="AE9" i="33"/>
  <c r="AG44" i="35"/>
  <c r="H46" i="48" a="1"/>
  <c r="H46" i="48" s="1"/>
  <c r="AD9" i="33"/>
  <c r="AG6" i="34"/>
  <c r="G39" i="48" a="1"/>
  <c r="G39" i="48" s="1"/>
  <c r="AD23" i="34"/>
  <c r="AF49" i="33"/>
  <c r="AD47" i="33"/>
  <c r="AJ23" i="34"/>
  <c r="AG6" i="35"/>
  <c r="T80" i="5" a="1"/>
  <c r="T80" i="5" s="1"/>
  <c r="H40" i="48" a="1"/>
  <c r="H40" i="48" s="1"/>
  <c r="AF33" i="33"/>
  <c r="F50" i="48" a="1"/>
  <c r="F50" i="48" s="1"/>
  <c r="AD5" i="33"/>
  <c r="AH15" i="35"/>
  <c r="AJ42" i="33"/>
  <c r="AI42" i="33"/>
  <c r="AI16" i="34"/>
  <c r="G33" i="48" a="1"/>
  <c r="G33" i="48" s="1"/>
  <c r="AF6" i="35"/>
  <c r="AH40" i="33"/>
  <c r="AJ10" i="33"/>
  <c r="AI10" i="33"/>
  <c r="AG52" i="33"/>
  <c r="AJ38" i="33"/>
  <c r="AJ41" i="35"/>
  <c r="T48" i="5" a="1"/>
  <c r="T48" i="5" s="1"/>
  <c r="T42" i="5" a="1"/>
  <c r="T42" i="5" s="1"/>
  <c r="T30" i="5" a="1"/>
  <c r="T30" i="5" s="1"/>
  <c r="T24" i="5" a="1"/>
  <c r="T24" i="5" s="1"/>
  <c r="T12" i="5" a="1"/>
  <c r="T12" i="5" s="1"/>
  <c r="T6" i="5" a="1"/>
  <c r="T6" i="5" s="1"/>
  <c r="G51" i="48" a="1"/>
  <c r="G51" i="48" s="1"/>
  <c r="AJ45" i="33"/>
  <c r="AH42" i="33"/>
  <c r="AG26" i="33"/>
  <c r="AG10" i="33"/>
  <c r="AI45" i="33"/>
  <c r="AG42" i="33"/>
  <c r="AI38" i="33"/>
  <c r="AE26" i="33"/>
  <c r="AE10" i="33"/>
  <c r="AH34" i="35"/>
  <c r="AJ13" i="33"/>
  <c r="H52" i="48" a="1"/>
  <c r="H52" i="48" s="1"/>
  <c r="AG45" i="33"/>
  <c r="AJ41" i="33"/>
  <c r="AI13" i="33"/>
  <c r="G27" i="48" a="1"/>
  <c r="G27" i="48" s="1"/>
  <c r="G45" i="48" a="1"/>
  <c r="G45" i="48" s="1"/>
  <c r="AF5" i="35"/>
  <c r="AH46" i="35"/>
  <c r="AH19" i="35"/>
  <c r="AG40" i="35"/>
  <c r="AJ46" i="35"/>
  <c r="T93" i="5" a="1"/>
  <c r="T93" i="5" s="1"/>
  <c r="T87" i="5" a="1"/>
  <c r="T87" i="5" s="1"/>
  <c r="T76" i="5" a="1"/>
  <c r="T76" i="5" s="1"/>
  <c r="T70" i="5" a="1"/>
  <c r="T70" i="5" s="1"/>
  <c r="T64" i="5" a="1"/>
  <c r="T64" i="5" s="1"/>
  <c r="T58" i="5" a="1"/>
  <c r="T58" i="5" s="1"/>
  <c r="F8" i="48" a="1"/>
  <c r="F8" i="48" s="1"/>
  <c r="G9" i="48" a="1"/>
  <c r="G9" i="48" s="1"/>
  <c r="H10" i="48" a="1"/>
  <c r="H10" i="48" s="1"/>
  <c r="F14" i="48" a="1"/>
  <c r="F14" i="48" s="1"/>
  <c r="G15" i="48" a="1"/>
  <c r="G15" i="48" s="1"/>
  <c r="H16" i="48" a="1"/>
  <c r="H16" i="48" s="1"/>
  <c r="F20" i="48" a="1"/>
  <c r="F20" i="48" s="1"/>
  <c r="G21" i="48" a="1"/>
  <c r="G21" i="48" s="1"/>
  <c r="H22" i="48" a="1"/>
  <c r="H22" i="48" s="1"/>
  <c r="F26" i="48" a="1"/>
  <c r="F26" i="48" s="1"/>
  <c r="H28" i="48" a="1"/>
  <c r="H28" i="48" s="1"/>
  <c r="F32" i="48" a="1"/>
  <c r="F32" i="48" s="1"/>
  <c r="H34" i="48" a="1"/>
  <c r="H34" i="48" s="1"/>
  <c r="F38" i="48" a="1"/>
  <c r="F38" i="48" s="1"/>
  <c r="F44" i="48" a="1"/>
  <c r="F44" i="48" s="1"/>
  <c r="AF29" i="33"/>
  <c r="AH5" i="35"/>
  <c r="AJ40" i="35"/>
  <c r="Y6" i="15" a="1"/>
  <c r="Y6" i="15" s="1"/>
  <c r="Y12" i="15" a="1"/>
  <c r="Y12" i="15" s="1"/>
  <c r="AJ54" i="33"/>
  <c r="AH32" i="33"/>
  <c r="AH21" i="33"/>
  <c r="AI54" i="33"/>
  <c r="AH52" i="33"/>
  <c r="AF45" i="33"/>
  <c r="AF34" i="33"/>
  <c r="AD31" i="33"/>
  <c r="AE29" i="33"/>
  <c r="AG21" i="33"/>
  <c r="AF13" i="33"/>
  <c r="AE9" i="34"/>
  <c r="AE14" i="34"/>
  <c r="AJ5" i="35"/>
  <c r="Y11" i="15" a="1"/>
  <c r="Y11" i="15" s="1"/>
  <c r="T98" i="5" a="1"/>
  <c r="T98" i="5" s="1"/>
  <c r="T92" i="5" a="1"/>
  <c r="T92" i="5" s="1"/>
  <c r="T86" i="5" a="1"/>
  <c r="T86" i="5" s="1"/>
  <c r="T75" i="5" a="1"/>
  <c r="T75" i="5" s="1"/>
  <c r="T69" i="5" a="1"/>
  <c r="T69" i="5" s="1"/>
  <c r="T57" i="5" a="1"/>
  <c r="T57" i="5" s="1"/>
  <c r="G8" i="48" a="1"/>
  <c r="G8" i="48" s="1"/>
  <c r="H9" i="48" a="1"/>
  <c r="H9" i="48" s="1"/>
  <c r="F13" i="48" a="1"/>
  <c r="F13" i="48" s="1"/>
  <c r="G14" i="48" a="1"/>
  <c r="G14" i="48" s="1"/>
  <c r="H15" i="48" a="1"/>
  <c r="H15" i="48" s="1"/>
  <c r="F19" i="48" a="1"/>
  <c r="F19" i="48" s="1"/>
  <c r="G20" i="48" a="1"/>
  <c r="G20" i="48" s="1"/>
  <c r="H21" i="48" a="1"/>
  <c r="H21" i="48" s="1"/>
  <c r="F25" i="48" a="1"/>
  <c r="F25" i="48" s="1"/>
  <c r="G26" i="48" a="1"/>
  <c r="G26" i="48" s="1"/>
  <c r="H27" i="48" a="1"/>
  <c r="H27" i="48" s="1"/>
  <c r="F31" i="48" a="1"/>
  <c r="F31" i="48" s="1"/>
  <c r="G32" i="48" a="1"/>
  <c r="G32" i="48" s="1"/>
  <c r="H33" i="48" a="1"/>
  <c r="H33" i="48" s="1"/>
  <c r="F37" i="48" a="1"/>
  <c r="F37" i="48" s="1"/>
  <c r="G38" i="48" a="1"/>
  <c r="G38" i="48" s="1"/>
  <c r="H39" i="48" a="1"/>
  <c r="H39" i="48" s="1"/>
  <c r="F43" i="48" a="1"/>
  <c r="F43" i="48" s="1"/>
  <c r="G44" i="48" a="1"/>
  <c r="G44" i="48" s="1"/>
  <c r="H45" i="48" a="1"/>
  <c r="H45" i="48" s="1"/>
  <c r="F49" i="48" a="1"/>
  <c r="F49" i="48" s="1"/>
  <c r="G50" i="48" a="1"/>
  <c r="G50" i="48" s="1"/>
  <c r="H51" i="48" a="1"/>
  <c r="H51" i="48" s="1"/>
  <c r="AC14" i="34"/>
  <c r="AD14" i="34"/>
  <c r="AH54" i="33"/>
  <c r="AH48" i="33"/>
  <c r="AE34" i="33"/>
  <c r="AH24" i="33"/>
  <c r="AD21" i="33"/>
  <c r="AE13" i="33"/>
  <c r="AH14" i="34"/>
  <c r="AF9" i="34"/>
  <c r="AG14" i="34"/>
  <c r="AI20" i="34"/>
  <c r="AF21" i="35"/>
  <c r="Z10" i="15" a="1"/>
  <c r="Z10" i="15" s="1"/>
  <c r="AJ50" i="33"/>
  <c r="AI14" i="34"/>
  <c r="T103" i="5" a="1"/>
  <c r="T103" i="5" s="1"/>
  <c r="T97" i="5" a="1"/>
  <c r="T97" i="5" s="1"/>
  <c r="T91" i="5" a="1"/>
  <c r="T91" i="5" s="1"/>
  <c r="T85" i="5" a="1"/>
  <c r="T85" i="5" s="1"/>
  <c r="T74" i="5" a="1"/>
  <c r="T74" i="5" s="1"/>
  <c r="T68" i="5" a="1"/>
  <c r="T68" i="5" s="1"/>
  <c r="T62" i="5" a="1"/>
  <c r="T62" i="5" s="1"/>
  <c r="T56" i="5" a="1"/>
  <c r="T56" i="5" s="1"/>
  <c r="F12" i="48" a="1"/>
  <c r="F12" i="48" s="1"/>
  <c r="G13" i="48" a="1"/>
  <c r="G13" i="48" s="1"/>
  <c r="F18" i="48" a="1"/>
  <c r="F18" i="48" s="1"/>
  <c r="G19" i="48" a="1"/>
  <c r="G19" i="48" s="1"/>
  <c r="F24" i="48" a="1"/>
  <c r="F24" i="48" s="1"/>
  <c r="G25" i="48" a="1"/>
  <c r="G25" i="48" s="1"/>
  <c r="F30" i="48" a="1"/>
  <c r="F30" i="48" s="1"/>
  <c r="G31" i="48" a="1"/>
  <c r="G31" i="48" s="1"/>
  <c r="F36" i="48" a="1"/>
  <c r="F36" i="48" s="1"/>
  <c r="G37" i="48" a="1"/>
  <c r="G37" i="48" s="1"/>
  <c r="F42" i="48" a="1"/>
  <c r="F42" i="48" s="1"/>
  <c r="G43" i="48" a="1"/>
  <c r="G43" i="48" s="1"/>
  <c r="F48" i="48" a="1"/>
  <c r="F48" i="48" s="1"/>
  <c r="G49" i="48" a="1"/>
  <c r="G49" i="48" s="1"/>
  <c r="AJ53" i="33"/>
  <c r="AI50" i="33"/>
  <c r="AJ33" i="33"/>
  <c r="AI30" i="33"/>
  <c r="AH16" i="33"/>
  <c r="AE5" i="35"/>
  <c r="AJ30" i="33"/>
  <c r="AH28" i="33"/>
  <c r="AG14" i="35"/>
  <c r="AI53" i="33"/>
  <c r="AH50" i="33"/>
  <c r="AG46" i="33"/>
  <c r="AH44" i="33"/>
  <c r="AI33" i="33"/>
  <c r="AH30" i="33"/>
  <c r="AD27" i="33"/>
  <c r="AJ22" i="33"/>
  <c r="AH20" i="33"/>
  <c r="AD15" i="33"/>
  <c r="AH12" i="33"/>
  <c r="AH9" i="33"/>
  <c r="AH38" i="35"/>
  <c r="Z15" i="15" a="1"/>
  <c r="Z15" i="15" s="1"/>
  <c r="T102" i="5" a="1"/>
  <c r="T102" i="5" s="1"/>
  <c r="T96" i="5" a="1"/>
  <c r="T96" i="5" s="1"/>
  <c r="T84" i="5" a="1"/>
  <c r="T84" i="5" s="1"/>
  <c r="T79" i="5" a="1"/>
  <c r="T79" i="5" s="1"/>
  <c r="T73" i="5" a="1"/>
  <c r="T73" i="5" s="1"/>
  <c r="T67" i="5" a="1"/>
  <c r="T67" i="5" s="1"/>
  <c r="T61" i="5" a="1"/>
  <c r="T61" i="5" s="1"/>
  <c r="T55" i="5" a="1"/>
  <c r="T55" i="5" s="1"/>
  <c r="F11" i="48" a="1"/>
  <c r="F11" i="48" s="1"/>
  <c r="G12" i="48" a="1"/>
  <c r="G12" i="48" s="1"/>
  <c r="F17" i="48" a="1"/>
  <c r="F17" i="48" s="1"/>
  <c r="G18" i="48" a="1"/>
  <c r="G18" i="48" s="1"/>
  <c r="F23" i="48" a="1"/>
  <c r="F23" i="48" s="1"/>
  <c r="G24" i="48" a="1"/>
  <c r="G24" i="48" s="1"/>
  <c r="F29" i="48" a="1"/>
  <c r="F29" i="48" s="1"/>
  <c r="G30" i="48" a="1"/>
  <c r="G30" i="48" s="1"/>
  <c r="F35" i="48" a="1"/>
  <c r="F35" i="48" s="1"/>
  <c r="G36" i="48" a="1"/>
  <c r="G36" i="48" s="1"/>
  <c r="F41" i="48" a="1"/>
  <c r="F41" i="48" s="1"/>
  <c r="G42" i="48" a="1"/>
  <c r="G42" i="48" s="1"/>
  <c r="F47" i="48" a="1"/>
  <c r="F47" i="48" s="1"/>
  <c r="G48" i="48" a="1"/>
  <c r="G48" i="48" s="1"/>
  <c r="AF50" i="33"/>
  <c r="AF37" i="33"/>
  <c r="AH33" i="33"/>
  <c r="AH53" i="33"/>
  <c r="AF46" i="33"/>
  <c r="AH11" i="34"/>
  <c r="AH5" i="33"/>
  <c r="AG53" i="33"/>
  <c r="AE50" i="33"/>
  <c r="AE46" i="33"/>
  <c r="AF41" i="33"/>
  <c r="AE37" i="33"/>
  <c r="AG33" i="33"/>
  <c r="AF30" i="33"/>
  <c r="AH26" i="33"/>
  <c r="AH22" i="33"/>
  <c r="AJ18" i="33"/>
  <c r="AE14" i="33"/>
  <c r="AD7" i="33"/>
  <c r="AG16" i="34"/>
  <c r="AC23" i="34"/>
  <c r="T101" i="5" a="1"/>
  <c r="T101" i="5" s="1"/>
  <c r="T95" i="5" a="1"/>
  <c r="T95" i="5" s="1"/>
  <c r="T89" i="5" a="1"/>
  <c r="T89" i="5" s="1"/>
  <c r="T83" i="5" a="1"/>
  <c r="T83" i="5" s="1"/>
  <c r="T78" i="5" a="1"/>
  <c r="T78" i="5" s="1"/>
  <c r="T66" i="5" a="1"/>
  <c r="T66" i="5" s="1"/>
  <c r="T60" i="5" a="1"/>
  <c r="T60" i="5" s="1"/>
  <c r="F10" i="48" a="1"/>
  <c r="F10" i="48" s="1"/>
  <c r="G11" i="48" a="1"/>
  <c r="G11" i="48" s="1"/>
  <c r="F16" i="48" a="1"/>
  <c r="F16" i="48" s="1"/>
  <c r="G17" i="48" a="1"/>
  <c r="G17" i="48" s="1"/>
  <c r="F22" i="48" a="1"/>
  <c r="F22" i="48" s="1"/>
  <c r="G23" i="48" a="1"/>
  <c r="G23" i="48" s="1"/>
  <c r="F28" i="48" a="1"/>
  <c r="F28" i="48" s="1"/>
  <c r="G29" i="48" a="1"/>
  <c r="G29" i="48" s="1"/>
  <c r="F34" i="48" a="1"/>
  <c r="F34" i="48" s="1"/>
  <c r="G35" i="48" a="1"/>
  <c r="G35" i="48" s="1"/>
  <c r="F40" i="48" a="1"/>
  <c r="F40" i="48" s="1"/>
  <c r="G41" i="48" a="1"/>
  <c r="G41" i="48" s="1"/>
  <c r="F46" i="48" a="1"/>
  <c r="F46" i="48" s="1"/>
  <c r="G47" i="48" a="1"/>
  <c r="G47" i="48" s="1"/>
  <c r="F52" i="48" a="1"/>
  <c r="F52" i="48" s="1"/>
  <c r="Y22" i="15" a="1"/>
  <c r="Y22" i="15" s="1"/>
  <c r="AD53" i="33"/>
  <c r="AE40" i="33"/>
  <c r="AE33" i="33"/>
  <c r="AF26" i="33"/>
  <c r="AH18" i="33"/>
  <c r="AI33" i="34"/>
  <c r="AD5" i="35"/>
  <c r="AF45" i="35"/>
  <c r="T100" i="5" a="1"/>
  <c r="T100" i="5" s="1"/>
  <c r="T94" i="5" a="1"/>
  <c r="T94" i="5" s="1"/>
  <c r="T88" i="5" a="1"/>
  <c r="T88" i="5" s="1"/>
  <c r="T82" i="5" a="1"/>
  <c r="T82" i="5" s="1"/>
  <c r="T77" i="5" a="1"/>
  <c r="T77" i="5" s="1"/>
  <c r="T71" i="5" a="1"/>
  <c r="T71" i="5" s="1"/>
  <c r="T65" i="5" a="1"/>
  <c r="T65" i="5" s="1"/>
  <c r="T59" i="5" a="1"/>
  <c r="T59" i="5" s="1"/>
  <c r="T5" i="5" a="1"/>
  <c r="T5" i="5" s="1"/>
  <c r="T99" i="5" a="1"/>
  <c r="T99" i="5" s="1"/>
  <c r="T90" i="5" a="1"/>
  <c r="T90" i="5" s="1"/>
  <c r="T81" i="5" a="1"/>
  <c r="T81" i="5" s="1"/>
  <c r="T72" i="5" a="1"/>
  <c r="T72" i="5" s="1"/>
  <c r="T63" i="5" a="1"/>
  <c r="T63" i="5" s="1"/>
  <c r="T54" i="5" a="1"/>
  <c r="T54" i="5" s="1"/>
  <c r="T45" i="5" a="1"/>
  <c r="T45" i="5" s="1"/>
  <c r="T36" i="5" a="1"/>
  <c r="T36" i="5" s="1"/>
  <c r="T27" i="5" a="1"/>
  <c r="T27" i="5" s="1"/>
  <c r="T18" i="5" a="1"/>
  <c r="T18" i="5" s="1"/>
  <c r="T9" i="5" a="1"/>
  <c r="T9" i="5" s="1"/>
  <c r="Y36" i="4" a="1"/>
  <c r="Y36" i="4" s="1"/>
  <c r="Z24" i="4" a="1"/>
  <c r="Z24" i="4" s="1"/>
  <c r="X10" i="4" a="1"/>
  <c r="X10" i="4" s="1"/>
  <c r="Z39" i="4" a="1"/>
  <c r="Z39" i="4" s="1"/>
  <c r="Y24" i="4" a="1"/>
  <c r="Y24" i="4" s="1"/>
  <c r="Z15" i="4" a="1"/>
  <c r="Z15" i="4" s="1"/>
  <c r="X5" i="4" a="1"/>
  <c r="X5" i="4" s="1"/>
  <c r="X34" i="4" a="1"/>
  <c r="X34" i="4" s="1"/>
  <c r="X26" i="4" a="1"/>
  <c r="X26" i="4" s="1"/>
  <c r="X25" i="4" a="1"/>
  <c r="X25" i="4" s="1"/>
  <c r="Y5" i="4" a="1"/>
  <c r="Y5" i="4" s="1"/>
  <c r="X49" i="4" a="1"/>
  <c r="X49" i="4" s="1"/>
  <c r="X41" i="4" a="1"/>
  <c r="X41" i="4" s="1"/>
  <c r="X17" i="4" a="1"/>
  <c r="X17" i="4" s="1"/>
  <c r="X48" i="4" a="1"/>
  <c r="X48" i="4" s="1"/>
  <c r="X33" i="4" a="1"/>
  <c r="X33" i="4" s="1"/>
  <c r="Z49" i="4" a="1"/>
  <c r="Z49" i="4" s="1"/>
  <c r="Z35" i="4" a="1"/>
  <c r="Z35" i="4" s="1"/>
  <c r="Y15" i="4" a="1"/>
  <c r="Y15" i="4" s="1"/>
  <c r="X40" i="4" a="1"/>
  <c r="X40" i="4" s="1"/>
  <c r="X32" i="4" a="1"/>
  <c r="X32" i="4" s="1"/>
  <c r="X16" i="4" a="1"/>
  <c r="X16" i="4" s="1"/>
  <c r="X9" i="4" a="1"/>
  <c r="X9" i="4" s="1"/>
  <c r="Z46" i="4" a="1"/>
  <c r="Z46" i="4" s="1"/>
  <c r="Y35" i="4" a="1"/>
  <c r="Y35" i="4" s="1"/>
  <c r="X47" i="4" a="1"/>
  <c r="X47" i="4" s="1"/>
  <c r="X31" i="4" a="1"/>
  <c r="X31" i="4" s="1"/>
  <c r="X23" i="4" a="1"/>
  <c r="X23" i="4" s="1"/>
  <c r="X8" i="4" a="1"/>
  <c r="X8" i="4" s="1"/>
  <c r="Y46" i="4" a="1"/>
  <c r="Y46" i="4" s="1"/>
  <c r="Z34" i="4" a="1"/>
  <c r="Z34" i="4" s="1"/>
  <c r="Z14" i="4" a="1"/>
  <c r="Z14" i="4" s="1"/>
  <c r="X39" i="4" a="1"/>
  <c r="X39" i="4" s="1"/>
  <c r="X30" i="4" a="1"/>
  <c r="X30" i="4" s="1"/>
  <c r="Z45" i="4" a="1"/>
  <c r="Z45" i="4" s="1"/>
  <c r="Y14" i="4" a="1"/>
  <c r="Y14" i="4" s="1"/>
  <c r="X38" i="4" a="1"/>
  <c r="X38" i="4" s="1"/>
  <c r="X22" i="4" a="1"/>
  <c r="X22" i="4" s="1"/>
  <c r="X7" i="4" a="1"/>
  <c r="X7" i="4" s="1"/>
  <c r="Y45" i="4" a="1"/>
  <c r="Y45" i="4" s="1"/>
  <c r="Y31" i="4" a="1"/>
  <c r="Y31" i="4" s="1"/>
  <c r="Z13" i="4" a="1"/>
  <c r="Z13" i="4" s="1"/>
  <c r="X37" i="4" a="1"/>
  <c r="X37" i="4" s="1"/>
  <c r="X29" i="4" a="1"/>
  <c r="X29" i="4" s="1"/>
  <c r="X6" i="4" a="1"/>
  <c r="X6" i="4" s="1"/>
  <c r="Z41" i="4" a="1"/>
  <c r="Z41" i="4" s="1"/>
  <c r="Z30" i="4" a="1"/>
  <c r="Z30" i="4" s="1"/>
  <c r="Z10" i="4" a="1"/>
  <c r="Z10" i="4" s="1"/>
  <c r="X36" i="4" a="1"/>
  <c r="X36" i="4" s="1"/>
  <c r="X21" i="4" a="1"/>
  <c r="X21" i="4" s="1"/>
  <c r="X13" i="4" a="1"/>
  <c r="X13" i="4" s="1"/>
  <c r="Y26" i="4" a="1"/>
  <c r="Y26" i="4" s="1"/>
  <c r="X44" i="4" a="1"/>
  <c r="X44" i="4" s="1"/>
  <c r="X28" i="4" a="1"/>
  <c r="X28" i="4" s="1"/>
  <c r="X20" i="4" a="1"/>
  <c r="X20" i="4" s="1"/>
  <c r="X12" i="4" a="1"/>
  <c r="X12" i="4" s="1"/>
  <c r="Z40" i="4" a="1"/>
  <c r="Z40" i="4" s="1"/>
  <c r="Z25" i="4" a="1"/>
  <c r="Z25" i="4" s="1"/>
  <c r="Z9" i="4" a="1"/>
  <c r="Z9" i="4" s="1"/>
  <c r="X43" i="4" a="1"/>
  <c r="X43" i="4" s="1"/>
  <c r="X19" i="4" a="1"/>
  <c r="X19" i="4" s="1"/>
  <c r="X42" i="4" a="1"/>
  <c r="X42" i="4" s="1"/>
  <c r="X27" i="4" a="1"/>
  <c r="X27" i="4" s="1"/>
  <c r="X18" i="4" a="1"/>
  <c r="X18" i="4" s="1"/>
  <c r="X11" i="4" a="1"/>
  <c r="X11" i="4" s="1"/>
  <c r="Y44" i="4" a="1"/>
  <c r="Y44" i="4" s="1"/>
  <c r="Z33" i="4" a="1"/>
  <c r="Z33" i="4" s="1"/>
  <c r="Z28" i="4" a="1"/>
  <c r="Z28" i="4" s="1"/>
  <c r="Z23" i="4" a="1"/>
  <c r="Z23" i="4" s="1"/>
  <c r="Y18" i="4" a="1"/>
  <c r="Y18" i="4" s="1"/>
  <c r="Y8" i="4" a="1"/>
  <c r="Y8" i="4" s="1"/>
  <c r="Z20" i="4" a="1"/>
  <c r="Z20" i="4" s="1"/>
  <c r="Y29" i="4" a="1"/>
  <c r="Y29" i="4" s="1"/>
  <c r="Z48" i="4" a="1"/>
  <c r="Z48" i="4" s="1"/>
  <c r="Z43" i="4" a="1"/>
  <c r="Z43" i="4" s="1"/>
  <c r="Z38" i="4" a="1"/>
  <c r="Z38" i="4" s="1"/>
  <c r="Z12" i="4" a="1"/>
  <c r="Z12" i="4" s="1"/>
  <c r="Z7" i="4" a="1"/>
  <c r="Z7" i="4" s="1"/>
  <c r="Z27" i="4" a="1"/>
  <c r="Z27" i="4" s="1"/>
  <c r="Z22" i="4" a="1"/>
  <c r="Z22" i="4" s="1"/>
  <c r="Z17" i="4" a="1"/>
  <c r="Z17" i="4" s="1"/>
  <c r="Z42" i="4" a="1"/>
  <c r="Z42" i="4" s="1"/>
  <c r="Z37" i="4" a="1"/>
  <c r="Z37" i="4" s="1"/>
  <c r="Z32" i="4" a="1"/>
  <c r="Z32" i="4" s="1"/>
  <c r="Z6" i="4" a="1"/>
  <c r="Z6" i="4" s="1"/>
  <c r="Z19" i="4" a="1"/>
  <c r="Z19" i="4" s="1"/>
  <c r="Z47" i="4" a="1"/>
  <c r="Z47" i="4" s="1"/>
  <c r="Z21" i="4" a="1"/>
  <c r="Z21" i="4" s="1"/>
  <c r="Z16" i="4" a="1"/>
  <c r="Z16" i="4" s="1"/>
  <c r="Z11" i="4" a="1"/>
  <c r="Z11" i="4" s="1"/>
  <c r="Z16" i="15" a="1"/>
  <c r="Z16" i="15" s="1"/>
  <c r="Z17" i="15" a="1"/>
  <c r="Z17" i="15" s="1"/>
  <c r="Y21" i="15" a="1"/>
  <c r="Y21" i="15" s="1"/>
  <c r="Z7" i="15" a="1"/>
  <c r="Z7" i="15" s="1"/>
  <c r="Y20" i="15" a="1"/>
  <c r="Y20" i="15" s="1"/>
  <c r="Z8" i="15" a="1"/>
  <c r="Z8" i="15" s="1"/>
  <c r="Z18" i="15" a="1"/>
  <c r="Z18" i="15" s="1"/>
  <c r="Y19" i="15" a="1"/>
  <c r="Y19" i="15" s="1"/>
  <c r="Z9" i="15" a="1"/>
  <c r="Z9" i="15" s="1"/>
  <c r="I83" i="12"/>
  <c r="J83" i="12" s="1" a="1"/>
  <c r="J83" i="12" s="1"/>
  <c r="I29" i="12"/>
  <c r="J29" i="12" s="1" a="1"/>
  <c r="J29" i="12" s="1"/>
  <c r="I71" i="12"/>
  <c r="J71" i="12" s="1" a="1"/>
  <c r="J71" i="12" s="1"/>
  <c r="I23" i="12"/>
  <c r="J23" i="12" s="1" a="1"/>
  <c r="J23" i="12" s="1"/>
  <c r="I59" i="12"/>
  <c r="J59" i="12" s="1" a="1"/>
  <c r="J59" i="12" s="1"/>
  <c r="I53" i="12"/>
  <c r="J53" i="12" s="1" a="1"/>
  <c r="J53" i="12" s="1"/>
  <c r="I41" i="12"/>
  <c r="J41" i="12" s="1" a="1"/>
  <c r="J41" i="12" s="1"/>
  <c r="I11" i="12"/>
  <c r="J11" i="12" s="1" a="1"/>
  <c r="J11" i="12" s="1"/>
  <c r="I35" i="12"/>
  <c r="J35" i="12" s="1" a="1"/>
  <c r="J35" i="12" s="1"/>
  <c r="I88" i="12"/>
  <c r="J88" i="12" s="1" a="1"/>
  <c r="J88" i="12" s="1"/>
  <c r="I82" i="12"/>
  <c r="J82" i="12" s="1" a="1"/>
  <c r="J82" i="12" s="1"/>
  <c r="I76" i="12"/>
  <c r="J76" i="12" s="1" a="1"/>
  <c r="J76" i="12" s="1"/>
  <c r="I70" i="12"/>
  <c r="J70" i="12" s="1" a="1"/>
  <c r="J70" i="12" s="1"/>
  <c r="I64" i="12"/>
  <c r="J64" i="12" s="1" a="1"/>
  <c r="J64" i="12" s="1"/>
  <c r="I58" i="12"/>
  <c r="J58" i="12" s="1" a="1"/>
  <c r="J58" i="12" s="1"/>
  <c r="I52" i="12"/>
  <c r="J52" i="12" s="1" a="1"/>
  <c r="J52" i="12" s="1"/>
  <c r="I46" i="12"/>
  <c r="J46" i="12" s="1" a="1"/>
  <c r="J46" i="12" s="1"/>
  <c r="I34" i="12"/>
  <c r="J34" i="12" s="1" a="1"/>
  <c r="J34" i="12" s="1"/>
  <c r="I28" i="12"/>
  <c r="J28" i="12" s="1" a="1"/>
  <c r="J28" i="12" s="1"/>
  <c r="I22" i="12"/>
  <c r="J22" i="12" s="1" a="1"/>
  <c r="J22" i="12" s="1"/>
  <c r="I7" i="12"/>
  <c r="J7" i="12" s="1" a="1"/>
  <c r="J7" i="12" s="1"/>
  <c r="I10" i="12"/>
  <c r="J10" i="12" s="1" a="1"/>
  <c r="J10" i="12" s="1"/>
  <c r="I87" i="12"/>
  <c r="J87" i="12" s="1" a="1"/>
  <c r="J87" i="12" s="1"/>
  <c r="I81" i="12"/>
  <c r="J81" i="12" s="1" a="1"/>
  <c r="J81" i="12" s="1"/>
  <c r="I75" i="12"/>
  <c r="J75" i="12" s="1" a="1"/>
  <c r="J75" i="12" s="1"/>
  <c r="I69" i="12"/>
  <c r="J69" i="12" s="1" a="1"/>
  <c r="J69" i="12" s="1"/>
  <c r="I57" i="12"/>
  <c r="J57" i="12" s="1" a="1"/>
  <c r="J57" i="12" s="1"/>
  <c r="I45" i="12"/>
  <c r="J45" i="12" s="1" a="1"/>
  <c r="J45" i="12" s="1"/>
  <c r="I39" i="12"/>
  <c r="J39" i="12" s="1" a="1"/>
  <c r="J39" i="12" s="1"/>
  <c r="I33" i="12"/>
  <c r="J33" i="12" s="1" a="1"/>
  <c r="J33" i="12" s="1"/>
  <c r="I27" i="12"/>
  <c r="J27" i="12" s="1" a="1"/>
  <c r="J27" i="12" s="1"/>
  <c r="I21" i="12"/>
  <c r="J21" i="12" s="1" a="1"/>
  <c r="J21" i="12" s="1"/>
  <c r="I9" i="12"/>
  <c r="J9" i="12" s="1" a="1"/>
  <c r="J9" i="12" s="1"/>
  <c r="I92" i="12"/>
  <c r="J92" i="12" s="1" a="1"/>
  <c r="J92" i="12" s="1"/>
  <c r="I86" i="12"/>
  <c r="J86" i="12" s="1" a="1"/>
  <c r="J86" i="12" s="1"/>
  <c r="I80" i="12"/>
  <c r="J80" i="12" s="1" a="1"/>
  <c r="J80" i="12" s="1"/>
  <c r="I68" i="12"/>
  <c r="J68" i="12" s="1" a="1"/>
  <c r="J68" i="12" s="1"/>
  <c r="I62" i="12"/>
  <c r="J62" i="12" s="1" a="1"/>
  <c r="J62" i="12" s="1"/>
  <c r="I56" i="12"/>
  <c r="J56" i="12" s="1" a="1"/>
  <c r="J56" i="12" s="1"/>
  <c r="I50" i="12"/>
  <c r="J50" i="12" s="1" a="1"/>
  <c r="J50" i="12" s="1"/>
  <c r="I44" i="12"/>
  <c r="J44" i="12" s="1" a="1"/>
  <c r="J44" i="12" s="1"/>
  <c r="I38" i="12"/>
  <c r="J38" i="12" s="1" a="1"/>
  <c r="J38" i="12" s="1"/>
  <c r="I20" i="12"/>
  <c r="J20" i="12" s="1" a="1"/>
  <c r="J20" i="12" s="1"/>
  <c r="I8" i="12"/>
  <c r="J8" i="12" s="1" a="1"/>
  <c r="J8" i="12" s="1"/>
  <c r="I91" i="12"/>
  <c r="J91" i="12" s="1" a="1"/>
  <c r="J91" i="12" s="1"/>
  <c r="I85" i="12"/>
  <c r="J85" i="12" s="1" a="1"/>
  <c r="J85" i="12" s="1"/>
  <c r="I79" i="12"/>
  <c r="J79" i="12" s="1" a="1"/>
  <c r="J79" i="12" s="1"/>
  <c r="I61" i="12"/>
  <c r="J61" i="12" s="1" a="1"/>
  <c r="J61" i="12" s="1"/>
  <c r="I55" i="12"/>
  <c r="J55" i="12" s="1" a="1"/>
  <c r="J55" i="12" s="1"/>
  <c r="I49" i="12"/>
  <c r="J49" i="12" s="1" a="1"/>
  <c r="J49" i="12" s="1"/>
  <c r="I43" i="12"/>
  <c r="J43" i="12" s="1" a="1"/>
  <c r="J43" i="12" s="1"/>
  <c r="I37" i="12"/>
  <c r="J37" i="12" s="1" a="1"/>
  <c r="J37" i="12" s="1"/>
  <c r="I31" i="12"/>
  <c r="J31" i="12" s="1" a="1"/>
  <c r="J31" i="12" s="1"/>
  <c r="I25" i="12"/>
  <c r="J25" i="12" s="1" a="1"/>
  <c r="J25" i="12" s="1"/>
  <c r="I90" i="12"/>
  <c r="J90" i="12" s="1" a="1"/>
  <c r="J90" i="12" s="1"/>
  <c r="I78" i="12"/>
  <c r="J78" i="12" s="1" a="1"/>
  <c r="J78" i="12" s="1"/>
  <c r="I72" i="12"/>
  <c r="J72" i="12" s="1" a="1"/>
  <c r="J72" i="12" s="1"/>
  <c r="I66" i="12"/>
  <c r="J66" i="12" s="1" a="1"/>
  <c r="J66" i="12" s="1"/>
  <c r="I60" i="12"/>
  <c r="J60" i="12" s="1" a="1"/>
  <c r="J60" i="12" s="1"/>
  <c r="I54" i="12"/>
  <c r="J54" i="12" s="1" a="1"/>
  <c r="J54" i="12" s="1"/>
  <c r="I48" i="12"/>
  <c r="J48" i="12" s="1" a="1"/>
  <c r="J48" i="12" s="1"/>
  <c r="I42" i="12"/>
  <c r="J42" i="12" s="1" a="1"/>
  <c r="J42" i="12" s="1"/>
  <c r="I18" i="12"/>
  <c r="J18" i="12" s="1" a="1"/>
  <c r="J18" i="12" s="1"/>
  <c r="I12" i="12"/>
  <c r="J12" i="12" s="1" a="1"/>
  <c r="J12" i="12" s="1"/>
  <c r="F55" i="12"/>
  <c r="F92" i="12"/>
  <c r="G54" i="12"/>
  <c r="G44" i="12"/>
  <c r="F90" i="12"/>
  <c r="F42" i="12"/>
  <c r="G82" i="12"/>
  <c r="H88" i="12" a="1"/>
  <c r="H88" i="12" s="1"/>
  <c r="F32" i="12"/>
  <c r="G32" i="12" s="1"/>
  <c r="G18" i="12"/>
  <c r="F79" i="12"/>
  <c r="F31" i="12"/>
  <c r="G45" i="12"/>
  <c r="F78" i="12"/>
  <c r="F30" i="12"/>
  <c r="G30" i="12" s="1"/>
  <c r="G12" i="12"/>
  <c r="G43" i="12"/>
  <c r="F68" i="12"/>
  <c r="G66" i="12"/>
  <c r="H7" i="12" a="1"/>
  <c r="H7" i="12" s="1"/>
  <c r="G91" i="12"/>
  <c r="H72" i="12" a="1"/>
  <c r="H72" i="12" s="1"/>
  <c r="F67" i="12"/>
  <c r="G67" i="12" s="1"/>
  <c r="F19" i="12"/>
  <c r="G19" i="12" s="1"/>
  <c r="G20" i="12"/>
  <c r="H35" i="12" a="1"/>
  <c r="H35" i="12" s="1"/>
  <c r="G80" i="12"/>
  <c r="H56" i="12" a="1"/>
  <c r="H56" i="12" s="1"/>
  <c r="H83" i="12" a="1"/>
  <c r="H83" i="12" s="1"/>
  <c r="F56" i="12"/>
  <c r="F8" i="12"/>
  <c r="G50" i="12"/>
  <c r="H92" i="12" a="1"/>
  <c r="H92" i="12" s="1"/>
  <c r="F89" i="12"/>
  <c r="F77" i="12"/>
  <c r="F65" i="12"/>
  <c r="F53" i="12"/>
  <c r="F41" i="12"/>
  <c r="F29" i="12"/>
  <c r="F17" i="12"/>
  <c r="G17" i="12" s="1"/>
  <c r="H17" i="12" s="1" a="1"/>
  <c r="H17" i="12" s="1"/>
  <c r="G87" i="12"/>
  <c r="G76" i="12"/>
  <c r="G71" i="12"/>
  <c r="G60" i="12"/>
  <c r="G39" i="12"/>
  <c r="G28" i="12"/>
  <c r="G23" i="12"/>
  <c r="F88" i="12"/>
  <c r="F64" i="12"/>
  <c r="F52" i="12"/>
  <c r="F40" i="12"/>
  <c r="F16" i="12"/>
  <c r="I16" i="12" s="1"/>
  <c r="G81" i="12"/>
  <c r="G49" i="12"/>
  <c r="G33" i="12"/>
  <c r="F75" i="12"/>
  <c r="F63" i="12"/>
  <c r="G63" i="12" s="1"/>
  <c r="F51" i="12"/>
  <c r="G51" i="12" s="1"/>
  <c r="F27" i="12"/>
  <c r="F15" i="12"/>
  <c r="G15" i="12" s="1"/>
  <c r="H15" i="12" s="1" a="1"/>
  <c r="H15" i="12" s="1"/>
  <c r="G86" i="12"/>
  <c r="H75" i="12" a="1"/>
  <c r="H75" i="12" s="1"/>
  <c r="G70" i="12"/>
  <c r="H64" i="12" a="1"/>
  <c r="H64" i="12" s="1"/>
  <c r="G38" i="12"/>
  <c r="H27" i="12" a="1"/>
  <c r="H27" i="12" s="1"/>
  <c r="G22" i="12"/>
  <c r="G11" i="12"/>
  <c r="F74" i="12"/>
  <c r="G74" i="12" s="1"/>
  <c r="F62" i="12"/>
  <c r="F26" i="12"/>
  <c r="G26" i="12" s="1"/>
  <c r="F14" i="12"/>
  <c r="G14" i="12" s="1"/>
  <c r="H85" i="12" a="1"/>
  <c r="H85" i="12" s="1"/>
  <c r="G59" i="12"/>
  <c r="H53" i="12" a="1"/>
  <c r="H53" i="12" s="1"/>
  <c r="G48" i="12"/>
  <c r="H37" i="12" a="1"/>
  <c r="H37" i="12" s="1"/>
  <c r="G10" i="12"/>
  <c r="F85" i="12"/>
  <c r="F73" i="12"/>
  <c r="G73" i="12" s="1"/>
  <c r="F37" i="12"/>
  <c r="F25" i="12"/>
  <c r="F13" i="12"/>
  <c r="G13" i="12" s="1"/>
  <c r="H90" i="12" a="1"/>
  <c r="H90" i="12" s="1"/>
  <c r="G69" i="12"/>
  <c r="H42" i="12" a="1"/>
  <c r="H42" i="12" s="1"/>
  <c r="G21" i="12"/>
  <c r="G9" i="12"/>
  <c r="G29" i="12"/>
  <c r="F84" i="12"/>
  <c r="G84" i="12" s="1"/>
  <c r="F72" i="12"/>
  <c r="F36" i="12"/>
  <c r="G36" i="12" s="1"/>
  <c r="F24" i="12"/>
  <c r="I24" i="12" s="1"/>
  <c r="H79" i="12" a="1"/>
  <c r="H79" i="12" s="1"/>
  <c r="H68" i="12" a="1"/>
  <c r="H68" i="12" s="1"/>
  <c r="G58" i="12"/>
  <c r="H52" i="12" a="1"/>
  <c r="H52" i="12" s="1"/>
  <c r="H31" i="12" a="1"/>
  <c r="H31" i="12" s="1"/>
  <c r="H8" i="12" a="1"/>
  <c r="H8" i="12" s="1"/>
  <c r="F83" i="12"/>
  <c r="F47" i="12"/>
  <c r="F35" i="12"/>
  <c r="H41" i="12" a="1"/>
  <c r="H41" i="12" s="1"/>
  <c r="H25" i="12" a="1"/>
  <c r="H25" i="12" s="1"/>
  <c r="F7" i="12"/>
  <c r="F46" i="12"/>
  <c r="H78" i="12" a="1"/>
  <c r="H78" i="12" s="1"/>
  <c r="H62" i="12" a="1"/>
  <c r="H62" i="12" s="1"/>
  <c r="G57" i="12"/>
  <c r="H46" i="12" a="1"/>
  <c r="H46" i="12" s="1"/>
  <c r="G33" i="44" a="1"/>
  <c r="G33" i="44" s="1"/>
  <c r="E33" i="44" a="1"/>
  <c r="E33" i="44" s="1"/>
  <c r="F33" i="44" a="1"/>
  <c r="F33" i="44" s="1"/>
  <c r="E31" i="44" a="1"/>
  <c r="E31" i="44" s="1"/>
  <c r="D31" i="44" a="1"/>
  <c r="D31" i="44" s="1"/>
  <c r="D30" i="44" a="1"/>
  <c r="D30" i="44" s="1"/>
  <c r="E30" i="44" a="1"/>
  <c r="E30" i="44" s="1"/>
  <c r="F30" i="44" a="1"/>
  <c r="F30" i="44" s="1"/>
  <c r="G30" i="44" a="1"/>
  <c r="G30" i="44" s="1"/>
  <c r="F28" i="44" a="1"/>
  <c r="F28" i="44" s="1"/>
  <c r="D28" i="44" a="1"/>
  <c r="D28" i="44" s="1"/>
  <c r="E28" i="44" a="1"/>
  <c r="E28" i="44" s="1"/>
  <c r="D27" i="44" a="1"/>
  <c r="D27" i="44" s="1"/>
  <c r="E27" i="44" a="1"/>
  <c r="E27" i="44" s="1"/>
  <c r="F27" i="44" a="1"/>
  <c r="F27" i="44" s="1"/>
  <c r="G27" i="44" a="1"/>
  <c r="G27" i="44" s="1"/>
  <c r="G25" i="44" a="1"/>
  <c r="G25" i="44" s="1"/>
  <c r="D25" i="44" a="1"/>
  <c r="D25" i="44" s="1"/>
  <c r="E25" i="44" a="1"/>
  <c r="E25" i="44" s="1"/>
  <c r="F25" i="44" a="1"/>
  <c r="F25" i="44" s="1"/>
  <c r="F22" i="44" a="1"/>
  <c r="F22" i="44" s="1"/>
  <c r="G22" i="44" a="1"/>
  <c r="G22" i="44" s="1"/>
  <c r="F20" i="44" a="1"/>
  <c r="F20" i="44" s="1"/>
  <c r="D20" i="44" a="1"/>
  <c r="D20" i="44" s="1"/>
  <c r="E20" i="44" a="1"/>
  <c r="E20" i="44" s="1"/>
  <c r="D19" i="44" a="1"/>
  <c r="D19" i="44" s="1"/>
  <c r="G19" i="44" a="1"/>
  <c r="G19" i="44" s="1"/>
  <c r="F16" i="44" a="1"/>
  <c r="F16" i="44" s="1"/>
  <c r="D16" i="44" a="1"/>
  <c r="D16" i="44" s="1"/>
  <c r="E16" i="44" a="1"/>
  <c r="E16" i="44" s="1"/>
  <c r="D15" i="44" a="1"/>
  <c r="D15" i="44" s="1"/>
  <c r="E15" i="44" a="1"/>
  <c r="E15" i="44" s="1"/>
  <c r="F15" i="44" a="1"/>
  <c r="F15" i="44" s="1"/>
  <c r="G15" i="44" a="1"/>
  <c r="G15" i="44" s="1"/>
  <c r="D13" i="44" a="1"/>
  <c r="D13" i="44" s="1"/>
  <c r="E13" i="44" a="1"/>
  <c r="E13" i="44" s="1"/>
  <c r="F13" i="44" a="1"/>
  <c r="F13" i="44" s="1"/>
  <c r="G13" i="44" a="1"/>
  <c r="G13" i="44" s="1"/>
  <c r="F11" i="44" a="1"/>
  <c r="F11" i="44" s="1"/>
  <c r="E11" i="44" a="1"/>
  <c r="E11" i="44" s="1"/>
  <c r="D8" i="44" a="1"/>
  <c r="D8" i="44" s="1"/>
  <c r="E8" i="44" a="1"/>
  <c r="E8" i="44" s="1"/>
  <c r="F8" i="44" a="1"/>
  <c r="F8" i="44" s="1"/>
  <c r="G8" i="44" a="1"/>
  <c r="G8" i="44" s="1"/>
  <c r="D44" i="44" a="1"/>
  <c r="D44" i="44" s="1"/>
  <c r="E44" i="44" a="1"/>
  <c r="E44" i="44" s="1"/>
  <c r="F44" i="44" a="1"/>
  <c r="F44" i="44" s="1"/>
  <c r="G44" i="44" a="1"/>
  <c r="G44" i="44" s="1"/>
  <c r="D43" i="44" a="1"/>
  <c r="D43" i="44" s="1"/>
  <c r="G43" i="44" a="1"/>
  <c r="G43" i="44" s="1"/>
  <c r="D40" i="44" a="1"/>
  <c r="D40" i="44" s="1"/>
  <c r="F40" i="44" a="1"/>
  <c r="F40" i="44" s="1"/>
  <c r="G40" i="44" a="1"/>
  <c r="G40" i="44" s="1"/>
  <c r="D38" i="44" a="1"/>
  <c r="D38" i="44" s="1"/>
  <c r="E38" i="44" a="1"/>
  <c r="E38" i="44" s="1"/>
  <c r="F38" i="44" a="1"/>
  <c r="F38" i="44" s="1"/>
  <c r="G38" i="44" a="1"/>
  <c r="G38" i="44" s="1"/>
  <c r="G37" i="44" a="1"/>
  <c r="G37" i="44" s="1"/>
  <c r="G41" i="44" a="1"/>
  <c r="G41" i="44" s="1"/>
  <c r="D41" i="44" a="1"/>
  <c r="D41" i="44" s="1"/>
  <c r="E41" i="44" a="1"/>
  <c r="E41" i="44" s="1"/>
  <c r="D39" i="44" a="1"/>
  <c r="D39" i="44" s="1"/>
  <c r="E5" i="44" a="1"/>
  <c r="E5" i="44" s="1"/>
  <c r="G46" i="44" a="1"/>
  <c r="G46" i="44" s="1"/>
  <c r="G35" i="44" a="1"/>
  <c r="G35" i="44" s="1"/>
  <c r="E22" i="44" a="1"/>
  <c r="E22" i="44" s="1"/>
  <c r="F19" i="44" a="1"/>
  <c r="F19" i="44" s="1"/>
  <c r="F10" i="44" a="1"/>
  <c r="F10" i="44" s="1"/>
  <c r="E36" i="44" a="1"/>
  <c r="E36" i="44" s="1"/>
  <c r="G10" i="44" a="1"/>
  <c r="G10" i="44" s="1"/>
  <c r="F5" i="44" a="1"/>
  <c r="F5" i="44" s="1"/>
  <c r="F35" i="44" a="1"/>
  <c r="F35" i="44" s="1"/>
  <c r="G24" i="44" a="1"/>
  <c r="G24" i="44" s="1"/>
  <c r="D22" i="44" a="1"/>
  <c r="D22" i="44" s="1"/>
  <c r="E19" i="44" a="1"/>
  <c r="E19" i="44" s="1"/>
  <c r="G7" i="44" a="1"/>
  <c r="G7" i="44" s="1"/>
  <c r="D36" i="44" a="1"/>
  <c r="D36" i="44" s="1"/>
  <c r="D11" i="44" a="1"/>
  <c r="D11" i="44" s="1"/>
  <c r="D5" i="44" a="1"/>
  <c r="D5" i="44" s="1"/>
  <c r="D47" i="44" a="1"/>
  <c r="D47" i="44" s="1"/>
  <c r="D33" i="44" a="1"/>
  <c r="D33" i="44" s="1"/>
  <c r="E46" i="44" a="1"/>
  <c r="E46" i="44" s="1"/>
  <c r="F43" i="44" a="1"/>
  <c r="F43" i="44" s="1"/>
  <c r="E35" i="44" a="1"/>
  <c r="E35" i="44" s="1"/>
  <c r="F32" i="44" a="1"/>
  <c r="F32" i="44" s="1"/>
  <c r="G29" i="44" a="1"/>
  <c r="G29" i="44" s="1"/>
  <c r="F24" i="44" a="1"/>
  <c r="F24" i="44" s="1"/>
  <c r="G21" i="44" a="1"/>
  <c r="G21" i="44" s="1"/>
  <c r="G12" i="44" a="1"/>
  <c r="G12" i="44" s="1"/>
  <c r="E10" i="44" a="1"/>
  <c r="E10" i="44" s="1"/>
  <c r="F7" i="44" a="1"/>
  <c r="F7" i="44" s="1"/>
  <c r="F46" i="44" a="1"/>
  <c r="F46" i="44" s="1"/>
  <c r="G48" i="44" a="1"/>
  <c r="G48" i="44" s="1"/>
  <c r="E43" i="44" a="1"/>
  <c r="E43" i="44" s="1"/>
  <c r="E40" i="44" a="1"/>
  <c r="E40" i="44" s="1"/>
  <c r="F37" i="44" a="1"/>
  <c r="F37" i="44" s="1"/>
  <c r="E32" i="44" a="1"/>
  <c r="E32" i="44" s="1"/>
  <c r="E24" i="44" a="1"/>
  <c r="E24" i="44" s="1"/>
  <c r="F21" i="44" a="1"/>
  <c r="F21" i="44" s="1"/>
  <c r="G18" i="44" a="1"/>
  <c r="G18" i="44" s="1"/>
  <c r="F12" i="44" a="1"/>
  <c r="F12" i="44" s="1"/>
  <c r="E7" i="44" a="1"/>
  <c r="E7" i="44" s="1"/>
  <c r="F48" i="44" a="1"/>
  <c r="F48" i="44" s="1"/>
  <c r="G45" i="44" a="1"/>
  <c r="G45" i="44" s="1"/>
  <c r="G34" i="44" a="1"/>
  <c r="G34" i="44" s="1"/>
  <c r="D32" i="44" a="1"/>
  <c r="D32" i="44" s="1"/>
  <c r="F29" i="44" a="1"/>
  <c r="F29" i="44" s="1"/>
  <c r="G26" i="44" a="1"/>
  <c r="G26" i="44" s="1"/>
  <c r="E21" i="44" a="1"/>
  <c r="E21" i="44" s="1"/>
  <c r="F18" i="44" a="1"/>
  <c r="F18" i="44" s="1"/>
  <c r="G14" i="44" a="1"/>
  <c r="G14" i="44" s="1"/>
  <c r="E12" i="44" a="1"/>
  <c r="E12" i="44" s="1"/>
  <c r="F47" i="44" a="1"/>
  <c r="F47" i="44" s="1"/>
  <c r="E48" i="44" a="1"/>
  <c r="E48" i="44" s="1"/>
  <c r="F45" i="44" a="1"/>
  <c r="F45" i="44" s="1"/>
  <c r="G42" i="44" a="1"/>
  <c r="G42" i="44" s="1"/>
  <c r="E37" i="44" a="1"/>
  <c r="E37" i="44" s="1"/>
  <c r="F34" i="44" a="1"/>
  <c r="F34" i="44" s="1"/>
  <c r="G31" i="44" a="1"/>
  <c r="G31" i="44" s="1"/>
  <c r="E29" i="44" a="1"/>
  <c r="E29" i="44" s="1"/>
  <c r="F26" i="44" a="1"/>
  <c r="F26" i="44" s="1"/>
  <c r="G23" i="44" a="1"/>
  <c r="G23" i="44" s="1"/>
  <c r="E18" i="44" a="1"/>
  <c r="E18" i="44" s="1"/>
  <c r="G9" i="44" a="1"/>
  <c r="G9" i="44" s="1"/>
  <c r="G6" i="44" a="1"/>
  <c r="G6" i="44" s="1"/>
  <c r="E45" i="44" a="1"/>
  <c r="E45" i="44" s="1"/>
  <c r="F42" i="44" a="1"/>
  <c r="F42" i="44" s="1"/>
  <c r="G39" i="44" a="1"/>
  <c r="G39" i="44" s="1"/>
  <c r="E34" i="44" a="1"/>
  <c r="E34" i="44" s="1"/>
  <c r="F31" i="44" a="1"/>
  <c r="F31" i="44" s="1"/>
  <c r="E26" i="44" a="1"/>
  <c r="E26" i="44" s="1"/>
  <c r="F23" i="44" a="1"/>
  <c r="F23" i="44" s="1"/>
  <c r="G20" i="44" a="1"/>
  <c r="G20" i="44" s="1"/>
  <c r="F14" i="44" a="1"/>
  <c r="F14" i="44" s="1"/>
  <c r="F9" i="44" a="1"/>
  <c r="F9" i="44" s="1"/>
  <c r="F6" i="44" a="1"/>
  <c r="F6" i="44" s="1"/>
  <c r="G47" i="44" a="1"/>
  <c r="G47" i="44" s="1"/>
  <c r="E42" i="44" a="1"/>
  <c r="E42" i="44" s="1"/>
  <c r="F39" i="44" a="1"/>
  <c r="F39" i="44" s="1"/>
  <c r="G36" i="44" a="1"/>
  <c r="G36" i="44" s="1"/>
  <c r="G28" i="44" a="1"/>
  <c r="G28" i="44" s="1"/>
  <c r="E23" i="44" a="1"/>
  <c r="E23" i="44" s="1"/>
  <c r="G16" i="44" a="1"/>
  <c r="G16" i="44" s="1"/>
  <c r="E14" i="44" a="1"/>
  <c r="E14" i="44" s="1"/>
  <c r="G11" i="44" a="1"/>
  <c r="G11" i="44" s="1"/>
  <c r="E9" i="44" a="1"/>
  <c r="E9" i="44" s="1"/>
  <c r="E6" i="44" a="1"/>
  <c r="E6" i="44" s="1"/>
  <c r="D17" i="44" a="1"/>
  <c r="D17" i="44" s="1"/>
  <c r="E17" i="44" a="1"/>
  <c r="E17" i="44" s="1"/>
  <c r="G17" i="44" a="1"/>
  <c r="G17" i="44" s="1"/>
  <c r="AG13" i="35"/>
  <c r="AJ21" i="35"/>
  <c r="AI26" i="35"/>
  <c r="AG32" i="35"/>
  <c r="AI38" i="35"/>
  <c r="AC44" i="35"/>
  <c r="AJ47" i="35"/>
  <c r="AH13" i="35"/>
  <c r="AJ26" i="35"/>
  <c r="AI32" i="35"/>
  <c r="AJ38" i="35"/>
  <c r="AJ13" i="35"/>
  <c r="AJ32" i="35"/>
  <c r="AC19" i="35"/>
  <c r="AI23" i="35"/>
  <c r="AJ44" i="35"/>
  <c r="AG5" i="35"/>
  <c r="AC14" i="35"/>
  <c r="AE19" i="35"/>
  <c r="AI28" i="35"/>
  <c r="AF14" i="35"/>
  <c r="AG19" i="35"/>
  <c r="AJ28" i="35"/>
  <c r="AJ34" i="35"/>
  <c r="AI40" i="35"/>
  <c r="AE45" i="35"/>
  <c r="AE51" i="35"/>
  <c r="AF51" i="35"/>
  <c r="AJ14" i="35"/>
  <c r="AI35" i="35"/>
  <c r="AG45" i="35"/>
  <c r="AG51" i="35"/>
  <c r="AJ35" i="35"/>
  <c r="AI51" i="35"/>
  <c r="AI6" i="35"/>
  <c r="AE13" i="35"/>
  <c r="AI15" i="35"/>
  <c r="AG21" i="35"/>
  <c r="AE26" i="35"/>
  <c r="AD32" i="35"/>
  <c r="AJ6" i="35"/>
  <c r="AF13" i="35"/>
  <c r="AI21" i="35"/>
  <c r="AH26" i="35"/>
  <c r="AE32" i="35"/>
  <c r="AI47" i="35"/>
  <c r="AC20" i="35"/>
  <c r="AD25" i="35"/>
  <c r="AI29" i="35"/>
  <c r="AE39" i="35"/>
  <c r="AF7" i="35"/>
  <c r="AD20" i="35"/>
  <c r="AE25" i="35"/>
  <c r="AE27" i="35"/>
  <c r="AJ29" i="35"/>
  <c r="AE33" i="35"/>
  <c r="AF39" i="35"/>
  <c r="AI5" i="35"/>
  <c r="AG7" i="35"/>
  <c r="AE20" i="35"/>
  <c r="AG22" i="35"/>
  <c r="AF27" i="35"/>
  <c r="AF33" i="35"/>
  <c r="AG39" i="35"/>
  <c r="AI45" i="35"/>
  <c r="AC50" i="35"/>
  <c r="AJ51" i="35"/>
  <c r="AH7" i="35"/>
  <c r="AF20" i="35"/>
  <c r="AI22" i="35"/>
  <c r="AG27" i="35"/>
  <c r="AG33" i="35"/>
  <c r="AI39" i="35"/>
  <c r="AJ45" i="35"/>
  <c r="AD50" i="35"/>
  <c r="AI7" i="35"/>
  <c r="AD14" i="35"/>
  <c r="AG20" i="35"/>
  <c r="AC26" i="35"/>
  <c r="AI27" i="35"/>
  <c r="AI33" i="35"/>
  <c r="AC38" i="35"/>
  <c r="AJ39" i="35"/>
  <c r="AE50" i="35"/>
  <c r="AG52" i="35"/>
  <c r="AE6" i="35"/>
  <c r="AJ7" i="35"/>
  <c r="AE14" i="35"/>
  <c r="AI20" i="35"/>
  <c r="AD26" i="35"/>
  <c r="AJ27" i="35"/>
  <c r="AC32" i="35"/>
  <c r="AJ33" i="35"/>
  <c r="AD38" i="35"/>
  <c r="AE44" i="35"/>
  <c r="AG46" i="35"/>
  <c r="AF50" i="35"/>
  <c r="AI52" i="35"/>
  <c r="AJ20" i="35"/>
  <c r="AE38" i="35"/>
  <c r="AF44" i="35"/>
  <c r="AI46" i="35"/>
  <c r="AG50" i="35"/>
  <c r="AJ52" i="35"/>
  <c r="AG8" i="35"/>
  <c r="AF26" i="35"/>
  <c r="AG28" i="35"/>
  <c r="AG34" i="35"/>
  <c r="AF38" i="35"/>
  <c r="AI50" i="35"/>
  <c r="AH6" i="35"/>
  <c r="AH8" i="35"/>
  <c r="AC13" i="35"/>
  <c r="AE21" i="35"/>
  <c r="AH28" i="35"/>
  <c r="AI34" i="35"/>
  <c r="AI53" i="35"/>
  <c r="AI8" i="35"/>
  <c r="AJ8" i="35"/>
  <c r="AI41" i="35"/>
  <c r="AF16" i="35"/>
  <c r="AE16" i="35"/>
  <c r="AC16" i="35"/>
  <c r="AJ16" i="35"/>
  <c r="AI16" i="35"/>
  <c r="AH16" i="35"/>
  <c r="AG16" i="35"/>
  <c r="AD16" i="35"/>
  <c r="AG9" i="35"/>
  <c r="AF9" i="35"/>
  <c r="AD9" i="35"/>
  <c r="AJ9" i="35"/>
  <c r="AI9" i="35"/>
  <c r="AH9" i="35"/>
  <c r="AE9" i="35"/>
  <c r="AI11" i="35"/>
  <c r="AH11" i="35"/>
  <c r="AF11" i="35"/>
  <c r="AJ11" i="35"/>
  <c r="AG11" i="35"/>
  <c r="AJ43" i="35"/>
  <c r="AI43" i="35"/>
  <c r="AH43" i="35"/>
  <c r="AG43" i="35"/>
  <c r="AF43" i="35"/>
  <c r="AE43" i="35"/>
  <c r="AD43" i="35"/>
  <c r="AC43" i="35"/>
  <c r="AC9" i="35"/>
  <c r="AC11" i="35"/>
  <c r="AD11" i="35"/>
  <c r="AH27" i="35"/>
  <c r="AH51" i="35"/>
  <c r="AH45" i="35"/>
  <c r="AH39" i="35"/>
  <c r="AJ12" i="35"/>
  <c r="AI12" i="35"/>
  <c r="AG12" i="35"/>
  <c r="AH17" i="35"/>
  <c r="AG17" i="35"/>
  <c r="AF17" i="35"/>
  <c r="AE17" i="35"/>
  <c r="AJ37" i="35"/>
  <c r="AI37" i="35"/>
  <c r="AH37" i="35"/>
  <c r="AG37" i="35"/>
  <c r="AF37" i="35"/>
  <c r="AE37" i="35"/>
  <c r="AC12" i="35"/>
  <c r="AC17" i="35"/>
  <c r="AJ31" i="35"/>
  <c r="AI31" i="35"/>
  <c r="AH31" i="35"/>
  <c r="AG31" i="35"/>
  <c r="AF31" i="35"/>
  <c r="AC37" i="35"/>
  <c r="AH10" i="35"/>
  <c r="AG10" i="35"/>
  <c r="AE10" i="35"/>
  <c r="AD12" i="35"/>
  <c r="AD17" i="35"/>
  <c r="AJ18" i="35"/>
  <c r="AI18" i="35"/>
  <c r="AH18" i="35"/>
  <c r="AG18" i="35"/>
  <c r="AC31" i="35"/>
  <c r="AD37" i="35"/>
  <c r="AH53" i="35"/>
  <c r="AH50" i="35"/>
  <c r="AH44" i="35"/>
  <c r="AH32" i="35"/>
  <c r="AH52" i="35"/>
  <c r="AC8" i="35"/>
  <c r="AC10" i="35"/>
  <c r="AE12" i="35"/>
  <c r="AH14" i="35"/>
  <c r="AD15" i="35"/>
  <c r="AC15" i="35"/>
  <c r="AI17" i="35"/>
  <c r="AC18" i="35"/>
  <c r="AD31" i="35"/>
  <c r="AH33" i="35"/>
  <c r="AC7" i="35"/>
  <c r="AD8" i="35"/>
  <c r="AD10" i="35"/>
  <c r="AF12" i="35"/>
  <c r="AE15" i="35"/>
  <c r="AJ17" i="35"/>
  <c r="AD18" i="35"/>
  <c r="AJ19" i="35"/>
  <c r="AI19" i="35"/>
  <c r="AH21" i="35"/>
  <c r="AF22" i="35"/>
  <c r="AE22" i="35"/>
  <c r="AD22" i="35"/>
  <c r="AC22" i="35"/>
  <c r="AE31" i="35"/>
  <c r="AH40" i="35"/>
  <c r="AC6" i="35"/>
  <c r="AD7" i="35"/>
  <c r="AE8" i="35"/>
  <c r="AF10" i="35"/>
  <c r="AH12" i="35"/>
  <c r="AF15" i="35"/>
  <c r="AE18" i="35"/>
  <c r="AH23" i="35"/>
  <c r="AG23" i="35"/>
  <c r="AF23" i="35"/>
  <c r="AE23" i="35"/>
  <c r="AD23" i="35"/>
  <c r="AJ24" i="35"/>
  <c r="AI24" i="35"/>
  <c r="AH24" i="35"/>
  <c r="AG24" i="35"/>
  <c r="AF24" i="35"/>
  <c r="AJ25" i="35"/>
  <c r="AI25" i="35"/>
  <c r="AH25" i="35"/>
  <c r="AG25" i="35"/>
  <c r="AJ30" i="35"/>
  <c r="AI30" i="35"/>
  <c r="AH30" i="35"/>
  <c r="AG30" i="35"/>
  <c r="AF30" i="35"/>
  <c r="AE30" i="35"/>
  <c r="AD30" i="35"/>
  <c r="AI10" i="35"/>
  <c r="AD13" i="35"/>
  <c r="AG15" i="35"/>
  <c r="AF18" i="35"/>
  <c r="AD19" i="35"/>
  <c r="AH22" i="35"/>
  <c r="AC23" i="35"/>
  <c r="AC24" i="35"/>
  <c r="AC25" i="35"/>
  <c r="AC30" i="35"/>
  <c r="AJ36" i="35"/>
  <c r="AI36" i="35"/>
  <c r="AH36" i="35"/>
  <c r="AG36" i="35"/>
  <c r="AF36" i="35"/>
  <c r="AE36" i="35"/>
  <c r="AD36" i="35"/>
  <c r="AC36" i="35"/>
  <c r="AC49" i="35"/>
  <c r="AD49" i="35"/>
  <c r="AC42" i="35"/>
  <c r="AC48" i="35"/>
  <c r="AE49" i="35"/>
  <c r="AC54" i="35"/>
  <c r="AD42" i="35"/>
  <c r="AD48" i="35"/>
  <c r="AF49" i="35"/>
  <c r="AD54" i="35"/>
  <c r="AC29" i="35"/>
  <c r="AC35" i="35"/>
  <c r="AC41" i="35"/>
  <c r="AE42" i="35"/>
  <c r="AC47" i="35"/>
  <c r="AE48" i="35"/>
  <c r="AG49" i="35"/>
  <c r="AC53" i="35"/>
  <c r="AE54" i="35"/>
  <c r="AD29" i="35"/>
  <c r="AD35" i="35"/>
  <c r="AD41" i="35"/>
  <c r="AF42" i="35"/>
  <c r="AD47" i="35"/>
  <c r="AF48" i="35"/>
  <c r="AH49" i="35"/>
  <c r="AD53" i="35"/>
  <c r="AF54" i="35"/>
  <c r="AC28" i="35"/>
  <c r="AE29" i="35"/>
  <c r="AC34" i="35"/>
  <c r="AE35" i="35"/>
  <c r="AC40" i="35"/>
  <c r="AE41" i="35"/>
  <c r="AG42" i="35"/>
  <c r="AC46" i="35"/>
  <c r="AE47" i="35"/>
  <c r="AG48" i="35"/>
  <c r="AI49" i="35"/>
  <c r="AC52" i="35"/>
  <c r="AE53" i="35"/>
  <c r="AG54" i="35"/>
  <c r="AD28" i="35"/>
  <c r="AF29" i="35"/>
  <c r="AD34" i="35"/>
  <c r="AF35" i="35"/>
  <c r="AD40" i="35"/>
  <c r="AF41" i="35"/>
  <c r="AH42" i="35"/>
  <c r="AD46" i="35"/>
  <c r="AF47" i="35"/>
  <c r="AH48" i="35"/>
  <c r="AD52" i="35"/>
  <c r="AF53" i="35"/>
  <c r="AH54" i="35"/>
  <c r="AC21" i="35"/>
  <c r="AC27" i="35"/>
  <c r="AE28" i="35"/>
  <c r="AG29" i="35"/>
  <c r="AC33" i="35"/>
  <c r="AE34" i="35"/>
  <c r="AG35" i="35"/>
  <c r="AC39" i="35"/>
  <c r="AE40" i="35"/>
  <c r="AG41" i="35"/>
  <c r="AI42" i="35"/>
  <c r="AC45" i="35"/>
  <c r="AE46" i="35"/>
  <c r="AG47" i="35"/>
  <c r="AI48" i="35"/>
  <c r="AC51" i="35"/>
  <c r="AE52" i="35"/>
  <c r="AG53" i="35"/>
  <c r="AI54" i="35"/>
  <c r="AF53" i="33"/>
  <c r="AG50" i="33"/>
  <c r="AG48" i="33"/>
  <c r="AG38" i="33"/>
  <c r="AG36" i="33"/>
  <c r="AD29" i="33"/>
  <c r="AF21" i="33"/>
  <c r="AF18" i="33"/>
  <c r="AH10" i="33"/>
  <c r="AC9" i="33"/>
  <c r="AJ25" i="33"/>
  <c r="AE18" i="33"/>
  <c r="AI25" i="33"/>
  <c r="AF10" i="33"/>
  <c r="AG8" i="33"/>
  <c r="AH25" i="33"/>
  <c r="AJ17" i="33"/>
  <c r="AJ14" i="33"/>
  <c r="AJ49" i="33"/>
  <c r="AJ37" i="33"/>
  <c r="AG25" i="33"/>
  <c r="AI17" i="33"/>
  <c r="AI14" i="33"/>
  <c r="AG54" i="33"/>
  <c r="AJ34" i="33"/>
  <c r="AC5" i="33"/>
  <c r="AF54" i="33"/>
  <c r="AI49" i="33"/>
  <c r="AJ46" i="33"/>
  <c r="AE45" i="33"/>
  <c r="AF42" i="33"/>
  <c r="AI37" i="33"/>
  <c r="AI34" i="33"/>
  <c r="AF25" i="33"/>
  <c r="AF22" i="33"/>
  <c r="AH17" i="33"/>
  <c r="AH14" i="33"/>
  <c r="AJ9" i="33"/>
  <c r="AJ5" i="33"/>
  <c r="AE54" i="33"/>
  <c r="AH49" i="33"/>
  <c r="AI46" i="33"/>
  <c r="AE42" i="33"/>
  <c r="AH37" i="33"/>
  <c r="AH34" i="33"/>
  <c r="AJ29" i="33"/>
  <c r="AJ26" i="33"/>
  <c r="AE25" i="33"/>
  <c r="AE22" i="33"/>
  <c r="AD19" i="33"/>
  <c r="AG17" i="33"/>
  <c r="AG14" i="33"/>
  <c r="AG12" i="33"/>
  <c r="AI9" i="33"/>
  <c r="AJ6" i="33"/>
  <c r="AD51" i="33"/>
  <c r="AG49" i="33"/>
  <c r="AH46" i="33"/>
  <c r="AD39" i="33"/>
  <c r="AG37" i="33"/>
  <c r="AG34" i="33"/>
  <c r="AG32" i="33"/>
  <c r="AI29" i="33"/>
  <c r="AI26" i="33"/>
  <c r="AF17" i="33"/>
  <c r="AF14" i="33"/>
  <c r="AI6" i="33"/>
  <c r="AD41" i="34"/>
  <c r="AI41" i="34"/>
  <c r="AJ41" i="34"/>
  <c r="AC29" i="34"/>
  <c r="AH35" i="34"/>
  <c r="AC9" i="34"/>
  <c r="AD29" i="34"/>
  <c r="AJ35" i="34"/>
  <c r="AE51" i="34"/>
  <c r="AI29" i="34"/>
  <c r="AF51" i="34"/>
  <c r="AG51" i="34"/>
  <c r="AG9" i="34"/>
  <c r="AE44" i="34"/>
  <c r="AH51" i="34"/>
  <c r="AJ38" i="34"/>
  <c r="AI51" i="34"/>
  <c r="AE27" i="34"/>
  <c r="AG27" i="34"/>
  <c r="AH53" i="34"/>
  <c r="AI27" i="34"/>
  <c r="AE33" i="34"/>
  <c r="AI40" i="34"/>
  <c r="AJ47" i="34"/>
  <c r="AF39" i="34"/>
  <c r="AH23" i="34"/>
  <c r="AJ27" i="34"/>
  <c r="AG33" i="34"/>
  <c r="AC24" i="34"/>
  <c r="AG45" i="34"/>
  <c r="AC37" i="34"/>
  <c r="AG39" i="34"/>
  <c r="AI45" i="34"/>
  <c r="AD12" i="34"/>
  <c r="AI21" i="34"/>
  <c r="AG34" i="34"/>
  <c r="AD37" i="34"/>
  <c r="AH39" i="34"/>
  <c r="AC50" i="34"/>
  <c r="AH45" i="34"/>
  <c r="AC12" i="34"/>
  <c r="AI8" i="34"/>
  <c r="AD10" i="34"/>
  <c r="AG12" i="34"/>
  <c r="AE15" i="34"/>
  <c r="AJ21" i="34"/>
  <c r="AC26" i="34"/>
  <c r="AG28" i="34"/>
  <c r="AC32" i="34"/>
  <c r="AH34" i="34"/>
  <c r="AI39" i="34"/>
  <c r="AG46" i="34"/>
  <c r="AD50" i="34"/>
  <c r="AG52" i="34"/>
  <c r="AE45" i="34"/>
  <c r="AE21" i="34"/>
  <c r="AJ8" i="34"/>
  <c r="AE10" i="34"/>
  <c r="AI12" i="34"/>
  <c r="AF15" i="34"/>
  <c r="AD26" i="34"/>
  <c r="AH28" i="34"/>
  <c r="AD32" i="34"/>
  <c r="AI34" i="34"/>
  <c r="AC44" i="34"/>
  <c r="AI46" i="34"/>
  <c r="AE50" i="34"/>
  <c r="AI52" i="34"/>
  <c r="AG21" i="34"/>
  <c r="AH6" i="34"/>
  <c r="AG10" i="34"/>
  <c r="AG15" i="34"/>
  <c r="AC20" i="34"/>
  <c r="AE26" i="34"/>
  <c r="AI28" i="34"/>
  <c r="AE32" i="34"/>
  <c r="AJ34" i="34"/>
  <c r="AC38" i="34"/>
  <c r="AG40" i="34"/>
  <c r="AD44" i="34"/>
  <c r="AG50" i="34"/>
  <c r="AH15" i="34"/>
  <c r="AD20" i="34"/>
  <c r="AG26" i="34"/>
  <c r="AG32" i="34"/>
  <c r="AD38" i="34"/>
  <c r="AI50" i="34"/>
  <c r="AH46" i="34"/>
  <c r="AI15" i="34"/>
  <c r="AE20" i="34"/>
  <c r="AI26" i="34"/>
  <c r="AI32" i="34"/>
  <c r="AC35" i="34"/>
  <c r="AE38" i="34"/>
  <c r="AG44" i="34"/>
  <c r="AC47" i="34"/>
  <c r="AI53" i="34"/>
  <c r="AJ15" i="34"/>
  <c r="AD35" i="34"/>
  <c r="AG38" i="34"/>
  <c r="AI44" i="34"/>
  <c r="AD47" i="34"/>
  <c r="AJ53" i="34"/>
  <c r="AE39" i="34"/>
  <c r="AI35" i="34"/>
  <c r="AE7" i="34"/>
  <c r="AD7" i="34"/>
  <c r="AC7" i="34"/>
  <c r="AF7" i="34"/>
  <c r="AJ7" i="34"/>
  <c r="AM7" i="34" s="1"/>
  <c r="AI7" i="34"/>
  <c r="AH7" i="34"/>
  <c r="AG7" i="34"/>
  <c r="AF28" i="34"/>
  <c r="AJ43" i="34"/>
  <c r="AI43" i="34"/>
  <c r="AH43" i="34"/>
  <c r="AG43" i="34"/>
  <c r="AF43" i="34"/>
  <c r="AE43" i="34"/>
  <c r="AJ30" i="34"/>
  <c r="AI30" i="34"/>
  <c r="AH30" i="34"/>
  <c r="AG30" i="34"/>
  <c r="AF30" i="34"/>
  <c r="AE30" i="34"/>
  <c r="AD30" i="34"/>
  <c r="AC30" i="34"/>
  <c r="AC43" i="34"/>
  <c r="AJ31" i="34"/>
  <c r="AI31" i="34"/>
  <c r="AH31" i="34"/>
  <c r="AG31" i="34"/>
  <c r="AF31" i="34"/>
  <c r="AE31" i="34"/>
  <c r="AD31" i="34"/>
  <c r="AC31" i="34"/>
  <c r="AD43" i="34"/>
  <c r="AJ19" i="34"/>
  <c r="AI19" i="34"/>
  <c r="AH19" i="34"/>
  <c r="AG19" i="34"/>
  <c r="AF19" i="34"/>
  <c r="AC19" i="34"/>
  <c r="AE19" i="34"/>
  <c r="AD19" i="34"/>
  <c r="AF22" i="34"/>
  <c r="AE22" i="34"/>
  <c r="AD22" i="34"/>
  <c r="AC22" i="34"/>
  <c r="AJ22" i="34"/>
  <c r="AG22" i="34"/>
  <c r="AI22" i="34"/>
  <c r="AH22" i="34"/>
  <c r="AF20" i="34"/>
  <c r="AF32" i="34"/>
  <c r="AF14" i="34"/>
  <c r="AF10" i="34"/>
  <c r="AF26" i="34"/>
  <c r="AF50" i="34"/>
  <c r="AI13" i="34"/>
  <c r="AE13" i="34"/>
  <c r="AD13" i="34"/>
  <c r="AC13" i="34"/>
  <c r="AH13" i="34"/>
  <c r="AJ13" i="34"/>
  <c r="AF38" i="34"/>
  <c r="AF33" i="34"/>
  <c r="AF21" i="34"/>
  <c r="AF13" i="34"/>
  <c r="AF12" i="34"/>
  <c r="AG13" i="34"/>
  <c r="AF44" i="34"/>
  <c r="AE5" i="34"/>
  <c r="AD5" i="34"/>
  <c r="AC5" i="34"/>
  <c r="AJ5" i="34"/>
  <c r="AI5" i="34"/>
  <c r="AH5" i="34"/>
  <c r="AF5" i="34"/>
  <c r="AG5" i="34"/>
  <c r="AF27" i="34"/>
  <c r="AH38" i="34"/>
  <c r="AH33" i="34"/>
  <c r="AH17" i="34"/>
  <c r="AG17" i="34"/>
  <c r="AF17" i="34"/>
  <c r="AE17" i="34"/>
  <c r="AC18" i="34"/>
  <c r="AJ25" i="34"/>
  <c r="AI25" i="34"/>
  <c r="AG25" i="34"/>
  <c r="AF25" i="34"/>
  <c r="AH27" i="34"/>
  <c r="AJ49" i="34"/>
  <c r="AI49" i="34"/>
  <c r="AH49" i="34"/>
  <c r="AG49" i="34"/>
  <c r="AF49" i="34"/>
  <c r="AC17" i="34"/>
  <c r="AD18" i="34"/>
  <c r="AC25" i="34"/>
  <c r="AC49" i="34"/>
  <c r="AF52" i="34"/>
  <c r="AD17" i="34"/>
  <c r="AE18" i="34"/>
  <c r="AH21" i="34"/>
  <c r="AD25" i="34"/>
  <c r="AH29" i="34"/>
  <c r="AJ42" i="34"/>
  <c r="AI42" i="34"/>
  <c r="AH42" i="34"/>
  <c r="AG42" i="34"/>
  <c r="AF42" i="34"/>
  <c r="AE42" i="34"/>
  <c r="AD42" i="34"/>
  <c r="AF45" i="34"/>
  <c r="AD49" i="34"/>
  <c r="AH50" i="34"/>
  <c r="AH44" i="34"/>
  <c r="AH32" i="34"/>
  <c r="AH26" i="34"/>
  <c r="AH20" i="34"/>
  <c r="AH40" i="34"/>
  <c r="AJ11" i="34"/>
  <c r="AI11" i="34"/>
  <c r="AF11" i="34"/>
  <c r="AE11" i="34"/>
  <c r="AD11" i="34"/>
  <c r="AH16" i="34"/>
  <c r="AI17" i="34"/>
  <c r="AE25" i="34"/>
  <c r="AJ36" i="34"/>
  <c r="AI36" i="34"/>
  <c r="AH36" i="34"/>
  <c r="AG36" i="34"/>
  <c r="AF36" i="34"/>
  <c r="AE36" i="34"/>
  <c r="AD36" i="34"/>
  <c r="AH41" i="34"/>
  <c r="AC42" i="34"/>
  <c r="AE49" i="34"/>
  <c r="AH52" i="34"/>
  <c r="AE6" i="34"/>
  <c r="AD6" i="34"/>
  <c r="AC6" i="34"/>
  <c r="AH8" i="34"/>
  <c r="AE8" i="34"/>
  <c r="AD8" i="34"/>
  <c r="AC8" i="34"/>
  <c r="AH10" i="34"/>
  <c r="AC11" i="34"/>
  <c r="AJ12" i="34"/>
  <c r="AH12" i="34"/>
  <c r="AJ17" i="34"/>
  <c r="AH25" i="34"/>
  <c r="AC36" i="34"/>
  <c r="AJ18" i="34"/>
  <c r="AI18" i="34"/>
  <c r="AH18" i="34"/>
  <c r="AG18" i="34"/>
  <c r="AF6" i="34"/>
  <c r="AF8" i="34"/>
  <c r="AJ9" i="34"/>
  <c r="AI9" i="34"/>
  <c r="AH9" i="34"/>
  <c r="AG11" i="34"/>
  <c r="AJ24" i="34"/>
  <c r="AI24" i="34"/>
  <c r="AH24" i="34"/>
  <c r="AG24" i="34"/>
  <c r="AE24" i="34"/>
  <c r="AD24" i="34"/>
  <c r="AF40" i="34"/>
  <c r="AJ48" i="34"/>
  <c r="AI48" i="34"/>
  <c r="AH48" i="34"/>
  <c r="AG48" i="34"/>
  <c r="AF48" i="34"/>
  <c r="AE48" i="34"/>
  <c r="AD48" i="34"/>
  <c r="AH47" i="34"/>
  <c r="AC48" i="34"/>
  <c r="AJ54" i="34"/>
  <c r="AI54" i="34"/>
  <c r="AH54" i="34"/>
  <c r="AG54" i="34"/>
  <c r="AF54" i="34"/>
  <c r="AE54" i="34"/>
  <c r="AD54" i="34"/>
  <c r="AJ10" i="34"/>
  <c r="AI10" i="34"/>
  <c r="AF16" i="34"/>
  <c r="AE16" i="34"/>
  <c r="AD16" i="34"/>
  <c r="AC16" i="34"/>
  <c r="AJ37" i="34"/>
  <c r="AI37" i="34"/>
  <c r="AH37" i="34"/>
  <c r="AG37" i="34"/>
  <c r="AF37" i="34"/>
  <c r="AF46" i="34"/>
  <c r="AC54" i="34"/>
  <c r="AJ33" i="34"/>
  <c r="AJ39" i="34"/>
  <c r="AJ45" i="34"/>
  <c r="AJ51" i="34"/>
  <c r="AC53" i="34"/>
  <c r="AD53" i="34"/>
  <c r="AE23" i="34"/>
  <c r="AC28" i="34"/>
  <c r="AE29" i="34"/>
  <c r="AC34" i="34"/>
  <c r="AE35" i="34"/>
  <c r="AC40" i="34"/>
  <c r="AE41" i="34"/>
  <c r="AC46" i="34"/>
  <c r="AE47" i="34"/>
  <c r="AC52" i="34"/>
  <c r="AE53" i="34"/>
  <c r="AF23" i="34"/>
  <c r="AD28" i="34"/>
  <c r="AF29" i="34"/>
  <c r="AD34" i="34"/>
  <c r="AF35" i="34"/>
  <c r="AD40" i="34"/>
  <c r="AF41" i="34"/>
  <c r="AD46" i="34"/>
  <c r="AF47" i="34"/>
  <c r="AD52" i="34"/>
  <c r="AF53" i="34"/>
  <c r="AC15" i="34"/>
  <c r="AC21" i="34"/>
  <c r="AG23" i="34"/>
  <c r="AC27" i="34"/>
  <c r="AE28" i="34"/>
  <c r="AG29" i="34"/>
  <c r="AC33" i="34"/>
  <c r="AE34" i="34"/>
  <c r="AG35" i="34"/>
  <c r="AC39" i="34"/>
  <c r="AE40" i="34"/>
  <c r="AG41" i="34"/>
  <c r="AC45" i="34"/>
  <c r="AE46" i="34"/>
  <c r="AG47" i="34"/>
  <c r="AC51" i="34"/>
  <c r="AE52" i="34"/>
  <c r="AG53" i="34"/>
  <c r="AF52" i="33"/>
  <c r="AC51" i="33"/>
  <c r="AF48" i="33"/>
  <c r="AC47" i="33"/>
  <c r="AF44" i="33"/>
  <c r="AC43" i="33"/>
  <c r="AF40" i="33"/>
  <c r="AC39" i="33"/>
  <c r="AF36" i="33"/>
  <c r="AC35" i="33"/>
  <c r="AF32" i="33"/>
  <c r="AC31" i="33"/>
  <c r="AF28" i="33"/>
  <c r="AC27" i="33"/>
  <c r="AF24" i="33"/>
  <c r="AC23" i="33"/>
  <c r="AF20" i="33"/>
  <c r="AC19" i="33"/>
  <c r="AF16" i="33"/>
  <c r="AC15" i="33"/>
  <c r="AF12" i="33"/>
  <c r="AC11" i="33"/>
  <c r="AF8" i="33"/>
  <c r="AC7" i="33"/>
  <c r="AE36" i="33"/>
  <c r="AE32" i="33"/>
  <c r="AE28" i="33"/>
  <c r="AE24" i="33"/>
  <c r="AE20" i="33"/>
  <c r="AE16" i="33"/>
  <c r="AE12" i="33"/>
  <c r="AE8" i="33"/>
  <c r="AD52" i="33"/>
  <c r="AD48" i="33"/>
  <c r="AD44" i="33"/>
  <c r="AD40" i="33"/>
  <c r="AD36" i="33"/>
  <c r="AD32" i="33"/>
  <c r="AD28" i="33"/>
  <c r="AD24" i="33"/>
  <c r="AD20" i="33"/>
  <c r="AD16" i="33"/>
  <c r="AD12" i="33"/>
  <c r="AD8" i="33"/>
  <c r="AC52" i="33"/>
  <c r="AC48" i="33"/>
  <c r="AC44" i="33"/>
  <c r="AC40" i="33"/>
  <c r="AC36" i="33"/>
  <c r="AC32" i="33"/>
  <c r="AC28" i="33"/>
  <c r="AC24" i="33"/>
  <c r="AC20" i="33"/>
  <c r="AC16" i="33"/>
  <c r="AC12" i="33"/>
  <c r="AC8" i="33"/>
  <c r="AJ51" i="33"/>
  <c r="AJ47" i="33"/>
  <c r="AJ35" i="33"/>
  <c r="AJ31" i="33"/>
  <c r="AJ27" i="33"/>
  <c r="AJ23" i="33"/>
  <c r="AJ19" i="33"/>
  <c r="AJ15" i="33"/>
  <c r="AJ11" i="33"/>
  <c r="AJ7" i="33"/>
  <c r="AI51" i="33"/>
  <c r="AI47" i="33"/>
  <c r="AC45" i="33"/>
  <c r="AI43" i="33"/>
  <c r="AC41" i="33"/>
  <c r="AI39" i="33"/>
  <c r="AI35" i="33"/>
  <c r="AI31" i="33"/>
  <c r="AI27" i="33"/>
  <c r="AC25" i="33"/>
  <c r="AI23" i="33"/>
  <c r="AC21" i="33"/>
  <c r="AI19" i="33"/>
  <c r="AI15" i="33"/>
  <c r="AI11" i="33"/>
  <c r="AI7" i="33"/>
  <c r="AJ43" i="33"/>
  <c r="AH47" i="33"/>
  <c r="AH39" i="33"/>
  <c r="AH27" i="33"/>
  <c r="AH23" i="33"/>
  <c r="AH19" i="33"/>
  <c r="AH15" i="33"/>
  <c r="AH11" i="33"/>
  <c r="AH7" i="33"/>
  <c r="AE6" i="33"/>
  <c r="AJ39" i="33"/>
  <c r="AH35" i="33"/>
  <c r="AH31" i="33"/>
  <c r="AD54" i="33"/>
  <c r="AJ52" i="33"/>
  <c r="AG51" i="33"/>
  <c r="AD50" i="33"/>
  <c r="AJ48" i="33"/>
  <c r="AG47" i="33"/>
  <c r="AD46" i="33"/>
  <c r="AJ44" i="33"/>
  <c r="AG43" i="33"/>
  <c r="AD42" i="33"/>
  <c r="AJ40" i="33"/>
  <c r="AG39" i="33"/>
  <c r="AD38" i="33"/>
  <c r="AJ36" i="33"/>
  <c r="AG35" i="33"/>
  <c r="AD34" i="33"/>
  <c r="AJ32" i="33"/>
  <c r="AG31" i="33"/>
  <c r="AD30" i="33"/>
  <c r="AJ28" i="33"/>
  <c r="AG27" i="33"/>
  <c r="AD26" i="33"/>
  <c r="AJ24" i="33"/>
  <c r="AG23" i="33"/>
  <c r="AD22" i="33"/>
  <c r="AJ20" i="33"/>
  <c r="AG19" i="33"/>
  <c r="AD18" i="33"/>
  <c r="AJ16" i="33"/>
  <c r="AG15" i="33"/>
  <c r="AD14" i="33"/>
  <c r="AJ12" i="33"/>
  <c r="AG11" i="33"/>
  <c r="AD10" i="33"/>
  <c r="AJ8" i="33"/>
  <c r="AG7" i="33"/>
  <c r="AD6" i="33"/>
  <c r="AH51" i="33"/>
  <c r="AH43" i="33"/>
  <c r="AI52" i="33"/>
  <c r="AF51" i="33"/>
  <c r="AI48" i="33"/>
  <c r="AF47" i="33"/>
  <c r="AI44" i="33"/>
  <c r="AF43" i="33"/>
  <c r="AI40" i="33"/>
  <c r="AF39" i="33"/>
  <c r="AI36" i="33"/>
  <c r="AF35" i="33"/>
  <c r="AI32" i="33"/>
  <c r="AF31" i="33"/>
  <c r="AI28" i="33"/>
  <c r="AF27" i="33"/>
  <c r="AI24" i="33"/>
  <c r="AF23" i="33"/>
  <c r="AI20" i="33"/>
  <c r="AF19" i="33"/>
  <c r="AI16" i="33"/>
  <c r="AF15" i="33"/>
  <c r="AI12" i="33"/>
  <c r="AF11" i="33"/>
  <c r="AI8" i="33"/>
  <c r="AF7" i="33"/>
  <c r="I17" i="12" l="1"/>
  <c r="J17" i="12" s="1" a="1"/>
  <c r="J17" i="12" s="1"/>
  <c r="I15" i="12"/>
  <c r="J15" i="12" s="1" a="1"/>
  <c r="J15" i="12" s="1"/>
  <c r="M61" i="51"/>
  <c r="M61" i="50"/>
  <c r="AD6" i="4"/>
  <c r="AE6" i="4" s="1" a="1"/>
  <c r="AE6" i="4" s="1"/>
  <c r="AD18" i="4"/>
  <c r="AE18" i="4" s="1" a="1"/>
  <c r="AE18" i="4" s="1"/>
  <c r="AD30" i="4"/>
  <c r="AE30" i="4" s="1" a="1"/>
  <c r="AE30" i="4" s="1"/>
  <c r="AD42" i="4"/>
  <c r="AE42" i="4" s="1" a="1"/>
  <c r="AE42" i="4" s="1"/>
  <c r="AD54" i="4"/>
  <c r="AE54" i="4" s="1" a="1"/>
  <c r="AE54" i="4" s="1"/>
  <c r="AD7" i="4"/>
  <c r="AE7" i="4" s="1" a="1"/>
  <c r="AE7" i="4" s="1"/>
  <c r="AD19" i="4"/>
  <c r="AE19" i="4" s="1" a="1"/>
  <c r="AE19" i="4" s="1"/>
  <c r="AD31" i="4"/>
  <c r="AE31" i="4" s="1" a="1"/>
  <c r="AE31" i="4" s="1"/>
  <c r="AD43" i="4"/>
  <c r="AE43" i="4" s="1" a="1"/>
  <c r="AE43" i="4" s="1"/>
  <c r="AD5" i="4"/>
  <c r="AD8" i="4"/>
  <c r="AE8" i="4" s="1" a="1"/>
  <c r="AE8" i="4" s="1"/>
  <c r="AD20" i="4"/>
  <c r="AE20" i="4" s="1" a="1"/>
  <c r="AE20" i="4" s="1"/>
  <c r="AD32" i="4"/>
  <c r="AE32" i="4" s="1" a="1"/>
  <c r="AE32" i="4" s="1"/>
  <c r="AD44" i="4"/>
  <c r="AE44" i="4" s="1" a="1"/>
  <c r="AE44" i="4" s="1"/>
  <c r="AD9" i="4"/>
  <c r="AE9" i="4" s="1" a="1"/>
  <c r="AE9" i="4" s="1"/>
  <c r="AD21" i="4"/>
  <c r="AE21" i="4" s="1" a="1"/>
  <c r="AE21" i="4" s="1"/>
  <c r="AD33" i="4"/>
  <c r="AE33" i="4" s="1" a="1"/>
  <c r="AE33" i="4" s="1"/>
  <c r="AD45" i="4"/>
  <c r="AE45" i="4" s="1" a="1"/>
  <c r="AE45" i="4" s="1"/>
  <c r="AD10" i="4"/>
  <c r="AE10" i="4" s="1" a="1"/>
  <c r="AE10" i="4" s="1"/>
  <c r="AD22" i="4"/>
  <c r="AE22" i="4" s="1" a="1"/>
  <c r="AE22" i="4" s="1"/>
  <c r="AD34" i="4"/>
  <c r="AE34" i="4" s="1" a="1"/>
  <c r="AE34" i="4" s="1"/>
  <c r="AD46" i="4"/>
  <c r="AE46" i="4" s="1" a="1"/>
  <c r="AE46" i="4" s="1"/>
  <c r="AD11" i="4"/>
  <c r="AE11" i="4" s="1" a="1"/>
  <c r="AE11" i="4" s="1"/>
  <c r="AD23" i="4"/>
  <c r="AE23" i="4" s="1" a="1"/>
  <c r="AE23" i="4" s="1"/>
  <c r="AD35" i="4"/>
  <c r="AE35" i="4" s="1" a="1"/>
  <c r="AE35" i="4" s="1"/>
  <c r="AD47" i="4"/>
  <c r="AE47" i="4" s="1" a="1"/>
  <c r="AE47" i="4" s="1"/>
  <c r="AD12" i="4"/>
  <c r="AE12" i="4" s="1" a="1"/>
  <c r="AE12" i="4" s="1"/>
  <c r="AD24" i="4"/>
  <c r="AE24" i="4" s="1" a="1"/>
  <c r="AE24" i="4" s="1"/>
  <c r="AD36" i="4"/>
  <c r="AE36" i="4" s="1" a="1"/>
  <c r="AE36" i="4" s="1"/>
  <c r="AD48" i="4"/>
  <c r="AE48" i="4" s="1" a="1"/>
  <c r="AE48" i="4" s="1"/>
  <c r="AD13" i="4"/>
  <c r="AE13" i="4" s="1" a="1"/>
  <c r="AE13" i="4" s="1"/>
  <c r="AD25" i="4"/>
  <c r="AE25" i="4" s="1" a="1"/>
  <c r="AE25" i="4" s="1"/>
  <c r="AD37" i="4"/>
  <c r="AE37" i="4" s="1" a="1"/>
  <c r="AE37" i="4" s="1"/>
  <c r="AD49" i="4"/>
  <c r="AE49" i="4" s="1" a="1"/>
  <c r="AE49" i="4" s="1"/>
  <c r="AD14" i="4"/>
  <c r="AE14" i="4" s="1" a="1"/>
  <c r="AE14" i="4" s="1"/>
  <c r="AD26" i="4"/>
  <c r="AE26" i="4" s="1" a="1"/>
  <c r="AE26" i="4" s="1"/>
  <c r="AD38" i="4"/>
  <c r="AE38" i="4" s="1" a="1"/>
  <c r="AE38" i="4" s="1"/>
  <c r="AD50" i="4"/>
  <c r="AE50" i="4" s="1" a="1"/>
  <c r="AE50" i="4" s="1"/>
  <c r="AD15" i="4"/>
  <c r="AE15" i="4" s="1" a="1"/>
  <c r="AE15" i="4" s="1"/>
  <c r="AD27" i="4"/>
  <c r="AE27" i="4" s="1" a="1"/>
  <c r="AE27" i="4" s="1"/>
  <c r="AD39" i="4"/>
  <c r="AE39" i="4" s="1" a="1"/>
  <c r="AE39" i="4" s="1"/>
  <c r="AD51" i="4"/>
  <c r="AE51" i="4" s="1" a="1"/>
  <c r="AE51" i="4" s="1"/>
  <c r="AD16" i="4"/>
  <c r="AE16" i="4" s="1" a="1"/>
  <c r="AE16" i="4" s="1"/>
  <c r="AD28" i="4"/>
  <c r="AE28" i="4" s="1" a="1"/>
  <c r="AE28" i="4" s="1"/>
  <c r="AD40" i="4"/>
  <c r="AE40" i="4" s="1" a="1"/>
  <c r="AE40" i="4" s="1"/>
  <c r="AD52" i="4"/>
  <c r="AE52" i="4" s="1" a="1"/>
  <c r="AE52" i="4" s="1"/>
  <c r="AD17" i="4"/>
  <c r="AE17" i="4" s="1" a="1"/>
  <c r="AE17" i="4" s="1"/>
  <c r="AD29" i="4"/>
  <c r="AE29" i="4" s="1" a="1"/>
  <c r="AE29" i="4" s="1"/>
  <c r="AD41" i="4"/>
  <c r="AE41" i="4" s="1" a="1"/>
  <c r="AE41" i="4" s="1"/>
  <c r="AD53" i="4"/>
  <c r="AE53" i="4" s="1" a="1"/>
  <c r="AE53" i="4" s="1"/>
  <c r="J73" i="12" a="1"/>
  <c r="J73" i="12" s="1"/>
  <c r="G16" i="12"/>
  <c r="H16" i="12" s="1" a="1"/>
  <c r="H16" i="12" s="1"/>
  <c r="J16" i="12" a="1"/>
  <c r="J16" i="12" s="1"/>
  <c r="I84" i="12"/>
  <c r="J84" i="12" s="1" a="1"/>
  <c r="J84" i="12" s="1"/>
  <c r="I63" i="12"/>
  <c r="J63" i="12" s="1" a="1"/>
  <c r="J63" i="12" s="1"/>
  <c r="I13" i="12"/>
  <c r="J13" i="12" s="1" a="1"/>
  <c r="J13" i="12" s="1"/>
  <c r="I32" i="12"/>
  <c r="J32" i="12" s="1" a="1"/>
  <c r="J32" i="12" s="1"/>
  <c r="G40" i="12"/>
  <c r="H40" i="12" s="1" a="1"/>
  <c r="H40" i="12" s="1"/>
  <c r="I73" i="12"/>
  <c r="G47" i="12"/>
  <c r="H47" i="12" s="1" a="1"/>
  <c r="H47" i="12" s="1"/>
  <c r="I47" i="12"/>
  <c r="J47" i="12" s="1" a="1"/>
  <c r="J47" i="12" s="1"/>
  <c r="I30" i="12"/>
  <c r="J30" i="12" s="1" a="1"/>
  <c r="J30" i="12" s="1"/>
  <c r="I51" i="12"/>
  <c r="J51" i="12" s="1" a="1"/>
  <c r="J51" i="12" s="1"/>
  <c r="G65" i="12"/>
  <c r="H65" i="12" s="1" a="1"/>
  <c r="H65" i="12" s="1"/>
  <c r="I65" i="12"/>
  <c r="J65" i="12" s="1" a="1"/>
  <c r="J65" i="12" s="1"/>
  <c r="I40" i="12"/>
  <c r="J40" i="12" s="1" a="1"/>
  <c r="J40" i="12" s="1"/>
  <c r="I14" i="12"/>
  <c r="J14" i="12" s="1" a="1"/>
  <c r="J14" i="12" s="1"/>
  <c r="G77" i="12"/>
  <c r="H77" i="12" s="1" a="1"/>
  <c r="H77" i="12" s="1"/>
  <c r="I77" i="12"/>
  <c r="J77" i="12" s="1" a="1"/>
  <c r="J77" i="12" s="1"/>
  <c r="I19" i="12"/>
  <c r="J19" i="12" s="1" a="1"/>
  <c r="J19" i="12" s="1"/>
  <c r="I26" i="12"/>
  <c r="J26" i="12" s="1" a="1"/>
  <c r="J26" i="12" s="1"/>
  <c r="I36" i="12"/>
  <c r="J36" i="12" s="1" a="1"/>
  <c r="J36" i="12" s="1"/>
  <c r="G24" i="12"/>
  <c r="H24" i="12" s="1" a="1"/>
  <c r="H24" i="12" s="1"/>
  <c r="J24" i="12" a="1"/>
  <c r="J24" i="12" s="1"/>
  <c r="G89" i="12"/>
  <c r="H89" i="12" s="1" a="1"/>
  <c r="H89" i="12" s="1"/>
  <c r="I89" i="12"/>
  <c r="J89" i="12" s="1" a="1"/>
  <c r="J89" i="12" s="1"/>
  <c r="I67" i="12"/>
  <c r="J67" i="12" s="1" a="1"/>
  <c r="J67" i="12" s="1"/>
  <c r="I74" i="12"/>
  <c r="J74" i="12" s="1" a="1"/>
  <c r="J74" i="12" s="1"/>
  <c r="H74" i="12" a="1"/>
  <c r="H74" i="12" s="1"/>
  <c r="H18" i="12" a="1"/>
  <c r="H18" i="12" s="1"/>
  <c r="H11" i="12" a="1"/>
  <c r="H11" i="12" s="1"/>
  <c r="H22" i="12" a="1"/>
  <c r="H22" i="12" s="1"/>
  <c r="H84" i="12" a="1"/>
  <c r="H84" i="12" s="1"/>
  <c r="H10" i="12" a="1"/>
  <c r="H10" i="12" s="1"/>
  <c r="H71" i="12" a="1"/>
  <c r="H71" i="12" s="1"/>
  <c r="H66" i="12" a="1"/>
  <c r="H66" i="12" s="1"/>
  <c r="H82" i="12" a="1"/>
  <c r="H82" i="12" s="1"/>
  <c r="H29" i="12" a="1"/>
  <c r="H29" i="12" s="1"/>
  <c r="H38" i="12" a="1"/>
  <c r="H38" i="12" s="1"/>
  <c r="H81" i="12" a="1"/>
  <c r="H81" i="12" s="1"/>
  <c r="H76" i="12" a="1"/>
  <c r="H76" i="12" s="1"/>
  <c r="H51" i="12" a="1"/>
  <c r="H51" i="12" s="1"/>
  <c r="H28" i="12" a="1"/>
  <c r="H28" i="12" s="1"/>
  <c r="H32" i="12" a="1"/>
  <c r="H32" i="12" s="1"/>
  <c r="H49" i="12" a="1"/>
  <c r="H49" i="12" s="1"/>
  <c r="H9" i="12" a="1"/>
  <c r="H9" i="12" s="1"/>
  <c r="H48" i="12" a="1"/>
  <c r="H48" i="12" s="1"/>
  <c r="H87" i="12" a="1"/>
  <c r="H87" i="12" s="1"/>
  <c r="H43" i="12" a="1"/>
  <c r="H43" i="12" s="1"/>
  <c r="H67" i="12" a="1"/>
  <c r="H67" i="12" s="1"/>
  <c r="H39" i="12" a="1"/>
  <c r="H39" i="12" s="1"/>
  <c r="H21" i="12" a="1"/>
  <c r="H21" i="12" s="1"/>
  <c r="H70" i="12" a="1"/>
  <c r="H70" i="12" s="1"/>
  <c r="H12" i="12" a="1"/>
  <c r="H12" i="12" s="1"/>
  <c r="H44" i="12" a="1"/>
  <c r="H44" i="12" s="1"/>
  <c r="H50" i="12" a="1"/>
  <c r="H50" i="12" s="1"/>
  <c r="H59" i="12" a="1"/>
  <c r="H59" i="12" s="1"/>
  <c r="H80" i="12" a="1"/>
  <c r="H80" i="12" s="1"/>
  <c r="H30" i="12" a="1"/>
  <c r="H30" i="12" s="1"/>
  <c r="H54" i="12" a="1"/>
  <c r="H54" i="12" s="1"/>
  <c r="H36" i="12" a="1"/>
  <c r="H36" i="12" s="1"/>
  <c r="H91" i="12" a="1"/>
  <c r="H91" i="12" s="1"/>
  <c r="H60" i="12" a="1"/>
  <c r="H60" i="12" s="1"/>
  <c r="H69" i="12" a="1"/>
  <c r="H69" i="12" s="1"/>
  <c r="H86" i="12" a="1"/>
  <c r="H86" i="12" s="1"/>
  <c r="H63" i="12" a="1"/>
  <c r="H63" i="12" s="1"/>
  <c r="H33" i="12" a="1"/>
  <c r="H33" i="12" s="1"/>
  <c r="H58" i="12" a="1"/>
  <c r="H58" i="12" s="1"/>
  <c r="H14" i="12" a="1"/>
  <c r="H14" i="12" s="1"/>
  <c r="H20" i="12" a="1"/>
  <c r="H20" i="12" s="1"/>
  <c r="H45" i="12" a="1"/>
  <c r="H45" i="12" s="1"/>
  <c r="H23" i="12" a="1"/>
  <c r="H23" i="12" s="1"/>
  <c r="H73" i="12" a="1"/>
  <c r="H73" i="12" s="1"/>
  <c r="H57" i="12" a="1"/>
  <c r="H57" i="12" s="1"/>
  <c r="H13" i="12" a="1"/>
  <c r="H13" i="12" s="1"/>
  <c r="H26" i="12" a="1"/>
  <c r="H26" i="12" s="1"/>
  <c r="H19" i="12" a="1"/>
  <c r="H19" i="12" s="1"/>
  <c r="K54" i="44"/>
  <c r="K53" i="44"/>
  <c r="K52" i="44"/>
  <c r="K51" i="44"/>
  <c r="K50" i="44"/>
  <c r="K49" i="44"/>
  <c r="K48" i="44"/>
  <c r="K47" i="44"/>
  <c r="K46" i="44"/>
  <c r="K45" i="44"/>
  <c r="K44" i="44"/>
  <c r="K43" i="44"/>
  <c r="K42" i="44"/>
  <c r="K41" i="44"/>
  <c r="K40" i="44"/>
  <c r="K39" i="44"/>
  <c r="K38" i="44"/>
  <c r="K37" i="44"/>
  <c r="K36" i="44"/>
  <c r="K35" i="44"/>
  <c r="K34" i="44"/>
  <c r="K33" i="44"/>
  <c r="K32" i="44"/>
  <c r="K31" i="44"/>
  <c r="K30" i="44"/>
  <c r="K29" i="44"/>
  <c r="K28" i="44"/>
  <c r="K27" i="44"/>
  <c r="K26" i="44"/>
  <c r="K25" i="44"/>
  <c r="K24" i="44"/>
  <c r="K23" i="44"/>
  <c r="K22" i="44"/>
  <c r="K21" i="44"/>
  <c r="K20" i="44"/>
  <c r="K19" i="44"/>
  <c r="K18" i="44"/>
  <c r="K17" i="44"/>
  <c r="K16" i="44"/>
  <c r="K15" i="44"/>
  <c r="K14" i="44"/>
  <c r="K13" i="44"/>
  <c r="K12" i="44"/>
  <c r="K11" i="44"/>
  <c r="K10" i="44"/>
  <c r="K9" i="44"/>
  <c r="K8" i="44"/>
  <c r="K7" i="44"/>
  <c r="K5" i="44"/>
  <c r="K6" i="44"/>
  <c r="F45" i="26" a="1"/>
  <c r="F45" i="26" s="1"/>
  <c r="AG4" i="26"/>
  <c r="AF4" i="26"/>
  <c r="AD4" i="26"/>
  <c r="AD5" i="26"/>
  <c r="AC5" i="26"/>
  <c r="AD6" i="26"/>
  <c r="AC6" i="26"/>
  <c r="AD7" i="26"/>
  <c r="AC7" i="26"/>
  <c r="AD8" i="26"/>
  <c r="AC8" i="26"/>
  <c r="AD9" i="26"/>
  <c r="AC9" i="26"/>
  <c r="AD10" i="26"/>
  <c r="AC10" i="26"/>
  <c r="AD11" i="26"/>
  <c r="AC11" i="26"/>
  <c r="AD12" i="26"/>
  <c r="AC12" i="26"/>
  <c r="AD13" i="26"/>
  <c r="AC13" i="26"/>
  <c r="AD14" i="26"/>
  <c r="AC14" i="26"/>
  <c r="AD15" i="26"/>
  <c r="AC15" i="26"/>
  <c r="AD16" i="26"/>
  <c r="AC16" i="26"/>
  <c r="AD17" i="26"/>
  <c r="AC17" i="26"/>
  <c r="AD18" i="26"/>
  <c r="AC18" i="26"/>
  <c r="AD19" i="26"/>
  <c r="AC19" i="26"/>
  <c r="AD20" i="26"/>
  <c r="AC20" i="26"/>
  <c r="AD21" i="26"/>
  <c r="AC21" i="26"/>
  <c r="AD22" i="26"/>
  <c r="AC22" i="26"/>
  <c r="AD23" i="26"/>
  <c r="AC23" i="26"/>
  <c r="AD24" i="26"/>
  <c r="AC24" i="26"/>
  <c r="AD25" i="26"/>
  <c r="AC25" i="26"/>
  <c r="AD26" i="26"/>
  <c r="AC26" i="26"/>
  <c r="AD27" i="26"/>
  <c r="AC27" i="26"/>
  <c r="AD28" i="26"/>
  <c r="AC28" i="26"/>
  <c r="AD29" i="26"/>
  <c r="AC29" i="26"/>
  <c r="AD30" i="26"/>
  <c r="AC30" i="26"/>
  <c r="AD31" i="26"/>
  <c r="AC31" i="26"/>
  <c r="AD32" i="26"/>
  <c r="AC32" i="26"/>
  <c r="AD33" i="26"/>
  <c r="AC33" i="26"/>
  <c r="AD34" i="26"/>
  <c r="AC34" i="26"/>
  <c r="AD35" i="26"/>
  <c r="AC35" i="26"/>
  <c r="AD36" i="26"/>
  <c r="AC36" i="26"/>
  <c r="AD37" i="26"/>
  <c r="AC37" i="26"/>
  <c r="AD38" i="26"/>
  <c r="AC38" i="26"/>
  <c r="AD39" i="26"/>
  <c r="AC39" i="26"/>
  <c r="AD40" i="26"/>
  <c r="AC40" i="26"/>
  <c r="AD41" i="26"/>
  <c r="AC41" i="26"/>
  <c r="AD42" i="26"/>
  <c r="AC42" i="26"/>
  <c r="AD43" i="26"/>
  <c r="AC43" i="26"/>
  <c r="AD44" i="26"/>
  <c r="AC44" i="26"/>
  <c r="AD45" i="26"/>
  <c r="AC45" i="26"/>
  <c r="AD46" i="26"/>
  <c r="AC46" i="26"/>
  <c r="AD47" i="26"/>
  <c r="AC47" i="26"/>
  <c r="AD48" i="26"/>
  <c r="AC48" i="26"/>
  <c r="AD49" i="26"/>
  <c r="AC49" i="26"/>
  <c r="AD50" i="26"/>
  <c r="AC50" i="26"/>
  <c r="AD51" i="26"/>
  <c r="AC51" i="26"/>
  <c r="AD52" i="26"/>
  <c r="AC52" i="26"/>
  <c r="AD53" i="26"/>
  <c r="AC53" i="26"/>
  <c r="AD54" i="26"/>
  <c r="AC54" i="26"/>
  <c r="AC4" i="26"/>
  <c r="B7" i="29"/>
  <c r="I7" i="29" s="1" a="1"/>
  <c r="I7" i="29" s="1"/>
  <c r="B8" i="29"/>
  <c r="B9" i="29"/>
  <c r="B10" i="29"/>
  <c r="H10" i="29" s="1" a="1"/>
  <c r="H10" i="29" s="1"/>
  <c r="B11" i="29"/>
  <c r="B12" i="29"/>
  <c r="I12" i="29" s="1" a="1"/>
  <c r="I12" i="29" s="1"/>
  <c r="B13" i="29"/>
  <c r="I13" i="29" s="1" a="1"/>
  <c r="I13" i="29" s="1"/>
  <c r="B14" i="29"/>
  <c r="H14" i="29" s="1" a="1"/>
  <c r="H14" i="29" s="1"/>
  <c r="B15" i="29"/>
  <c r="H15" i="29" s="1" a="1"/>
  <c r="H15" i="29" s="1"/>
  <c r="B16" i="29"/>
  <c r="G16" i="29" s="1" a="1"/>
  <c r="G16" i="29" s="1"/>
  <c r="B17" i="29"/>
  <c r="G17" i="29" s="1" a="1"/>
  <c r="G17" i="29" s="1"/>
  <c r="B18" i="29"/>
  <c r="F18" i="29" s="1" a="1"/>
  <c r="F18" i="29" s="1"/>
  <c r="B19" i="29"/>
  <c r="F19" i="29" s="1" a="1"/>
  <c r="F19" i="29" s="1"/>
  <c r="B20" i="29"/>
  <c r="J20" i="29" s="1" a="1"/>
  <c r="J20" i="29" s="1"/>
  <c r="B21" i="29"/>
  <c r="J21" i="29" s="1" a="1"/>
  <c r="J21" i="29" s="1"/>
  <c r="B22" i="29"/>
  <c r="B23" i="29"/>
  <c r="J23" i="29" s="1" a="1"/>
  <c r="J23" i="29" s="1"/>
  <c r="B24" i="29"/>
  <c r="G24" i="29" s="1" a="1"/>
  <c r="G24" i="29" s="1"/>
  <c r="B25" i="29"/>
  <c r="G25" i="29" s="1" a="1"/>
  <c r="G25" i="29" s="1"/>
  <c r="B26" i="29"/>
  <c r="J26" i="29" s="1" a="1"/>
  <c r="J26" i="29" s="1"/>
  <c r="B6" i="29"/>
  <c r="G6" i="29" s="1" a="1"/>
  <c r="G6" i="29" s="1"/>
  <c r="G1" i="30" a="1"/>
  <c r="G1" i="30" s="1"/>
  <c r="L1" i="30" a="1"/>
  <c r="L1" i="30" s="1"/>
  <c r="K1" i="30" a="1"/>
  <c r="K1" i="30" s="1"/>
  <c r="J1" i="30" a="1"/>
  <c r="J1" i="30" s="1"/>
  <c r="I1" i="30" a="1"/>
  <c r="I1" i="30" s="1"/>
  <c r="M1" i="30" a="1"/>
  <c r="M1" i="30" s="1"/>
  <c r="H1" i="30" a="1"/>
  <c r="H1" i="30" s="1"/>
  <c r="F1" i="30" a="1"/>
  <c r="F1" i="30" s="1"/>
  <c r="D1" i="30" a="1"/>
  <c r="D1" i="30" s="1"/>
  <c r="C1" i="30" a="1"/>
  <c r="C1" i="30" s="1"/>
  <c r="B1" i="30" a="1"/>
  <c r="B1" i="30" s="1"/>
  <c r="I3" i="29" a="1"/>
  <c r="I3" i="29" s="1"/>
  <c r="H3" i="29" a="1"/>
  <c r="H3" i="29" s="1"/>
  <c r="G3" i="29" a="1"/>
  <c r="G3" i="29" s="1"/>
  <c r="F3" i="29" a="1"/>
  <c r="F3" i="29" s="1"/>
  <c r="J3" i="29" a="1"/>
  <c r="J3" i="29" s="1"/>
  <c r="E3" i="29" a="1"/>
  <c r="E3" i="29" s="1"/>
  <c r="D3" i="29" a="1"/>
  <c r="D3" i="29" s="1"/>
  <c r="F6" i="26" a="1"/>
  <c r="F6" i="26" s="1"/>
  <c r="AF6" i="26" s="1"/>
  <c r="G6" i="26" a="1"/>
  <c r="G6" i="26" s="1"/>
  <c r="H6" i="26" a="1"/>
  <c r="H6" i="26" s="1"/>
  <c r="I6" i="26" a="1"/>
  <c r="I6" i="26" s="1"/>
  <c r="J6" i="26" a="1"/>
  <c r="J6" i="26" s="1"/>
  <c r="K6" i="26" a="1"/>
  <c r="K6" i="26" s="1"/>
  <c r="L6" i="26" a="1"/>
  <c r="L6" i="26" s="1"/>
  <c r="M6" i="26" a="1"/>
  <c r="M6" i="26" s="1"/>
  <c r="F7" i="26" a="1"/>
  <c r="F7" i="26" s="1"/>
  <c r="AF7" i="26" s="1"/>
  <c r="G7" i="26" a="1"/>
  <c r="G7" i="26" s="1"/>
  <c r="H7" i="26" a="1"/>
  <c r="H7" i="26" s="1"/>
  <c r="I7" i="26" a="1"/>
  <c r="I7" i="26" s="1"/>
  <c r="J7" i="26" a="1"/>
  <c r="J7" i="26" s="1"/>
  <c r="K7" i="26" a="1"/>
  <c r="K7" i="26" s="1"/>
  <c r="L7" i="26" a="1"/>
  <c r="L7" i="26" s="1"/>
  <c r="M7" i="26" a="1"/>
  <c r="M7" i="26" s="1"/>
  <c r="F8" i="26" a="1"/>
  <c r="F8" i="26" s="1"/>
  <c r="AF8" i="26" s="1"/>
  <c r="G8" i="26" a="1"/>
  <c r="G8" i="26" s="1"/>
  <c r="H8" i="26" a="1"/>
  <c r="H8" i="26" s="1"/>
  <c r="I8" i="26" a="1"/>
  <c r="I8" i="26" s="1"/>
  <c r="J8" i="26" a="1"/>
  <c r="J8" i="26" s="1"/>
  <c r="K8" i="26" a="1"/>
  <c r="K8" i="26" s="1"/>
  <c r="L8" i="26" a="1"/>
  <c r="L8" i="26" s="1"/>
  <c r="M8" i="26" a="1"/>
  <c r="M8" i="26" s="1"/>
  <c r="F9" i="26" a="1"/>
  <c r="F9" i="26" s="1"/>
  <c r="AE9" i="26" s="1"/>
  <c r="G9" i="26" a="1"/>
  <c r="G9" i="26" s="1"/>
  <c r="H9" i="26" a="1"/>
  <c r="H9" i="26" s="1"/>
  <c r="I9" i="26" a="1"/>
  <c r="I9" i="26" s="1"/>
  <c r="J9" i="26" a="1"/>
  <c r="J9" i="26" s="1"/>
  <c r="K9" i="26" a="1"/>
  <c r="K9" i="26" s="1"/>
  <c r="L9" i="26" a="1"/>
  <c r="L9" i="26" s="1"/>
  <c r="M9" i="26" a="1"/>
  <c r="M9" i="26" s="1"/>
  <c r="F10" i="26" a="1"/>
  <c r="F10" i="26" s="1"/>
  <c r="AE10" i="26" s="1"/>
  <c r="G10" i="26" a="1"/>
  <c r="G10" i="26" s="1"/>
  <c r="H10" i="26" a="1"/>
  <c r="H10" i="26" s="1"/>
  <c r="I10" i="26" a="1"/>
  <c r="I10" i="26" s="1"/>
  <c r="J10" i="26" a="1"/>
  <c r="J10" i="26" s="1"/>
  <c r="K10" i="26" a="1"/>
  <c r="K10" i="26" s="1"/>
  <c r="L10" i="26" a="1"/>
  <c r="L10" i="26" s="1"/>
  <c r="M10" i="26" a="1"/>
  <c r="M10" i="26" s="1"/>
  <c r="F11" i="26" a="1"/>
  <c r="F11" i="26" s="1"/>
  <c r="AG11" i="26" s="1"/>
  <c r="G11" i="26" a="1"/>
  <c r="G11" i="26" s="1"/>
  <c r="H11" i="26" a="1"/>
  <c r="H11" i="26" s="1"/>
  <c r="I11" i="26" a="1"/>
  <c r="I11" i="26" s="1"/>
  <c r="J11" i="26" a="1"/>
  <c r="J11" i="26" s="1"/>
  <c r="K11" i="26" a="1"/>
  <c r="K11" i="26" s="1"/>
  <c r="L11" i="26" a="1"/>
  <c r="L11" i="26" s="1"/>
  <c r="M11" i="26" a="1"/>
  <c r="M11" i="26" s="1"/>
  <c r="F12" i="26" a="1"/>
  <c r="F12" i="26" s="1"/>
  <c r="AF12" i="26" s="1"/>
  <c r="G12" i="26" a="1"/>
  <c r="G12" i="26" s="1"/>
  <c r="H12" i="26" a="1"/>
  <c r="H12" i="26" s="1"/>
  <c r="I12" i="26" a="1"/>
  <c r="I12" i="26" s="1"/>
  <c r="J12" i="26" a="1"/>
  <c r="J12" i="26" s="1"/>
  <c r="K12" i="26" a="1"/>
  <c r="K12" i="26" s="1"/>
  <c r="L12" i="26" a="1"/>
  <c r="L12" i="26" s="1"/>
  <c r="M12" i="26" a="1"/>
  <c r="M12" i="26" s="1"/>
  <c r="F13" i="26" a="1"/>
  <c r="F13" i="26" s="1"/>
  <c r="AF13" i="26" s="1"/>
  <c r="G13" i="26" a="1"/>
  <c r="G13" i="26" s="1"/>
  <c r="H13" i="26" a="1"/>
  <c r="H13" i="26" s="1"/>
  <c r="I13" i="26" a="1"/>
  <c r="I13" i="26" s="1"/>
  <c r="J13" i="26" a="1"/>
  <c r="J13" i="26" s="1"/>
  <c r="K13" i="26" a="1"/>
  <c r="K13" i="26" s="1"/>
  <c r="L13" i="26" a="1"/>
  <c r="L13" i="26" s="1"/>
  <c r="M13" i="26" a="1"/>
  <c r="M13" i="26" s="1"/>
  <c r="F14" i="26" a="1"/>
  <c r="F14" i="26" s="1"/>
  <c r="AF14" i="26" s="1"/>
  <c r="G14" i="26" a="1"/>
  <c r="G14" i="26" s="1"/>
  <c r="H14" i="26" a="1"/>
  <c r="H14" i="26" s="1"/>
  <c r="I14" i="26" a="1"/>
  <c r="I14" i="26" s="1"/>
  <c r="J14" i="26" a="1"/>
  <c r="J14" i="26" s="1"/>
  <c r="K14" i="26" a="1"/>
  <c r="K14" i="26" s="1"/>
  <c r="L14" i="26" a="1"/>
  <c r="L14" i="26" s="1"/>
  <c r="M14" i="26" a="1"/>
  <c r="M14" i="26" s="1"/>
  <c r="F15" i="26" a="1"/>
  <c r="F15" i="26" s="1"/>
  <c r="AE15" i="26" s="1"/>
  <c r="G15" i="26" a="1"/>
  <c r="G15" i="26" s="1"/>
  <c r="H15" i="26" a="1"/>
  <c r="H15" i="26" s="1"/>
  <c r="I15" i="26" a="1"/>
  <c r="I15" i="26" s="1"/>
  <c r="J15" i="26" a="1"/>
  <c r="J15" i="26" s="1"/>
  <c r="K15" i="26" a="1"/>
  <c r="K15" i="26" s="1"/>
  <c r="L15" i="26" a="1"/>
  <c r="L15" i="26" s="1"/>
  <c r="M15" i="26" a="1"/>
  <c r="M15" i="26" s="1"/>
  <c r="F16" i="26" a="1"/>
  <c r="F16" i="26" s="1"/>
  <c r="AE16" i="26" s="1"/>
  <c r="G16" i="26" a="1"/>
  <c r="G16" i="26" s="1"/>
  <c r="H16" i="26" a="1"/>
  <c r="H16" i="26" s="1"/>
  <c r="I16" i="26" a="1"/>
  <c r="I16" i="26" s="1"/>
  <c r="J16" i="26" a="1"/>
  <c r="J16" i="26" s="1"/>
  <c r="K16" i="26" a="1"/>
  <c r="K16" i="26" s="1"/>
  <c r="L16" i="26" a="1"/>
  <c r="L16" i="26" s="1"/>
  <c r="M16" i="26" a="1"/>
  <c r="M16" i="26" s="1"/>
  <c r="F17" i="26" a="1"/>
  <c r="F17" i="26" s="1"/>
  <c r="AG17" i="26" s="1"/>
  <c r="G17" i="26" a="1"/>
  <c r="G17" i="26" s="1"/>
  <c r="H17" i="26" a="1"/>
  <c r="H17" i="26" s="1"/>
  <c r="I17" i="26" a="1"/>
  <c r="I17" i="26" s="1"/>
  <c r="J17" i="26" a="1"/>
  <c r="J17" i="26" s="1"/>
  <c r="K17" i="26" a="1"/>
  <c r="K17" i="26" s="1"/>
  <c r="L17" i="26" a="1"/>
  <c r="L17" i="26" s="1"/>
  <c r="M17" i="26" a="1"/>
  <c r="M17" i="26" s="1"/>
  <c r="F18" i="26" a="1"/>
  <c r="F18" i="26" s="1"/>
  <c r="AF18" i="26" s="1"/>
  <c r="G18" i="26" a="1"/>
  <c r="G18" i="26" s="1"/>
  <c r="H18" i="26" a="1"/>
  <c r="H18" i="26" s="1"/>
  <c r="I18" i="26" a="1"/>
  <c r="I18" i="26" s="1"/>
  <c r="J18" i="26" a="1"/>
  <c r="J18" i="26" s="1"/>
  <c r="K18" i="26" a="1"/>
  <c r="K18" i="26" s="1"/>
  <c r="L18" i="26" a="1"/>
  <c r="L18" i="26" s="1"/>
  <c r="M18" i="26" a="1"/>
  <c r="M18" i="26" s="1"/>
  <c r="F19" i="26" a="1"/>
  <c r="F19" i="26" s="1"/>
  <c r="AF19" i="26" s="1"/>
  <c r="G19" i="26" a="1"/>
  <c r="G19" i="26" s="1"/>
  <c r="H19" i="26" a="1"/>
  <c r="H19" i="26" s="1"/>
  <c r="I19" i="26" a="1"/>
  <c r="I19" i="26" s="1"/>
  <c r="J19" i="26" a="1"/>
  <c r="J19" i="26" s="1"/>
  <c r="K19" i="26" a="1"/>
  <c r="K19" i="26" s="1"/>
  <c r="L19" i="26" a="1"/>
  <c r="L19" i="26" s="1"/>
  <c r="M19" i="26" a="1"/>
  <c r="M19" i="26" s="1"/>
  <c r="F20" i="26" a="1"/>
  <c r="F20" i="26" s="1"/>
  <c r="AF20" i="26" s="1"/>
  <c r="G20" i="26" a="1"/>
  <c r="G20" i="26" s="1"/>
  <c r="H20" i="26" a="1"/>
  <c r="H20" i="26" s="1"/>
  <c r="I20" i="26" a="1"/>
  <c r="I20" i="26" s="1"/>
  <c r="J20" i="26" a="1"/>
  <c r="J20" i="26" s="1"/>
  <c r="K20" i="26" a="1"/>
  <c r="K20" i="26" s="1"/>
  <c r="L20" i="26" a="1"/>
  <c r="L20" i="26" s="1"/>
  <c r="M20" i="26" a="1"/>
  <c r="M20" i="26" s="1"/>
  <c r="F21" i="26" a="1"/>
  <c r="F21" i="26" s="1"/>
  <c r="AE21" i="26" s="1"/>
  <c r="G21" i="26" a="1"/>
  <c r="G21" i="26" s="1"/>
  <c r="H21" i="26" a="1"/>
  <c r="H21" i="26" s="1"/>
  <c r="I21" i="26" a="1"/>
  <c r="I21" i="26" s="1"/>
  <c r="J21" i="26" a="1"/>
  <c r="J21" i="26" s="1"/>
  <c r="K21" i="26" a="1"/>
  <c r="K21" i="26" s="1"/>
  <c r="L21" i="26" a="1"/>
  <c r="L21" i="26" s="1"/>
  <c r="M21" i="26" a="1"/>
  <c r="M21" i="26" s="1"/>
  <c r="F22" i="26" a="1"/>
  <c r="F22" i="26" s="1"/>
  <c r="AE22" i="26" s="1"/>
  <c r="G22" i="26" a="1"/>
  <c r="G22" i="26" s="1"/>
  <c r="H22" i="26" a="1"/>
  <c r="H22" i="26" s="1"/>
  <c r="I22" i="26" a="1"/>
  <c r="I22" i="26" s="1"/>
  <c r="J22" i="26" a="1"/>
  <c r="J22" i="26" s="1"/>
  <c r="K22" i="26" a="1"/>
  <c r="K22" i="26" s="1"/>
  <c r="L22" i="26" a="1"/>
  <c r="L22" i="26" s="1"/>
  <c r="M22" i="26" a="1"/>
  <c r="M22" i="26" s="1"/>
  <c r="F23" i="26" a="1"/>
  <c r="F23" i="26" s="1"/>
  <c r="AG23" i="26" s="1"/>
  <c r="G23" i="26" a="1"/>
  <c r="G23" i="26" s="1"/>
  <c r="H23" i="26" a="1"/>
  <c r="H23" i="26" s="1"/>
  <c r="I23" i="26" a="1"/>
  <c r="I23" i="26" s="1"/>
  <c r="J23" i="26" a="1"/>
  <c r="J23" i="26" s="1"/>
  <c r="K23" i="26" a="1"/>
  <c r="K23" i="26" s="1"/>
  <c r="L23" i="26" a="1"/>
  <c r="L23" i="26" s="1"/>
  <c r="M23" i="26" a="1"/>
  <c r="M23" i="26" s="1"/>
  <c r="F24" i="26" a="1"/>
  <c r="F24" i="26" s="1"/>
  <c r="AF24" i="26" s="1"/>
  <c r="G24" i="26" a="1"/>
  <c r="G24" i="26" s="1"/>
  <c r="H24" i="26" a="1"/>
  <c r="H24" i="26" s="1"/>
  <c r="I24" i="26" a="1"/>
  <c r="I24" i="26" s="1"/>
  <c r="J24" i="26" a="1"/>
  <c r="J24" i="26" s="1"/>
  <c r="K24" i="26" a="1"/>
  <c r="K24" i="26" s="1"/>
  <c r="L24" i="26" a="1"/>
  <c r="L24" i="26" s="1"/>
  <c r="M24" i="26" a="1"/>
  <c r="M24" i="26" s="1"/>
  <c r="F25" i="26" a="1"/>
  <c r="F25" i="26" s="1"/>
  <c r="AF25" i="26" s="1"/>
  <c r="G25" i="26" a="1"/>
  <c r="G25" i="26" s="1"/>
  <c r="H25" i="26" a="1"/>
  <c r="H25" i="26" s="1"/>
  <c r="I25" i="26" a="1"/>
  <c r="I25" i="26" s="1"/>
  <c r="J25" i="26" a="1"/>
  <c r="J25" i="26" s="1"/>
  <c r="K25" i="26" a="1"/>
  <c r="K25" i="26" s="1"/>
  <c r="L25" i="26" a="1"/>
  <c r="L25" i="26" s="1"/>
  <c r="M25" i="26" a="1"/>
  <c r="M25" i="26" s="1"/>
  <c r="F26" i="26" a="1"/>
  <c r="F26" i="26" s="1"/>
  <c r="AF26" i="26" s="1"/>
  <c r="G26" i="26" a="1"/>
  <c r="G26" i="26" s="1"/>
  <c r="H26" i="26" a="1"/>
  <c r="H26" i="26" s="1"/>
  <c r="I26" i="26" a="1"/>
  <c r="I26" i="26" s="1"/>
  <c r="J26" i="26" a="1"/>
  <c r="J26" i="26" s="1"/>
  <c r="K26" i="26" a="1"/>
  <c r="K26" i="26" s="1"/>
  <c r="L26" i="26" a="1"/>
  <c r="L26" i="26" s="1"/>
  <c r="M26" i="26" a="1"/>
  <c r="M26" i="26" s="1"/>
  <c r="F27" i="26" a="1"/>
  <c r="F27" i="26" s="1"/>
  <c r="AE27" i="26" s="1"/>
  <c r="G27" i="26" a="1"/>
  <c r="G27" i="26" s="1"/>
  <c r="H27" i="26" a="1"/>
  <c r="H27" i="26" s="1"/>
  <c r="I27" i="26" a="1"/>
  <c r="I27" i="26" s="1"/>
  <c r="J27" i="26" a="1"/>
  <c r="J27" i="26" s="1"/>
  <c r="K27" i="26" a="1"/>
  <c r="K27" i="26" s="1"/>
  <c r="L27" i="26" a="1"/>
  <c r="L27" i="26" s="1"/>
  <c r="M27" i="26" a="1"/>
  <c r="M27" i="26" s="1"/>
  <c r="F28" i="26" a="1"/>
  <c r="F28" i="26" s="1"/>
  <c r="AE28" i="26" s="1"/>
  <c r="G28" i="26" a="1"/>
  <c r="G28" i="26" s="1"/>
  <c r="H28" i="26" a="1"/>
  <c r="H28" i="26" s="1"/>
  <c r="I28" i="26" a="1"/>
  <c r="I28" i="26" s="1"/>
  <c r="J28" i="26" a="1"/>
  <c r="J28" i="26" s="1"/>
  <c r="K28" i="26" a="1"/>
  <c r="K28" i="26" s="1"/>
  <c r="L28" i="26" a="1"/>
  <c r="L28" i="26" s="1"/>
  <c r="M28" i="26" a="1"/>
  <c r="M28" i="26" s="1"/>
  <c r="F29" i="26" a="1"/>
  <c r="F29" i="26" s="1"/>
  <c r="AG29" i="26" s="1"/>
  <c r="G29" i="26" a="1"/>
  <c r="G29" i="26" s="1"/>
  <c r="H29" i="26" a="1"/>
  <c r="H29" i="26" s="1"/>
  <c r="I29" i="26" a="1"/>
  <c r="I29" i="26" s="1"/>
  <c r="J29" i="26" a="1"/>
  <c r="J29" i="26" s="1"/>
  <c r="K29" i="26" a="1"/>
  <c r="K29" i="26" s="1"/>
  <c r="L29" i="26" a="1"/>
  <c r="L29" i="26" s="1"/>
  <c r="M29" i="26" a="1"/>
  <c r="M29" i="26" s="1"/>
  <c r="F30" i="26" a="1"/>
  <c r="F30" i="26" s="1"/>
  <c r="AF30" i="26" s="1"/>
  <c r="G30" i="26" a="1"/>
  <c r="G30" i="26" s="1"/>
  <c r="H30" i="26" a="1"/>
  <c r="H30" i="26" s="1"/>
  <c r="I30" i="26" a="1"/>
  <c r="I30" i="26" s="1"/>
  <c r="J30" i="26" a="1"/>
  <c r="J30" i="26" s="1"/>
  <c r="K30" i="26" a="1"/>
  <c r="K30" i="26" s="1"/>
  <c r="L30" i="26" a="1"/>
  <c r="L30" i="26" s="1"/>
  <c r="M30" i="26" a="1"/>
  <c r="M30" i="26" s="1"/>
  <c r="F31" i="26" a="1"/>
  <c r="F31" i="26" s="1"/>
  <c r="AF31" i="26" s="1"/>
  <c r="G31" i="26" a="1"/>
  <c r="G31" i="26" s="1"/>
  <c r="H31" i="26" a="1"/>
  <c r="H31" i="26" s="1"/>
  <c r="I31" i="26" a="1"/>
  <c r="I31" i="26" s="1"/>
  <c r="J31" i="26" a="1"/>
  <c r="J31" i="26" s="1"/>
  <c r="K31" i="26" a="1"/>
  <c r="K31" i="26" s="1"/>
  <c r="L31" i="26" a="1"/>
  <c r="L31" i="26" s="1"/>
  <c r="M31" i="26" a="1"/>
  <c r="M31" i="26" s="1"/>
  <c r="F32" i="26" a="1"/>
  <c r="F32" i="26" s="1"/>
  <c r="AF32" i="26" s="1"/>
  <c r="G32" i="26" a="1"/>
  <c r="G32" i="26" s="1"/>
  <c r="H32" i="26" a="1"/>
  <c r="H32" i="26" s="1"/>
  <c r="I32" i="26" a="1"/>
  <c r="I32" i="26" s="1"/>
  <c r="J32" i="26" a="1"/>
  <c r="J32" i="26" s="1"/>
  <c r="K32" i="26" a="1"/>
  <c r="K32" i="26" s="1"/>
  <c r="L32" i="26" a="1"/>
  <c r="L32" i="26" s="1"/>
  <c r="M32" i="26" a="1"/>
  <c r="M32" i="26" s="1"/>
  <c r="F33" i="26" a="1"/>
  <c r="F33" i="26" s="1"/>
  <c r="AE33" i="26" s="1"/>
  <c r="G33" i="26" a="1"/>
  <c r="G33" i="26" s="1"/>
  <c r="H33" i="26" a="1"/>
  <c r="H33" i="26" s="1"/>
  <c r="I33" i="26" a="1"/>
  <c r="I33" i="26" s="1"/>
  <c r="J33" i="26" a="1"/>
  <c r="J33" i="26" s="1"/>
  <c r="K33" i="26" a="1"/>
  <c r="K33" i="26" s="1"/>
  <c r="L33" i="26" a="1"/>
  <c r="L33" i="26" s="1"/>
  <c r="M33" i="26" a="1"/>
  <c r="M33" i="26" s="1"/>
  <c r="F34" i="26" a="1"/>
  <c r="F34" i="26" s="1"/>
  <c r="AE34" i="26" s="1"/>
  <c r="G34" i="26" a="1"/>
  <c r="G34" i="26" s="1"/>
  <c r="H34" i="26" a="1"/>
  <c r="H34" i="26" s="1"/>
  <c r="I34" i="26" a="1"/>
  <c r="I34" i="26" s="1"/>
  <c r="J34" i="26" a="1"/>
  <c r="J34" i="26" s="1"/>
  <c r="K34" i="26" a="1"/>
  <c r="K34" i="26" s="1"/>
  <c r="L34" i="26" a="1"/>
  <c r="L34" i="26" s="1"/>
  <c r="M34" i="26" a="1"/>
  <c r="M34" i="26" s="1"/>
  <c r="F35" i="26" a="1"/>
  <c r="F35" i="26" s="1"/>
  <c r="AG35" i="26" s="1"/>
  <c r="G35" i="26" a="1"/>
  <c r="G35" i="26" s="1"/>
  <c r="H35" i="26" a="1"/>
  <c r="H35" i="26" s="1"/>
  <c r="I35" i="26" a="1"/>
  <c r="I35" i="26" s="1"/>
  <c r="J35" i="26" a="1"/>
  <c r="J35" i="26" s="1"/>
  <c r="K35" i="26" a="1"/>
  <c r="K35" i="26" s="1"/>
  <c r="L35" i="26" a="1"/>
  <c r="L35" i="26" s="1"/>
  <c r="M35" i="26" a="1"/>
  <c r="M35" i="26" s="1"/>
  <c r="F36" i="26" a="1"/>
  <c r="F36" i="26" s="1"/>
  <c r="AF36" i="26" s="1"/>
  <c r="G36" i="26" a="1"/>
  <c r="G36" i="26" s="1"/>
  <c r="H36" i="26" a="1"/>
  <c r="H36" i="26" s="1"/>
  <c r="I36" i="26" a="1"/>
  <c r="I36" i="26" s="1"/>
  <c r="J36" i="26" a="1"/>
  <c r="J36" i="26" s="1"/>
  <c r="K36" i="26" a="1"/>
  <c r="K36" i="26" s="1"/>
  <c r="L36" i="26" a="1"/>
  <c r="L36" i="26" s="1"/>
  <c r="M36" i="26" a="1"/>
  <c r="M36" i="26" s="1"/>
  <c r="F37" i="26" a="1"/>
  <c r="F37" i="26" s="1"/>
  <c r="AF37" i="26" s="1"/>
  <c r="G37" i="26" a="1"/>
  <c r="G37" i="26" s="1"/>
  <c r="H37" i="26" a="1"/>
  <c r="H37" i="26" s="1"/>
  <c r="I37" i="26" a="1"/>
  <c r="I37" i="26" s="1"/>
  <c r="J37" i="26" a="1"/>
  <c r="J37" i="26" s="1"/>
  <c r="K37" i="26" a="1"/>
  <c r="K37" i="26" s="1"/>
  <c r="L37" i="26" a="1"/>
  <c r="L37" i="26" s="1"/>
  <c r="M37" i="26" a="1"/>
  <c r="M37" i="26" s="1"/>
  <c r="F38" i="26" a="1"/>
  <c r="F38" i="26" s="1"/>
  <c r="AF38" i="26" s="1"/>
  <c r="G38" i="26" a="1"/>
  <c r="G38" i="26" s="1"/>
  <c r="H38" i="26" a="1"/>
  <c r="H38" i="26" s="1"/>
  <c r="I38" i="26" a="1"/>
  <c r="I38" i="26" s="1"/>
  <c r="J38" i="26" a="1"/>
  <c r="J38" i="26" s="1"/>
  <c r="K38" i="26" a="1"/>
  <c r="K38" i="26" s="1"/>
  <c r="L38" i="26" a="1"/>
  <c r="L38" i="26" s="1"/>
  <c r="M38" i="26" a="1"/>
  <c r="M38" i="26" s="1"/>
  <c r="F39" i="26" a="1"/>
  <c r="F39" i="26" s="1"/>
  <c r="AE39" i="26" s="1"/>
  <c r="G39" i="26" a="1"/>
  <c r="G39" i="26" s="1"/>
  <c r="H39" i="26" a="1"/>
  <c r="H39" i="26" s="1"/>
  <c r="I39" i="26" a="1"/>
  <c r="I39" i="26" s="1"/>
  <c r="J39" i="26" a="1"/>
  <c r="J39" i="26" s="1"/>
  <c r="K39" i="26" a="1"/>
  <c r="K39" i="26" s="1"/>
  <c r="L39" i="26" a="1"/>
  <c r="L39" i="26" s="1"/>
  <c r="M39" i="26" a="1"/>
  <c r="M39" i="26" s="1"/>
  <c r="F40" i="26" a="1"/>
  <c r="F40" i="26" s="1"/>
  <c r="AE40" i="26" s="1"/>
  <c r="G40" i="26" a="1"/>
  <c r="G40" i="26" s="1"/>
  <c r="H40" i="26" a="1"/>
  <c r="H40" i="26" s="1"/>
  <c r="I40" i="26" a="1"/>
  <c r="I40" i="26" s="1"/>
  <c r="J40" i="26" a="1"/>
  <c r="J40" i="26" s="1"/>
  <c r="K40" i="26" a="1"/>
  <c r="K40" i="26" s="1"/>
  <c r="L40" i="26" a="1"/>
  <c r="L40" i="26" s="1"/>
  <c r="M40" i="26" a="1"/>
  <c r="M40" i="26" s="1"/>
  <c r="F41" i="26" a="1"/>
  <c r="F41" i="26" s="1"/>
  <c r="AG41" i="26" s="1"/>
  <c r="G41" i="26" a="1"/>
  <c r="G41" i="26" s="1"/>
  <c r="H41" i="26" a="1"/>
  <c r="H41" i="26" s="1"/>
  <c r="I41" i="26" a="1"/>
  <c r="I41" i="26" s="1"/>
  <c r="J41" i="26" a="1"/>
  <c r="J41" i="26" s="1"/>
  <c r="K41" i="26" a="1"/>
  <c r="K41" i="26" s="1"/>
  <c r="L41" i="26" a="1"/>
  <c r="L41" i="26" s="1"/>
  <c r="M41" i="26" a="1"/>
  <c r="M41" i="26" s="1"/>
  <c r="F42" i="26" a="1"/>
  <c r="F42" i="26" s="1"/>
  <c r="AF42" i="26" s="1"/>
  <c r="G42" i="26" a="1"/>
  <c r="G42" i="26" s="1"/>
  <c r="H42" i="26" a="1"/>
  <c r="H42" i="26" s="1"/>
  <c r="I42" i="26" a="1"/>
  <c r="I42" i="26" s="1"/>
  <c r="J42" i="26" a="1"/>
  <c r="J42" i="26" s="1"/>
  <c r="K42" i="26" a="1"/>
  <c r="K42" i="26" s="1"/>
  <c r="L42" i="26" a="1"/>
  <c r="L42" i="26" s="1"/>
  <c r="M42" i="26" a="1"/>
  <c r="M42" i="26" s="1"/>
  <c r="F43" i="26" a="1"/>
  <c r="F43" i="26" s="1"/>
  <c r="AF43" i="26" s="1"/>
  <c r="G43" i="26" a="1"/>
  <c r="G43" i="26" s="1"/>
  <c r="H43" i="26" a="1"/>
  <c r="H43" i="26" s="1"/>
  <c r="I43" i="26" a="1"/>
  <c r="I43" i="26" s="1"/>
  <c r="J43" i="26" a="1"/>
  <c r="J43" i="26" s="1"/>
  <c r="K43" i="26" a="1"/>
  <c r="K43" i="26" s="1"/>
  <c r="L43" i="26" a="1"/>
  <c r="L43" i="26" s="1"/>
  <c r="M43" i="26" a="1"/>
  <c r="M43" i="26" s="1"/>
  <c r="F44" i="26" a="1"/>
  <c r="F44" i="26" s="1"/>
  <c r="AF44" i="26" s="1"/>
  <c r="G44" i="26" a="1"/>
  <c r="G44" i="26" s="1"/>
  <c r="H44" i="26" a="1"/>
  <c r="H44" i="26" s="1"/>
  <c r="I44" i="26" a="1"/>
  <c r="I44" i="26" s="1"/>
  <c r="J44" i="26" a="1"/>
  <c r="J44" i="26" s="1"/>
  <c r="K44" i="26" a="1"/>
  <c r="K44" i="26" s="1"/>
  <c r="L44" i="26" a="1"/>
  <c r="L44" i="26" s="1"/>
  <c r="M44" i="26" a="1"/>
  <c r="M44" i="26" s="1"/>
  <c r="G45" i="26" a="1"/>
  <c r="G45" i="26" s="1"/>
  <c r="H45" i="26" a="1"/>
  <c r="H45" i="26" s="1"/>
  <c r="I45" i="26" a="1"/>
  <c r="I45" i="26" s="1"/>
  <c r="J45" i="26" a="1"/>
  <c r="J45" i="26" s="1"/>
  <c r="K45" i="26" a="1"/>
  <c r="K45" i="26" s="1"/>
  <c r="L45" i="26" a="1"/>
  <c r="L45" i="26" s="1"/>
  <c r="M45" i="26" a="1"/>
  <c r="M45" i="26" s="1"/>
  <c r="F46" i="26" a="1"/>
  <c r="F46" i="26" s="1"/>
  <c r="AE46" i="26" s="1"/>
  <c r="G46" i="26" a="1"/>
  <c r="G46" i="26" s="1"/>
  <c r="H46" i="26" a="1"/>
  <c r="H46" i="26" s="1"/>
  <c r="I46" i="26" a="1"/>
  <c r="I46" i="26" s="1"/>
  <c r="J46" i="26" a="1"/>
  <c r="J46" i="26" s="1"/>
  <c r="K46" i="26" a="1"/>
  <c r="K46" i="26" s="1"/>
  <c r="L46" i="26" a="1"/>
  <c r="L46" i="26" s="1"/>
  <c r="M46" i="26" a="1"/>
  <c r="M46" i="26" s="1"/>
  <c r="F47" i="26" a="1"/>
  <c r="F47" i="26" s="1"/>
  <c r="AE47" i="26" s="1"/>
  <c r="G47" i="26" a="1"/>
  <c r="G47" i="26" s="1"/>
  <c r="H47" i="26" a="1"/>
  <c r="H47" i="26" s="1"/>
  <c r="I47" i="26" a="1"/>
  <c r="I47" i="26" s="1"/>
  <c r="J47" i="26" a="1"/>
  <c r="J47" i="26" s="1"/>
  <c r="K47" i="26" a="1"/>
  <c r="K47" i="26" s="1"/>
  <c r="L47" i="26" a="1"/>
  <c r="L47" i="26" s="1"/>
  <c r="M47" i="26" a="1"/>
  <c r="M47" i="26" s="1"/>
  <c r="F48" i="26" a="1"/>
  <c r="F48" i="26" s="1"/>
  <c r="AG48" i="26" s="1"/>
  <c r="G48" i="26" a="1"/>
  <c r="G48" i="26" s="1"/>
  <c r="H48" i="26" a="1"/>
  <c r="H48" i="26" s="1"/>
  <c r="I48" i="26" a="1"/>
  <c r="I48" i="26" s="1"/>
  <c r="J48" i="26" a="1"/>
  <c r="J48" i="26" s="1"/>
  <c r="K48" i="26" a="1"/>
  <c r="K48" i="26" s="1"/>
  <c r="L48" i="26" a="1"/>
  <c r="L48" i="26" s="1"/>
  <c r="M48" i="26" a="1"/>
  <c r="M48" i="26" s="1"/>
  <c r="F49" i="26" a="1"/>
  <c r="F49" i="26" s="1"/>
  <c r="AF49" i="26" s="1"/>
  <c r="G49" i="26" a="1"/>
  <c r="G49" i="26" s="1"/>
  <c r="H49" i="26" a="1"/>
  <c r="H49" i="26" s="1"/>
  <c r="I49" i="26" a="1"/>
  <c r="I49" i="26" s="1"/>
  <c r="J49" i="26" a="1"/>
  <c r="J49" i="26" s="1"/>
  <c r="K49" i="26" a="1"/>
  <c r="K49" i="26" s="1"/>
  <c r="L49" i="26" a="1"/>
  <c r="L49" i="26" s="1"/>
  <c r="M49" i="26" a="1"/>
  <c r="M49" i="26" s="1"/>
  <c r="F50" i="26" a="1"/>
  <c r="F50" i="26" s="1"/>
  <c r="AF50" i="26" s="1"/>
  <c r="G50" i="26" a="1"/>
  <c r="G50" i="26" s="1"/>
  <c r="H50" i="26" a="1"/>
  <c r="H50" i="26" s="1"/>
  <c r="I50" i="26" a="1"/>
  <c r="I50" i="26" s="1"/>
  <c r="J50" i="26" a="1"/>
  <c r="J50" i="26" s="1"/>
  <c r="K50" i="26" a="1"/>
  <c r="K50" i="26" s="1"/>
  <c r="L50" i="26" a="1"/>
  <c r="L50" i="26" s="1"/>
  <c r="M50" i="26" a="1"/>
  <c r="M50" i="26" s="1"/>
  <c r="F51" i="26" a="1"/>
  <c r="F51" i="26" s="1"/>
  <c r="AF51" i="26" s="1"/>
  <c r="G51" i="26" a="1"/>
  <c r="G51" i="26" s="1"/>
  <c r="H51" i="26" a="1"/>
  <c r="H51" i="26" s="1"/>
  <c r="I51" i="26" a="1"/>
  <c r="I51" i="26" s="1"/>
  <c r="J51" i="26" a="1"/>
  <c r="J51" i="26" s="1"/>
  <c r="K51" i="26" a="1"/>
  <c r="K51" i="26" s="1"/>
  <c r="L51" i="26" a="1"/>
  <c r="L51" i="26" s="1"/>
  <c r="M51" i="26" a="1"/>
  <c r="M51" i="26" s="1"/>
  <c r="F52" i="26" a="1"/>
  <c r="F52" i="26" s="1"/>
  <c r="AE52" i="26" s="1"/>
  <c r="G52" i="26" a="1"/>
  <c r="G52" i="26" s="1"/>
  <c r="H52" i="26" a="1"/>
  <c r="H52" i="26" s="1"/>
  <c r="I52" i="26" a="1"/>
  <c r="I52" i="26" s="1"/>
  <c r="J52" i="26" a="1"/>
  <c r="J52" i="26" s="1"/>
  <c r="K52" i="26" a="1"/>
  <c r="K52" i="26" s="1"/>
  <c r="L52" i="26" a="1"/>
  <c r="L52" i="26" s="1"/>
  <c r="M52" i="26" a="1"/>
  <c r="M52" i="26" s="1"/>
  <c r="F53" i="26" a="1"/>
  <c r="F53" i="26" s="1"/>
  <c r="AE53" i="26" s="1"/>
  <c r="G53" i="26" a="1"/>
  <c r="G53" i="26" s="1"/>
  <c r="H53" i="26" a="1"/>
  <c r="H53" i="26" s="1"/>
  <c r="I53" i="26" a="1"/>
  <c r="I53" i="26" s="1"/>
  <c r="J53" i="26" a="1"/>
  <c r="J53" i="26" s="1"/>
  <c r="K53" i="26" a="1"/>
  <c r="K53" i="26" s="1"/>
  <c r="L53" i="26" a="1"/>
  <c r="L53" i="26" s="1"/>
  <c r="M53" i="26" a="1"/>
  <c r="M53" i="26" s="1"/>
  <c r="F54" i="26" a="1"/>
  <c r="F54" i="26" s="1"/>
  <c r="AG54" i="26" s="1"/>
  <c r="G54" i="26" a="1"/>
  <c r="G54" i="26" s="1"/>
  <c r="H54" i="26" a="1"/>
  <c r="H54" i="26" s="1"/>
  <c r="I54" i="26" a="1"/>
  <c r="I54" i="26" s="1"/>
  <c r="J54" i="26" a="1"/>
  <c r="J54" i="26" s="1"/>
  <c r="K54" i="26" a="1"/>
  <c r="K54" i="26" s="1"/>
  <c r="L54" i="26" a="1"/>
  <c r="L54" i="26" s="1"/>
  <c r="M54" i="26" a="1"/>
  <c r="M54" i="26" s="1"/>
  <c r="G5" i="26" a="1"/>
  <c r="G5" i="26" s="1"/>
  <c r="H5" i="26" a="1"/>
  <c r="H5" i="26" s="1"/>
  <c r="I5" i="26" a="1"/>
  <c r="I5" i="26" s="1"/>
  <c r="J5" i="26" a="1"/>
  <c r="J5" i="26" s="1"/>
  <c r="K5" i="26" a="1"/>
  <c r="K5" i="26" s="1"/>
  <c r="L5" i="26" a="1"/>
  <c r="L5" i="26" s="1"/>
  <c r="M5" i="26" a="1"/>
  <c r="M5" i="26" s="1"/>
  <c r="F5" i="26" a="1"/>
  <c r="F5" i="26" s="1"/>
  <c r="AG5" i="26" s="1"/>
  <c r="H23" i="25"/>
  <c r="E24" i="25" s="1"/>
  <c r="H6" i="25"/>
  <c r="E7" i="25" s="1"/>
  <c r="B38" i="25" a="1"/>
  <c r="B38" i="25" s="1"/>
  <c r="B39" i="25" a="1"/>
  <c r="B39" i="25" s="1"/>
  <c r="B40" i="25" a="1"/>
  <c r="B40" i="25" s="1"/>
  <c r="B41" i="25" a="1"/>
  <c r="B41" i="25" s="1"/>
  <c r="B42" i="25" a="1"/>
  <c r="B42" i="25" s="1"/>
  <c r="B43" i="25" a="1"/>
  <c r="B43" i="25" s="1"/>
  <c r="B44" i="25" a="1"/>
  <c r="B44" i="25" s="1"/>
  <c r="B45" i="25" a="1"/>
  <c r="B45" i="25" s="1"/>
  <c r="B46" i="25" a="1"/>
  <c r="B46" i="25" s="1"/>
  <c r="B47" i="25" a="1"/>
  <c r="B47" i="25" s="1"/>
  <c r="B48" i="25" a="1"/>
  <c r="B48" i="25" s="1"/>
  <c r="B49" i="25" a="1"/>
  <c r="B49" i="25" s="1"/>
  <c r="B50" i="25" a="1"/>
  <c r="B50" i="25" s="1"/>
  <c r="B51" i="25" a="1"/>
  <c r="B51" i="25" s="1"/>
  <c r="B52" i="25" a="1"/>
  <c r="B52" i="25" s="1"/>
  <c r="B53" i="25" a="1"/>
  <c r="B53" i="25" s="1"/>
  <c r="B25" i="25" a="1"/>
  <c r="B25" i="25" s="1"/>
  <c r="B26" i="25" a="1"/>
  <c r="B26" i="25" s="1"/>
  <c r="B27" i="25" a="1"/>
  <c r="B27" i="25" s="1"/>
  <c r="B28" i="25" a="1"/>
  <c r="B28" i="25" s="1"/>
  <c r="B29" i="25" a="1"/>
  <c r="B29" i="25" s="1"/>
  <c r="B30" i="25" a="1"/>
  <c r="B30" i="25" s="1"/>
  <c r="B31" i="25" a="1"/>
  <c r="B31" i="25" s="1"/>
  <c r="B32" i="25" a="1"/>
  <c r="B32" i="25" s="1"/>
  <c r="B33" i="25" a="1"/>
  <c r="B33" i="25" s="1"/>
  <c r="B34" i="25" a="1"/>
  <c r="B34" i="25" s="1"/>
  <c r="B35" i="25" a="1"/>
  <c r="B35" i="25" s="1"/>
  <c r="B36" i="25" a="1"/>
  <c r="B36" i="25" s="1"/>
  <c r="B37" i="25" a="1"/>
  <c r="B37" i="25" s="1"/>
  <c r="B54" i="25" a="1"/>
  <c r="B54" i="25" s="1"/>
  <c r="B55" i="25" a="1"/>
  <c r="B55" i="25" s="1"/>
  <c r="B56" i="25" a="1"/>
  <c r="B56" i="25" s="1"/>
  <c r="B57" i="25" a="1"/>
  <c r="B57" i="25" s="1"/>
  <c r="B58" i="25" a="1"/>
  <c r="B58" i="25" s="1"/>
  <c r="B59" i="25" a="1"/>
  <c r="B59" i="25" s="1"/>
  <c r="B60" i="25" a="1"/>
  <c r="B60" i="25" s="1"/>
  <c r="B61" i="25" a="1"/>
  <c r="B61" i="25" s="1"/>
  <c r="B62" i="25" a="1"/>
  <c r="B62" i="25" s="1"/>
  <c r="B63" i="25" a="1"/>
  <c r="B63" i="25" s="1"/>
  <c r="B64" i="25" a="1"/>
  <c r="B64" i="25" s="1"/>
  <c r="B65" i="25" a="1"/>
  <c r="B65" i="25" s="1"/>
  <c r="B66" i="25" a="1"/>
  <c r="B66" i="25" s="1"/>
  <c r="B67" i="25" a="1"/>
  <c r="B67" i="25" s="1"/>
  <c r="B68" i="25" a="1"/>
  <c r="B68" i="25" s="1"/>
  <c r="B69" i="25" a="1"/>
  <c r="B69" i="25" s="1"/>
  <c r="B70" i="25" a="1"/>
  <c r="B70" i="25" s="1"/>
  <c r="B71" i="25" a="1"/>
  <c r="B71" i="25" s="1"/>
  <c r="B72" i="25" a="1"/>
  <c r="B72" i="25" s="1"/>
  <c r="B73" i="25" a="1"/>
  <c r="B73" i="25" s="1"/>
  <c r="B24" i="25" a="1"/>
  <c r="B24" i="25" s="1"/>
  <c r="B21" i="25" a="1"/>
  <c r="B21" i="25" s="1"/>
  <c r="B8" i="25" a="1"/>
  <c r="B8" i="25" s="1"/>
  <c r="B9" i="25" a="1"/>
  <c r="B9" i="25" s="1"/>
  <c r="B10" i="25" a="1"/>
  <c r="B10" i="25" s="1"/>
  <c r="B11" i="25" a="1"/>
  <c r="B11" i="25" s="1"/>
  <c r="B12" i="25" a="1"/>
  <c r="B12" i="25" s="1"/>
  <c r="B13" i="25" a="1"/>
  <c r="B13" i="25" s="1"/>
  <c r="B14" i="25" a="1"/>
  <c r="B14" i="25" s="1"/>
  <c r="B15" i="25" a="1"/>
  <c r="B15" i="25" s="1"/>
  <c r="B16" i="25" a="1"/>
  <c r="B16" i="25" s="1"/>
  <c r="B17" i="25" a="1"/>
  <c r="B17" i="25" s="1"/>
  <c r="B18" i="25" a="1"/>
  <c r="B18" i="25" s="1"/>
  <c r="B19" i="25" a="1"/>
  <c r="B19" i="25" s="1"/>
  <c r="B20" i="25" a="1"/>
  <c r="B20" i="25" s="1"/>
  <c r="B7" i="25" a="1"/>
  <c r="B7" i="25" s="1"/>
  <c r="H46" i="22"/>
  <c r="D46" i="22"/>
  <c r="H45" i="22"/>
  <c r="D45" i="22"/>
  <c r="H44" i="22"/>
  <c r="D44" i="22"/>
  <c r="H43" i="22"/>
  <c r="D43" i="22"/>
  <c r="H42" i="22"/>
  <c r="D42" i="22"/>
  <c r="H41" i="22"/>
  <c r="D41" i="22"/>
  <c r="H40" i="22"/>
  <c r="D40" i="22"/>
  <c r="H39" i="22"/>
  <c r="D39" i="22"/>
  <c r="H38" i="22"/>
  <c r="D38" i="22"/>
  <c r="H37" i="22"/>
  <c r="D37" i="22"/>
  <c r="H36" i="22"/>
  <c r="D36" i="22"/>
  <c r="H35" i="22"/>
  <c r="D35" i="22"/>
  <c r="H34" i="22"/>
  <c r="D34" i="22"/>
  <c r="H33" i="22"/>
  <c r="D33" i="22"/>
  <c r="H32" i="22"/>
  <c r="D32" i="22"/>
  <c r="H31" i="22"/>
  <c r="D31" i="22"/>
  <c r="H30" i="22"/>
  <c r="D30" i="22"/>
  <c r="H29" i="22"/>
  <c r="D29" i="22"/>
  <c r="H28" i="22"/>
  <c r="D28" i="22"/>
  <c r="H27" i="22"/>
  <c r="D27" i="22"/>
  <c r="H26" i="22"/>
  <c r="D26" i="22"/>
  <c r="H25" i="22"/>
  <c r="D25" i="22"/>
  <c r="H24" i="22"/>
  <c r="D24" i="22"/>
  <c r="H23" i="22"/>
  <c r="D23" i="22"/>
  <c r="H22" i="22"/>
  <c r="D22" i="22"/>
  <c r="H21" i="22"/>
  <c r="D21" i="22"/>
  <c r="H20" i="22"/>
  <c r="D20" i="22"/>
  <c r="H19" i="22"/>
  <c r="D19" i="22"/>
  <c r="H18" i="22"/>
  <c r="D18" i="22"/>
  <c r="H17" i="22"/>
  <c r="D17" i="22"/>
  <c r="H16" i="22"/>
  <c r="D16" i="22"/>
  <c r="H15" i="22"/>
  <c r="D15" i="22"/>
  <c r="H14" i="22"/>
  <c r="D14" i="22"/>
  <c r="H13" i="22"/>
  <c r="D13" i="22"/>
  <c r="H12" i="22"/>
  <c r="D12" i="22"/>
  <c r="H11" i="22"/>
  <c r="D11" i="22"/>
  <c r="H10" i="22"/>
  <c r="D10" i="22"/>
  <c r="H9" i="22"/>
  <c r="D9" i="22"/>
  <c r="H8" i="22"/>
  <c r="D8" i="22"/>
  <c r="H7" i="22"/>
  <c r="D7" i="22"/>
  <c r="H6" i="22"/>
  <c r="D6" i="22"/>
  <c r="L7" i="18"/>
  <c r="L8" i="18"/>
  <c r="L9" i="18"/>
  <c r="L10" i="18"/>
  <c r="L11" i="18"/>
  <c r="L12" i="18"/>
  <c r="L13" i="18"/>
  <c r="L14" i="18"/>
  <c r="L15" i="18"/>
  <c r="L16" i="18"/>
  <c r="L6" i="18"/>
  <c r="H3" i="20" a="1"/>
  <c r="H3" i="20" s="1"/>
  <c r="J3" i="19" a="1"/>
  <c r="J3" i="19" s="1"/>
  <c r="G3" i="19" a="1"/>
  <c r="G3" i="19" s="1"/>
  <c r="K3" i="21" a="1"/>
  <c r="K3" i="21" s="1"/>
  <c r="J3" i="21" a="1"/>
  <c r="J3" i="21" s="1"/>
  <c r="L3" i="21" a="1"/>
  <c r="L3" i="21" s="1"/>
  <c r="H3" i="21" a="1"/>
  <c r="H3" i="21" s="1"/>
  <c r="G3" i="21" a="1"/>
  <c r="G3" i="21" s="1"/>
  <c r="F3" i="21" a="1"/>
  <c r="F3" i="21" s="1"/>
  <c r="E3" i="21" a="1"/>
  <c r="E3" i="21" s="1"/>
  <c r="D3" i="21" a="1"/>
  <c r="D3" i="21" s="1"/>
  <c r="C3" i="21" a="1"/>
  <c r="C3" i="21" s="1"/>
  <c r="B3" i="21" a="1"/>
  <c r="B3" i="21" s="1"/>
  <c r="D7" i="20"/>
  <c r="E7" i="20" s="1" a="1"/>
  <c r="E7" i="20" s="1"/>
  <c r="D8" i="20"/>
  <c r="F8" i="20" s="1" a="1"/>
  <c r="F8" i="20" s="1"/>
  <c r="D9" i="20"/>
  <c r="E9" i="20" s="1" a="1"/>
  <c r="E9" i="20" s="1"/>
  <c r="D10" i="20"/>
  <c r="H10" i="20" s="1" a="1"/>
  <c r="H10" i="20" s="1"/>
  <c r="D11" i="20"/>
  <c r="E11" i="20" s="1" a="1"/>
  <c r="E11" i="20" s="1"/>
  <c r="D12" i="20"/>
  <c r="E12" i="20" s="1" a="1"/>
  <c r="E12" i="20" s="1"/>
  <c r="D13" i="20"/>
  <c r="E13" i="20" s="1" a="1"/>
  <c r="E13" i="20" s="1"/>
  <c r="D14" i="20"/>
  <c r="E14" i="20" s="1" a="1"/>
  <c r="E14" i="20" s="1"/>
  <c r="D15" i="20"/>
  <c r="H15" i="20" s="1" a="1"/>
  <c r="H15" i="20" s="1"/>
  <c r="D16" i="20"/>
  <c r="E16" i="20" s="1" a="1"/>
  <c r="E16" i="20" s="1"/>
  <c r="D17" i="20"/>
  <c r="H17" i="20" s="1" a="1"/>
  <c r="H17" i="20" s="1"/>
  <c r="D18" i="20"/>
  <c r="H18" i="20" s="1" a="1"/>
  <c r="H18" i="20" s="1"/>
  <c r="D19" i="20"/>
  <c r="E19" i="20" s="1" a="1"/>
  <c r="E19" i="20" s="1"/>
  <c r="D20" i="20"/>
  <c r="F20" i="20" s="1" a="1"/>
  <c r="F20" i="20" s="1"/>
  <c r="D21" i="20"/>
  <c r="E21" i="20" s="1" a="1"/>
  <c r="E21" i="20" s="1"/>
  <c r="D22" i="20"/>
  <c r="H22" i="20" s="1" a="1"/>
  <c r="H22" i="20" s="1"/>
  <c r="D23" i="20"/>
  <c r="E23" i="20" s="1" a="1"/>
  <c r="E23" i="20" s="1"/>
  <c r="D24" i="20"/>
  <c r="E24" i="20" s="1" a="1"/>
  <c r="E24" i="20" s="1"/>
  <c r="D25" i="20"/>
  <c r="E25" i="20" s="1" a="1"/>
  <c r="E25" i="20" s="1"/>
  <c r="D26" i="20"/>
  <c r="E26" i="20" s="1" a="1"/>
  <c r="E26" i="20" s="1"/>
  <c r="G3" i="20" a="1"/>
  <c r="G3" i="20" s="1"/>
  <c r="D6" i="20"/>
  <c r="F6" i="20" s="1" a="1"/>
  <c r="F6" i="20" s="1"/>
  <c r="F3" i="20" a="1"/>
  <c r="F3" i="20" s="1"/>
  <c r="E3" i="20" a="1"/>
  <c r="E3" i="20" s="1"/>
  <c r="D3" i="20" a="1"/>
  <c r="D3" i="20" s="1"/>
  <c r="C3" i="20" a="1"/>
  <c r="C3" i="20" s="1"/>
  <c r="B3" i="20" a="1"/>
  <c r="B3" i="20" s="1"/>
  <c r="H3" i="19" a="1"/>
  <c r="H3" i="19" s="1"/>
  <c r="I3" i="19" a="1"/>
  <c r="I3" i="19" s="1"/>
  <c r="C3" i="19" a="1"/>
  <c r="C3" i="19" s="1"/>
  <c r="D3" i="19" a="1"/>
  <c r="D3" i="19" s="1"/>
  <c r="F3" i="19" a="1"/>
  <c r="F3" i="19" s="1"/>
  <c r="E3" i="19" a="1"/>
  <c r="E3" i="19" s="1"/>
  <c r="B3" i="19" a="1"/>
  <c r="B3" i="19" s="1"/>
  <c r="E17" i="18"/>
  <c r="F17" i="18" s="1" a="1"/>
  <c r="F17" i="18" s="1"/>
  <c r="E18" i="18"/>
  <c r="F18" i="18" a="1"/>
  <c r="F18" i="18" s="1"/>
  <c r="G18" i="18" a="1"/>
  <c r="G18" i="18" s="1"/>
  <c r="H18" i="18" a="1"/>
  <c r="H18" i="18" s="1"/>
  <c r="I18" i="18" a="1"/>
  <c r="I18" i="18" s="1"/>
  <c r="J18" i="18" a="1"/>
  <c r="J18" i="18" s="1"/>
  <c r="E19" i="18"/>
  <c r="F19" i="18" a="1"/>
  <c r="F19" i="18" s="1"/>
  <c r="G19" i="18" a="1"/>
  <c r="G19" i="18" s="1"/>
  <c r="H19" i="18" a="1"/>
  <c r="H19" i="18" s="1"/>
  <c r="I19" i="18" a="1"/>
  <c r="I19" i="18" s="1"/>
  <c r="J19" i="18" a="1"/>
  <c r="J19" i="18" s="1"/>
  <c r="E20" i="18"/>
  <c r="F20" i="18" a="1"/>
  <c r="F20" i="18" s="1"/>
  <c r="G20" i="18" a="1"/>
  <c r="G20" i="18" s="1"/>
  <c r="H20" i="18" a="1"/>
  <c r="H20" i="18" s="1"/>
  <c r="I20" i="18" a="1"/>
  <c r="I20" i="18" s="1"/>
  <c r="J20" i="18" a="1"/>
  <c r="J20" i="18" s="1"/>
  <c r="E21" i="18"/>
  <c r="F21" i="18" a="1"/>
  <c r="F21" i="18" s="1"/>
  <c r="G21" i="18" a="1"/>
  <c r="G21" i="18" s="1"/>
  <c r="H21" i="18" a="1"/>
  <c r="H21" i="18" s="1"/>
  <c r="I21" i="18" a="1"/>
  <c r="I21" i="18" s="1"/>
  <c r="J21" i="18" a="1"/>
  <c r="J21" i="18" s="1"/>
  <c r="E22" i="18"/>
  <c r="F22" i="18" a="1"/>
  <c r="F22" i="18" s="1"/>
  <c r="G22" i="18" a="1"/>
  <c r="G22" i="18" s="1"/>
  <c r="H22" i="18" a="1"/>
  <c r="H22" i="18" s="1"/>
  <c r="I22" i="18" a="1"/>
  <c r="I22" i="18" s="1"/>
  <c r="J22" i="18" a="1"/>
  <c r="J22" i="18" s="1"/>
  <c r="E23" i="18"/>
  <c r="F23" i="18" a="1"/>
  <c r="F23" i="18" s="1"/>
  <c r="G23" i="18" a="1"/>
  <c r="G23" i="18" s="1"/>
  <c r="H23" i="18" a="1"/>
  <c r="H23" i="18" s="1"/>
  <c r="I23" i="18" a="1"/>
  <c r="I23" i="18" s="1"/>
  <c r="J23" i="18" a="1"/>
  <c r="J23" i="18" s="1"/>
  <c r="E24" i="18"/>
  <c r="F24" i="18" a="1"/>
  <c r="F24" i="18" s="1"/>
  <c r="G24" i="18" a="1"/>
  <c r="G24" i="18" s="1"/>
  <c r="H24" i="18" a="1"/>
  <c r="H24" i="18" s="1"/>
  <c r="I24" i="18" a="1"/>
  <c r="I24" i="18" s="1"/>
  <c r="J24" i="18" a="1"/>
  <c r="J24" i="18" s="1"/>
  <c r="E25" i="18"/>
  <c r="F25" i="18" a="1"/>
  <c r="F25" i="18" s="1"/>
  <c r="G25" i="18" a="1"/>
  <c r="G25" i="18" s="1"/>
  <c r="H25" i="18" a="1"/>
  <c r="H25" i="18" s="1"/>
  <c r="I25" i="18" a="1"/>
  <c r="I25" i="18" s="1"/>
  <c r="J25" i="18" a="1"/>
  <c r="J25" i="18" s="1"/>
  <c r="E26" i="18"/>
  <c r="F26" i="18" a="1"/>
  <c r="F26" i="18" s="1"/>
  <c r="G26" i="18" a="1"/>
  <c r="G26" i="18" s="1"/>
  <c r="H26" i="18" a="1"/>
  <c r="H26" i="18" s="1"/>
  <c r="I26" i="18" a="1"/>
  <c r="I26" i="18" s="1"/>
  <c r="J26" i="18" a="1"/>
  <c r="J26" i="18" s="1"/>
  <c r="B26" i="18" a="1"/>
  <c r="B26" i="18" s="1"/>
  <c r="B8" i="18" a="1"/>
  <c r="B8" i="18" s="1"/>
  <c r="B15" i="18" a="1"/>
  <c r="B15" i="18" s="1"/>
  <c r="B12" i="18" a="1"/>
  <c r="B12" i="18" s="1"/>
  <c r="B7" i="18" a="1"/>
  <c r="B7" i="18" s="1"/>
  <c r="B16" i="18" a="1"/>
  <c r="B16" i="18" s="1"/>
  <c r="B10" i="18" a="1"/>
  <c r="B10" i="18" s="1"/>
  <c r="B6" i="18" a="1"/>
  <c r="B6" i="18" s="1"/>
  <c r="B14" i="18" a="1"/>
  <c r="B14" i="18" s="1"/>
  <c r="B13" i="18" a="1"/>
  <c r="B13" i="18" s="1"/>
  <c r="B9" i="18" a="1"/>
  <c r="B9" i="18" s="1"/>
  <c r="B17" i="18" a="1"/>
  <c r="B17" i="18" s="1"/>
  <c r="B18" i="18" a="1"/>
  <c r="B18" i="18" s="1"/>
  <c r="B19" i="18" a="1"/>
  <c r="B19" i="18" s="1"/>
  <c r="B20" i="18" a="1"/>
  <c r="B20" i="18" s="1"/>
  <c r="B21" i="18" a="1"/>
  <c r="B21" i="18" s="1"/>
  <c r="B22" i="18" a="1"/>
  <c r="B22" i="18" s="1"/>
  <c r="B23" i="18" a="1"/>
  <c r="B23" i="18" s="1"/>
  <c r="B24" i="18" a="1"/>
  <c r="B24" i="18" s="1"/>
  <c r="B25" i="18" a="1"/>
  <c r="B25" i="18" s="1"/>
  <c r="E27" i="18"/>
  <c r="F27" i="18" a="1"/>
  <c r="F27" i="18" s="1"/>
  <c r="G27" i="18" a="1"/>
  <c r="G27" i="18" s="1"/>
  <c r="H27" i="18" a="1"/>
  <c r="H27" i="18" s="1"/>
  <c r="I27" i="18" a="1"/>
  <c r="I27" i="18" s="1"/>
  <c r="J27" i="18" a="1"/>
  <c r="J27" i="18" s="1"/>
  <c r="E28" i="18"/>
  <c r="F28" i="18" a="1"/>
  <c r="F28" i="18" s="1"/>
  <c r="G28" i="18" a="1"/>
  <c r="G28" i="18" s="1"/>
  <c r="H28" i="18" a="1"/>
  <c r="H28" i="18" s="1"/>
  <c r="I28" i="18" a="1"/>
  <c r="I28" i="18" s="1"/>
  <c r="J28" i="18" a="1"/>
  <c r="J28" i="18" s="1"/>
  <c r="E29" i="18"/>
  <c r="F29" i="18" a="1"/>
  <c r="F29" i="18" s="1"/>
  <c r="G29" i="18" a="1"/>
  <c r="G29" i="18" s="1"/>
  <c r="H29" i="18" a="1"/>
  <c r="H29" i="18" s="1"/>
  <c r="I29" i="18" a="1"/>
  <c r="I29" i="18" s="1"/>
  <c r="J29" i="18" a="1"/>
  <c r="J29" i="18" s="1"/>
  <c r="I3" i="18" a="1"/>
  <c r="I3" i="18" s="1"/>
  <c r="H3" i="18" a="1"/>
  <c r="H3" i="18" s="1"/>
  <c r="G3" i="18" a="1"/>
  <c r="G3" i="18" s="1"/>
  <c r="C3" i="18" a="1"/>
  <c r="C3" i="18" s="1"/>
  <c r="D3" i="18" a="1"/>
  <c r="D3" i="18" s="1"/>
  <c r="E3" i="18" a="1"/>
  <c r="E3" i="18" s="1"/>
  <c r="F3" i="18" a="1"/>
  <c r="F3" i="18" s="1"/>
  <c r="J3" i="18" a="1"/>
  <c r="J3" i="18" s="1"/>
  <c r="B3" i="18" a="1"/>
  <c r="B3" i="18" s="1"/>
  <c r="B11" i="18" a="1"/>
  <c r="B11" i="18" s="1"/>
  <c r="S18" i="16"/>
  <c r="S19" i="16"/>
  <c r="S20" i="16"/>
  <c r="S21" i="16"/>
  <c r="S22" i="16"/>
  <c r="S23" i="16"/>
  <c r="S24" i="16"/>
  <c r="S25" i="16"/>
  <c r="S26" i="16"/>
  <c r="S27" i="16"/>
  <c r="S2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G4" i="17"/>
  <c r="G5" i="17"/>
  <c r="G6" i="17"/>
  <c r="G7" i="17"/>
  <c r="G8" i="17"/>
  <c r="G9" i="17"/>
  <c r="G10" i="17"/>
  <c r="G11" i="17"/>
  <c r="G12" i="17"/>
  <c r="G13" i="17"/>
  <c r="G14" i="17"/>
  <c r="G3" i="17"/>
  <c r="B22" i="16"/>
  <c r="H22" i="16" s="1" a="1"/>
  <c r="H22" i="16" s="1"/>
  <c r="B21" i="16"/>
  <c r="J21" i="16" s="1" a="1"/>
  <c r="J21" i="16" s="1"/>
  <c r="B20" i="16"/>
  <c r="F20" i="16" s="1" a="1"/>
  <c r="F20" i="16" s="1"/>
  <c r="B19" i="16"/>
  <c r="F19" i="16" s="1" a="1"/>
  <c r="F19" i="16" s="1"/>
  <c r="B18" i="16"/>
  <c r="G18" i="16" s="1" a="1"/>
  <c r="G18" i="16" s="1"/>
  <c r="B17" i="16"/>
  <c r="B16" i="16"/>
  <c r="B15" i="16"/>
  <c r="B14" i="16"/>
  <c r="I14" i="16" s="1" a="1"/>
  <c r="I14" i="16" s="1"/>
  <c r="B13" i="16"/>
  <c r="F13" i="16" s="1" a="1"/>
  <c r="F13" i="16" s="1"/>
  <c r="B12" i="16"/>
  <c r="B11" i="16"/>
  <c r="B10" i="16"/>
  <c r="B9" i="16"/>
  <c r="B8" i="16"/>
  <c r="B7" i="16"/>
  <c r="G7" i="16" s="1" a="1"/>
  <c r="G7" i="16" s="1"/>
  <c r="B6" i="16"/>
  <c r="G6" i="16" s="1" a="1"/>
  <c r="G6" i="16" s="1"/>
  <c r="K3" i="16" a="1"/>
  <c r="K3" i="16" s="1"/>
  <c r="J3" i="16" a="1"/>
  <c r="J3" i="16" s="1"/>
  <c r="I3" i="16" a="1"/>
  <c r="I3" i="16" s="1"/>
  <c r="H3" i="16" a="1"/>
  <c r="H3" i="16" s="1"/>
  <c r="G3" i="16" a="1"/>
  <c r="G3" i="16" s="1"/>
  <c r="F3" i="16" a="1"/>
  <c r="F3" i="16" s="1"/>
  <c r="E3" i="16" a="1"/>
  <c r="E3" i="16" s="1"/>
  <c r="D3" i="16" a="1"/>
  <c r="D3" i="16" s="1"/>
  <c r="B7" i="15"/>
  <c r="B9" i="15"/>
  <c r="B8" i="15"/>
  <c r="B10" i="15"/>
  <c r="B11" i="15"/>
  <c r="B13" i="15"/>
  <c r="B14" i="15"/>
  <c r="B15" i="15"/>
  <c r="B16" i="15"/>
  <c r="B17" i="15"/>
  <c r="B18" i="15"/>
  <c r="B19" i="15"/>
  <c r="B20" i="15"/>
  <c r="B21" i="15"/>
  <c r="B22" i="15"/>
  <c r="B23" i="15"/>
  <c r="B6" i="15"/>
  <c r="I3" i="15" a="1"/>
  <c r="I3" i="15" s="1"/>
  <c r="G3" i="15" a="1"/>
  <c r="G3" i="15" s="1"/>
  <c r="F3" i="15" a="1"/>
  <c r="F3" i="15" s="1"/>
  <c r="J3" i="15" a="1"/>
  <c r="J3" i="15" s="1"/>
  <c r="H3" i="15" a="1"/>
  <c r="H3" i="15" s="1"/>
  <c r="E3" i="15" a="1"/>
  <c r="E3" i="15" s="1"/>
  <c r="D3" i="15" a="1"/>
  <c r="D3" i="15" s="1"/>
  <c r="B6" i="14" a="1"/>
  <c r="B6" i="14" s="1"/>
  <c r="B7" i="14" a="1"/>
  <c r="B7" i="14" s="1"/>
  <c r="B8" i="14" a="1"/>
  <c r="B8" i="14" s="1"/>
  <c r="B9" i="14" a="1"/>
  <c r="B9" i="14" s="1"/>
  <c r="B10" i="14" a="1"/>
  <c r="B10" i="14" s="1"/>
  <c r="B11" i="14" a="1"/>
  <c r="B11" i="14" s="1"/>
  <c r="B12" i="14" a="1"/>
  <c r="B12" i="14" s="1"/>
  <c r="B13" i="14" a="1"/>
  <c r="B13" i="14" s="1"/>
  <c r="B14" i="14" a="1"/>
  <c r="B14" i="14" s="1"/>
  <c r="B15" i="14" a="1"/>
  <c r="B15" i="14" s="1"/>
  <c r="B16" i="14" a="1"/>
  <c r="B16" i="14" s="1"/>
  <c r="B17" i="14" a="1"/>
  <c r="B17" i="14" s="1"/>
  <c r="B18" i="14" a="1"/>
  <c r="B18" i="14" s="1"/>
  <c r="B19" i="14" a="1"/>
  <c r="B19" i="14" s="1"/>
  <c r="B20" i="14" a="1"/>
  <c r="B20" i="14" s="1"/>
  <c r="B21" i="14" a="1"/>
  <c r="B21" i="14" s="1"/>
  <c r="B22" i="14" a="1"/>
  <c r="B22" i="14" s="1"/>
  <c r="B23" i="14" a="1"/>
  <c r="B23" i="14" s="1"/>
  <c r="B24" i="14" a="1"/>
  <c r="B24" i="14" s="1"/>
  <c r="B25" i="14" a="1"/>
  <c r="B25" i="14" s="1"/>
  <c r="B26" i="14" a="1"/>
  <c r="B26" i="14" s="1"/>
  <c r="B27" i="14" a="1"/>
  <c r="B27" i="14" s="1"/>
  <c r="B28" i="14" a="1"/>
  <c r="B28" i="14" s="1"/>
  <c r="B29" i="14" a="1"/>
  <c r="B29" i="14" s="1"/>
  <c r="B30" i="14" a="1"/>
  <c r="B30" i="14" s="1"/>
  <c r="B31" i="14" a="1"/>
  <c r="B31" i="14" s="1"/>
  <c r="B32" i="14" a="1"/>
  <c r="B32" i="14" s="1"/>
  <c r="B33" i="14" a="1"/>
  <c r="B33" i="14" s="1"/>
  <c r="B34" i="14" a="1"/>
  <c r="B34" i="14" s="1"/>
  <c r="B35" i="14" a="1"/>
  <c r="B35" i="14" s="1"/>
  <c r="B36" i="14" a="1"/>
  <c r="B36" i="14" s="1"/>
  <c r="B37" i="14" a="1"/>
  <c r="B37" i="14" s="1"/>
  <c r="B38" i="14" a="1"/>
  <c r="B38" i="14" s="1"/>
  <c r="B39" i="14" a="1"/>
  <c r="B39" i="14" s="1"/>
  <c r="B40" i="14" a="1"/>
  <c r="B40" i="14" s="1"/>
  <c r="B41" i="14" a="1"/>
  <c r="B41" i="14" s="1"/>
  <c r="B42" i="14" a="1"/>
  <c r="B42" i="14" s="1"/>
  <c r="B43" i="14" a="1"/>
  <c r="B43" i="14" s="1"/>
  <c r="B44" i="14" a="1"/>
  <c r="B44" i="14" s="1"/>
  <c r="B45" i="14" a="1"/>
  <c r="B45" i="14" s="1"/>
  <c r="B46" i="14" a="1"/>
  <c r="B46" i="14" s="1"/>
  <c r="B47" i="14" a="1"/>
  <c r="B47" i="14" s="1"/>
  <c r="B48" i="14" a="1"/>
  <c r="B48" i="14" s="1"/>
  <c r="B49" i="14" a="1"/>
  <c r="B49" i="14" s="1"/>
  <c r="B50" i="14" a="1"/>
  <c r="B50" i="14" s="1"/>
  <c r="B51" i="14" a="1"/>
  <c r="B51" i="14" s="1"/>
  <c r="B52" i="14" a="1"/>
  <c r="B52" i="14" s="1"/>
  <c r="B53" i="14" a="1"/>
  <c r="B53" i="14" s="1"/>
  <c r="B54" i="14" a="1"/>
  <c r="B54" i="14" s="1"/>
  <c r="B55" i="14" a="1"/>
  <c r="B55" i="14" s="1"/>
  <c r="B56" i="14" a="1"/>
  <c r="B56" i="14" s="1"/>
  <c r="B57" i="14" a="1"/>
  <c r="B57" i="14" s="1"/>
  <c r="B58" i="14" a="1"/>
  <c r="B58" i="14" s="1"/>
  <c r="B59" i="14" a="1"/>
  <c r="B59" i="14" s="1"/>
  <c r="B60" i="14" a="1"/>
  <c r="B60" i="14" s="1"/>
  <c r="B61" i="14" a="1"/>
  <c r="B61" i="14" s="1"/>
  <c r="B62" i="14" a="1"/>
  <c r="B62" i="14" s="1"/>
  <c r="B63" i="14" a="1"/>
  <c r="B63" i="14" s="1"/>
  <c r="B64" i="14" a="1"/>
  <c r="B64" i="14" s="1"/>
  <c r="B65" i="14" a="1"/>
  <c r="B65" i="14" s="1"/>
  <c r="B66" i="14" a="1"/>
  <c r="B66" i="14" s="1"/>
  <c r="B67" i="14" a="1"/>
  <c r="B67" i="14" s="1"/>
  <c r="B68" i="14" a="1"/>
  <c r="B68" i="14" s="1"/>
  <c r="B69" i="14" a="1"/>
  <c r="B69" i="14" s="1"/>
  <c r="B70" i="14" a="1"/>
  <c r="B70" i="14" s="1"/>
  <c r="B71" i="14" a="1"/>
  <c r="B71" i="14" s="1"/>
  <c r="B72" i="14" a="1"/>
  <c r="B72" i="14" s="1"/>
  <c r="B73" i="14" a="1"/>
  <c r="B73" i="14" s="1"/>
  <c r="B74" i="14" a="1"/>
  <c r="B74" i="14" s="1"/>
  <c r="B75" i="14" a="1"/>
  <c r="B75" i="14" s="1"/>
  <c r="B76" i="14" a="1"/>
  <c r="B76" i="14" s="1"/>
  <c r="B77" i="14" a="1"/>
  <c r="B77" i="14" s="1"/>
  <c r="B78" i="14" a="1"/>
  <c r="B78" i="14" s="1"/>
  <c r="B79" i="14" a="1"/>
  <c r="B79" i="14" s="1"/>
  <c r="B5" i="14" a="1"/>
  <c r="B5" i="14" s="1"/>
  <c r="M1" i="13" a="1"/>
  <c r="M1" i="13" s="1"/>
  <c r="L1" i="13" a="1"/>
  <c r="L1" i="13" s="1"/>
  <c r="K1" i="13" a="1"/>
  <c r="K1" i="13" s="1"/>
  <c r="J1" i="13" a="1"/>
  <c r="J1" i="13" s="1"/>
  <c r="I1" i="13" a="1"/>
  <c r="I1" i="13" s="1"/>
  <c r="H1" i="13" a="1"/>
  <c r="H1" i="13" s="1"/>
  <c r="G1" i="13" a="1"/>
  <c r="G1" i="13" s="1"/>
  <c r="F1" i="13" a="1"/>
  <c r="F1" i="13" s="1"/>
  <c r="D1" i="13" a="1"/>
  <c r="D1" i="13" s="1"/>
  <c r="C1" i="13" a="1"/>
  <c r="C1" i="13" s="1"/>
  <c r="B1" i="13" a="1"/>
  <c r="B1" i="13" s="1"/>
  <c r="F101" i="8" a="1"/>
  <c r="F101" i="8" s="1"/>
  <c r="F24" i="8" a="1"/>
  <c r="F24" i="8" s="1"/>
  <c r="K24" i="8" a="1"/>
  <c r="K24" i="8" s="1"/>
  <c r="F25" i="8" a="1"/>
  <c r="F25" i="8" s="1"/>
  <c r="K25" i="8" a="1"/>
  <c r="K25" i="8" s="1"/>
  <c r="F26" i="8" a="1"/>
  <c r="F26" i="8" s="1"/>
  <c r="K26" i="8" a="1"/>
  <c r="K26" i="8" s="1"/>
  <c r="F27" i="8" a="1"/>
  <c r="F27" i="8" s="1"/>
  <c r="K27" i="8" a="1"/>
  <c r="K27" i="8" s="1"/>
  <c r="F28" i="8" a="1"/>
  <c r="F28" i="8" s="1"/>
  <c r="K28" i="8" a="1"/>
  <c r="K28" i="8" s="1"/>
  <c r="F29" i="8" a="1"/>
  <c r="F29" i="8" s="1"/>
  <c r="K29" i="8" a="1"/>
  <c r="K29" i="8" s="1"/>
  <c r="F30" i="8" a="1"/>
  <c r="F30" i="8" s="1"/>
  <c r="K30" i="8" a="1"/>
  <c r="K30" i="8" s="1"/>
  <c r="F31" i="8" a="1"/>
  <c r="F31" i="8" s="1"/>
  <c r="K31" i="8" a="1"/>
  <c r="K31" i="8" s="1"/>
  <c r="F32" i="8" a="1"/>
  <c r="F32" i="8" s="1"/>
  <c r="K32" i="8" a="1"/>
  <c r="K32" i="8" s="1"/>
  <c r="F33" i="8" a="1"/>
  <c r="F33" i="8" s="1"/>
  <c r="K33" i="8" a="1"/>
  <c r="K33" i="8" s="1"/>
  <c r="F34" i="8" a="1"/>
  <c r="F34" i="8" s="1"/>
  <c r="K34" i="8" a="1"/>
  <c r="K34" i="8" s="1"/>
  <c r="F35" i="8" a="1"/>
  <c r="F35" i="8" s="1"/>
  <c r="K35" i="8" a="1"/>
  <c r="K35" i="8" s="1"/>
  <c r="F36" i="8" a="1"/>
  <c r="F36" i="8" s="1"/>
  <c r="K36" i="8" a="1"/>
  <c r="K36" i="8" s="1"/>
  <c r="F37" i="8" a="1"/>
  <c r="F37" i="8" s="1"/>
  <c r="K37" i="8" a="1"/>
  <c r="K37" i="8" s="1"/>
  <c r="F38" i="8" a="1"/>
  <c r="F38" i="8" s="1"/>
  <c r="K38" i="8" a="1"/>
  <c r="K38" i="8" s="1"/>
  <c r="F39" i="8" a="1"/>
  <c r="F39" i="8" s="1"/>
  <c r="K39" i="8" a="1"/>
  <c r="K39" i="8" s="1"/>
  <c r="F40" i="8" a="1"/>
  <c r="F40" i="8" s="1"/>
  <c r="K40" i="8" a="1"/>
  <c r="K40" i="8" s="1"/>
  <c r="F41" i="8" a="1"/>
  <c r="F41" i="8" s="1"/>
  <c r="K41" i="8" a="1"/>
  <c r="K41" i="8" s="1"/>
  <c r="F42" i="8" a="1"/>
  <c r="F42" i="8" s="1"/>
  <c r="K42" i="8" a="1"/>
  <c r="K42" i="8" s="1"/>
  <c r="F43" i="8" a="1"/>
  <c r="F43" i="8" s="1"/>
  <c r="K43" i="8" a="1"/>
  <c r="K43" i="8" s="1"/>
  <c r="F44" i="8" a="1"/>
  <c r="F44" i="8" s="1"/>
  <c r="K44" i="8" a="1"/>
  <c r="K44" i="8" s="1"/>
  <c r="F45" i="8" a="1"/>
  <c r="F45" i="8" s="1"/>
  <c r="K45" i="8" a="1"/>
  <c r="K45" i="8" s="1"/>
  <c r="F46" i="8" a="1"/>
  <c r="F46" i="8" s="1"/>
  <c r="K46" i="8" a="1"/>
  <c r="K46" i="8" s="1"/>
  <c r="F47" i="8" a="1"/>
  <c r="F47" i="8" s="1"/>
  <c r="K47" i="8" a="1"/>
  <c r="K47" i="8" s="1"/>
  <c r="F48" i="8" a="1"/>
  <c r="F48" i="8" s="1"/>
  <c r="K48" i="8" a="1"/>
  <c r="K48" i="8" s="1"/>
  <c r="F49" i="8" a="1"/>
  <c r="F49" i="8" s="1"/>
  <c r="K49" i="8" a="1"/>
  <c r="K49" i="8" s="1"/>
  <c r="F50" i="8" a="1"/>
  <c r="F50" i="8" s="1"/>
  <c r="K50" i="8" a="1"/>
  <c r="K50" i="8" s="1"/>
  <c r="F51" i="8" a="1"/>
  <c r="F51" i="8" s="1"/>
  <c r="K51" i="8" a="1"/>
  <c r="K51" i="8" s="1"/>
  <c r="F52" i="8" a="1"/>
  <c r="F52" i="8" s="1"/>
  <c r="K52" i="8" a="1"/>
  <c r="K52" i="8" s="1"/>
  <c r="F53" i="8" a="1"/>
  <c r="F53" i="8" s="1"/>
  <c r="K53" i="8" a="1"/>
  <c r="K53" i="8" s="1"/>
  <c r="F54" i="8" a="1"/>
  <c r="F54" i="8" s="1"/>
  <c r="K54" i="8" a="1"/>
  <c r="K54" i="8" s="1"/>
  <c r="F55" i="8" a="1"/>
  <c r="F55" i="8" s="1"/>
  <c r="K55" i="8" a="1"/>
  <c r="K55" i="8" s="1"/>
  <c r="F56" i="8" a="1"/>
  <c r="F56" i="8" s="1"/>
  <c r="K56" i="8" a="1"/>
  <c r="K56" i="8" s="1"/>
  <c r="F57" i="8" a="1"/>
  <c r="F57" i="8" s="1"/>
  <c r="K57" i="8" a="1"/>
  <c r="K57" i="8" s="1"/>
  <c r="F58" i="8" a="1"/>
  <c r="F58" i="8" s="1"/>
  <c r="K58" i="8" a="1"/>
  <c r="K58" i="8" s="1"/>
  <c r="F59" i="8" a="1"/>
  <c r="F59" i="8" s="1"/>
  <c r="K59" i="8" a="1"/>
  <c r="K59" i="8" s="1"/>
  <c r="F60" i="8" a="1"/>
  <c r="F60" i="8" s="1"/>
  <c r="K60" i="8" a="1"/>
  <c r="K60" i="8" s="1"/>
  <c r="F61" i="8" a="1"/>
  <c r="F61" i="8" s="1"/>
  <c r="K61" i="8" a="1"/>
  <c r="K61" i="8" s="1"/>
  <c r="F62" i="8" a="1"/>
  <c r="F62" i="8" s="1"/>
  <c r="K62" i="8" a="1"/>
  <c r="K62" i="8" s="1"/>
  <c r="F63" i="8" a="1"/>
  <c r="F63" i="8" s="1"/>
  <c r="K63" i="8" a="1"/>
  <c r="K63" i="8" s="1"/>
  <c r="F64" i="8" a="1"/>
  <c r="F64" i="8" s="1"/>
  <c r="K64" i="8" a="1"/>
  <c r="K64" i="8" s="1"/>
  <c r="F65" i="8" a="1"/>
  <c r="F65" i="8" s="1"/>
  <c r="K65" i="8" a="1"/>
  <c r="K65" i="8" s="1"/>
  <c r="F66" i="8" a="1"/>
  <c r="F66" i="8" s="1"/>
  <c r="K66" i="8" a="1"/>
  <c r="K66" i="8" s="1"/>
  <c r="F67" i="8" a="1"/>
  <c r="F67" i="8" s="1"/>
  <c r="K67" i="8" a="1"/>
  <c r="K67" i="8" s="1"/>
  <c r="F68" i="8" a="1"/>
  <c r="F68" i="8" s="1"/>
  <c r="K68" i="8" a="1"/>
  <c r="K68" i="8" s="1"/>
  <c r="F69" i="8" a="1"/>
  <c r="F69" i="8" s="1"/>
  <c r="K69" i="8" a="1"/>
  <c r="K69" i="8" s="1"/>
  <c r="F70" i="8" a="1"/>
  <c r="F70" i="8" s="1"/>
  <c r="K70" i="8" a="1"/>
  <c r="K70" i="8" s="1"/>
  <c r="F71" i="8" a="1"/>
  <c r="F71" i="8" s="1"/>
  <c r="K71" i="8" a="1"/>
  <c r="K71" i="8" s="1"/>
  <c r="F72" i="8" a="1"/>
  <c r="F72" i="8" s="1"/>
  <c r="K72" i="8" a="1"/>
  <c r="K72" i="8" s="1"/>
  <c r="F73" i="8" a="1"/>
  <c r="F73" i="8" s="1"/>
  <c r="K73" i="8" a="1"/>
  <c r="K73" i="8" s="1"/>
  <c r="F74" i="8" a="1"/>
  <c r="F74" i="8" s="1"/>
  <c r="K74" i="8" a="1"/>
  <c r="K74" i="8" s="1"/>
  <c r="F75" i="8" a="1"/>
  <c r="F75" i="8" s="1"/>
  <c r="K75" i="8" a="1"/>
  <c r="K75" i="8" s="1"/>
  <c r="F76" i="8" a="1"/>
  <c r="F76" i="8" s="1"/>
  <c r="K76" i="8" a="1"/>
  <c r="K76" i="8" s="1"/>
  <c r="F77" i="8" a="1"/>
  <c r="F77" i="8" s="1"/>
  <c r="K77" i="8" a="1"/>
  <c r="K77" i="8" s="1"/>
  <c r="F78" i="8" a="1"/>
  <c r="F78" i="8" s="1"/>
  <c r="K78" i="8" a="1"/>
  <c r="K78" i="8" s="1"/>
  <c r="F79" i="8" a="1"/>
  <c r="F79" i="8" s="1"/>
  <c r="K79" i="8" a="1"/>
  <c r="K79" i="8" s="1"/>
  <c r="F80" i="8" a="1"/>
  <c r="F80" i="8" s="1"/>
  <c r="K80" i="8" a="1"/>
  <c r="K80" i="8" s="1"/>
  <c r="F81" i="8" a="1"/>
  <c r="F81" i="8" s="1"/>
  <c r="K81" i="8" a="1"/>
  <c r="K81" i="8" s="1"/>
  <c r="F82" i="8" a="1"/>
  <c r="F82" i="8" s="1"/>
  <c r="K82" i="8" a="1"/>
  <c r="K82" i="8" s="1"/>
  <c r="F83" i="8" a="1"/>
  <c r="F83" i="8" s="1"/>
  <c r="K83" i="8" a="1"/>
  <c r="K83" i="8" s="1"/>
  <c r="F84" i="8" a="1"/>
  <c r="F84" i="8" s="1"/>
  <c r="K84" i="8" a="1"/>
  <c r="K84" i="8" s="1"/>
  <c r="F85" i="8" a="1"/>
  <c r="F85" i="8" s="1"/>
  <c r="K85" i="8" a="1"/>
  <c r="K85" i="8" s="1"/>
  <c r="F86" i="8" a="1"/>
  <c r="F86" i="8" s="1"/>
  <c r="K86" i="8" a="1"/>
  <c r="K86" i="8" s="1"/>
  <c r="F87" i="8" a="1"/>
  <c r="F87" i="8" s="1"/>
  <c r="K87" i="8" a="1"/>
  <c r="K87" i="8" s="1"/>
  <c r="F88" i="8" a="1"/>
  <c r="F88" i="8" s="1"/>
  <c r="K88" i="8" a="1"/>
  <c r="K88" i="8" s="1"/>
  <c r="F89" i="8" a="1"/>
  <c r="F89" i="8" s="1"/>
  <c r="K89" i="8" a="1"/>
  <c r="K89" i="8" s="1"/>
  <c r="F90" i="8" a="1"/>
  <c r="F90" i="8" s="1"/>
  <c r="K90" i="8" a="1"/>
  <c r="K90" i="8" s="1"/>
  <c r="F91" i="8" a="1"/>
  <c r="F91" i="8" s="1"/>
  <c r="K91" i="8" a="1"/>
  <c r="K91" i="8" s="1"/>
  <c r="F92" i="8" a="1"/>
  <c r="F92" i="8" s="1"/>
  <c r="K92" i="8" a="1"/>
  <c r="K92" i="8" s="1"/>
  <c r="F93" i="8" a="1"/>
  <c r="F93" i="8" s="1"/>
  <c r="K93" i="8" a="1"/>
  <c r="K93" i="8" s="1"/>
  <c r="F94" i="8" a="1"/>
  <c r="F94" i="8" s="1"/>
  <c r="K94" i="8" a="1"/>
  <c r="K94" i="8" s="1"/>
  <c r="F95" i="8" a="1"/>
  <c r="F95" i="8" s="1"/>
  <c r="K95" i="8" a="1"/>
  <c r="K95" i="8" s="1"/>
  <c r="F96" i="8" a="1"/>
  <c r="F96" i="8" s="1"/>
  <c r="K96" i="8" a="1"/>
  <c r="K96" i="8" s="1"/>
  <c r="F97" i="8" a="1"/>
  <c r="F97" i="8" s="1"/>
  <c r="K97" i="8" a="1"/>
  <c r="K97" i="8" s="1"/>
  <c r="F98" i="8" a="1"/>
  <c r="F98" i="8" s="1"/>
  <c r="K98" i="8" a="1"/>
  <c r="K98" i="8" s="1"/>
  <c r="F99" i="8" a="1"/>
  <c r="F99" i="8" s="1"/>
  <c r="K99" i="8" a="1"/>
  <c r="K99" i="8" s="1"/>
  <c r="F100" i="8" a="1"/>
  <c r="F100" i="8" s="1"/>
  <c r="K100" i="8" a="1"/>
  <c r="K100" i="8" s="1"/>
  <c r="K101" i="8" a="1"/>
  <c r="K101" i="8" s="1"/>
  <c r="F102" i="8" a="1"/>
  <c r="F102" i="8" s="1"/>
  <c r="K102" i="8" a="1"/>
  <c r="K102" i="8" s="1"/>
  <c r="F103" i="8" a="1"/>
  <c r="F103" i="8" s="1"/>
  <c r="K103" i="8" a="1"/>
  <c r="K103" i="8" s="1"/>
  <c r="F104" i="8" a="1"/>
  <c r="F104" i="8" s="1"/>
  <c r="K104" i="8" a="1"/>
  <c r="K104" i="8" s="1"/>
  <c r="F105" i="8" a="1"/>
  <c r="F105" i="8" s="1"/>
  <c r="K105" i="8" a="1"/>
  <c r="K105" i="8" s="1"/>
  <c r="F7" i="8" a="1"/>
  <c r="F7" i="8" s="1"/>
  <c r="K7" i="8" a="1"/>
  <c r="K7" i="8" s="1"/>
  <c r="F8" i="8" a="1"/>
  <c r="F8" i="8" s="1"/>
  <c r="K8" i="8" a="1"/>
  <c r="K8" i="8" s="1"/>
  <c r="F9" i="8" a="1"/>
  <c r="F9" i="8" s="1"/>
  <c r="K9" i="8" a="1"/>
  <c r="K9" i="8" s="1"/>
  <c r="F10" i="8" a="1"/>
  <c r="F10" i="8" s="1"/>
  <c r="K10" i="8" a="1"/>
  <c r="K10" i="8" s="1"/>
  <c r="F11" i="8" a="1"/>
  <c r="F11" i="8" s="1"/>
  <c r="K11" i="8" a="1"/>
  <c r="K11" i="8" s="1"/>
  <c r="F12" i="8" a="1"/>
  <c r="F12" i="8" s="1"/>
  <c r="K12" i="8" a="1"/>
  <c r="K12" i="8" s="1"/>
  <c r="F13" i="8" a="1"/>
  <c r="F13" i="8" s="1"/>
  <c r="K13" i="8" a="1"/>
  <c r="K13" i="8" s="1"/>
  <c r="F14" i="8" a="1"/>
  <c r="F14" i="8" s="1"/>
  <c r="K14" i="8" a="1"/>
  <c r="K14" i="8" s="1"/>
  <c r="F15" i="8" a="1"/>
  <c r="F15" i="8" s="1"/>
  <c r="K15" i="8" a="1"/>
  <c r="K15" i="8" s="1"/>
  <c r="F16" i="8" a="1"/>
  <c r="F16" i="8" s="1"/>
  <c r="K16" i="8" a="1"/>
  <c r="K16" i="8" s="1"/>
  <c r="F17" i="8" a="1"/>
  <c r="F17" i="8" s="1"/>
  <c r="K17" i="8" a="1"/>
  <c r="K17" i="8" s="1"/>
  <c r="F18" i="8" a="1"/>
  <c r="F18" i="8" s="1"/>
  <c r="K18" i="8" a="1"/>
  <c r="K18" i="8" s="1"/>
  <c r="F19" i="8" a="1"/>
  <c r="F19" i="8" s="1"/>
  <c r="K19" i="8" a="1"/>
  <c r="K19" i="8" s="1"/>
  <c r="F20" i="8" a="1"/>
  <c r="F20" i="8" s="1"/>
  <c r="K20" i="8" a="1"/>
  <c r="K20" i="8" s="1"/>
  <c r="F21" i="8" a="1"/>
  <c r="F21" i="8" s="1"/>
  <c r="K21" i="8" a="1"/>
  <c r="K21" i="8" s="1"/>
  <c r="F22" i="8" a="1"/>
  <c r="F22" i="8" s="1"/>
  <c r="K22" i="8" a="1"/>
  <c r="K22" i="8" s="1"/>
  <c r="F23" i="8" a="1"/>
  <c r="F23" i="8" s="1"/>
  <c r="K23" i="8" a="1"/>
  <c r="K23" i="8" s="1"/>
  <c r="K6" i="8" a="1"/>
  <c r="K6" i="8" s="1"/>
  <c r="F6" i="8" a="1"/>
  <c r="F6" i="8" s="1"/>
  <c r="R2" i="4" a="1"/>
  <c r="R2" i="4" s="1"/>
  <c r="H2" i="4" a="1"/>
  <c r="H2" i="4" s="1"/>
  <c r="I2" i="4" a="1"/>
  <c r="I2" i="4" s="1"/>
  <c r="J2" i="4" a="1"/>
  <c r="J2" i="4" s="1"/>
  <c r="K2" i="4" a="1"/>
  <c r="K2" i="4" s="1"/>
  <c r="L2" i="4" a="1"/>
  <c r="L2" i="4" s="1"/>
  <c r="M2" i="4" a="1"/>
  <c r="M2" i="4" s="1"/>
  <c r="N2" i="4" a="1"/>
  <c r="N2" i="4" s="1"/>
  <c r="O2" i="4" a="1"/>
  <c r="O2" i="4" s="1"/>
  <c r="P2" i="4" a="1"/>
  <c r="P2" i="4" s="1"/>
  <c r="Q2" i="4" a="1"/>
  <c r="Q2" i="4" s="1"/>
  <c r="G2" i="8"/>
  <c r="H2" i="8" s="1"/>
  <c r="I2" i="8" s="1"/>
  <c r="I18" i="8" s="1" a="1"/>
  <c r="I18" i="8" s="1"/>
  <c r="G2" i="5" a="1"/>
  <c r="G2" i="5" s="1"/>
  <c r="H2" i="5" a="1"/>
  <c r="H2" i="5" s="1"/>
  <c r="I2" i="5" a="1"/>
  <c r="I2" i="5" s="1"/>
  <c r="K2" i="5" a="1"/>
  <c r="K2" i="5" s="1"/>
  <c r="M2" i="5" a="1"/>
  <c r="M2" i="5" s="1"/>
  <c r="L2" i="5" a="1"/>
  <c r="L2" i="5" s="1"/>
  <c r="J2" i="5" a="1"/>
  <c r="J2" i="5" s="1"/>
  <c r="F2" i="5" a="1"/>
  <c r="F2" i="5" s="1"/>
  <c r="E2" i="7" a="1"/>
  <c r="E2" i="7" s="1"/>
  <c r="C2" i="7" a="1"/>
  <c r="C2" i="7" s="1"/>
  <c r="D2" i="7" a="1"/>
  <c r="D2" i="7" s="1"/>
  <c r="G2" i="7" a="1"/>
  <c r="G2" i="7" s="1"/>
  <c r="H2" i="7" a="1"/>
  <c r="H2" i="7" s="1"/>
  <c r="I2" i="7" a="1"/>
  <c r="I2" i="7" s="1"/>
  <c r="F2" i="7" a="1"/>
  <c r="F2" i="7" s="1"/>
  <c r="B2" i="7" a="1"/>
  <c r="B2" i="7" s="1"/>
  <c r="W3" i="11"/>
  <c r="H18" i="8" l="1" a="1"/>
  <c r="H18" i="8" s="1"/>
  <c r="G6" i="8" a="1"/>
  <c r="G6" i="8" s="1"/>
  <c r="D7" i="25"/>
  <c r="F7" i="25" s="1"/>
  <c r="J2" i="8"/>
  <c r="J102" i="8" s="1" a="1"/>
  <c r="J102" i="8" s="1"/>
  <c r="I17" i="8" a="1"/>
  <c r="I17" i="8" s="1"/>
  <c r="AE5" i="4" a="1"/>
  <c r="AE5" i="4" s="1"/>
  <c r="AD56" i="4"/>
  <c r="AE56" i="4" s="1"/>
  <c r="J7" i="29" a="1"/>
  <c r="J7" i="29" s="1"/>
  <c r="F7" i="29" a="1"/>
  <c r="F7" i="29" s="1"/>
  <c r="G10" i="29" a="1"/>
  <c r="G10" i="29" s="1"/>
  <c r="F13" i="29" a="1"/>
  <c r="F13" i="29" s="1"/>
  <c r="G21" i="16" a="1"/>
  <c r="G21" i="16" s="1"/>
  <c r="M35" i="44" a="1"/>
  <c r="M35" i="44" s="1"/>
  <c r="N35" i="44" a="1"/>
  <c r="N35" i="44" s="1"/>
  <c r="M47" i="44" a="1"/>
  <c r="M47" i="44" s="1"/>
  <c r="N47" i="44" a="1"/>
  <c r="N47" i="44" s="1"/>
  <c r="M11" i="44" a="1"/>
  <c r="M11" i="44" s="1"/>
  <c r="N11" i="44" a="1"/>
  <c r="N11" i="44" s="1"/>
  <c r="N12" i="44" a="1"/>
  <c r="N12" i="44" s="1"/>
  <c r="M12" i="44" a="1"/>
  <c r="M12" i="44" s="1"/>
  <c r="N24" i="44" a="1"/>
  <c r="N24" i="44" s="1"/>
  <c r="M24" i="44" a="1"/>
  <c r="M24" i="44" s="1"/>
  <c r="N36" i="44" a="1"/>
  <c r="N36" i="44" s="1"/>
  <c r="M36" i="44" a="1"/>
  <c r="M36" i="44" s="1"/>
  <c r="N48" i="44" a="1"/>
  <c r="N48" i="44" s="1"/>
  <c r="M48" i="44" a="1"/>
  <c r="M48" i="44" s="1"/>
  <c r="N13" i="44" a="1"/>
  <c r="N13" i="44" s="1"/>
  <c r="M13" i="44" a="1"/>
  <c r="M13" i="44" s="1"/>
  <c r="N25" i="44" a="1"/>
  <c r="N25" i="44" s="1"/>
  <c r="M25" i="44" a="1"/>
  <c r="M25" i="44" s="1"/>
  <c r="N37" i="44" a="1"/>
  <c r="N37" i="44" s="1"/>
  <c r="M37" i="44" a="1"/>
  <c r="M37" i="44" s="1"/>
  <c r="N49" i="44" a="1"/>
  <c r="N49" i="44" s="1"/>
  <c r="M49" i="44" a="1"/>
  <c r="M49" i="44" s="1"/>
  <c r="M14" i="44" a="1"/>
  <c r="M14" i="44" s="1"/>
  <c r="N14" i="44" a="1"/>
  <c r="N14" i="44" s="1"/>
  <c r="M26" i="44" a="1"/>
  <c r="M26" i="44" s="1"/>
  <c r="N26" i="44" a="1"/>
  <c r="N26" i="44" s="1"/>
  <c r="M38" i="44" a="1"/>
  <c r="M38" i="44" s="1"/>
  <c r="N38" i="44" a="1"/>
  <c r="N38" i="44" s="1"/>
  <c r="M50" i="44" a="1"/>
  <c r="M50" i="44" s="1"/>
  <c r="N50" i="44" a="1"/>
  <c r="N50" i="44" s="1"/>
  <c r="M23" i="44" a="1"/>
  <c r="M23" i="44" s="1"/>
  <c r="N23" i="44" a="1"/>
  <c r="N23" i="44" s="1"/>
  <c r="N15" i="44" a="1"/>
  <c r="N15" i="44" s="1"/>
  <c r="M15" i="44" a="1"/>
  <c r="M15" i="44" s="1"/>
  <c r="N27" i="44" a="1"/>
  <c r="N27" i="44" s="1"/>
  <c r="M27" i="44" a="1"/>
  <c r="M27" i="44" s="1"/>
  <c r="N39" i="44" a="1"/>
  <c r="N39" i="44" s="1"/>
  <c r="M39" i="44" a="1"/>
  <c r="M39" i="44" s="1"/>
  <c r="N51" i="44" a="1"/>
  <c r="N51" i="44" s="1"/>
  <c r="M51" i="44" a="1"/>
  <c r="M51" i="44" s="1"/>
  <c r="N16" i="44" a="1"/>
  <c r="N16" i="44" s="1"/>
  <c r="M16" i="44" a="1"/>
  <c r="M16" i="44" s="1"/>
  <c r="N28" i="44" a="1"/>
  <c r="N28" i="44" s="1"/>
  <c r="M28" i="44" a="1"/>
  <c r="M28" i="44" s="1"/>
  <c r="N40" i="44" a="1"/>
  <c r="N40" i="44" s="1"/>
  <c r="M40" i="44" a="1"/>
  <c r="M40" i="44" s="1"/>
  <c r="N52" i="44" a="1"/>
  <c r="N52" i="44" s="1"/>
  <c r="M52" i="44" a="1"/>
  <c r="M52" i="44" s="1"/>
  <c r="N6" i="44" a="1"/>
  <c r="N6" i="44" s="1"/>
  <c r="M6" i="44" a="1"/>
  <c r="M6" i="44" s="1"/>
  <c r="M17" i="44" a="1"/>
  <c r="M17" i="44" s="1"/>
  <c r="N17" i="44" a="1"/>
  <c r="N17" i="44" s="1"/>
  <c r="M29" i="44" a="1"/>
  <c r="M29" i="44" s="1"/>
  <c r="N29" i="44" a="1"/>
  <c r="N29" i="44" s="1"/>
  <c r="M41" i="44" a="1"/>
  <c r="M41" i="44" s="1"/>
  <c r="N41" i="44" a="1"/>
  <c r="N41" i="44" s="1"/>
  <c r="M53" i="44" a="1"/>
  <c r="M53" i="44" s="1"/>
  <c r="N53" i="44" a="1"/>
  <c r="N53" i="44" s="1"/>
  <c r="N5" i="44" a="1"/>
  <c r="N5" i="44" s="1"/>
  <c r="M5" i="44" a="1"/>
  <c r="M5" i="44" s="1"/>
  <c r="N18" i="44" a="1"/>
  <c r="N18" i="44" s="1"/>
  <c r="M18" i="44" a="1"/>
  <c r="M18" i="44" s="1"/>
  <c r="N30" i="44" a="1"/>
  <c r="N30" i="44" s="1"/>
  <c r="M30" i="44" a="1"/>
  <c r="M30" i="44" s="1"/>
  <c r="N42" i="44" a="1"/>
  <c r="N42" i="44" s="1"/>
  <c r="M42" i="44" a="1"/>
  <c r="M42" i="44" s="1"/>
  <c r="N54" i="44" a="1"/>
  <c r="N54" i="44" s="1"/>
  <c r="M54" i="44" a="1"/>
  <c r="M54" i="44" s="1"/>
  <c r="N7" i="44" a="1"/>
  <c r="N7" i="44" s="1"/>
  <c r="M7" i="44" a="1"/>
  <c r="M7" i="44" s="1"/>
  <c r="N19" i="44" a="1"/>
  <c r="N19" i="44" s="1"/>
  <c r="M19" i="44" a="1"/>
  <c r="M19" i="44" s="1"/>
  <c r="N31" i="44" a="1"/>
  <c r="N31" i="44" s="1"/>
  <c r="M31" i="44" a="1"/>
  <c r="M31" i="44" s="1"/>
  <c r="N43" i="44" a="1"/>
  <c r="N43" i="44" s="1"/>
  <c r="M43" i="44" a="1"/>
  <c r="M43" i="44" s="1"/>
  <c r="M8" i="44" a="1"/>
  <c r="M8" i="44" s="1"/>
  <c r="N8" i="44" a="1"/>
  <c r="N8" i="44" s="1"/>
  <c r="M20" i="44" a="1"/>
  <c r="M20" i="44" s="1"/>
  <c r="N20" i="44" a="1"/>
  <c r="N20" i="44" s="1"/>
  <c r="M32" i="44" a="1"/>
  <c r="M32" i="44" s="1"/>
  <c r="N32" i="44" a="1"/>
  <c r="N32" i="44" s="1"/>
  <c r="M44" i="44" a="1"/>
  <c r="M44" i="44" s="1"/>
  <c r="N44" i="44" a="1"/>
  <c r="N44" i="44" s="1"/>
  <c r="N9" i="44" a="1"/>
  <c r="N9" i="44" s="1"/>
  <c r="M9" i="44" a="1"/>
  <c r="M9" i="44" s="1"/>
  <c r="N21" i="44" a="1"/>
  <c r="N21" i="44" s="1"/>
  <c r="M21" i="44" a="1"/>
  <c r="M21" i="44" s="1"/>
  <c r="N33" i="44" a="1"/>
  <c r="N33" i="44" s="1"/>
  <c r="M33" i="44" a="1"/>
  <c r="M33" i="44" s="1"/>
  <c r="N45" i="44" a="1"/>
  <c r="N45" i="44" s="1"/>
  <c r="M45" i="44" a="1"/>
  <c r="M45" i="44" s="1"/>
  <c r="N10" i="44" a="1"/>
  <c r="N10" i="44" s="1"/>
  <c r="M10" i="44" a="1"/>
  <c r="M10" i="44" s="1"/>
  <c r="N22" i="44" a="1"/>
  <c r="N22" i="44" s="1"/>
  <c r="M22" i="44" a="1"/>
  <c r="M22" i="44" s="1"/>
  <c r="N34" i="44" a="1"/>
  <c r="N34" i="44" s="1"/>
  <c r="M34" i="44" a="1"/>
  <c r="M34" i="44" s="1"/>
  <c r="N46" i="44" a="1"/>
  <c r="N46" i="44" s="1"/>
  <c r="M46" i="44" a="1"/>
  <c r="M46" i="44" s="1"/>
  <c r="L6" i="44"/>
  <c r="L5" i="44"/>
  <c r="L7" i="44"/>
  <c r="L8" i="44"/>
  <c r="L9" i="44"/>
  <c r="L10" i="44"/>
  <c r="L11" i="44"/>
  <c r="L12" i="44"/>
  <c r="L13" i="44"/>
  <c r="L14" i="44"/>
  <c r="L15" i="44"/>
  <c r="L16" i="44"/>
  <c r="L17" i="44"/>
  <c r="L18" i="44"/>
  <c r="L19" i="44"/>
  <c r="L20" i="44"/>
  <c r="L21" i="44"/>
  <c r="L22" i="44"/>
  <c r="L23" i="44"/>
  <c r="L24" i="44"/>
  <c r="L25" i="44"/>
  <c r="L26" i="44"/>
  <c r="L27" i="44"/>
  <c r="L28" i="44"/>
  <c r="L29" i="44"/>
  <c r="L30" i="44"/>
  <c r="L31" i="44"/>
  <c r="L32" i="44"/>
  <c r="L33" i="44"/>
  <c r="L34" i="44"/>
  <c r="L35" i="44"/>
  <c r="L36" i="44"/>
  <c r="L37" i="44"/>
  <c r="L38" i="44"/>
  <c r="L39" i="44"/>
  <c r="L40" i="44"/>
  <c r="L41" i="44"/>
  <c r="L42" i="44"/>
  <c r="L43" i="44"/>
  <c r="L44" i="44"/>
  <c r="L45" i="44"/>
  <c r="L46" i="44"/>
  <c r="L47" i="44"/>
  <c r="L48" i="44"/>
  <c r="L49" i="44"/>
  <c r="L50" i="44"/>
  <c r="L51" i="44"/>
  <c r="L52" i="44"/>
  <c r="L53" i="44"/>
  <c r="L54" i="44"/>
  <c r="F18" i="16" a="1"/>
  <c r="F18" i="16" s="1"/>
  <c r="F21" i="16" a="1"/>
  <c r="F21" i="16" s="1"/>
  <c r="H21" i="16" a="1"/>
  <c r="H21" i="16" s="1"/>
  <c r="K21" i="16" a="1"/>
  <c r="K21" i="16" s="1"/>
  <c r="H7" i="29" a="1"/>
  <c r="H7" i="29" s="1"/>
  <c r="K19" i="16" a="1"/>
  <c r="K19" i="16" s="1"/>
  <c r="I13" i="16" a="1"/>
  <c r="I13" i="16" s="1"/>
  <c r="F8" i="16" a="1"/>
  <c r="F8" i="16" s="1"/>
  <c r="P40" i="33" a="1"/>
  <c r="P40" i="33" s="1"/>
  <c r="P31" i="33" a="1"/>
  <c r="P31" i="33" s="1"/>
  <c r="P16" i="33" a="1"/>
  <c r="P16" i="33" s="1"/>
  <c r="P25" i="33" a="1"/>
  <c r="P25" i="33" s="1"/>
  <c r="P8" i="33" a="1"/>
  <c r="P8" i="33" s="1"/>
  <c r="P5" i="33" a="1"/>
  <c r="P5" i="33" s="1"/>
  <c r="P52" i="33" a="1"/>
  <c r="P52" i="33" s="1"/>
  <c r="P43" i="33" a="1"/>
  <c r="P43" i="33" s="1"/>
  <c r="O9" i="33" a="1"/>
  <c r="O9" i="33" s="1"/>
  <c r="O43" i="33" a="1"/>
  <c r="O43" i="33" s="1"/>
  <c r="O25" i="33" a="1"/>
  <c r="O25" i="33" s="1"/>
  <c r="P51" i="33" a="1"/>
  <c r="P51" i="33" s="1"/>
  <c r="P48" i="33" a="1"/>
  <c r="P48" i="33" s="1"/>
  <c r="P45" i="33" a="1"/>
  <c r="P45" i="33" s="1"/>
  <c r="P42" i="33" a="1"/>
  <c r="P42" i="33" s="1"/>
  <c r="P39" i="33" a="1"/>
  <c r="P39" i="33" s="1"/>
  <c r="P36" i="33" a="1"/>
  <c r="P36" i="33" s="1"/>
  <c r="P33" i="33" a="1"/>
  <c r="P33" i="33" s="1"/>
  <c r="P30" i="33" a="1"/>
  <c r="P30" i="33" s="1"/>
  <c r="P27" i="33" a="1"/>
  <c r="P27" i="33" s="1"/>
  <c r="P24" i="33" a="1"/>
  <c r="P24" i="33" s="1"/>
  <c r="P21" i="33" a="1"/>
  <c r="P21" i="33" s="1"/>
  <c r="P18" i="33" a="1"/>
  <c r="P18" i="33" s="1"/>
  <c r="P15" i="33" a="1"/>
  <c r="P15" i="33" s="1"/>
  <c r="O53" i="33" a="1"/>
  <c r="O53" i="33" s="1"/>
  <c r="O28" i="33" a="1"/>
  <c r="O28" i="33" s="1"/>
  <c r="P13" i="33" a="1"/>
  <c r="P13" i="33" s="1"/>
  <c r="O11" i="33" a="1"/>
  <c r="O11" i="33" s="1"/>
  <c r="O11" i="34" a="1"/>
  <c r="O11" i="34" s="1"/>
  <c r="O8" i="33" a="1"/>
  <c r="O8" i="33" s="1"/>
  <c r="P54" i="33" a="1"/>
  <c r="P54" i="33" s="1"/>
  <c r="O12" i="33" a="1"/>
  <c r="O12" i="33" s="1"/>
  <c r="P28" i="33" a="1"/>
  <c r="P28" i="33" s="1"/>
  <c r="P11" i="33" a="1"/>
  <c r="P11" i="33" s="1"/>
  <c r="O40" i="33" a="1"/>
  <c r="O40" i="33" s="1"/>
  <c r="O22" i="33" a="1"/>
  <c r="O22" i="33" s="1"/>
  <c r="O51" i="33" a="1"/>
  <c r="O51" i="33" s="1"/>
  <c r="O48" i="33" a="1"/>
  <c r="O48" i="33" s="1"/>
  <c r="O45" i="33" a="1"/>
  <c r="O45" i="33" s="1"/>
  <c r="O42" i="33" a="1"/>
  <c r="O42" i="33" s="1"/>
  <c r="O39" i="33" a="1"/>
  <c r="O39" i="33" s="1"/>
  <c r="O36" i="33" a="1"/>
  <c r="O36" i="33" s="1"/>
  <c r="O33" i="33" a="1"/>
  <c r="O33" i="33" s="1"/>
  <c r="O30" i="33" a="1"/>
  <c r="O30" i="33" s="1"/>
  <c r="O27" i="33" a="1"/>
  <c r="O27" i="33" s="1"/>
  <c r="O24" i="33" a="1"/>
  <c r="O24" i="33" s="1"/>
  <c r="O21" i="33" a="1"/>
  <c r="O21" i="33" s="1"/>
  <c r="O18" i="33" a="1"/>
  <c r="O18" i="33" s="1"/>
  <c r="O15" i="33" a="1"/>
  <c r="O15" i="33" s="1"/>
  <c r="O52" i="33" a="1"/>
  <c r="O52" i="33" s="1"/>
  <c r="O13" i="33" a="1"/>
  <c r="O13" i="33" s="1"/>
  <c r="P10" i="33" a="1"/>
  <c r="P10" i="33" s="1"/>
  <c r="P7" i="33" a="1"/>
  <c r="P7" i="33" s="1"/>
  <c r="O54" i="33" a="1"/>
  <c r="O54" i="33" s="1"/>
  <c r="O34" i="33" a="1"/>
  <c r="O34" i="33" s="1"/>
  <c r="P50" i="33" a="1"/>
  <c r="P50" i="33" s="1"/>
  <c r="P47" i="33" a="1"/>
  <c r="P47" i="33" s="1"/>
  <c r="P44" i="33" a="1"/>
  <c r="P44" i="33" s="1"/>
  <c r="P41" i="33" a="1"/>
  <c r="P41" i="33" s="1"/>
  <c r="P38" i="33" a="1"/>
  <c r="P38" i="33" s="1"/>
  <c r="P35" i="33" a="1"/>
  <c r="P35" i="33" s="1"/>
  <c r="P32" i="33" a="1"/>
  <c r="P32" i="33" s="1"/>
  <c r="P29" i="33" a="1"/>
  <c r="P29" i="33" s="1"/>
  <c r="P26" i="33" a="1"/>
  <c r="P26" i="33" s="1"/>
  <c r="P23" i="33" a="1"/>
  <c r="P23" i="33" s="1"/>
  <c r="P20" i="33" a="1"/>
  <c r="P20" i="33" s="1"/>
  <c r="P17" i="33" a="1"/>
  <c r="P17" i="33" s="1"/>
  <c r="P14" i="33" a="1"/>
  <c r="P14" i="33" s="1"/>
  <c r="P6" i="33" a="1"/>
  <c r="P6" i="33" s="1"/>
  <c r="P46" i="33" a="1"/>
  <c r="P46" i="33" s="1"/>
  <c r="P34" i="33" a="1"/>
  <c r="P34" i="33" s="1"/>
  <c r="P19" i="33" a="1"/>
  <c r="P19" i="33" s="1"/>
  <c r="O5" i="33" a="1"/>
  <c r="O5" i="33" s="1"/>
  <c r="O46" i="33" a="1"/>
  <c r="O46" i="33" s="1"/>
  <c r="O31" i="33" a="1"/>
  <c r="O31" i="33" s="1"/>
  <c r="O16" i="33" a="1"/>
  <c r="O16" i="33" s="1"/>
  <c r="P12" i="33" a="1"/>
  <c r="P12" i="33" s="1"/>
  <c r="O10" i="33" a="1"/>
  <c r="O10" i="33" s="1"/>
  <c r="O7" i="33" a="1"/>
  <c r="O7" i="33" s="1"/>
  <c r="P53" i="33" a="1"/>
  <c r="P53" i="33" s="1"/>
  <c r="P9" i="33" a="1"/>
  <c r="P9" i="33" s="1"/>
  <c r="P49" i="33" a="1"/>
  <c r="P49" i="33" s="1"/>
  <c r="P37" i="33" a="1"/>
  <c r="P37" i="33" s="1"/>
  <c r="P22" i="33" a="1"/>
  <c r="P22" i="33" s="1"/>
  <c r="O6" i="33" a="1"/>
  <c r="O6" i="33" s="1"/>
  <c r="O49" i="33" a="1"/>
  <c r="O49" i="33" s="1"/>
  <c r="O37" i="33" a="1"/>
  <c r="O37" i="33" s="1"/>
  <c r="O19" i="33" a="1"/>
  <c r="O19" i="33" s="1"/>
  <c r="O50" i="33" a="1"/>
  <c r="O50" i="33" s="1"/>
  <c r="O47" i="33" a="1"/>
  <c r="O47" i="33" s="1"/>
  <c r="O44" i="33" a="1"/>
  <c r="O44" i="33" s="1"/>
  <c r="O41" i="33" a="1"/>
  <c r="O41" i="33" s="1"/>
  <c r="O38" i="33" a="1"/>
  <c r="O38" i="33" s="1"/>
  <c r="O35" i="33" a="1"/>
  <c r="O35" i="33" s="1"/>
  <c r="O32" i="33" a="1"/>
  <c r="O32" i="33" s="1"/>
  <c r="O29" i="33" a="1"/>
  <c r="O29" i="33" s="1"/>
  <c r="O26" i="33" a="1"/>
  <c r="O26" i="33" s="1"/>
  <c r="O23" i="33" a="1"/>
  <c r="O23" i="33" s="1"/>
  <c r="O20" i="33" a="1"/>
  <c r="O20" i="33" s="1"/>
  <c r="O17" i="33" a="1"/>
  <c r="O17" i="33" s="1"/>
  <c r="O14" i="33" a="1"/>
  <c r="O14" i="33" s="1"/>
  <c r="F74" i="21"/>
  <c r="J74" i="21" s="1" a="1"/>
  <c r="J74" i="21" s="1"/>
  <c r="AE51" i="26"/>
  <c r="AE38" i="26"/>
  <c r="AE26" i="26"/>
  <c r="AE14" i="26"/>
  <c r="AF54" i="26"/>
  <c r="AF48" i="26"/>
  <c r="AF41" i="26"/>
  <c r="AF35" i="26"/>
  <c r="AF29" i="26"/>
  <c r="AF23" i="26"/>
  <c r="AF17" i="26"/>
  <c r="AF11" i="26"/>
  <c r="AE50" i="26"/>
  <c r="AE37" i="26"/>
  <c r="AE25" i="26"/>
  <c r="AE13" i="26"/>
  <c r="AG53" i="26"/>
  <c r="AG47" i="26"/>
  <c r="AG40" i="26"/>
  <c r="AG34" i="26"/>
  <c r="AG28" i="26"/>
  <c r="AG22" i="26"/>
  <c r="AG16" i="26"/>
  <c r="AG10" i="26"/>
  <c r="AE49" i="26"/>
  <c r="AE36" i="26"/>
  <c r="AE24" i="26"/>
  <c r="AE12" i="26"/>
  <c r="AF53" i="26"/>
  <c r="AF47" i="26"/>
  <c r="AF40" i="26"/>
  <c r="AF34" i="26"/>
  <c r="AF28" i="26"/>
  <c r="AF22" i="26"/>
  <c r="AF16" i="26"/>
  <c r="AF10" i="26"/>
  <c r="AE48" i="26"/>
  <c r="AE35" i="26"/>
  <c r="AE23" i="26"/>
  <c r="AE11" i="26"/>
  <c r="AG52" i="26"/>
  <c r="AG46" i="26"/>
  <c r="AG39" i="26"/>
  <c r="AG33" i="26"/>
  <c r="AG27" i="26"/>
  <c r="AG21" i="26"/>
  <c r="AG15" i="26"/>
  <c r="AG9" i="26"/>
  <c r="AF52" i="26"/>
  <c r="AF46" i="26"/>
  <c r="AF39" i="26"/>
  <c r="AF33" i="26"/>
  <c r="AF27" i="26"/>
  <c r="AF21" i="26"/>
  <c r="AF15" i="26"/>
  <c r="AF9" i="26"/>
  <c r="AG51" i="26"/>
  <c r="AG44" i="26"/>
  <c r="AG38" i="26"/>
  <c r="AG32" i="26"/>
  <c r="AG26" i="26"/>
  <c r="AG20" i="26"/>
  <c r="AG14" i="26"/>
  <c r="AG8" i="26"/>
  <c r="AE44" i="26"/>
  <c r="AE32" i="26"/>
  <c r="AE20" i="26"/>
  <c r="AE8" i="26"/>
  <c r="AE43" i="26"/>
  <c r="AE31" i="26"/>
  <c r="AE19" i="26"/>
  <c r="AE7" i="26"/>
  <c r="AG50" i="26"/>
  <c r="AG43" i="26"/>
  <c r="AG37" i="26"/>
  <c r="AG31" i="26"/>
  <c r="AG25" i="26"/>
  <c r="AG19" i="26"/>
  <c r="AG13" i="26"/>
  <c r="AG7" i="26"/>
  <c r="AE5" i="26"/>
  <c r="AE42" i="26"/>
  <c r="AE30" i="26"/>
  <c r="AE18" i="26"/>
  <c r="AE6" i="26"/>
  <c r="AE54" i="26"/>
  <c r="AE41" i="26"/>
  <c r="AE29" i="26"/>
  <c r="AE17" i="26"/>
  <c r="AF5" i="26"/>
  <c r="AG49" i="26"/>
  <c r="AG42" i="26"/>
  <c r="AG36" i="26"/>
  <c r="AG30" i="26"/>
  <c r="AG24" i="26"/>
  <c r="AG18" i="26"/>
  <c r="AG12" i="26"/>
  <c r="AG6" i="26"/>
  <c r="AE45" i="26"/>
  <c r="AF45" i="26"/>
  <c r="AG45" i="26"/>
  <c r="I25" i="29" a="1"/>
  <c r="I25" i="29" s="1"/>
  <c r="H25" i="29" a="1"/>
  <c r="H25" i="29" s="1"/>
  <c r="F24" i="29" a="1"/>
  <c r="F24" i="29" s="1"/>
  <c r="J24" i="29" a="1"/>
  <c r="J24" i="29" s="1"/>
  <c r="I26" i="29" a="1"/>
  <c r="I26" i="29" s="1"/>
  <c r="H26" i="29" a="1"/>
  <c r="H26" i="29" s="1"/>
  <c r="F25" i="29" a="1"/>
  <c r="F25" i="29" s="1"/>
  <c r="G26" i="29" a="1"/>
  <c r="G26" i="29" s="1"/>
  <c r="J25" i="29" a="1"/>
  <c r="J25" i="29" s="1"/>
  <c r="I23" i="29" a="1"/>
  <c r="I23" i="29" s="1"/>
  <c r="F26" i="29" a="1"/>
  <c r="F26" i="29" s="1"/>
  <c r="H23" i="29" a="1"/>
  <c r="H23" i="29" s="1"/>
  <c r="G23" i="29" a="1"/>
  <c r="G23" i="29" s="1"/>
  <c r="I24" i="29" a="1"/>
  <c r="I24" i="29" s="1"/>
  <c r="H24" i="29" a="1"/>
  <c r="H24" i="29" s="1"/>
  <c r="F23" i="29" a="1"/>
  <c r="F23" i="29" s="1"/>
  <c r="I14" i="29" a="1"/>
  <c r="I14" i="29" s="1"/>
  <c r="F6" i="29" a="1"/>
  <c r="F6" i="29" s="1"/>
  <c r="G9" i="29" a="1"/>
  <c r="G9" i="29" s="1"/>
  <c r="J16" i="29" a="1"/>
  <c r="J16" i="29" s="1"/>
  <c r="I19" i="29" a="1"/>
  <c r="I19" i="29" s="1"/>
  <c r="H21" i="29" a="1"/>
  <c r="H21" i="29" s="1"/>
  <c r="J9" i="29" a="1"/>
  <c r="J9" i="29" s="1"/>
  <c r="G19" i="29" a="1"/>
  <c r="G19" i="29" s="1"/>
  <c r="I15" i="29" a="1"/>
  <c r="I15" i="29" s="1"/>
  <c r="G21" i="29" a="1"/>
  <c r="G21" i="29" s="1"/>
  <c r="F9" i="29" a="1"/>
  <c r="F9" i="29" s="1"/>
  <c r="H16" i="29" a="1"/>
  <c r="H16" i="29" s="1"/>
  <c r="J8" i="29" a="1"/>
  <c r="J8" i="29" s="1"/>
  <c r="H9" i="29" a="1"/>
  <c r="H9" i="29" s="1"/>
  <c r="I21" i="29" a="1"/>
  <c r="I21" i="29" s="1"/>
  <c r="F21" i="29" a="1"/>
  <c r="F21" i="29" s="1"/>
  <c r="H19" i="29" a="1"/>
  <c r="H19" i="29" s="1"/>
  <c r="F8" i="29" a="1"/>
  <c r="F8" i="29" s="1"/>
  <c r="I9" i="29" a="1"/>
  <c r="I9" i="29" s="1"/>
  <c r="G18" i="29" a="1"/>
  <c r="G18" i="29" s="1"/>
  <c r="F20" i="29" a="1"/>
  <c r="F20" i="29" s="1"/>
  <c r="J22" i="29" a="1"/>
  <c r="J22" i="29" s="1"/>
  <c r="G8" i="29" a="1"/>
  <c r="G8" i="29" s="1"/>
  <c r="H18" i="29" a="1"/>
  <c r="H18" i="29" s="1"/>
  <c r="G20" i="29" a="1"/>
  <c r="G20" i="29" s="1"/>
  <c r="F22" i="29" a="1"/>
  <c r="F22" i="29" s="1"/>
  <c r="H8" i="29" a="1"/>
  <c r="H8" i="29" s="1"/>
  <c r="J10" i="29" a="1"/>
  <c r="J10" i="29" s="1"/>
  <c r="J14" i="29" a="1"/>
  <c r="J14" i="29" s="1"/>
  <c r="I18" i="29" a="1"/>
  <c r="I18" i="29" s="1"/>
  <c r="H20" i="29" a="1"/>
  <c r="H20" i="29" s="1"/>
  <c r="G22" i="29" a="1"/>
  <c r="G22" i="29" s="1"/>
  <c r="G7" i="29" a="1"/>
  <c r="G7" i="29" s="1"/>
  <c r="I8" i="29" a="1"/>
  <c r="I8" i="29" s="1"/>
  <c r="F10" i="29" a="1"/>
  <c r="F10" i="29" s="1"/>
  <c r="F14" i="29" a="1"/>
  <c r="F14" i="29" s="1"/>
  <c r="I20" i="29" a="1"/>
  <c r="I20" i="29" s="1"/>
  <c r="H22" i="29" a="1"/>
  <c r="H22" i="29" s="1"/>
  <c r="C85" i="30"/>
  <c r="C73" i="30"/>
  <c r="C61" i="30"/>
  <c r="C49" i="30"/>
  <c r="C37" i="30"/>
  <c r="C25" i="30"/>
  <c r="C84" i="30"/>
  <c r="C72" i="30"/>
  <c r="C60" i="30"/>
  <c r="C48" i="30"/>
  <c r="C36" i="30"/>
  <c r="C24" i="30"/>
  <c r="C83" i="30"/>
  <c r="C71" i="30"/>
  <c r="C59" i="30"/>
  <c r="C47" i="30"/>
  <c r="C35" i="30"/>
  <c r="C23" i="30"/>
  <c r="C13" i="30"/>
  <c r="C82" i="30"/>
  <c r="C70" i="30"/>
  <c r="C58" i="30"/>
  <c r="C46" i="30"/>
  <c r="C34" i="30"/>
  <c r="C22" i="30"/>
  <c r="C12" i="30"/>
  <c r="C81" i="30"/>
  <c r="C69" i="30"/>
  <c r="C57" i="30"/>
  <c r="C45" i="30"/>
  <c r="C33" i="30"/>
  <c r="C21" i="30"/>
  <c r="C11" i="30"/>
  <c r="C80" i="30"/>
  <c r="C68" i="30"/>
  <c r="C56" i="30"/>
  <c r="C44" i="30"/>
  <c r="C32" i="30"/>
  <c r="C20" i="30"/>
  <c r="C10" i="30"/>
  <c r="C79" i="30"/>
  <c r="C67" i="30"/>
  <c r="C55" i="30"/>
  <c r="C43" i="30"/>
  <c r="C31" i="30"/>
  <c r="C19" i="30"/>
  <c r="C78" i="30"/>
  <c r="C66" i="30"/>
  <c r="C54" i="30"/>
  <c r="C42" i="30"/>
  <c r="C30" i="30"/>
  <c r="C18" i="30"/>
  <c r="C77" i="30"/>
  <c r="C65" i="30"/>
  <c r="C53" i="30"/>
  <c r="C41" i="30"/>
  <c r="C29" i="30"/>
  <c r="C17" i="30"/>
  <c r="C9" i="30"/>
  <c r="C76" i="30"/>
  <c r="C64" i="30"/>
  <c r="C52" i="30"/>
  <c r="C40" i="30"/>
  <c r="C28" i="30"/>
  <c r="C16" i="30"/>
  <c r="C8" i="30"/>
  <c r="C5" i="30"/>
  <c r="G5" i="30" s="1" a="1"/>
  <c r="G5" i="30" s="1"/>
  <c r="C75" i="30"/>
  <c r="C63" i="30"/>
  <c r="C51" i="30"/>
  <c r="C39" i="30"/>
  <c r="C27" i="30"/>
  <c r="C15" i="30"/>
  <c r="C7" i="30"/>
  <c r="C86" i="30"/>
  <c r="C74" i="30"/>
  <c r="C62" i="30"/>
  <c r="C50" i="30"/>
  <c r="C38" i="30"/>
  <c r="C26" i="30"/>
  <c r="C14" i="30"/>
  <c r="C6" i="30"/>
  <c r="J11" i="29" a="1"/>
  <c r="J11" i="29" s="1"/>
  <c r="H17" i="29" a="1"/>
  <c r="H17" i="29" s="1"/>
  <c r="H6" i="29" a="1"/>
  <c r="H6" i="29" s="1"/>
  <c r="J12" i="29" a="1"/>
  <c r="J12" i="29" s="1"/>
  <c r="I16" i="29" a="1"/>
  <c r="I16" i="29" s="1"/>
  <c r="F11" i="29" a="1"/>
  <c r="F11" i="29" s="1"/>
  <c r="J13" i="29" a="1"/>
  <c r="J13" i="29" s="1"/>
  <c r="I17" i="29" a="1"/>
  <c r="I17" i="29" s="1"/>
  <c r="I6" i="29" a="1"/>
  <c r="I6" i="29" s="1"/>
  <c r="F12" i="29" a="1"/>
  <c r="F12" i="29" s="1"/>
  <c r="G11" i="29" a="1"/>
  <c r="G11" i="29" s="1"/>
  <c r="J15" i="29" a="1"/>
  <c r="J15" i="29" s="1"/>
  <c r="G12" i="29" a="1"/>
  <c r="G12" i="29" s="1"/>
  <c r="H11" i="29" a="1"/>
  <c r="H11" i="29" s="1"/>
  <c r="G13" i="29" a="1"/>
  <c r="G13" i="29" s="1"/>
  <c r="F15" i="29" a="1"/>
  <c r="F15" i="29" s="1"/>
  <c r="J17" i="29" a="1"/>
  <c r="J17" i="29" s="1"/>
  <c r="J6" i="29" a="1"/>
  <c r="J6" i="29" s="1"/>
  <c r="I10" i="29" a="1"/>
  <c r="I10" i="29" s="1"/>
  <c r="H12" i="29" a="1"/>
  <c r="H12" i="29" s="1"/>
  <c r="G14" i="29" a="1"/>
  <c r="G14" i="29" s="1"/>
  <c r="F16" i="29" a="1"/>
  <c r="F16" i="29" s="1"/>
  <c r="J18" i="29" a="1"/>
  <c r="J18" i="29" s="1"/>
  <c r="I22" i="29" a="1"/>
  <c r="I22" i="29" s="1"/>
  <c r="I11" i="29" a="1"/>
  <c r="I11" i="29" s="1"/>
  <c r="H13" i="29" a="1"/>
  <c r="H13" i="29" s="1"/>
  <c r="G15" i="29" a="1"/>
  <c r="G15" i="29" s="1"/>
  <c r="F17" i="29" a="1"/>
  <c r="F17" i="29" s="1"/>
  <c r="J19" i="29" a="1"/>
  <c r="J19" i="29" s="1"/>
  <c r="V6" i="26"/>
  <c r="W6" i="26" s="1"/>
  <c r="Q34" i="26"/>
  <c r="R34" i="26" s="1"/>
  <c r="Q42" i="26"/>
  <c r="R42" i="26" s="1"/>
  <c r="Q27" i="26"/>
  <c r="R27" i="26" s="1"/>
  <c r="Q18" i="26"/>
  <c r="R18" i="26" s="1"/>
  <c r="V33" i="26"/>
  <c r="W33" i="26" s="1"/>
  <c r="Q50" i="26"/>
  <c r="R50" i="26" s="1"/>
  <c r="Q49" i="26"/>
  <c r="R49" i="26" s="1"/>
  <c r="Q41" i="26"/>
  <c r="R41" i="26" s="1"/>
  <c r="Q25" i="26"/>
  <c r="R25" i="26" s="1"/>
  <c r="Q17" i="26"/>
  <c r="R17" i="26" s="1"/>
  <c r="Q9" i="26"/>
  <c r="R9" i="26" s="1"/>
  <c r="V49" i="26"/>
  <c r="W49" i="26" s="1"/>
  <c r="V31" i="26"/>
  <c r="W31" i="26" s="1"/>
  <c r="V13" i="26"/>
  <c r="W13" i="26" s="1"/>
  <c r="V15" i="26"/>
  <c r="W15" i="26" s="1"/>
  <c r="Q26" i="26"/>
  <c r="R26" i="26" s="1"/>
  <c r="V5" i="26"/>
  <c r="W5" i="26" s="1"/>
  <c r="Q48" i="26"/>
  <c r="R48" i="26" s="1"/>
  <c r="Q33" i="26"/>
  <c r="R33" i="26" s="1"/>
  <c r="Q24" i="26"/>
  <c r="R24" i="26" s="1"/>
  <c r="Q8" i="26"/>
  <c r="R8" i="26" s="1"/>
  <c r="V48" i="26"/>
  <c r="W48" i="26" s="1"/>
  <c r="V40" i="26"/>
  <c r="W40" i="26" s="1"/>
  <c r="V30" i="26"/>
  <c r="W30" i="26" s="1"/>
  <c r="V22" i="26"/>
  <c r="W22" i="26" s="1"/>
  <c r="V12" i="26"/>
  <c r="W12" i="26" s="1"/>
  <c r="V23" i="26"/>
  <c r="W23" i="26" s="1"/>
  <c r="Q5" i="26"/>
  <c r="R5" i="26" s="1"/>
  <c r="Q40" i="26"/>
  <c r="R40" i="26" s="1"/>
  <c r="Q32" i="26"/>
  <c r="R32" i="26" s="1"/>
  <c r="Q16" i="26"/>
  <c r="R16" i="26" s="1"/>
  <c r="Q7" i="26"/>
  <c r="R7" i="26" s="1"/>
  <c r="V39" i="26"/>
  <c r="W39" i="26" s="1"/>
  <c r="V21" i="26"/>
  <c r="W21" i="26" s="1"/>
  <c r="V50" i="26"/>
  <c r="W50" i="26" s="1"/>
  <c r="Q47" i="26"/>
  <c r="R47" i="26" s="1"/>
  <c r="Q31" i="26"/>
  <c r="R31" i="26" s="1"/>
  <c r="Q23" i="26"/>
  <c r="R23" i="26" s="1"/>
  <c r="Q15" i="26"/>
  <c r="R15" i="26" s="1"/>
  <c r="V47" i="26"/>
  <c r="W47" i="26" s="1"/>
  <c r="V38" i="26"/>
  <c r="W38" i="26" s="1"/>
  <c r="V29" i="26"/>
  <c r="W29" i="26" s="1"/>
  <c r="V20" i="26"/>
  <c r="W20" i="26" s="1"/>
  <c r="V11" i="26"/>
  <c r="W11" i="26" s="1"/>
  <c r="Q51" i="26"/>
  <c r="R51" i="26" s="1"/>
  <c r="Q10" i="26"/>
  <c r="R10" i="26" s="1"/>
  <c r="Q54" i="26"/>
  <c r="R54" i="26" s="1"/>
  <c r="Q39" i="26"/>
  <c r="R39" i="26" s="1"/>
  <c r="Q30" i="26"/>
  <c r="R30" i="26" s="1"/>
  <c r="Q14" i="26"/>
  <c r="R14" i="26" s="1"/>
  <c r="Q6" i="26"/>
  <c r="R6" i="26" s="1"/>
  <c r="V37" i="26"/>
  <c r="W37" i="26" s="1"/>
  <c r="V19" i="26"/>
  <c r="W19" i="26" s="1"/>
  <c r="Q46" i="26"/>
  <c r="R46" i="26" s="1"/>
  <c r="Q38" i="26"/>
  <c r="R38" i="26" s="1"/>
  <c r="Q22" i="26"/>
  <c r="R22" i="26" s="1"/>
  <c r="Q13" i="26"/>
  <c r="R13" i="26" s="1"/>
  <c r="V54" i="26"/>
  <c r="W54" i="26" s="1"/>
  <c r="V46" i="26"/>
  <c r="W46" i="26" s="1"/>
  <c r="V36" i="26"/>
  <c r="W36" i="26" s="1"/>
  <c r="V28" i="26"/>
  <c r="W28" i="26" s="1"/>
  <c r="V18" i="26"/>
  <c r="W18" i="26" s="1"/>
  <c r="V10" i="26"/>
  <c r="W10" i="26" s="1"/>
  <c r="V32" i="26"/>
  <c r="W32" i="26" s="1"/>
  <c r="Q53" i="26"/>
  <c r="R53" i="26" s="1"/>
  <c r="Q37" i="26"/>
  <c r="R37" i="26" s="1"/>
  <c r="Q29" i="26"/>
  <c r="R29" i="26" s="1"/>
  <c r="V45" i="26"/>
  <c r="W45" i="26" s="1"/>
  <c r="V27" i="26"/>
  <c r="W27" i="26" s="1"/>
  <c r="V9" i="26"/>
  <c r="W9" i="26" s="1"/>
  <c r="V41" i="26"/>
  <c r="W41" i="26" s="1"/>
  <c r="Q45" i="26"/>
  <c r="R45" i="26" s="1"/>
  <c r="Q36" i="26"/>
  <c r="R36" i="26" s="1"/>
  <c r="Q21" i="26"/>
  <c r="R21" i="26" s="1"/>
  <c r="Q12" i="26"/>
  <c r="R12" i="26" s="1"/>
  <c r="V53" i="26"/>
  <c r="W53" i="26" s="1"/>
  <c r="V44" i="26"/>
  <c r="W44" i="26" s="1"/>
  <c r="V35" i="26"/>
  <c r="W35" i="26" s="1"/>
  <c r="V26" i="26"/>
  <c r="W26" i="26" s="1"/>
  <c r="V17" i="26"/>
  <c r="W17" i="26" s="1"/>
  <c r="V8" i="26"/>
  <c r="W8" i="26" s="1"/>
  <c r="V51" i="26"/>
  <c r="W51" i="26" s="1"/>
  <c r="V14" i="26"/>
  <c r="W14" i="26" s="1"/>
  <c r="Q52" i="26"/>
  <c r="R52" i="26" s="1"/>
  <c r="Q44" i="26"/>
  <c r="R44" i="26" s="1"/>
  <c r="Q28" i="26"/>
  <c r="R28" i="26" s="1"/>
  <c r="Q20" i="26"/>
  <c r="R20" i="26" s="1"/>
  <c r="V43" i="26"/>
  <c r="W43" i="26" s="1"/>
  <c r="V25" i="26"/>
  <c r="W25" i="26" s="1"/>
  <c r="V7" i="26"/>
  <c r="W7" i="26" s="1"/>
  <c r="Q43" i="26"/>
  <c r="R43" i="26" s="1"/>
  <c r="Q35" i="26"/>
  <c r="R35" i="26" s="1"/>
  <c r="Q19" i="26"/>
  <c r="R19" i="26" s="1"/>
  <c r="Q11" i="26"/>
  <c r="R11" i="26" s="1"/>
  <c r="V52" i="26"/>
  <c r="W52" i="26" s="1"/>
  <c r="V42" i="26"/>
  <c r="W42" i="26" s="1"/>
  <c r="V34" i="26"/>
  <c r="W34" i="26" s="1"/>
  <c r="V24" i="26"/>
  <c r="W24" i="26" s="1"/>
  <c r="V16" i="26"/>
  <c r="W16" i="26" s="1"/>
  <c r="F42" i="21"/>
  <c r="H42" i="21" s="1" a="1"/>
  <c r="H42" i="21" s="1"/>
  <c r="D24" i="25"/>
  <c r="H24" i="25" s="1"/>
  <c r="D25" i="25" s="1"/>
  <c r="H7" i="25"/>
  <c r="F80" i="21"/>
  <c r="G80" i="21" s="1" a="1"/>
  <c r="G80" i="21" s="1"/>
  <c r="F76" i="21"/>
  <c r="K76" i="21" s="1" a="1"/>
  <c r="K76" i="21" s="1"/>
  <c r="F13" i="21"/>
  <c r="G13" i="21" s="1" a="1"/>
  <c r="G13" i="21" s="1"/>
  <c r="F12" i="21"/>
  <c r="J12" i="21" s="1" a="1"/>
  <c r="J12" i="21" s="1"/>
  <c r="F52" i="21"/>
  <c r="K52" i="21" s="1" a="1"/>
  <c r="K52" i="21" s="1"/>
  <c r="F21" i="21"/>
  <c r="G21" i="21" s="1" a="1"/>
  <c r="G21" i="21" s="1"/>
  <c r="F67" i="21"/>
  <c r="G67" i="21" s="1" a="1"/>
  <c r="G67" i="21" s="1"/>
  <c r="F96" i="21"/>
  <c r="K96" i="21" s="1" a="1"/>
  <c r="K96" i="21" s="1"/>
  <c r="F28" i="21"/>
  <c r="H28" i="21" s="1" a="1"/>
  <c r="H28" i="21" s="1"/>
  <c r="D23" i="19"/>
  <c r="E23" i="19" s="1" a="1"/>
  <c r="E23" i="19" s="1"/>
  <c r="F15" i="21"/>
  <c r="H15" i="21" s="1" a="1"/>
  <c r="H15" i="21" s="1"/>
  <c r="F19" i="21"/>
  <c r="H19" i="21" s="1" a="1"/>
  <c r="H19" i="21" s="1"/>
  <c r="D13" i="19"/>
  <c r="H13" i="19" s="1" a="1"/>
  <c r="H13" i="19" s="1"/>
  <c r="D25" i="19"/>
  <c r="H25" i="19" s="1" a="1"/>
  <c r="H25" i="19" s="1"/>
  <c r="F94" i="21"/>
  <c r="G94" i="21" s="1" a="1"/>
  <c r="G94" i="21" s="1"/>
  <c r="F86" i="21"/>
  <c r="K86" i="21" s="1" a="1"/>
  <c r="K86" i="21" s="1"/>
  <c r="F72" i="21"/>
  <c r="G72" i="21" s="1" a="1"/>
  <c r="G72" i="21" s="1"/>
  <c r="F64" i="21"/>
  <c r="J64" i="21" s="1" a="1"/>
  <c r="J64" i="21" s="1"/>
  <c r="F58" i="21"/>
  <c r="J58" i="21" s="1" a="1"/>
  <c r="J58" i="21" s="1"/>
  <c r="F46" i="21"/>
  <c r="J46" i="21" s="1" a="1"/>
  <c r="J46" i="21" s="1"/>
  <c r="F18" i="21"/>
  <c r="H18" i="21" s="1" a="1"/>
  <c r="H18" i="21" s="1"/>
  <c r="F9" i="21"/>
  <c r="G9" i="21" s="1" a="1"/>
  <c r="G9" i="21" s="1"/>
  <c r="F23" i="21"/>
  <c r="H23" i="21" s="1" a="1"/>
  <c r="H23" i="21" s="1"/>
  <c r="F29" i="21"/>
  <c r="G29" i="21" s="1" a="1"/>
  <c r="G29" i="21" s="1"/>
  <c r="D9" i="19"/>
  <c r="F9" i="19" s="1" a="1"/>
  <c r="F9" i="19" s="1"/>
  <c r="F79" i="21"/>
  <c r="J79" i="21" s="1" a="1"/>
  <c r="J79" i="21" s="1"/>
  <c r="F20" i="21"/>
  <c r="G20" i="21" s="1" a="1"/>
  <c r="G20" i="21" s="1"/>
  <c r="F65" i="21"/>
  <c r="G65" i="21" s="1" a="1"/>
  <c r="G65" i="21" s="1"/>
  <c r="D14" i="19"/>
  <c r="I14" i="19" s="1" a="1"/>
  <c r="I14" i="19" s="1"/>
  <c r="D26" i="19"/>
  <c r="F26" i="19" s="1" a="1"/>
  <c r="F26" i="19" s="1"/>
  <c r="F93" i="21"/>
  <c r="I93" i="21" s="1" a="1"/>
  <c r="I93" i="21" s="1"/>
  <c r="F85" i="21"/>
  <c r="K85" i="21" s="1" a="1"/>
  <c r="K85" i="21" s="1"/>
  <c r="F78" i="21"/>
  <c r="L78" i="21" s="1" a="1"/>
  <c r="L78" i="21" s="1"/>
  <c r="F51" i="21"/>
  <c r="F45" i="21"/>
  <c r="H45" i="21" s="1" a="1"/>
  <c r="H45" i="21" s="1"/>
  <c r="D20" i="19"/>
  <c r="F20" i="19" s="1" a="1"/>
  <c r="F20" i="19" s="1"/>
  <c r="F48" i="21"/>
  <c r="J48" i="21" s="1" a="1"/>
  <c r="J48" i="21" s="1"/>
  <c r="F8" i="21"/>
  <c r="J8" i="21" s="1" a="1"/>
  <c r="J8" i="21" s="1"/>
  <c r="F35" i="21"/>
  <c r="F60" i="21"/>
  <c r="D11" i="19"/>
  <c r="E11" i="19" s="1" a="1"/>
  <c r="E11" i="19" s="1"/>
  <c r="F34" i="21"/>
  <c r="J34" i="21" s="1" a="1"/>
  <c r="J34" i="21" s="1"/>
  <c r="F95" i="21"/>
  <c r="G95" i="21" s="1" a="1"/>
  <c r="G95" i="21" s="1"/>
  <c r="F40" i="21"/>
  <c r="J40" i="21" s="1" a="1"/>
  <c r="J40" i="21" s="1"/>
  <c r="D15" i="19"/>
  <c r="E15" i="19" s="1" a="1"/>
  <c r="E15" i="19" s="1"/>
  <c r="D27" i="19"/>
  <c r="I27" i="19" s="1" a="1"/>
  <c r="I27" i="19" s="1"/>
  <c r="F84" i="21"/>
  <c r="G84" i="21" s="1" a="1"/>
  <c r="G84" i="21" s="1"/>
  <c r="F71" i="21"/>
  <c r="G71" i="21" s="1" a="1"/>
  <c r="G71" i="21" s="1"/>
  <c r="F57" i="21"/>
  <c r="J57" i="21" s="1" a="1"/>
  <c r="J57" i="21" s="1"/>
  <c r="F39" i="21"/>
  <c r="H39" i="21" s="1" a="1"/>
  <c r="H39" i="21" s="1"/>
  <c r="F32" i="21"/>
  <c r="H32" i="21" s="1" a="1"/>
  <c r="H32" i="21" s="1"/>
  <c r="F26" i="21"/>
  <c r="K26" i="21" s="1" a="1"/>
  <c r="K26" i="21" s="1"/>
  <c r="D32" i="19"/>
  <c r="G32" i="19" s="1" a="1"/>
  <c r="G32" i="19" s="1"/>
  <c r="D8" i="19"/>
  <c r="F8" i="19" s="1" a="1"/>
  <c r="F8" i="19" s="1"/>
  <c r="F22" i="21"/>
  <c r="K22" i="21" s="1" a="1"/>
  <c r="K22" i="21" s="1"/>
  <c r="F66" i="21"/>
  <c r="H66" i="21" s="1" a="1"/>
  <c r="H66" i="21" s="1"/>
  <c r="F41" i="21"/>
  <c r="G41" i="21" s="1" a="1"/>
  <c r="G41" i="21" s="1"/>
  <c r="D12" i="19"/>
  <c r="H12" i="19" s="1" a="1"/>
  <c r="H12" i="19" s="1"/>
  <c r="F73" i="21"/>
  <c r="J73" i="21" s="1" a="1"/>
  <c r="J73" i="21" s="1"/>
  <c r="F47" i="21"/>
  <c r="F10" i="21"/>
  <c r="K10" i="21" s="1" a="1"/>
  <c r="K10" i="21" s="1"/>
  <c r="D16" i="19"/>
  <c r="I16" i="19" s="1" a="1"/>
  <c r="I16" i="19" s="1"/>
  <c r="D28" i="19"/>
  <c r="H28" i="19" s="1" a="1"/>
  <c r="H28" i="19" s="1"/>
  <c r="F77" i="21"/>
  <c r="H77" i="21" s="1" a="1"/>
  <c r="H77" i="21" s="1"/>
  <c r="F70" i="21"/>
  <c r="H70" i="21" s="1" a="1"/>
  <c r="H70" i="21" s="1"/>
  <c r="F63" i="21"/>
  <c r="H63" i="21" s="1" a="1"/>
  <c r="H63" i="21" s="1"/>
  <c r="F56" i="21"/>
  <c r="K56" i="21" s="1" a="1"/>
  <c r="K56" i="21" s="1"/>
  <c r="F38" i="21"/>
  <c r="G38" i="21" s="1" a="1"/>
  <c r="G38" i="21" s="1"/>
  <c r="F75" i="21"/>
  <c r="G75" i="21" s="1" a="1"/>
  <c r="G75" i="21" s="1"/>
  <c r="D22" i="19"/>
  <c r="E22" i="19" s="1" a="1"/>
  <c r="E22" i="19" s="1"/>
  <c r="F27" i="21"/>
  <c r="K27" i="21" s="1" a="1"/>
  <c r="K27" i="21" s="1"/>
  <c r="D24" i="19"/>
  <c r="H24" i="19" s="1" a="1"/>
  <c r="H24" i="19" s="1"/>
  <c r="F33" i="21"/>
  <c r="H33" i="21" s="1" a="1"/>
  <c r="H33" i="21" s="1"/>
  <c r="D17" i="19"/>
  <c r="F17" i="19" s="1" a="1"/>
  <c r="F17" i="19" s="1"/>
  <c r="D29" i="19"/>
  <c r="F29" i="19" s="1" a="1"/>
  <c r="F29" i="19" s="1"/>
  <c r="F92" i="21"/>
  <c r="J92" i="21" s="1" a="1"/>
  <c r="J92" i="21" s="1"/>
  <c r="F83" i="21"/>
  <c r="K83" i="21" s="1" a="1"/>
  <c r="K83" i="21" s="1"/>
  <c r="F69" i="21"/>
  <c r="J69" i="21" s="1" a="1"/>
  <c r="J69" i="21" s="1"/>
  <c r="F55" i="21"/>
  <c r="H55" i="21" s="1" a="1"/>
  <c r="H55" i="21" s="1"/>
  <c r="F50" i="21"/>
  <c r="H50" i="21" s="1" a="1"/>
  <c r="H50" i="21" s="1"/>
  <c r="F44" i="21"/>
  <c r="K44" i="21" s="1" a="1"/>
  <c r="K44" i="21" s="1"/>
  <c r="F37" i="21"/>
  <c r="G37" i="21" s="1" a="1"/>
  <c r="G37" i="21" s="1"/>
  <c r="F31" i="21"/>
  <c r="J31" i="21" s="1" a="1"/>
  <c r="J31" i="21" s="1"/>
  <c r="F25" i="21"/>
  <c r="K25" i="21" s="1" a="1"/>
  <c r="K25" i="21" s="1"/>
  <c r="F61" i="21"/>
  <c r="K61" i="21" s="1" a="1"/>
  <c r="K61" i="21" s="1"/>
  <c r="D21" i="19"/>
  <c r="G21" i="19" s="1" a="1"/>
  <c r="G21" i="19" s="1"/>
  <c r="F87" i="21"/>
  <c r="K87" i="21" s="1" a="1"/>
  <c r="K87" i="21" s="1"/>
  <c r="F59" i="21"/>
  <c r="H59" i="21" s="1" a="1"/>
  <c r="H59" i="21" s="1"/>
  <c r="D10" i="19"/>
  <c r="F10" i="19" s="1" a="1"/>
  <c r="F10" i="19" s="1"/>
  <c r="D18" i="19"/>
  <c r="E18" i="19" s="1" a="1"/>
  <c r="E18" i="19" s="1"/>
  <c r="D30" i="19"/>
  <c r="G30" i="19" s="1" a="1"/>
  <c r="G30" i="19" s="1"/>
  <c r="F88" i="21"/>
  <c r="F82" i="21"/>
  <c r="H82" i="21" s="1" a="1"/>
  <c r="H82" i="21" s="1"/>
  <c r="F54" i="21"/>
  <c r="G54" i="21" s="1" a="1"/>
  <c r="G54" i="21" s="1"/>
  <c r="F43" i="21"/>
  <c r="H43" i="21" s="1" a="1"/>
  <c r="H43" i="21" s="1"/>
  <c r="F36" i="21"/>
  <c r="K36" i="21" s="1" a="1"/>
  <c r="K36" i="21" s="1"/>
  <c r="F24" i="21"/>
  <c r="J24" i="21" s="1" a="1"/>
  <c r="J24" i="21" s="1"/>
  <c r="F17" i="21"/>
  <c r="F14" i="21"/>
  <c r="D7" i="19"/>
  <c r="F7" i="19" s="1" a="1"/>
  <c r="F7" i="19" s="1"/>
  <c r="F90" i="21"/>
  <c r="F11" i="21"/>
  <c r="H11" i="21" s="1" a="1"/>
  <c r="H11" i="21" s="1"/>
  <c r="F89" i="21"/>
  <c r="K89" i="21" s="1" a="1"/>
  <c r="K89" i="21" s="1"/>
  <c r="D6" i="19"/>
  <c r="I6" i="19" s="1" a="1"/>
  <c r="I6" i="19" s="1"/>
  <c r="D19" i="19"/>
  <c r="E19" i="19" s="1" a="1"/>
  <c r="E19" i="19" s="1"/>
  <c r="D31" i="19"/>
  <c r="G31" i="19" s="1" a="1"/>
  <c r="G31" i="19" s="1"/>
  <c r="F91" i="21"/>
  <c r="G91" i="21" s="1" a="1"/>
  <c r="G91" i="21" s="1"/>
  <c r="F81" i="21"/>
  <c r="H81" i="21" s="1" a="1"/>
  <c r="H81" i="21" s="1"/>
  <c r="F68" i="21"/>
  <c r="J68" i="21" s="1" a="1"/>
  <c r="J68" i="21" s="1"/>
  <c r="F62" i="21"/>
  <c r="F53" i="21"/>
  <c r="J53" i="21" s="1" a="1"/>
  <c r="J53" i="21" s="1"/>
  <c r="F49" i="21"/>
  <c r="F30" i="21"/>
  <c r="H30" i="21" s="1" a="1"/>
  <c r="H30" i="21" s="1"/>
  <c r="F16" i="21"/>
  <c r="L16" i="21" s="1" a="1"/>
  <c r="L16" i="21" s="1"/>
  <c r="H25" i="20" a="1"/>
  <c r="H25" i="20" s="1"/>
  <c r="G13" i="20" a="1"/>
  <c r="G13" i="20" s="1"/>
  <c r="H8" i="20" a="1"/>
  <c r="H8" i="20" s="1"/>
  <c r="H19" i="20" a="1"/>
  <c r="H19" i="20" s="1"/>
  <c r="G24" i="20" a="1"/>
  <c r="G24" i="20" s="1"/>
  <c r="G18" i="20" a="1"/>
  <c r="G18" i="20" s="1"/>
  <c r="H13" i="20" a="1"/>
  <c r="H13" i="20" s="1"/>
  <c r="G7" i="20" a="1"/>
  <c r="G7" i="20" s="1"/>
  <c r="H24" i="20" a="1"/>
  <c r="H24" i="20" s="1"/>
  <c r="G12" i="20" a="1"/>
  <c r="G12" i="20" s="1"/>
  <c r="H7" i="20" a="1"/>
  <c r="H7" i="20" s="1"/>
  <c r="G23" i="20" a="1"/>
  <c r="G23" i="20" s="1"/>
  <c r="G17" i="20" a="1"/>
  <c r="G17" i="20" s="1"/>
  <c r="H12" i="20" a="1"/>
  <c r="H12" i="20" s="1"/>
  <c r="H23" i="20" a="1"/>
  <c r="H23" i="20" s="1"/>
  <c r="G11" i="20" a="1"/>
  <c r="G11" i="20" s="1"/>
  <c r="G22" i="20" a="1"/>
  <c r="G22" i="20" s="1"/>
  <c r="G16" i="20" a="1"/>
  <c r="G16" i="20" s="1"/>
  <c r="H11" i="20" a="1"/>
  <c r="H11" i="20" s="1"/>
  <c r="H16" i="20" a="1"/>
  <c r="H16" i="20" s="1"/>
  <c r="G10" i="20" a="1"/>
  <c r="G10" i="20" s="1"/>
  <c r="G6" i="20" a="1"/>
  <c r="G6" i="20" s="1"/>
  <c r="G21" i="20" a="1"/>
  <c r="G21" i="20" s="1"/>
  <c r="H6" i="20" a="1"/>
  <c r="H6" i="20" s="1"/>
  <c r="H21" i="20" a="1"/>
  <c r="H21" i="20" s="1"/>
  <c r="G15" i="20" a="1"/>
  <c r="G15" i="20" s="1"/>
  <c r="G26" i="20" a="1"/>
  <c r="G26" i="20" s="1"/>
  <c r="G20" i="20" a="1"/>
  <c r="G20" i="20" s="1"/>
  <c r="G9" i="20" a="1"/>
  <c r="G9" i="20" s="1"/>
  <c r="H26" i="20" a="1"/>
  <c r="H26" i="20" s="1"/>
  <c r="H20" i="20" a="1"/>
  <c r="H20" i="20" s="1"/>
  <c r="G14" i="20" a="1"/>
  <c r="G14" i="20" s="1"/>
  <c r="H9" i="20" a="1"/>
  <c r="H9" i="20" s="1"/>
  <c r="G25" i="20" a="1"/>
  <c r="G25" i="20" s="1"/>
  <c r="G19" i="20" a="1"/>
  <c r="G19" i="20" s="1"/>
  <c r="H14" i="20" a="1"/>
  <c r="H14" i="20" s="1"/>
  <c r="G8" i="20" a="1"/>
  <c r="G8" i="20" s="1"/>
  <c r="F13" i="20" a="1"/>
  <c r="F13" i="20" s="1"/>
  <c r="E22" i="20" a="1"/>
  <c r="E22" i="20" s="1"/>
  <c r="F21" i="20" a="1"/>
  <c r="F21" i="20" s="1"/>
  <c r="E18" i="20" a="1"/>
  <c r="E18" i="20" s="1"/>
  <c r="F11" i="20" a="1"/>
  <c r="F11" i="20" s="1"/>
  <c r="F15" i="20" a="1"/>
  <c r="F15" i="20" s="1"/>
  <c r="E15" i="20" a="1"/>
  <c r="E15" i="20" s="1"/>
  <c r="E10" i="20" a="1"/>
  <c r="E10" i="20" s="1"/>
  <c r="F26" i="20" a="1"/>
  <c r="F26" i="20" s="1"/>
  <c r="F14" i="20" a="1"/>
  <c r="F14" i="20" s="1"/>
  <c r="F25" i="20" a="1"/>
  <c r="F25" i="20" s="1"/>
  <c r="E17" i="20" a="1"/>
  <c r="E17" i="20" s="1"/>
  <c r="F9" i="20" a="1"/>
  <c r="F9" i="20" s="1"/>
  <c r="E6" i="20" a="1"/>
  <c r="E6" i="20" s="1"/>
  <c r="F23" i="20" a="1"/>
  <c r="F23" i="20" s="1"/>
  <c r="F18" i="20" a="1"/>
  <c r="F18" i="20" s="1"/>
  <c r="E20" i="20" a="1"/>
  <c r="E20" i="20" s="1"/>
  <c r="F16" i="20" a="1"/>
  <c r="F16" i="20" s="1"/>
  <c r="E8" i="20" a="1"/>
  <c r="E8" i="20" s="1"/>
  <c r="F19" i="20" a="1"/>
  <c r="F19" i="20" s="1"/>
  <c r="F7" i="20" a="1"/>
  <c r="F7" i="20" s="1"/>
  <c r="F24" i="20" a="1"/>
  <c r="F24" i="20" s="1"/>
  <c r="F12" i="20" a="1"/>
  <c r="F12" i="20" s="1"/>
  <c r="F17" i="20" a="1"/>
  <c r="F17" i="20" s="1"/>
  <c r="F22" i="20" a="1"/>
  <c r="F22" i="20" s="1"/>
  <c r="F10" i="20" a="1"/>
  <c r="F10" i="20" s="1"/>
  <c r="H17" i="18" a="1"/>
  <c r="H17" i="18" s="1"/>
  <c r="J17" i="18" a="1"/>
  <c r="J17" i="18" s="1"/>
  <c r="I17" i="18" a="1"/>
  <c r="I17" i="18" s="1"/>
  <c r="G17" i="18" a="1"/>
  <c r="G17" i="18" s="1"/>
  <c r="K22" i="16" a="1"/>
  <c r="K22" i="16" s="1"/>
  <c r="F22" i="16" a="1"/>
  <c r="F22" i="16" s="1"/>
  <c r="I21" i="16" a="1"/>
  <c r="I21" i="16" s="1"/>
  <c r="G22" i="16" a="1"/>
  <c r="G22" i="16" s="1"/>
  <c r="H14" i="16" a="1"/>
  <c r="H14" i="16" s="1"/>
  <c r="G14" i="16" a="1"/>
  <c r="G14" i="16" s="1"/>
  <c r="J14" i="16" a="1"/>
  <c r="J14" i="16" s="1"/>
  <c r="F6" i="16" a="1"/>
  <c r="F6" i="16" s="1"/>
  <c r="K17" i="16" a="1"/>
  <c r="K17" i="16" s="1"/>
  <c r="F17" i="16" a="1"/>
  <c r="F17" i="16" s="1"/>
  <c r="K16" i="16" a="1"/>
  <c r="K16" i="16" s="1"/>
  <c r="H15" i="16" a="1"/>
  <c r="H15" i="16" s="1"/>
  <c r="I15" i="16" a="1"/>
  <c r="I15" i="16" s="1"/>
  <c r="J15" i="16" a="1"/>
  <c r="J15" i="16" s="1"/>
  <c r="H13" i="16" a="1"/>
  <c r="H13" i="16" s="1"/>
  <c r="G9" i="16" a="1"/>
  <c r="G9" i="16" s="1"/>
  <c r="H18" i="16" a="1"/>
  <c r="H18" i="16" s="1"/>
  <c r="J18" i="16" a="1"/>
  <c r="J18" i="16" s="1"/>
  <c r="G15" i="16" a="1"/>
  <c r="G15" i="16" s="1"/>
  <c r="G8" i="16" a="1"/>
  <c r="G8" i="16" s="1"/>
  <c r="K18" i="16" a="1"/>
  <c r="K18" i="16" s="1"/>
  <c r="F15" i="16" a="1"/>
  <c r="F15" i="16" s="1"/>
  <c r="H8" i="16" a="1"/>
  <c r="H8" i="16" s="1"/>
  <c r="K7" i="16" a="1"/>
  <c r="K7" i="16" s="1"/>
  <c r="I8" i="16" a="1"/>
  <c r="I8" i="16" s="1"/>
  <c r="F7" i="16" a="1"/>
  <c r="F7" i="16" s="1"/>
  <c r="G12" i="16" a="1"/>
  <c r="G12" i="16" s="1"/>
  <c r="F9" i="16" a="1"/>
  <c r="F9" i="16" s="1"/>
  <c r="H12" i="16" a="1"/>
  <c r="H12" i="16" s="1"/>
  <c r="K10" i="16" a="1"/>
  <c r="K10" i="16" s="1"/>
  <c r="F14" i="16" a="1"/>
  <c r="F14" i="16" s="1"/>
  <c r="F10" i="16" a="1"/>
  <c r="F10" i="16" s="1"/>
  <c r="I18" i="16" a="1"/>
  <c r="I18" i="16" s="1"/>
  <c r="K11" i="16" a="1"/>
  <c r="K11" i="16" s="1"/>
  <c r="H9" i="16" a="1"/>
  <c r="H9" i="16" s="1"/>
  <c r="G19" i="16" a="1"/>
  <c r="G19" i="16" s="1"/>
  <c r="F16" i="16" a="1"/>
  <c r="F16" i="16" s="1"/>
  <c r="K14" i="16" a="1"/>
  <c r="K14" i="16" s="1"/>
  <c r="J13" i="16" a="1"/>
  <c r="J13" i="16" s="1"/>
  <c r="I12" i="16" a="1"/>
  <c r="I12" i="16" s="1"/>
  <c r="H6" i="16" a="1"/>
  <c r="H6" i="16" s="1"/>
  <c r="G20" i="16" a="1"/>
  <c r="G20" i="16" s="1"/>
  <c r="F11" i="16" a="1"/>
  <c r="F11" i="16" s="1"/>
  <c r="G17" i="16" a="1"/>
  <c r="G17" i="16" s="1"/>
  <c r="K15" i="16" a="1"/>
  <c r="K15" i="16" s="1"/>
  <c r="J8" i="16" a="1"/>
  <c r="J8" i="16" s="1"/>
  <c r="I22" i="16" a="1"/>
  <c r="I22" i="16" s="1"/>
  <c r="H7" i="16" a="1"/>
  <c r="H7" i="16" s="1"/>
  <c r="G10" i="16" a="1"/>
  <c r="G10" i="16" s="1"/>
  <c r="I9" i="16" a="1"/>
  <c r="I9" i="16" s="1"/>
  <c r="H19" i="16" a="1"/>
  <c r="H19" i="16" s="1"/>
  <c r="G16" i="16" a="1"/>
  <c r="G16" i="16" s="1"/>
  <c r="K13" i="16" a="1"/>
  <c r="K13" i="16" s="1"/>
  <c r="J12" i="16" a="1"/>
  <c r="J12" i="16" s="1"/>
  <c r="I6" i="16" a="1"/>
  <c r="I6" i="16" s="1"/>
  <c r="H20" i="16" a="1"/>
  <c r="H20" i="16" s="1"/>
  <c r="G11" i="16" a="1"/>
  <c r="G11" i="16" s="1"/>
  <c r="H17" i="16" a="1"/>
  <c r="H17" i="16" s="1"/>
  <c r="K8" i="16" a="1"/>
  <c r="K8" i="16" s="1"/>
  <c r="J22" i="16" a="1"/>
  <c r="J22" i="16" s="1"/>
  <c r="I7" i="16" a="1"/>
  <c r="I7" i="16" s="1"/>
  <c r="H10" i="16" a="1"/>
  <c r="H10" i="16" s="1"/>
  <c r="J9" i="16" a="1"/>
  <c r="J9" i="16" s="1"/>
  <c r="I19" i="16" a="1"/>
  <c r="I19" i="16" s="1"/>
  <c r="H16" i="16" a="1"/>
  <c r="H16" i="16" s="1"/>
  <c r="K12" i="16" a="1"/>
  <c r="K12" i="16" s="1"/>
  <c r="J6" i="16" a="1"/>
  <c r="J6" i="16" s="1"/>
  <c r="I20" i="16" a="1"/>
  <c r="I20" i="16" s="1"/>
  <c r="H11" i="16" a="1"/>
  <c r="H11" i="16" s="1"/>
  <c r="I17" i="16" a="1"/>
  <c r="I17" i="16" s="1"/>
  <c r="J7" i="16" a="1"/>
  <c r="J7" i="16" s="1"/>
  <c r="I10" i="16" a="1"/>
  <c r="I10" i="16" s="1"/>
  <c r="K9" i="16" a="1"/>
  <c r="K9" i="16" s="1"/>
  <c r="J19" i="16" a="1"/>
  <c r="J19" i="16" s="1"/>
  <c r="I16" i="16" a="1"/>
  <c r="I16" i="16" s="1"/>
  <c r="G13" i="16" a="1"/>
  <c r="G13" i="16" s="1"/>
  <c r="F12" i="16" a="1"/>
  <c r="F12" i="16" s="1"/>
  <c r="K6" i="16" a="1"/>
  <c r="K6" i="16" s="1"/>
  <c r="J20" i="16" a="1"/>
  <c r="J20" i="16" s="1"/>
  <c r="I11" i="16" a="1"/>
  <c r="I11" i="16" s="1"/>
  <c r="J17" i="16" a="1"/>
  <c r="J17" i="16" s="1"/>
  <c r="J10" i="16" a="1"/>
  <c r="J10" i="16" s="1"/>
  <c r="J16" i="16" a="1"/>
  <c r="J16" i="16" s="1"/>
  <c r="K20" i="16" a="1"/>
  <c r="K20" i="16" s="1"/>
  <c r="J11" i="16" a="1"/>
  <c r="J11" i="16" s="1"/>
  <c r="J8" i="8" a="1"/>
  <c r="J8" i="8" s="1"/>
  <c r="G15" i="8" a="1"/>
  <c r="G15" i="8" s="1"/>
  <c r="I20" i="8" a="1"/>
  <c r="I20" i="8" s="1"/>
  <c r="G11" i="8" a="1"/>
  <c r="G11" i="8" s="1"/>
  <c r="J103" i="8" a="1"/>
  <c r="J103" i="8" s="1"/>
  <c r="J99" i="8" a="1"/>
  <c r="J99" i="8" s="1"/>
  <c r="J95" i="8" a="1"/>
  <c r="J95" i="8" s="1"/>
  <c r="J91" i="8" a="1"/>
  <c r="J91" i="8" s="1"/>
  <c r="J87" i="8" a="1"/>
  <c r="J87" i="8" s="1"/>
  <c r="J83" i="8" a="1"/>
  <c r="J83" i="8" s="1"/>
  <c r="J79" i="8" a="1"/>
  <c r="J79" i="8" s="1"/>
  <c r="J75" i="8" a="1"/>
  <c r="J75" i="8" s="1"/>
  <c r="J71" i="8" a="1"/>
  <c r="J71" i="8" s="1"/>
  <c r="J67" i="8" a="1"/>
  <c r="J67" i="8" s="1"/>
  <c r="J63" i="8" a="1"/>
  <c r="J63" i="8" s="1"/>
  <c r="J59" i="8" a="1"/>
  <c r="J59" i="8" s="1"/>
  <c r="J55" i="8" a="1"/>
  <c r="J55" i="8" s="1"/>
  <c r="J51" i="8" a="1"/>
  <c r="J51" i="8" s="1"/>
  <c r="J47" i="8" a="1"/>
  <c r="J47" i="8" s="1"/>
  <c r="J33" i="8" a="1"/>
  <c r="J33" i="8" s="1"/>
  <c r="G18" i="8" a="1"/>
  <c r="G18" i="8" s="1"/>
  <c r="H20" i="8" a="1"/>
  <c r="H20" i="8" s="1"/>
  <c r="J14" i="8" a="1"/>
  <c r="J14" i="8" s="1"/>
  <c r="G103" i="8" a="1"/>
  <c r="G103" i="8" s="1"/>
  <c r="I99" i="8" a="1"/>
  <c r="I99" i="8" s="1"/>
  <c r="I95" i="8" a="1"/>
  <c r="I95" i="8" s="1"/>
  <c r="I91" i="8" a="1"/>
  <c r="I91" i="8" s="1"/>
  <c r="I87" i="8" a="1"/>
  <c r="I87" i="8" s="1"/>
  <c r="I83" i="8" a="1"/>
  <c r="I83" i="8" s="1"/>
  <c r="I79" i="8" a="1"/>
  <c r="I79" i="8" s="1"/>
  <c r="I75" i="8" a="1"/>
  <c r="I75" i="8" s="1"/>
  <c r="I71" i="8" a="1"/>
  <c r="I71" i="8" s="1"/>
  <c r="I67" i="8" a="1"/>
  <c r="I67" i="8" s="1"/>
  <c r="I63" i="8" a="1"/>
  <c r="I63" i="8" s="1"/>
  <c r="I59" i="8" a="1"/>
  <c r="I59" i="8" s="1"/>
  <c r="I55" i="8" a="1"/>
  <c r="I55" i="8" s="1"/>
  <c r="I51" i="8" a="1"/>
  <c r="I51" i="8" s="1"/>
  <c r="I47" i="8" a="1"/>
  <c r="I47" i="8" s="1"/>
  <c r="J22" i="8" a="1"/>
  <c r="J22" i="8" s="1"/>
  <c r="G20" i="8" a="1"/>
  <c r="G20" i="8" s="1"/>
  <c r="G17" i="8" a="1"/>
  <c r="G17" i="8" s="1"/>
  <c r="G14" i="8" a="1"/>
  <c r="G14" i="8" s="1"/>
  <c r="G7" i="8" a="1"/>
  <c r="G7" i="8" s="1"/>
  <c r="J37" i="8" a="1"/>
  <c r="J37" i="8" s="1"/>
  <c r="I22" i="8" a="1"/>
  <c r="I22" i="8" s="1"/>
  <c r="J10" i="8" a="1"/>
  <c r="J10" i="8" s="1"/>
  <c r="J27" i="8" a="1"/>
  <c r="J27" i="8" s="1"/>
  <c r="H22" i="8" a="1"/>
  <c r="H22" i="8" s="1"/>
  <c r="G10" i="8" a="1"/>
  <c r="G10" i="8" s="1"/>
  <c r="G102" i="8" a="1"/>
  <c r="G102" i="8" s="1"/>
  <c r="J41" i="8" a="1"/>
  <c r="J41" i="8" s="1"/>
  <c r="J20" i="8" a="1"/>
  <c r="J20" i="8" s="1"/>
  <c r="J43" i="8" a="1"/>
  <c r="J43" i="8" s="1"/>
  <c r="G22" i="8" a="1"/>
  <c r="G22" i="8" s="1"/>
  <c r="G19" i="8" a="1"/>
  <c r="G19" i="8" s="1"/>
  <c r="J16" i="8" a="1"/>
  <c r="J16" i="8" s="1"/>
  <c r="G13" i="8" a="1"/>
  <c r="G13" i="8" s="1"/>
  <c r="J105" i="8" a="1"/>
  <c r="J105" i="8" s="1"/>
  <c r="J31" i="8" a="1"/>
  <c r="J31" i="8" s="1"/>
  <c r="G8" i="8" a="1"/>
  <c r="G8" i="8" s="1"/>
  <c r="J6" i="8" a="1"/>
  <c r="J6" i="8" s="1"/>
  <c r="H16" i="8" a="1"/>
  <c r="H16" i="8" s="1"/>
  <c r="G105" i="8" a="1"/>
  <c r="G105" i="8" s="1"/>
  <c r="J97" i="8" a="1"/>
  <c r="J97" i="8" s="1"/>
  <c r="J93" i="8" a="1"/>
  <c r="J93" i="8" s="1"/>
  <c r="J89" i="8" a="1"/>
  <c r="J89" i="8" s="1"/>
  <c r="J85" i="8" a="1"/>
  <c r="J85" i="8" s="1"/>
  <c r="J81" i="8" a="1"/>
  <c r="J81" i="8" s="1"/>
  <c r="J77" i="8" a="1"/>
  <c r="J77" i="8" s="1"/>
  <c r="J73" i="8" a="1"/>
  <c r="J73" i="8" s="1"/>
  <c r="J69" i="8" a="1"/>
  <c r="J69" i="8" s="1"/>
  <c r="J65" i="8" a="1"/>
  <c r="J65" i="8" s="1"/>
  <c r="J61" i="8" a="1"/>
  <c r="J61" i="8" s="1"/>
  <c r="J57" i="8" a="1"/>
  <c r="J57" i="8" s="1"/>
  <c r="J53" i="8" a="1"/>
  <c r="J53" i="8" s="1"/>
  <c r="J49" i="8" a="1"/>
  <c r="J49" i="8" s="1"/>
  <c r="J45" i="8" a="1"/>
  <c r="J45" i="8" s="1"/>
  <c r="I6" i="8" a="1"/>
  <c r="I6" i="8" s="1"/>
  <c r="G16" i="8" a="1"/>
  <c r="G16" i="8" s="1"/>
  <c r="G9" i="8" a="1"/>
  <c r="G9" i="8" s="1"/>
  <c r="J101" i="8" a="1"/>
  <c r="J101" i="8" s="1"/>
  <c r="I97" i="8" a="1"/>
  <c r="I97" i="8" s="1"/>
  <c r="I93" i="8" a="1"/>
  <c r="I93" i="8" s="1"/>
  <c r="I89" i="8" a="1"/>
  <c r="I89" i="8" s="1"/>
  <c r="I85" i="8" a="1"/>
  <c r="I85" i="8" s="1"/>
  <c r="I81" i="8" a="1"/>
  <c r="I81" i="8" s="1"/>
  <c r="I77" i="8" a="1"/>
  <c r="I77" i="8" s="1"/>
  <c r="I73" i="8" a="1"/>
  <c r="I73" i="8" s="1"/>
  <c r="I69" i="8" a="1"/>
  <c r="I69" i="8" s="1"/>
  <c r="I65" i="8" a="1"/>
  <c r="I65" i="8" s="1"/>
  <c r="I61" i="8" a="1"/>
  <c r="I61" i="8" s="1"/>
  <c r="I57" i="8" a="1"/>
  <c r="I57" i="8" s="1"/>
  <c r="I53" i="8" a="1"/>
  <c r="I53" i="8" s="1"/>
  <c r="I49" i="8" a="1"/>
  <c r="I49" i="8" s="1"/>
  <c r="J35" i="8" a="1"/>
  <c r="J35" i="8" s="1"/>
  <c r="G23" i="8" a="1"/>
  <c r="G23" i="8" s="1"/>
  <c r="H6" i="8" a="1"/>
  <c r="H6" i="8" s="1"/>
  <c r="G21" i="8" a="1"/>
  <c r="G21" i="8" s="1"/>
  <c r="J18" i="8" a="1"/>
  <c r="J18" i="8" s="1"/>
  <c r="O11" i="35" s="1" a="1"/>
  <c r="O11" i="35" s="1"/>
  <c r="J12" i="8" a="1"/>
  <c r="J12" i="8" s="1"/>
  <c r="G101" i="8" a="1"/>
  <c r="G101" i="8" s="1"/>
  <c r="J25" i="8" a="1"/>
  <c r="J25" i="8" s="1"/>
  <c r="G12" i="8" a="1"/>
  <c r="G12" i="8" s="1"/>
  <c r="G104" i="8" a="1"/>
  <c r="G104" i="8" s="1"/>
  <c r="J39" i="8" a="1"/>
  <c r="J39" i="8" s="1"/>
  <c r="J29" i="8" a="1"/>
  <c r="J29" i="8" s="1"/>
  <c r="I45" i="8" a="1"/>
  <c r="I45" i="8" s="1"/>
  <c r="I43" i="8" a="1"/>
  <c r="I43" i="8" s="1"/>
  <c r="I41" i="8" a="1"/>
  <c r="I41" i="8" s="1"/>
  <c r="I39" i="8" a="1"/>
  <c r="I39" i="8" s="1"/>
  <c r="I37" i="8" a="1"/>
  <c r="I37" i="8" s="1"/>
  <c r="I35" i="8" a="1"/>
  <c r="I35" i="8" s="1"/>
  <c r="I33" i="8" a="1"/>
  <c r="I33" i="8" s="1"/>
  <c r="I31" i="8" a="1"/>
  <c r="I31" i="8" s="1"/>
  <c r="I29" i="8" a="1"/>
  <c r="I29" i="8" s="1"/>
  <c r="I27" i="8" a="1"/>
  <c r="I27" i="8" s="1"/>
  <c r="I25" i="8" a="1"/>
  <c r="I25" i="8" s="1"/>
  <c r="I16" i="8" a="1"/>
  <c r="I16" i="8" s="1"/>
  <c r="I14" i="8" a="1"/>
  <c r="I14" i="8" s="1"/>
  <c r="I12" i="8" a="1"/>
  <c r="I12" i="8" s="1"/>
  <c r="I10" i="8" a="1"/>
  <c r="I10" i="8" s="1"/>
  <c r="I8" i="8" a="1"/>
  <c r="I8" i="8" s="1"/>
  <c r="I105" i="8" a="1"/>
  <c r="I105" i="8" s="1"/>
  <c r="I103" i="8" a="1"/>
  <c r="I103" i="8" s="1"/>
  <c r="I101" i="8" a="1"/>
  <c r="I101" i="8" s="1"/>
  <c r="H99" i="8" a="1"/>
  <c r="H99" i="8" s="1"/>
  <c r="H97" i="8" a="1"/>
  <c r="H97" i="8" s="1"/>
  <c r="H95" i="8" a="1"/>
  <c r="H95" i="8" s="1"/>
  <c r="H93" i="8" a="1"/>
  <c r="H93" i="8" s="1"/>
  <c r="H91" i="8" a="1"/>
  <c r="H91" i="8" s="1"/>
  <c r="H89" i="8" a="1"/>
  <c r="H89" i="8" s="1"/>
  <c r="H87" i="8" a="1"/>
  <c r="H87" i="8" s="1"/>
  <c r="H85" i="8" a="1"/>
  <c r="H85" i="8" s="1"/>
  <c r="H83" i="8" a="1"/>
  <c r="H83" i="8" s="1"/>
  <c r="H81" i="8" a="1"/>
  <c r="H81" i="8" s="1"/>
  <c r="H79" i="8" a="1"/>
  <c r="H79" i="8" s="1"/>
  <c r="H77" i="8" a="1"/>
  <c r="H77" i="8" s="1"/>
  <c r="H75" i="8" a="1"/>
  <c r="H75" i="8" s="1"/>
  <c r="H73" i="8" a="1"/>
  <c r="H73" i="8" s="1"/>
  <c r="H71" i="8" a="1"/>
  <c r="H71" i="8" s="1"/>
  <c r="H69" i="8" a="1"/>
  <c r="H69" i="8" s="1"/>
  <c r="H67" i="8" a="1"/>
  <c r="H67" i="8" s="1"/>
  <c r="H65" i="8" a="1"/>
  <c r="H65" i="8" s="1"/>
  <c r="H63" i="8" a="1"/>
  <c r="H63" i="8" s="1"/>
  <c r="H61" i="8" a="1"/>
  <c r="H61" i="8" s="1"/>
  <c r="H59" i="8" a="1"/>
  <c r="H59" i="8" s="1"/>
  <c r="H57" i="8" a="1"/>
  <c r="H57" i="8" s="1"/>
  <c r="H55" i="8" a="1"/>
  <c r="H55" i="8" s="1"/>
  <c r="H53" i="8" a="1"/>
  <c r="H53" i="8" s="1"/>
  <c r="H51" i="8" a="1"/>
  <c r="H51" i="8" s="1"/>
  <c r="H49" i="8" a="1"/>
  <c r="H49" i="8" s="1"/>
  <c r="H47" i="8" a="1"/>
  <c r="H47" i="8" s="1"/>
  <c r="H45" i="8" a="1"/>
  <c r="H45" i="8" s="1"/>
  <c r="H43" i="8" a="1"/>
  <c r="H43" i="8" s="1"/>
  <c r="H41" i="8" a="1"/>
  <c r="H41" i="8" s="1"/>
  <c r="H39" i="8" a="1"/>
  <c r="H39" i="8" s="1"/>
  <c r="H37" i="8" a="1"/>
  <c r="H37" i="8" s="1"/>
  <c r="H35" i="8" a="1"/>
  <c r="H35" i="8" s="1"/>
  <c r="H33" i="8" a="1"/>
  <c r="H33" i="8" s="1"/>
  <c r="H31" i="8" a="1"/>
  <c r="H31" i="8" s="1"/>
  <c r="H29" i="8" a="1"/>
  <c r="H29" i="8" s="1"/>
  <c r="H27" i="8" a="1"/>
  <c r="H27" i="8" s="1"/>
  <c r="H25" i="8" a="1"/>
  <c r="H25" i="8" s="1"/>
  <c r="H14" i="8" a="1"/>
  <c r="H14" i="8" s="1"/>
  <c r="H12" i="8" a="1"/>
  <c r="H12" i="8" s="1"/>
  <c r="H10" i="8" a="1"/>
  <c r="H10" i="8" s="1"/>
  <c r="H8" i="8" a="1"/>
  <c r="H8" i="8" s="1"/>
  <c r="H105" i="8" a="1"/>
  <c r="H105" i="8" s="1"/>
  <c r="H103" i="8" a="1"/>
  <c r="H103" i="8" s="1"/>
  <c r="H101" i="8" a="1"/>
  <c r="H101" i="8" s="1"/>
  <c r="G99" i="8" a="1"/>
  <c r="G99" i="8" s="1"/>
  <c r="G97" i="8" a="1"/>
  <c r="G97" i="8" s="1"/>
  <c r="G95" i="8" a="1"/>
  <c r="G95" i="8" s="1"/>
  <c r="G93" i="8" a="1"/>
  <c r="G93" i="8" s="1"/>
  <c r="G91" i="8" a="1"/>
  <c r="G91" i="8" s="1"/>
  <c r="G89" i="8" a="1"/>
  <c r="G89" i="8" s="1"/>
  <c r="G87" i="8" a="1"/>
  <c r="G87" i="8" s="1"/>
  <c r="G85" i="8" a="1"/>
  <c r="G85" i="8" s="1"/>
  <c r="G83" i="8" a="1"/>
  <c r="G83" i="8" s="1"/>
  <c r="G81" i="8" a="1"/>
  <c r="G81" i="8" s="1"/>
  <c r="G79" i="8" a="1"/>
  <c r="G79" i="8" s="1"/>
  <c r="G77" i="8" a="1"/>
  <c r="G77" i="8" s="1"/>
  <c r="G75" i="8" a="1"/>
  <c r="G75" i="8" s="1"/>
  <c r="G73" i="8" a="1"/>
  <c r="G73" i="8" s="1"/>
  <c r="G71" i="8" a="1"/>
  <c r="G71" i="8" s="1"/>
  <c r="G69" i="8" a="1"/>
  <c r="G69" i="8" s="1"/>
  <c r="G67" i="8" a="1"/>
  <c r="G67" i="8" s="1"/>
  <c r="G65" i="8" a="1"/>
  <c r="G65" i="8" s="1"/>
  <c r="G63" i="8" a="1"/>
  <c r="G63" i="8" s="1"/>
  <c r="G61" i="8" a="1"/>
  <c r="G61" i="8" s="1"/>
  <c r="G59" i="8" a="1"/>
  <c r="G59" i="8" s="1"/>
  <c r="G57" i="8" a="1"/>
  <c r="G57" i="8" s="1"/>
  <c r="G55" i="8" a="1"/>
  <c r="G55" i="8" s="1"/>
  <c r="G53" i="8" a="1"/>
  <c r="G53" i="8" s="1"/>
  <c r="G51" i="8" a="1"/>
  <c r="G51" i="8" s="1"/>
  <c r="G49" i="8" a="1"/>
  <c r="G49" i="8" s="1"/>
  <c r="G47" i="8" a="1"/>
  <c r="G47" i="8" s="1"/>
  <c r="G45" i="8" a="1"/>
  <c r="G45" i="8" s="1"/>
  <c r="G43" i="8" a="1"/>
  <c r="G43" i="8" s="1"/>
  <c r="G41" i="8" a="1"/>
  <c r="G41" i="8" s="1"/>
  <c r="G39" i="8" a="1"/>
  <c r="G39" i="8" s="1"/>
  <c r="G37" i="8" a="1"/>
  <c r="G37" i="8" s="1"/>
  <c r="G35" i="8" a="1"/>
  <c r="G35" i="8" s="1"/>
  <c r="G33" i="8" a="1"/>
  <c r="G33" i="8" s="1"/>
  <c r="G31" i="8" a="1"/>
  <c r="G31" i="8" s="1"/>
  <c r="G29" i="8" a="1"/>
  <c r="G29" i="8" s="1"/>
  <c r="G27" i="8" a="1"/>
  <c r="G27" i="8" s="1"/>
  <c r="G25" i="8" a="1"/>
  <c r="G25" i="8" s="1"/>
  <c r="J100" i="8" a="1"/>
  <c r="J100" i="8" s="1"/>
  <c r="J98" i="8" a="1"/>
  <c r="J98" i="8" s="1"/>
  <c r="J96" i="8" a="1"/>
  <c r="J96" i="8" s="1"/>
  <c r="J94" i="8" a="1"/>
  <c r="J94" i="8" s="1"/>
  <c r="J92" i="8" a="1"/>
  <c r="J92" i="8" s="1"/>
  <c r="J90" i="8" a="1"/>
  <c r="J90" i="8" s="1"/>
  <c r="J88" i="8" a="1"/>
  <c r="J88" i="8" s="1"/>
  <c r="J86" i="8" a="1"/>
  <c r="J86" i="8" s="1"/>
  <c r="J84" i="8" a="1"/>
  <c r="J84" i="8" s="1"/>
  <c r="J82" i="8" a="1"/>
  <c r="J82" i="8" s="1"/>
  <c r="J80" i="8" a="1"/>
  <c r="J80" i="8" s="1"/>
  <c r="J78" i="8" a="1"/>
  <c r="J78" i="8" s="1"/>
  <c r="J76" i="8" a="1"/>
  <c r="J76" i="8" s="1"/>
  <c r="J74" i="8" a="1"/>
  <c r="J74" i="8" s="1"/>
  <c r="J72" i="8" a="1"/>
  <c r="J72" i="8" s="1"/>
  <c r="J70" i="8" a="1"/>
  <c r="J70" i="8" s="1"/>
  <c r="J68" i="8" a="1"/>
  <c r="J68" i="8" s="1"/>
  <c r="J66" i="8" a="1"/>
  <c r="J66" i="8" s="1"/>
  <c r="J64" i="8" a="1"/>
  <c r="J64" i="8" s="1"/>
  <c r="J62" i="8" a="1"/>
  <c r="J62" i="8" s="1"/>
  <c r="J60" i="8" a="1"/>
  <c r="J60" i="8" s="1"/>
  <c r="J58" i="8" a="1"/>
  <c r="J58" i="8" s="1"/>
  <c r="J56" i="8" a="1"/>
  <c r="J56" i="8" s="1"/>
  <c r="J54" i="8" a="1"/>
  <c r="J54" i="8" s="1"/>
  <c r="J52" i="8" a="1"/>
  <c r="J52" i="8" s="1"/>
  <c r="J50" i="8" a="1"/>
  <c r="J50" i="8" s="1"/>
  <c r="J48" i="8" a="1"/>
  <c r="J48" i="8" s="1"/>
  <c r="J46" i="8" a="1"/>
  <c r="J46" i="8" s="1"/>
  <c r="J44" i="8" a="1"/>
  <c r="J44" i="8" s="1"/>
  <c r="J42" i="8" a="1"/>
  <c r="J42" i="8" s="1"/>
  <c r="J40" i="8" a="1"/>
  <c r="J40" i="8" s="1"/>
  <c r="J38" i="8" a="1"/>
  <c r="J38" i="8" s="1"/>
  <c r="J36" i="8" a="1"/>
  <c r="J36" i="8" s="1"/>
  <c r="J34" i="8" a="1"/>
  <c r="J34" i="8" s="1"/>
  <c r="J32" i="8" a="1"/>
  <c r="J32" i="8" s="1"/>
  <c r="J30" i="8" a="1"/>
  <c r="J30" i="8" s="1"/>
  <c r="J28" i="8" a="1"/>
  <c r="J28" i="8" s="1"/>
  <c r="J26" i="8" a="1"/>
  <c r="J26" i="8" s="1"/>
  <c r="J24" i="8" a="1"/>
  <c r="J24" i="8" s="1"/>
  <c r="J23" i="8" a="1"/>
  <c r="J23" i="8" s="1"/>
  <c r="J21" i="8" a="1"/>
  <c r="J21" i="8" s="1"/>
  <c r="J19" i="8" a="1"/>
  <c r="J19" i="8" s="1"/>
  <c r="J17" i="8" a="1"/>
  <c r="J17" i="8" s="1"/>
  <c r="J15" i="8" a="1"/>
  <c r="J15" i="8" s="1"/>
  <c r="J13" i="8" a="1"/>
  <c r="J13" i="8" s="1"/>
  <c r="J11" i="8" a="1"/>
  <c r="J11" i="8" s="1"/>
  <c r="J9" i="8" a="1"/>
  <c r="J9" i="8" s="1"/>
  <c r="J7" i="8" a="1"/>
  <c r="J7" i="8" s="1"/>
  <c r="J104" i="8" a="1"/>
  <c r="J104" i="8" s="1"/>
  <c r="I100" i="8" a="1"/>
  <c r="I100" i="8" s="1"/>
  <c r="I98" i="8" a="1"/>
  <c r="I98" i="8" s="1"/>
  <c r="I96" i="8" a="1"/>
  <c r="I96" i="8" s="1"/>
  <c r="I94" i="8" a="1"/>
  <c r="I94" i="8" s="1"/>
  <c r="I92" i="8" a="1"/>
  <c r="I92" i="8" s="1"/>
  <c r="I90" i="8" a="1"/>
  <c r="I90" i="8" s="1"/>
  <c r="I88" i="8" a="1"/>
  <c r="I88" i="8" s="1"/>
  <c r="I86" i="8" a="1"/>
  <c r="I86" i="8" s="1"/>
  <c r="I84" i="8" a="1"/>
  <c r="I84" i="8" s="1"/>
  <c r="I82" i="8" a="1"/>
  <c r="I82" i="8" s="1"/>
  <c r="I80" i="8" a="1"/>
  <c r="I80" i="8" s="1"/>
  <c r="I78" i="8" a="1"/>
  <c r="I78" i="8" s="1"/>
  <c r="I76" i="8" a="1"/>
  <c r="I76" i="8" s="1"/>
  <c r="I74" i="8" a="1"/>
  <c r="I74" i="8" s="1"/>
  <c r="I72" i="8" a="1"/>
  <c r="I72" i="8" s="1"/>
  <c r="I70" i="8" a="1"/>
  <c r="I70" i="8" s="1"/>
  <c r="I68" i="8" a="1"/>
  <c r="I68" i="8" s="1"/>
  <c r="I66" i="8" a="1"/>
  <c r="I66" i="8" s="1"/>
  <c r="I64" i="8" a="1"/>
  <c r="I64" i="8" s="1"/>
  <c r="I62" i="8" a="1"/>
  <c r="I62" i="8" s="1"/>
  <c r="I60" i="8" a="1"/>
  <c r="I60" i="8" s="1"/>
  <c r="I58" i="8" a="1"/>
  <c r="I58" i="8" s="1"/>
  <c r="I56" i="8" a="1"/>
  <c r="I56" i="8" s="1"/>
  <c r="I54" i="8" a="1"/>
  <c r="I54" i="8" s="1"/>
  <c r="I52" i="8" a="1"/>
  <c r="I52" i="8" s="1"/>
  <c r="I50" i="8" a="1"/>
  <c r="I50" i="8" s="1"/>
  <c r="I48" i="8" a="1"/>
  <c r="I48" i="8" s="1"/>
  <c r="I46" i="8" a="1"/>
  <c r="I46" i="8" s="1"/>
  <c r="I44" i="8" a="1"/>
  <c r="I44" i="8" s="1"/>
  <c r="I42" i="8" a="1"/>
  <c r="I42" i="8" s="1"/>
  <c r="I40" i="8" a="1"/>
  <c r="I40" i="8" s="1"/>
  <c r="I38" i="8" a="1"/>
  <c r="I38" i="8" s="1"/>
  <c r="I36" i="8" a="1"/>
  <c r="I36" i="8" s="1"/>
  <c r="I34" i="8" a="1"/>
  <c r="I34" i="8" s="1"/>
  <c r="I32" i="8" a="1"/>
  <c r="I32" i="8" s="1"/>
  <c r="I30" i="8" a="1"/>
  <c r="I30" i="8" s="1"/>
  <c r="I28" i="8" a="1"/>
  <c r="I28" i="8" s="1"/>
  <c r="I26" i="8" a="1"/>
  <c r="I26" i="8" s="1"/>
  <c r="I24" i="8" a="1"/>
  <c r="I24" i="8" s="1"/>
  <c r="I23" i="8" a="1"/>
  <c r="I23" i="8" s="1"/>
  <c r="I21" i="8" a="1"/>
  <c r="I21" i="8" s="1"/>
  <c r="I19" i="8" a="1"/>
  <c r="I19" i="8" s="1"/>
  <c r="I15" i="8" a="1"/>
  <c r="I15" i="8" s="1"/>
  <c r="I13" i="8" a="1"/>
  <c r="I13" i="8" s="1"/>
  <c r="I11" i="8" a="1"/>
  <c r="I11" i="8" s="1"/>
  <c r="I9" i="8" a="1"/>
  <c r="I9" i="8" s="1"/>
  <c r="I7" i="8" a="1"/>
  <c r="I7" i="8" s="1"/>
  <c r="I104" i="8" a="1"/>
  <c r="I104" i="8" s="1"/>
  <c r="I102" i="8" a="1"/>
  <c r="I102" i="8" s="1"/>
  <c r="H100" i="8" a="1"/>
  <c r="H100" i="8" s="1"/>
  <c r="H98" i="8" a="1"/>
  <c r="H98" i="8" s="1"/>
  <c r="H96" i="8" a="1"/>
  <c r="H96" i="8" s="1"/>
  <c r="H94" i="8" a="1"/>
  <c r="H94" i="8" s="1"/>
  <c r="H92" i="8" a="1"/>
  <c r="H92" i="8" s="1"/>
  <c r="H90" i="8" a="1"/>
  <c r="H90" i="8" s="1"/>
  <c r="H88" i="8" a="1"/>
  <c r="H88" i="8" s="1"/>
  <c r="H86" i="8" a="1"/>
  <c r="H86" i="8" s="1"/>
  <c r="H84" i="8" a="1"/>
  <c r="H84" i="8" s="1"/>
  <c r="H82" i="8" a="1"/>
  <c r="H82" i="8" s="1"/>
  <c r="H80" i="8" a="1"/>
  <c r="H80" i="8" s="1"/>
  <c r="H78" i="8" a="1"/>
  <c r="H78" i="8" s="1"/>
  <c r="H76" i="8" a="1"/>
  <c r="H76" i="8" s="1"/>
  <c r="H74" i="8" a="1"/>
  <c r="H74" i="8" s="1"/>
  <c r="H72" i="8" a="1"/>
  <c r="H72" i="8" s="1"/>
  <c r="H70" i="8" a="1"/>
  <c r="H70" i="8" s="1"/>
  <c r="H68" i="8" a="1"/>
  <c r="H68" i="8" s="1"/>
  <c r="H66" i="8" a="1"/>
  <c r="H66" i="8" s="1"/>
  <c r="H64" i="8" a="1"/>
  <c r="H64" i="8" s="1"/>
  <c r="H62" i="8" a="1"/>
  <c r="H62" i="8" s="1"/>
  <c r="H60" i="8" a="1"/>
  <c r="H60" i="8" s="1"/>
  <c r="H58" i="8" a="1"/>
  <c r="H58" i="8" s="1"/>
  <c r="H56" i="8" a="1"/>
  <c r="H56" i="8" s="1"/>
  <c r="H54" i="8" a="1"/>
  <c r="H54" i="8" s="1"/>
  <c r="H52" i="8" a="1"/>
  <c r="H52" i="8" s="1"/>
  <c r="H50" i="8" a="1"/>
  <c r="H50" i="8" s="1"/>
  <c r="H48" i="8" a="1"/>
  <c r="H48" i="8" s="1"/>
  <c r="H46" i="8" a="1"/>
  <c r="H46" i="8" s="1"/>
  <c r="H44" i="8" a="1"/>
  <c r="H44" i="8" s="1"/>
  <c r="H42" i="8" a="1"/>
  <c r="H42" i="8" s="1"/>
  <c r="H40" i="8" a="1"/>
  <c r="H40" i="8" s="1"/>
  <c r="H38" i="8" a="1"/>
  <c r="H38" i="8" s="1"/>
  <c r="H36" i="8" a="1"/>
  <c r="H36" i="8" s="1"/>
  <c r="H34" i="8" a="1"/>
  <c r="H34" i="8" s="1"/>
  <c r="H32" i="8" a="1"/>
  <c r="H32" i="8" s="1"/>
  <c r="H30" i="8" a="1"/>
  <c r="H30" i="8" s="1"/>
  <c r="H28" i="8" a="1"/>
  <c r="H28" i="8" s="1"/>
  <c r="H26" i="8" a="1"/>
  <c r="H26" i="8" s="1"/>
  <c r="H24" i="8" a="1"/>
  <c r="H24" i="8" s="1"/>
  <c r="H23" i="8" a="1"/>
  <c r="H23" i="8" s="1"/>
  <c r="H21" i="8" a="1"/>
  <c r="H21" i="8" s="1"/>
  <c r="H19" i="8" a="1"/>
  <c r="H19" i="8" s="1"/>
  <c r="H17" i="8" a="1"/>
  <c r="H17" i="8" s="1"/>
  <c r="H15" i="8" a="1"/>
  <c r="H15" i="8" s="1"/>
  <c r="H13" i="8" a="1"/>
  <c r="H13" i="8" s="1"/>
  <c r="H11" i="8" a="1"/>
  <c r="H11" i="8" s="1"/>
  <c r="H9" i="8" a="1"/>
  <c r="H9" i="8" s="1"/>
  <c r="H7" i="8" a="1"/>
  <c r="H7" i="8" s="1"/>
  <c r="H104" i="8" a="1"/>
  <c r="H104" i="8" s="1"/>
  <c r="H102" i="8" a="1"/>
  <c r="H102" i="8" s="1"/>
  <c r="G100" i="8" a="1"/>
  <c r="G100" i="8" s="1"/>
  <c r="G98" i="8" a="1"/>
  <c r="G98" i="8" s="1"/>
  <c r="G96" i="8" a="1"/>
  <c r="G96" i="8" s="1"/>
  <c r="G94" i="8" a="1"/>
  <c r="G94" i="8" s="1"/>
  <c r="G92" i="8" a="1"/>
  <c r="G92" i="8" s="1"/>
  <c r="G90" i="8" a="1"/>
  <c r="G90" i="8" s="1"/>
  <c r="G88" i="8" a="1"/>
  <c r="G88" i="8" s="1"/>
  <c r="G86" i="8" a="1"/>
  <c r="G86" i="8" s="1"/>
  <c r="G84" i="8" a="1"/>
  <c r="G84" i="8" s="1"/>
  <c r="G82" i="8" a="1"/>
  <c r="G82" i="8" s="1"/>
  <c r="G80" i="8" a="1"/>
  <c r="G80" i="8" s="1"/>
  <c r="G78" i="8" a="1"/>
  <c r="G78" i="8" s="1"/>
  <c r="G76" i="8" a="1"/>
  <c r="G76" i="8" s="1"/>
  <c r="G74" i="8" a="1"/>
  <c r="G74" i="8" s="1"/>
  <c r="G72" i="8" a="1"/>
  <c r="G72" i="8" s="1"/>
  <c r="G70" i="8" a="1"/>
  <c r="G70" i="8" s="1"/>
  <c r="G68" i="8" a="1"/>
  <c r="G68" i="8" s="1"/>
  <c r="G66" i="8" a="1"/>
  <c r="G66" i="8" s="1"/>
  <c r="G64" i="8" a="1"/>
  <c r="G64" i="8" s="1"/>
  <c r="G62" i="8" a="1"/>
  <c r="G62" i="8" s="1"/>
  <c r="G60" i="8" a="1"/>
  <c r="G60" i="8" s="1"/>
  <c r="G58" i="8" a="1"/>
  <c r="G58" i="8" s="1"/>
  <c r="G56" i="8" a="1"/>
  <c r="G56" i="8" s="1"/>
  <c r="G54" i="8" a="1"/>
  <c r="G54" i="8" s="1"/>
  <c r="G52" i="8" a="1"/>
  <c r="G52" i="8" s="1"/>
  <c r="G50" i="8" a="1"/>
  <c r="G50" i="8" s="1"/>
  <c r="G48" i="8" a="1"/>
  <c r="G48" i="8" s="1"/>
  <c r="G46" i="8" a="1"/>
  <c r="G46" i="8" s="1"/>
  <c r="G44" i="8" a="1"/>
  <c r="G44" i="8" s="1"/>
  <c r="G42" i="8" a="1"/>
  <c r="G42" i="8" s="1"/>
  <c r="G40" i="8" a="1"/>
  <c r="G40" i="8" s="1"/>
  <c r="G38" i="8" a="1"/>
  <c r="G38" i="8" s="1"/>
  <c r="G36" i="8" a="1"/>
  <c r="G36" i="8" s="1"/>
  <c r="G34" i="8" a="1"/>
  <c r="G34" i="8" s="1"/>
  <c r="G32" i="8" a="1"/>
  <c r="G32" i="8" s="1"/>
  <c r="G30" i="8" a="1"/>
  <c r="G30" i="8" s="1"/>
  <c r="G28" i="8" a="1"/>
  <c r="G28" i="8" s="1"/>
  <c r="G26" i="8" a="1"/>
  <c r="G26" i="8" s="1"/>
  <c r="G24" i="8" a="1"/>
  <c r="G24" i="8" s="1"/>
  <c r="C3" i="8" a="1"/>
  <c r="C3" i="8" s="1"/>
  <c r="D3" i="8" a="1"/>
  <c r="D3" i="8" s="1"/>
  <c r="E3" i="8" a="1"/>
  <c r="E3" i="8" s="1"/>
  <c r="F3" i="8" a="1"/>
  <c r="F3" i="8" s="1"/>
  <c r="G3" i="8" a="1"/>
  <c r="G3" i="8" s="1"/>
  <c r="H3" i="8" a="1"/>
  <c r="H3" i="8" s="1"/>
  <c r="I3" i="8" a="1"/>
  <c r="I3" i="8" s="1"/>
  <c r="J3" i="8" a="1"/>
  <c r="J3" i="8" s="1"/>
  <c r="K3" i="8" a="1"/>
  <c r="K3" i="8" s="1"/>
  <c r="B3" i="8" a="1"/>
  <c r="B3" i="8" s="1"/>
  <c r="C2" i="4" a="1"/>
  <c r="C2" i="4" s="1"/>
  <c r="D2" i="4" a="1"/>
  <c r="D2" i="4" s="1"/>
  <c r="E2" i="4" a="1"/>
  <c r="E2" i="4" s="1"/>
  <c r="F2" i="4" a="1"/>
  <c r="F2" i="4" s="1"/>
  <c r="G2" i="4" a="1"/>
  <c r="G2" i="4" s="1"/>
  <c r="B2" i="4" a="1"/>
  <c r="B2" i="4" s="1"/>
  <c r="B2" i="5" a="1"/>
  <c r="B2" i="5" s="1"/>
  <c r="C2" i="5" a="1"/>
  <c r="C2" i="5" s="1"/>
  <c r="D2" i="5" a="1"/>
  <c r="D2" i="5" s="1"/>
  <c r="C1" i="2" a="1"/>
  <c r="C1" i="2" s="1"/>
  <c r="D1" i="2" a="1"/>
  <c r="D1" i="2" s="1"/>
  <c r="E1" i="2" a="1"/>
  <c r="E1" i="2" s="1"/>
  <c r="F1" i="2" a="1"/>
  <c r="F1" i="2" s="1"/>
  <c r="G1" i="2" a="1"/>
  <c r="G1" i="2" s="1"/>
  <c r="H1" i="2" a="1"/>
  <c r="H1" i="2" s="1"/>
  <c r="I1" i="2" a="1"/>
  <c r="I1" i="2" s="1"/>
  <c r="F2" i="2"/>
  <c r="G2" i="2" s="1"/>
  <c r="H2" i="2" s="1"/>
  <c r="I2" i="2" s="1"/>
  <c r="B1" i="2" a="1"/>
  <c r="B1" i="2" s="1"/>
  <c r="C6" i="2"/>
  <c r="D6" i="2" a="1"/>
  <c r="D6" i="2" s="1"/>
  <c r="C7" i="2"/>
  <c r="D7" i="2" a="1"/>
  <c r="D7" i="2" s="1"/>
  <c r="C8" i="2"/>
  <c r="D8" i="2" a="1"/>
  <c r="D8" i="2" s="1"/>
  <c r="C9" i="2"/>
  <c r="D9" i="2" a="1"/>
  <c r="D9" i="2" s="1"/>
  <c r="C10" i="2"/>
  <c r="D10" i="2" a="1"/>
  <c r="D10" i="2" s="1"/>
  <c r="C11" i="2"/>
  <c r="D11" i="2" a="1"/>
  <c r="D11" i="2" s="1"/>
  <c r="C12" i="2"/>
  <c r="D12" i="2" a="1"/>
  <c r="D12" i="2" s="1"/>
  <c r="C13" i="2"/>
  <c r="D13" i="2" a="1"/>
  <c r="D13" i="2" s="1"/>
  <c r="C14" i="2"/>
  <c r="D14" i="2" a="1"/>
  <c r="D14" i="2" s="1"/>
  <c r="C15" i="2"/>
  <c r="D15" i="2" a="1"/>
  <c r="D15" i="2" s="1"/>
  <c r="C16" i="2"/>
  <c r="D16" i="2" a="1"/>
  <c r="D16" i="2" s="1"/>
  <c r="C17" i="2"/>
  <c r="D17" i="2" a="1"/>
  <c r="D17" i="2" s="1"/>
  <c r="C18" i="2"/>
  <c r="D18" i="2" a="1"/>
  <c r="D18" i="2" s="1"/>
  <c r="C19" i="2"/>
  <c r="D19" i="2" a="1"/>
  <c r="D19" i="2" s="1"/>
  <c r="C20" i="2"/>
  <c r="D20" i="2" a="1"/>
  <c r="D20" i="2" s="1"/>
  <c r="C21" i="2"/>
  <c r="D21" i="2" a="1"/>
  <c r="D21" i="2" s="1"/>
  <c r="C22" i="2"/>
  <c r="D22" i="2" a="1"/>
  <c r="D22" i="2" s="1"/>
  <c r="C23" i="2"/>
  <c r="D23" i="2" a="1"/>
  <c r="D23" i="2" s="1"/>
  <c r="C24" i="2"/>
  <c r="D24" i="2" a="1"/>
  <c r="D24" i="2" s="1"/>
  <c r="C25" i="2"/>
  <c r="D25" i="2" a="1"/>
  <c r="D25" i="2" s="1"/>
  <c r="C26" i="2"/>
  <c r="D26" i="2" a="1"/>
  <c r="D26" i="2" s="1"/>
  <c r="C27" i="2"/>
  <c r="D27" i="2" a="1"/>
  <c r="D27" i="2" s="1"/>
  <c r="C28" i="2"/>
  <c r="D28" i="2" a="1"/>
  <c r="D28" i="2" s="1"/>
  <c r="C29" i="2"/>
  <c r="D29" i="2" a="1"/>
  <c r="D29" i="2" s="1"/>
  <c r="C30" i="2"/>
  <c r="D30" i="2" a="1"/>
  <c r="D30" i="2" s="1"/>
  <c r="C31" i="2"/>
  <c r="D31" i="2" a="1"/>
  <c r="D31" i="2" s="1"/>
  <c r="C32" i="2"/>
  <c r="D32" i="2" a="1"/>
  <c r="D32" i="2" s="1"/>
  <c r="C33" i="2"/>
  <c r="D33" i="2" a="1"/>
  <c r="D33" i="2" s="1"/>
  <c r="C34" i="2"/>
  <c r="D34" i="2" a="1"/>
  <c r="D34" i="2" s="1"/>
  <c r="C35" i="2"/>
  <c r="D35" i="2" a="1"/>
  <c r="D35" i="2" s="1"/>
  <c r="C36" i="2"/>
  <c r="D36" i="2" a="1"/>
  <c r="D36" i="2" s="1"/>
  <c r="C37" i="2"/>
  <c r="D37" i="2" a="1"/>
  <c r="D37" i="2" s="1"/>
  <c r="C38" i="2"/>
  <c r="D38" i="2" a="1"/>
  <c r="D38" i="2" s="1"/>
  <c r="C39" i="2"/>
  <c r="D39" i="2" a="1"/>
  <c r="D39" i="2" s="1"/>
  <c r="C40" i="2"/>
  <c r="D40" i="2" a="1"/>
  <c r="D40" i="2" s="1"/>
  <c r="C41" i="2"/>
  <c r="D41" i="2" a="1"/>
  <c r="D41" i="2" s="1"/>
  <c r="C42" i="2"/>
  <c r="D42" i="2" a="1"/>
  <c r="D42" i="2" s="1"/>
  <c r="C43" i="2"/>
  <c r="D43" i="2" a="1"/>
  <c r="D43" i="2" s="1"/>
  <c r="C44" i="2"/>
  <c r="D44" i="2" a="1"/>
  <c r="D44" i="2" s="1"/>
  <c r="C45" i="2"/>
  <c r="D45" i="2" a="1"/>
  <c r="D45" i="2" s="1"/>
  <c r="C46" i="2"/>
  <c r="D46" i="2" a="1"/>
  <c r="D46" i="2" s="1"/>
  <c r="C47" i="2"/>
  <c r="D47" i="2" a="1"/>
  <c r="D47" i="2" s="1"/>
  <c r="C48" i="2"/>
  <c r="D48" i="2" a="1"/>
  <c r="D48" i="2" s="1"/>
  <c r="C49" i="2"/>
  <c r="D49" i="2" a="1"/>
  <c r="D49" i="2" s="1"/>
  <c r="C50" i="2"/>
  <c r="D50" i="2" a="1"/>
  <c r="D50" i="2" s="1"/>
  <c r="C51" i="2"/>
  <c r="D51" i="2" a="1"/>
  <c r="D51" i="2" s="1"/>
  <c r="C52" i="2"/>
  <c r="D52" i="2" a="1"/>
  <c r="D52" i="2" s="1"/>
  <c r="C53" i="2"/>
  <c r="D53" i="2" a="1"/>
  <c r="D53" i="2" s="1"/>
  <c r="C54" i="2"/>
  <c r="D54" i="2" a="1"/>
  <c r="D54" i="2" s="1"/>
  <c r="C5" i="2"/>
  <c r="D5" i="2" a="1"/>
  <c r="D5" i="2" s="1"/>
  <c r="L74" i="21" l="1" a="1"/>
  <c r="L74" i="21" s="1"/>
  <c r="K74" i="21" a="1"/>
  <c r="K74" i="21" s="1"/>
  <c r="V11" i="35"/>
  <c r="S11" i="35"/>
  <c r="AA11" i="35"/>
  <c r="X11" i="35"/>
  <c r="W11" i="35"/>
  <c r="T11" i="35"/>
  <c r="R11" i="35"/>
  <c r="P5" i="35" a="1"/>
  <c r="P5" i="35" s="1"/>
  <c r="P5" i="34" a="1"/>
  <c r="P5" i="34" s="1"/>
  <c r="Y5" i="34" s="1"/>
  <c r="P52" i="35" a="1"/>
  <c r="P52" i="35" s="1"/>
  <c r="P52" i="34" a="1"/>
  <c r="P52" i="34" s="1"/>
  <c r="Y52" i="34" s="1"/>
  <c r="P36" i="35" a="1"/>
  <c r="P36" i="35" s="1"/>
  <c r="P36" i="34" a="1"/>
  <c r="P36" i="34" s="1"/>
  <c r="U36" i="34" s="1"/>
  <c r="O42" i="35" a="1"/>
  <c r="O42" i="35" s="1"/>
  <c r="O42" i="34" a="1"/>
  <c r="O42" i="34" s="1"/>
  <c r="T42" i="34" s="1"/>
  <c r="P19" i="35" a="1"/>
  <c r="P19" i="35" s="1"/>
  <c r="P19" i="34" a="1"/>
  <c r="P19" i="34" s="1"/>
  <c r="Y19" i="34" s="1"/>
  <c r="P45" i="35" a="1"/>
  <c r="P45" i="35" s="1"/>
  <c r="P45" i="34" a="1"/>
  <c r="P45" i="34" s="1"/>
  <c r="Y45" i="34" s="1"/>
  <c r="O19" i="35" a="1"/>
  <c r="O19" i="35" s="1"/>
  <c r="O19" i="34" a="1"/>
  <c r="O19" i="34" s="1"/>
  <c r="AA19" i="34" s="1"/>
  <c r="O31" i="35" a="1"/>
  <c r="O31" i="35" s="1"/>
  <c r="O31" i="34" a="1"/>
  <c r="O31" i="34" s="1"/>
  <c r="V31" i="34" s="1"/>
  <c r="P54" i="35" a="1"/>
  <c r="P54" i="35" s="1"/>
  <c r="P54" i="34" a="1"/>
  <c r="P54" i="34" s="1"/>
  <c r="U54" i="34" s="1"/>
  <c r="P8" i="35" a="1"/>
  <c r="P8" i="35" s="1"/>
  <c r="P8" i="34" a="1"/>
  <c r="P8" i="34" s="1"/>
  <c r="Y8" i="34" s="1"/>
  <c r="O20" i="35" a="1"/>
  <c r="O20" i="35" s="1"/>
  <c r="O20" i="34" a="1"/>
  <c r="O20" i="34" s="1"/>
  <c r="X20" i="34" s="1"/>
  <c r="O32" i="35" a="1"/>
  <c r="O32" i="35" s="1"/>
  <c r="O32" i="34" a="1"/>
  <c r="O32" i="34" s="1"/>
  <c r="X32" i="34" s="1"/>
  <c r="O44" i="35" a="1"/>
  <c r="O44" i="35" s="1"/>
  <c r="O44" i="34" a="1"/>
  <c r="O44" i="34" s="1"/>
  <c r="S44" i="34" s="1"/>
  <c r="O6" i="35" a="1"/>
  <c r="O6" i="35" s="1"/>
  <c r="O6" i="34" a="1"/>
  <c r="O6" i="34" s="1"/>
  <c r="P21" i="35" a="1"/>
  <c r="P21" i="35" s="1"/>
  <c r="P21" i="34" a="1"/>
  <c r="P21" i="34" s="1"/>
  <c r="Y21" i="34" s="1"/>
  <c r="P42" i="35" a="1"/>
  <c r="P42" i="35" s="1"/>
  <c r="P42" i="34" a="1"/>
  <c r="P42" i="34" s="1"/>
  <c r="U42" i="34" s="1"/>
  <c r="P25" i="35" a="1"/>
  <c r="P25" i="35" s="1"/>
  <c r="P25" i="34" a="1"/>
  <c r="P25" i="34" s="1"/>
  <c r="Y25" i="34" s="1"/>
  <c r="P49" i="35" a="1"/>
  <c r="P49" i="35" s="1"/>
  <c r="P49" i="34" a="1"/>
  <c r="P49" i="34" s="1"/>
  <c r="Y49" i="34" s="1"/>
  <c r="O30" i="35" a="1"/>
  <c r="O30" i="35" s="1"/>
  <c r="O30" i="34" a="1"/>
  <c r="O30" i="34" s="1"/>
  <c r="T30" i="34" s="1"/>
  <c r="O33" i="35" a="1"/>
  <c r="O33" i="35" s="1"/>
  <c r="O33" i="34" a="1"/>
  <c r="O33" i="34" s="1"/>
  <c r="V33" i="34" s="1"/>
  <c r="P22" i="35" a="1"/>
  <c r="P22" i="35" s="1"/>
  <c r="P22" i="34" a="1"/>
  <c r="P22" i="34" s="1"/>
  <c r="Y22" i="34" s="1"/>
  <c r="P44" i="35" a="1"/>
  <c r="P44" i="35" s="1"/>
  <c r="P44" i="34" a="1"/>
  <c r="P44" i="34" s="1"/>
  <c r="U44" i="34" s="1"/>
  <c r="P27" i="35" a="1"/>
  <c r="P27" i="35" s="1"/>
  <c r="P27" i="34" a="1"/>
  <c r="P27" i="34" s="1"/>
  <c r="Y27" i="34" s="1"/>
  <c r="P51" i="35" a="1"/>
  <c r="P51" i="35" s="1"/>
  <c r="P51" i="34" a="1"/>
  <c r="P51" i="34" s="1"/>
  <c r="Y51" i="34" s="1"/>
  <c r="P10" i="35" a="1"/>
  <c r="P10" i="35" s="1"/>
  <c r="P10" i="34" a="1"/>
  <c r="P10" i="34" s="1"/>
  <c r="Y10" i="34" s="1"/>
  <c r="O22" i="35" a="1"/>
  <c r="O22" i="35" s="1"/>
  <c r="O22" i="34" a="1"/>
  <c r="O22" i="34" s="1"/>
  <c r="O34" i="35" a="1"/>
  <c r="O34" i="35" s="1"/>
  <c r="O34" i="34" a="1"/>
  <c r="O34" i="34" s="1"/>
  <c r="V34" i="34" s="1"/>
  <c r="O46" i="35" a="1"/>
  <c r="O46" i="35" s="1"/>
  <c r="O46" i="34" a="1"/>
  <c r="O46" i="34" s="1"/>
  <c r="S46" i="34" s="1"/>
  <c r="O8" i="35" a="1"/>
  <c r="O8" i="35" s="1"/>
  <c r="O8" i="34" a="1"/>
  <c r="O8" i="34" s="1"/>
  <c r="S8" i="34" s="1"/>
  <c r="P23" i="35" a="1"/>
  <c r="P23" i="35" s="1"/>
  <c r="P23" i="34" a="1"/>
  <c r="P23" i="34" s="1"/>
  <c r="Y23" i="34" s="1"/>
  <c r="P46" i="35" a="1"/>
  <c r="P46" i="35" s="1"/>
  <c r="P46" i="34" a="1"/>
  <c r="P46" i="34" s="1"/>
  <c r="Y46" i="34" s="1"/>
  <c r="P29" i="35" a="1"/>
  <c r="P29" i="35" s="1"/>
  <c r="P29" i="34" a="1"/>
  <c r="P29" i="34" s="1"/>
  <c r="G74" i="21" a="1"/>
  <c r="G74" i="21" s="1"/>
  <c r="P9" i="35" a="1"/>
  <c r="P9" i="35" s="1"/>
  <c r="P9" i="34" a="1"/>
  <c r="P9" i="34" s="1"/>
  <c r="Y9" i="34" s="1"/>
  <c r="O45" i="35" a="1"/>
  <c r="O45" i="35" s="1"/>
  <c r="O45" i="34" a="1"/>
  <c r="O45" i="34" s="1"/>
  <c r="W45" i="34" s="1"/>
  <c r="O7" i="35" a="1"/>
  <c r="O7" i="35" s="1"/>
  <c r="O7" i="34" a="1"/>
  <c r="O7" i="34" s="1"/>
  <c r="S7" i="34" s="1"/>
  <c r="P11" i="35" a="1"/>
  <c r="P11" i="35" s="1"/>
  <c r="P11" i="34" a="1"/>
  <c r="P11" i="34" s="1"/>
  <c r="Y11" i="34" s="1"/>
  <c r="O23" i="35" a="1"/>
  <c r="O23" i="35" s="1"/>
  <c r="O23" i="34" a="1"/>
  <c r="O23" i="34" s="1"/>
  <c r="T23" i="34" s="1"/>
  <c r="O35" i="35" a="1"/>
  <c r="O35" i="35" s="1"/>
  <c r="O35" i="34" a="1"/>
  <c r="O35" i="34" s="1"/>
  <c r="W35" i="34" s="1"/>
  <c r="O47" i="35" a="1"/>
  <c r="O47" i="35" s="1"/>
  <c r="O47" i="34" a="1"/>
  <c r="O47" i="34" s="1"/>
  <c r="S47" i="34" s="1"/>
  <c r="O9" i="35" a="1"/>
  <c r="O9" i="35" s="1"/>
  <c r="O9" i="34" a="1"/>
  <c r="O9" i="34" s="1"/>
  <c r="X9" i="34" s="1"/>
  <c r="P24" i="35" a="1"/>
  <c r="P24" i="35" s="1"/>
  <c r="P24" i="34" a="1"/>
  <c r="P24" i="34" s="1"/>
  <c r="Y24" i="34" s="1"/>
  <c r="P48" i="35" a="1"/>
  <c r="P48" i="35" s="1"/>
  <c r="P48" i="34" a="1"/>
  <c r="P48" i="34" s="1"/>
  <c r="Y48" i="34" s="1"/>
  <c r="P31" i="35" a="1"/>
  <c r="P31" i="35" s="1"/>
  <c r="P31" i="34" a="1"/>
  <c r="P31" i="34" s="1"/>
  <c r="Y31" i="34" s="1"/>
  <c r="H74" i="21" a="1"/>
  <c r="H74" i="21" s="1"/>
  <c r="O43" i="35" a="1"/>
  <c r="O43" i="35" s="1"/>
  <c r="O43" i="34" a="1"/>
  <c r="O43" i="34" s="1"/>
  <c r="X43" i="34" s="1"/>
  <c r="P20" i="35" a="1"/>
  <c r="P20" i="35" s="1"/>
  <c r="P20" i="34" a="1"/>
  <c r="P20" i="34" s="1"/>
  <c r="Y20" i="34" s="1"/>
  <c r="P47" i="35" a="1"/>
  <c r="P47" i="35" s="1"/>
  <c r="P47" i="34" a="1"/>
  <c r="P47" i="34" s="1"/>
  <c r="U47" i="34" s="1"/>
  <c r="O29" i="35" a="1"/>
  <c r="O29" i="35" s="1"/>
  <c r="O29" i="34" a="1"/>
  <c r="O29" i="34" s="1"/>
  <c r="AA29" i="34" s="1"/>
  <c r="P43" i="35" a="1"/>
  <c r="P43" i="35" s="1"/>
  <c r="P43" i="34" a="1"/>
  <c r="P43" i="34" s="1"/>
  <c r="Y43" i="34" s="1"/>
  <c r="P40" i="35" a="1"/>
  <c r="P40" i="35" s="1"/>
  <c r="P40" i="34" a="1"/>
  <c r="P40" i="34" s="1"/>
  <c r="Y40" i="34" s="1"/>
  <c r="O12" i="35" a="1"/>
  <c r="O12" i="35" s="1"/>
  <c r="O12" i="34" a="1"/>
  <c r="O12" i="34" s="1"/>
  <c r="W12" i="34" s="1"/>
  <c r="O24" i="35" a="1"/>
  <c r="O24" i="35" s="1"/>
  <c r="O24" i="34" a="1"/>
  <c r="O24" i="34" s="1"/>
  <c r="X24" i="34" s="1"/>
  <c r="O25" i="35" a="1"/>
  <c r="O25" i="35" s="1"/>
  <c r="O25" i="34" a="1"/>
  <c r="O25" i="34" s="1"/>
  <c r="X25" i="34" s="1"/>
  <c r="P14" i="35" a="1"/>
  <c r="P14" i="35" s="1"/>
  <c r="P14" i="34" a="1"/>
  <c r="P14" i="34" s="1"/>
  <c r="Y14" i="34" s="1"/>
  <c r="O17" i="35" a="1"/>
  <c r="O17" i="35" s="1"/>
  <c r="O17" i="34" a="1"/>
  <c r="O17" i="34" s="1"/>
  <c r="V17" i="34" s="1"/>
  <c r="P6" i="35" a="1"/>
  <c r="P6" i="35" s="1"/>
  <c r="P6" i="34" a="1"/>
  <c r="P6" i="34" s="1"/>
  <c r="Y6" i="34" s="1"/>
  <c r="P38" i="35" a="1"/>
  <c r="P38" i="35" s="1"/>
  <c r="P38" i="34" a="1"/>
  <c r="P38" i="34" s="1"/>
  <c r="Y38" i="34" s="1"/>
  <c r="P12" i="35" a="1"/>
  <c r="P12" i="35" s="1"/>
  <c r="P12" i="34" a="1"/>
  <c r="P12" i="34" s="1"/>
  <c r="Y12" i="34" s="1"/>
  <c r="O10" i="35" a="1"/>
  <c r="O10" i="35" s="1"/>
  <c r="O10" i="34" a="1"/>
  <c r="O10" i="34" s="1"/>
  <c r="W10" i="34" s="1"/>
  <c r="O37" i="35" a="1"/>
  <c r="O37" i="35" s="1"/>
  <c r="O37" i="34" a="1"/>
  <c r="O37" i="34" s="1"/>
  <c r="AA37" i="34" s="1"/>
  <c r="P28" i="35" a="1"/>
  <c r="P28" i="35" s="1"/>
  <c r="P28" i="34" a="1"/>
  <c r="P28" i="34" s="1"/>
  <c r="Y28" i="34" s="1"/>
  <c r="O38" i="35" a="1"/>
  <c r="O38" i="35" s="1"/>
  <c r="O38" i="34" a="1"/>
  <c r="O38" i="34" s="1"/>
  <c r="P30" i="35" a="1"/>
  <c r="P30" i="35" s="1"/>
  <c r="P30" i="34" a="1"/>
  <c r="P30" i="34" s="1"/>
  <c r="Y30" i="34" s="1"/>
  <c r="O18" i="35" a="1"/>
  <c r="O18" i="35" s="1"/>
  <c r="O18" i="34" a="1"/>
  <c r="O18" i="34" s="1"/>
  <c r="T18" i="34" s="1"/>
  <c r="P53" i="35" a="1"/>
  <c r="P53" i="35" s="1"/>
  <c r="P53" i="34" a="1"/>
  <c r="P53" i="34" s="1"/>
  <c r="U53" i="34" s="1"/>
  <c r="O36" i="35" a="1"/>
  <c r="O36" i="35" s="1"/>
  <c r="O36" i="34" a="1"/>
  <c r="O36" i="34" s="1"/>
  <c r="T36" i="34" s="1"/>
  <c r="P50" i="35" a="1"/>
  <c r="P50" i="35" s="1"/>
  <c r="P50" i="34" a="1"/>
  <c r="P50" i="34" s="1"/>
  <c r="Y50" i="34" s="1"/>
  <c r="P33" i="35" a="1"/>
  <c r="P33" i="35" s="1"/>
  <c r="P33" i="34" a="1"/>
  <c r="P33" i="34" s="1"/>
  <c r="Y33" i="34" s="1"/>
  <c r="P13" i="35" a="1"/>
  <c r="P13" i="35" s="1"/>
  <c r="P13" i="34" a="1"/>
  <c r="P13" i="34" s="1"/>
  <c r="Y13" i="34" s="1"/>
  <c r="O49" i="35" a="1"/>
  <c r="O49" i="35" s="1"/>
  <c r="O49" i="34" a="1"/>
  <c r="O49" i="34" s="1"/>
  <c r="W49" i="34" s="1"/>
  <c r="O13" i="35" a="1"/>
  <c r="O13" i="35" s="1"/>
  <c r="O13" i="34" a="1"/>
  <c r="O13" i="34" s="1"/>
  <c r="AA13" i="34" s="1"/>
  <c r="P35" i="35" a="1"/>
  <c r="P35" i="35" s="1"/>
  <c r="P35" i="34" a="1"/>
  <c r="P35" i="34" s="1"/>
  <c r="U35" i="34" s="1"/>
  <c r="O14" i="35" a="1"/>
  <c r="O14" i="35" s="1"/>
  <c r="O14" i="34" a="1"/>
  <c r="O14" i="34" s="1"/>
  <c r="S14" i="34" s="1"/>
  <c r="O26" i="35" a="1"/>
  <c r="O26" i="35" s="1"/>
  <c r="O26" i="34" a="1"/>
  <c r="O26" i="34" s="1"/>
  <c r="T26" i="34" s="1"/>
  <c r="O50" i="35" a="1"/>
  <c r="O50" i="35" s="1"/>
  <c r="O50" i="34" a="1"/>
  <c r="O50" i="34" s="1"/>
  <c r="AA50" i="34" s="1"/>
  <c r="P15" i="35" a="1"/>
  <c r="P15" i="35" s="1"/>
  <c r="P15" i="34" a="1"/>
  <c r="P15" i="34" s="1"/>
  <c r="Y15" i="34" s="1"/>
  <c r="P37" i="35" a="1"/>
  <c r="P37" i="35" s="1"/>
  <c r="P37" i="34" a="1"/>
  <c r="P37" i="34" s="1"/>
  <c r="Y37" i="34" s="1"/>
  <c r="O41" i="35" a="1"/>
  <c r="O41" i="35" s="1"/>
  <c r="O41" i="34" a="1"/>
  <c r="O41" i="34" s="1"/>
  <c r="W41" i="34" s="1"/>
  <c r="P18" i="35" a="1"/>
  <c r="P18" i="35" s="1"/>
  <c r="P18" i="34" a="1"/>
  <c r="P18" i="34" s="1"/>
  <c r="Y18" i="34" s="1"/>
  <c r="P7" i="35" a="1"/>
  <c r="P7" i="35" s="1"/>
  <c r="P7" i="34" a="1"/>
  <c r="P7" i="34" s="1"/>
  <c r="O21" i="35" a="1"/>
  <c r="O21" i="35" s="1"/>
  <c r="O21" i="34" a="1"/>
  <c r="O21" i="34" s="1"/>
  <c r="AA21" i="34" s="1"/>
  <c r="O48" i="35" a="1"/>
  <c r="O48" i="35" s="1"/>
  <c r="O48" i="34" a="1"/>
  <c r="O48" i="34" s="1"/>
  <c r="W48" i="34" s="1"/>
  <c r="P26" i="35" a="1"/>
  <c r="P26" i="35" s="1"/>
  <c r="P26" i="34" a="1"/>
  <c r="P26" i="34" s="1"/>
  <c r="Y26" i="34" s="1"/>
  <c r="O53" i="35" a="1"/>
  <c r="O53" i="35" s="1"/>
  <c r="O53" i="34" a="1"/>
  <c r="O53" i="34" s="1"/>
  <c r="S53" i="34" s="1"/>
  <c r="O15" i="35" a="1"/>
  <c r="O15" i="35" s="1"/>
  <c r="O15" i="34" a="1"/>
  <c r="O15" i="34" s="1"/>
  <c r="AA15" i="34" s="1"/>
  <c r="O27" i="35" a="1"/>
  <c r="O27" i="35" s="1"/>
  <c r="O27" i="34" a="1"/>
  <c r="O27" i="34" s="1"/>
  <c r="O39" i="35" a="1"/>
  <c r="O39" i="35" s="1"/>
  <c r="O39" i="34" a="1"/>
  <c r="O39" i="34" s="1"/>
  <c r="X39" i="34" s="1"/>
  <c r="O51" i="35" a="1"/>
  <c r="O51" i="35" s="1"/>
  <c r="O51" i="34" a="1"/>
  <c r="O51" i="34" s="1"/>
  <c r="T51" i="34" s="1"/>
  <c r="P16" i="35" a="1"/>
  <c r="P16" i="35" s="1"/>
  <c r="P16" i="34" a="1"/>
  <c r="P16" i="34" s="1"/>
  <c r="Y16" i="34" s="1"/>
  <c r="P32" i="35" a="1"/>
  <c r="P32" i="35" s="1"/>
  <c r="P32" i="34" a="1"/>
  <c r="P32" i="34" s="1"/>
  <c r="Y32" i="34" s="1"/>
  <c r="P39" i="35" a="1"/>
  <c r="P39" i="35" s="1"/>
  <c r="P39" i="34" a="1"/>
  <c r="P39" i="34" s="1"/>
  <c r="U39" i="34" s="1"/>
  <c r="O54" i="35" a="1"/>
  <c r="O54" i="35" s="1"/>
  <c r="O54" i="34" a="1"/>
  <c r="O54" i="34" s="1"/>
  <c r="O16" i="35" a="1"/>
  <c r="O16" i="35" s="1"/>
  <c r="O16" i="34" a="1"/>
  <c r="O16" i="34" s="1"/>
  <c r="V16" i="34" s="1"/>
  <c r="O28" i="35" a="1"/>
  <c r="O28" i="35" s="1"/>
  <c r="O28" i="34" a="1"/>
  <c r="O28" i="34" s="1"/>
  <c r="T28" i="34" s="1"/>
  <c r="O40" i="35" a="1"/>
  <c r="O40" i="35" s="1"/>
  <c r="O40" i="34" a="1"/>
  <c r="O40" i="34" s="1"/>
  <c r="AA40" i="34" s="1"/>
  <c r="O52" i="35" a="1"/>
  <c r="O52" i="35" s="1"/>
  <c r="O52" i="34" a="1"/>
  <c r="O52" i="34" s="1"/>
  <c r="S52" i="34" s="1"/>
  <c r="P17" i="35" a="1"/>
  <c r="P17" i="35" s="1"/>
  <c r="P17" i="34" a="1"/>
  <c r="P17" i="34" s="1"/>
  <c r="Y17" i="34" s="1"/>
  <c r="P34" i="35" a="1"/>
  <c r="P34" i="35" s="1"/>
  <c r="P34" i="34" a="1"/>
  <c r="P34" i="34" s="1"/>
  <c r="Y34" i="34" s="1"/>
  <c r="O5" i="35" a="1"/>
  <c r="O5" i="35" s="1"/>
  <c r="O5" i="34" a="1"/>
  <c r="O5" i="34" s="1"/>
  <c r="R5" i="34" s="1"/>
  <c r="P41" i="35" a="1"/>
  <c r="P41" i="35" s="1"/>
  <c r="P41" i="34" a="1"/>
  <c r="P41" i="34" s="1"/>
  <c r="Y41" i="34" s="1"/>
  <c r="R26" i="33"/>
  <c r="S26" i="33"/>
  <c r="T26" i="33"/>
  <c r="W26" i="33"/>
  <c r="X26" i="33"/>
  <c r="V26" i="33"/>
  <c r="AA26" i="33"/>
  <c r="R44" i="33"/>
  <c r="S44" i="33"/>
  <c r="T44" i="33"/>
  <c r="W44" i="33"/>
  <c r="X44" i="33"/>
  <c r="V44" i="33"/>
  <c r="AA44" i="33"/>
  <c r="R7" i="33"/>
  <c r="S7" i="33"/>
  <c r="T7" i="33"/>
  <c r="V7" i="33"/>
  <c r="X7" i="33"/>
  <c r="W7" i="33"/>
  <c r="AA7" i="33"/>
  <c r="U35" i="33"/>
  <c r="Y35" i="33"/>
  <c r="V34" i="33"/>
  <c r="W34" i="33"/>
  <c r="X34" i="33"/>
  <c r="T34" i="33"/>
  <c r="S34" i="33"/>
  <c r="R34" i="33"/>
  <c r="AA34" i="33"/>
  <c r="AA15" i="33"/>
  <c r="V15" i="33"/>
  <c r="W15" i="33"/>
  <c r="X15" i="33"/>
  <c r="R15" i="33"/>
  <c r="S15" i="33"/>
  <c r="T15" i="33"/>
  <c r="V33" i="33"/>
  <c r="W33" i="33"/>
  <c r="X33" i="33"/>
  <c r="R33" i="33"/>
  <c r="S33" i="33"/>
  <c r="T33" i="33"/>
  <c r="AA33" i="33"/>
  <c r="V51" i="33"/>
  <c r="W51" i="33"/>
  <c r="X51" i="33"/>
  <c r="R51" i="33"/>
  <c r="S51" i="33"/>
  <c r="T51" i="33"/>
  <c r="AA51" i="33"/>
  <c r="U54" i="33"/>
  <c r="Y54" i="33"/>
  <c r="U15" i="33"/>
  <c r="Y15" i="33"/>
  <c r="U33" i="33"/>
  <c r="Y33" i="33"/>
  <c r="U51" i="33"/>
  <c r="Y51" i="33"/>
  <c r="U5" i="33"/>
  <c r="Y5" i="33"/>
  <c r="V6" i="33"/>
  <c r="W6" i="33"/>
  <c r="X6" i="33"/>
  <c r="R6" i="33"/>
  <c r="S6" i="33"/>
  <c r="T6" i="33"/>
  <c r="AA6" i="33"/>
  <c r="W5" i="33"/>
  <c r="S5" i="33"/>
  <c r="T5" i="33"/>
  <c r="V5" i="33"/>
  <c r="X5" i="33"/>
  <c r="R5" i="33"/>
  <c r="AA5" i="33"/>
  <c r="U17" i="33"/>
  <c r="Y17" i="33"/>
  <c r="Y22" i="33"/>
  <c r="U22" i="33"/>
  <c r="U19" i="33"/>
  <c r="Y19" i="33"/>
  <c r="Y20" i="33"/>
  <c r="U20" i="33"/>
  <c r="V54" i="33"/>
  <c r="W54" i="33"/>
  <c r="X54" i="33"/>
  <c r="R54" i="33"/>
  <c r="S54" i="33"/>
  <c r="T54" i="33"/>
  <c r="AA54" i="33"/>
  <c r="V36" i="33"/>
  <c r="W36" i="33"/>
  <c r="X36" i="33"/>
  <c r="S36" i="33"/>
  <c r="T36" i="33"/>
  <c r="R36" i="33"/>
  <c r="AA36" i="33"/>
  <c r="V22" i="33"/>
  <c r="W22" i="33"/>
  <c r="X22" i="33"/>
  <c r="T22" i="33"/>
  <c r="R22" i="33"/>
  <c r="S22" i="33"/>
  <c r="AA22" i="33"/>
  <c r="U36" i="33"/>
  <c r="Y36" i="33"/>
  <c r="Y8" i="33"/>
  <c r="U8" i="33"/>
  <c r="R29" i="33"/>
  <c r="S29" i="33"/>
  <c r="T29" i="33"/>
  <c r="W29" i="33"/>
  <c r="V29" i="33"/>
  <c r="X29" i="33"/>
  <c r="AA29" i="33"/>
  <c r="R47" i="33"/>
  <c r="S47" i="33"/>
  <c r="T47" i="33"/>
  <c r="W47" i="33"/>
  <c r="V47" i="33"/>
  <c r="X47" i="33"/>
  <c r="AA47" i="33"/>
  <c r="V10" i="33"/>
  <c r="W10" i="33"/>
  <c r="X10" i="33"/>
  <c r="T10" i="33"/>
  <c r="S10" i="33"/>
  <c r="R10" i="33"/>
  <c r="AA10" i="33"/>
  <c r="Y38" i="33"/>
  <c r="U38" i="33"/>
  <c r="V18" i="33"/>
  <c r="W18" i="33"/>
  <c r="X18" i="33"/>
  <c r="S18" i="33"/>
  <c r="R18" i="33"/>
  <c r="T18" i="33"/>
  <c r="AA18" i="33"/>
  <c r="R8" i="33"/>
  <c r="S8" i="33"/>
  <c r="T8" i="33"/>
  <c r="W8" i="33"/>
  <c r="X8" i="33"/>
  <c r="V8" i="33"/>
  <c r="AA8" i="33"/>
  <c r="U18" i="33"/>
  <c r="Y18" i="33"/>
  <c r="R25" i="33"/>
  <c r="V25" i="33"/>
  <c r="S25" i="33"/>
  <c r="T25" i="33"/>
  <c r="W25" i="33"/>
  <c r="X25" i="33"/>
  <c r="AA25" i="33"/>
  <c r="R14" i="33"/>
  <c r="S14" i="33"/>
  <c r="T14" i="33"/>
  <c r="W14" i="33"/>
  <c r="X14" i="33"/>
  <c r="V14" i="33"/>
  <c r="AA14" i="33"/>
  <c r="R32" i="33"/>
  <c r="S32" i="33"/>
  <c r="T32" i="33"/>
  <c r="W32" i="33"/>
  <c r="X32" i="33"/>
  <c r="V32" i="33"/>
  <c r="AA32" i="33"/>
  <c r="R50" i="33"/>
  <c r="S50" i="33"/>
  <c r="T50" i="33"/>
  <c r="W50" i="33"/>
  <c r="X50" i="33"/>
  <c r="V50" i="33"/>
  <c r="AA50" i="33"/>
  <c r="Y34" i="33"/>
  <c r="U34" i="33"/>
  <c r="U23" i="33"/>
  <c r="Y23" i="33"/>
  <c r="U41" i="33"/>
  <c r="Y41" i="33"/>
  <c r="V21" i="33"/>
  <c r="W21" i="33"/>
  <c r="X21" i="33"/>
  <c r="R21" i="33"/>
  <c r="S21" i="33"/>
  <c r="T21" i="33"/>
  <c r="AA21" i="33"/>
  <c r="V39" i="33"/>
  <c r="W39" i="33"/>
  <c r="X39" i="33"/>
  <c r="R39" i="33"/>
  <c r="S39" i="33"/>
  <c r="T39" i="33"/>
  <c r="AA39" i="33"/>
  <c r="V40" i="33"/>
  <c r="W40" i="33"/>
  <c r="X40" i="33"/>
  <c r="R40" i="33"/>
  <c r="S40" i="33"/>
  <c r="T40" i="33"/>
  <c r="AA40" i="33"/>
  <c r="W11" i="34"/>
  <c r="V11" i="34"/>
  <c r="AA11" i="34"/>
  <c r="X11" i="34"/>
  <c r="R11" i="34"/>
  <c r="S11" i="34"/>
  <c r="T11" i="34"/>
  <c r="U21" i="33"/>
  <c r="Y21" i="33"/>
  <c r="U39" i="33"/>
  <c r="Y39" i="33"/>
  <c r="U37" i="33"/>
  <c r="Y37" i="33"/>
  <c r="U12" i="33"/>
  <c r="Y12" i="33"/>
  <c r="U7" i="33"/>
  <c r="Y7" i="33"/>
  <c r="R11" i="33"/>
  <c r="S11" i="33"/>
  <c r="T11" i="33"/>
  <c r="W11" i="33"/>
  <c r="V11" i="33"/>
  <c r="X11" i="33"/>
  <c r="AA11" i="33"/>
  <c r="R43" i="33"/>
  <c r="S43" i="33"/>
  <c r="V43" i="33"/>
  <c r="T43" i="33"/>
  <c r="W43" i="33"/>
  <c r="X43" i="33"/>
  <c r="AA43" i="33"/>
  <c r="U25" i="33"/>
  <c r="Y25" i="33"/>
  <c r="R35" i="33"/>
  <c r="S35" i="33"/>
  <c r="T35" i="33"/>
  <c r="W35" i="33"/>
  <c r="V35" i="33"/>
  <c r="X35" i="33"/>
  <c r="AA35" i="33"/>
  <c r="Y46" i="33"/>
  <c r="U46" i="33"/>
  <c r="Y10" i="33"/>
  <c r="U10" i="33"/>
  <c r="V42" i="33"/>
  <c r="W42" i="33"/>
  <c r="X42" i="33"/>
  <c r="S42" i="33"/>
  <c r="R42" i="33"/>
  <c r="T42" i="33"/>
  <c r="AA42" i="33"/>
  <c r="U11" i="33"/>
  <c r="Y11" i="33"/>
  <c r="U24" i="33"/>
  <c r="Y24" i="33"/>
  <c r="U42" i="33"/>
  <c r="Y42" i="33"/>
  <c r="Y16" i="33"/>
  <c r="U16" i="33"/>
  <c r="R17" i="33"/>
  <c r="S17" i="33"/>
  <c r="T17" i="33"/>
  <c r="W17" i="33"/>
  <c r="V17" i="33"/>
  <c r="X17" i="33"/>
  <c r="AA17" i="33"/>
  <c r="R19" i="33"/>
  <c r="S19" i="33"/>
  <c r="T19" i="33"/>
  <c r="V19" i="33"/>
  <c r="X19" i="33"/>
  <c r="W19" i="33"/>
  <c r="AA19" i="33"/>
  <c r="U49" i="33"/>
  <c r="Y49" i="33"/>
  <c r="V16" i="33"/>
  <c r="W16" i="33"/>
  <c r="X16" i="33"/>
  <c r="R16" i="33"/>
  <c r="T16" i="33"/>
  <c r="S16" i="33"/>
  <c r="AA16" i="33"/>
  <c r="Y26" i="33"/>
  <c r="U26" i="33"/>
  <c r="Y44" i="33"/>
  <c r="U44" i="33"/>
  <c r="V24" i="33"/>
  <c r="W24" i="33"/>
  <c r="X24" i="33"/>
  <c r="T24" i="33"/>
  <c r="S24" i="33"/>
  <c r="R24" i="33"/>
  <c r="AA24" i="33"/>
  <c r="U13" i="33"/>
  <c r="Y13" i="33"/>
  <c r="V9" i="33"/>
  <c r="W9" i="33"/>
  <c r="X9" i="33"/>
  <c r="R9" i="33"/>
  <c r="S9" i="33"/>
  <c r="T9" i="33"/>
  <c r="AA9" i="33"/>
  <c r="R20" i="33"/>
  <c r="S20" i="33"/>
  <c r="T20" i="33"/>
  <c r="W20" i="33"/>
  <c r="X20" i="33"/>
  <c r="V20" i="33"/>
  <c r="AA20" i="33"/>
  <c r="R38" i="33"/>
  <c r="S38" i="33"/>
  <c r="T38" i="33"/>
  <c r="W38" i="33"/>
  <c r="X38" i="33"/>
  <c r="V38" i="33"/>
  <c r="AA38" i="33"/>
  <c r="R37" i="33"/>
  <c r="S37" i="33"/>
  <c r="T37" i="33"/>
  <c r="V37" i="33"/>
  <c r="X37" i="33"/>
  <c r="W37" i="33"/>
  <c r="AA37" i="33"/>
  <c r="U6" i="33"/>
  <c r="Y6" i="33"/>
  <c r="U29" i="33"/>
  <c r="Y29" i="33"/>
  <c r="U47" i="33"/>
  <c r="Y47" i="33"/>
  <c r="V13" i="33"/>
  <c r="R13" i="33"/>
  <c r="S13" i="33"/>
  <c r="T13" i="33"/>
  <c r="X13" i="33"/>
  <c r="W13" i="33"/>
  <c r="AA13" i="33"/>
  <c r="V27" i="33"/>
  <c r="W27" i="33"/>
  <c r="X27" i="33"/>
  <c r="R27" i="33"/>
  <c r="S27" i="33"/>
  <c r="T27" i="33"/>
  <c r="AA27" i="33"/>
  <c r="V45" i="33"/>
  <c r="W45" i="33"/>
  <c r="X45" i="33"/>
  <c r="R45" i="33"/>
  <c r="S45" i="33"/>
  <c r="T45" i="33"/>
  <c r="AA45" i="33"/>
  <c r="Y28" i="33"/>
  <c r="U28" i="33"/>
  <c r="V28" i="33"/>
  <c r="W28" i="33"/>
  <c r="X28" i="33"/>
  <c r="S28" i="33"/>
  <c r="R28" i="33"/>
  <c r="T28" i="33"/>
  <c r="AA28" i="33"/>
  <c r="U27" i="33"/>
  <c r="Y27" i="33"/>
  <c r="U45" i="33"/>
  <c r="Y45" i="33"/>
  <c r="U43" i="33"/>
  <c r="Y43" i="33"/>
  <c r="U31" i="33"/>
  <c r="Y31" i="33"/>
  <c r="U9" i="33"/>
  <c r="Y9" i="33"/>
  <c r="R31" i="33"/>
  <c r="S31" i="33"/>
  <c r="V31" i="33"/>
  <c r="T31" i="33"/>
  <c r="W31" i="33"/>
  <c r="X31" i="33"/>
  <c r="AA31" i="33"/>
  <c r="R49" i="33"/>
  <c r="S49" i="33"/>
  <c r="T49" i="33"/>
  <c r="V49" i="33"/>
  <c r="W49" i="33"/>
  <c r="X49" i="33"/>
  <c r="AA49" i="33"/>
  <c r="U53" i="33"/>
  <c r="Y53" i="33"/>
  <c r="V46" i="33"/>
  <c r="W46" i="33"/>
  <c r="X46" i="33"/>
  <c r="S46" i="33"/>
  <c r="T46" i="33"/>
  <c r="R46" i="33"/>
  <c r="AA46" i="33"/>
  <c r="Y50" i="33"/>
  <c r="U50" i="33"/>
  <c r="V52" i="33"/>
  <c r="W52" i="33"/>
  <c r="X52" i="33"/>
  <c r="S52" i="33"/>
  <c r="R52" i="33"/>
  <c r="T52" i="33"/>
  <c r="AA52" i="33"/>
  <c r="V12" i="33"/>
  <c r="W12" i="33"/>
  <c r="X12" i="33"/>
  <c r="S12" i="33"/>
  <c r="T12" i="33"/>
  <c r="R12" i="33"/>
  <c r="AA12" i="33"/>
  <c r="Y52" i="33"/>
  <c r="U52" i="33"/>
  <c r="Y40" i="33"/>
  <c r="U40" i="33"/>
  <c r="R23" i="33"/>
  <c r="S23" i="33"/>
  <c r="T23" i="33"/>
  <c r="W23" i="33"/>
  <c r="V23" i="33"/>
  <c r="X23" i="33"/>
  <c r="AA23" i="33"/>
  <c r="R41" i="33"/>
  <c r="S41" i="33"/>
  <c r="T41" i="33"/>
  <c r="W41" i="33"/>
  <c r="V41" i="33"/>
  <c r="X41" i="33"/>
  <c r="AA41" i="33"/>
  <c r="Y14" i="33"/>
  <c r="U14" i="33"/>
  <c r="Y32" i="33"/>
  <c r="U32" i="33"/>
  <c r="V30" i="33"/>
  <c r="W30" i="33"/>
  <c r="X30" i="33"/>
  <c r="R30" i="33"/>
  <c r="S30" i="33"/>
  <c r="T30" i="33"/>
  <c r="AA30" i="33"/>
  <c r="V48" i="33"/>
  <c r="W48" i="33"/>
  <c r="X48" i="33"/>
  <c r="T48" i="33"/>
  <c r="R48" i="33"/>
  <c r="S48" i="33"/>
  <c r="AA48" i="33"/>
  <c r="R53" i="33"/>
  <c r="S53" i="33"/>
  <c r="T53" i="33"/>
  <c r="V53" i="33"/>
  <c r="W53" i="33"/>
  <c r="X53" i="33"/>
  <c r="AA53" i="33"/>
  <c r="U30" i="33"/>
  <c r="Y30" i="33"/>
  <c r="U48" i="33"/>
  <c r="Y48" i="33"/>
  <c r="C78" i="13"/>
  <c r="D78" i="13" s="1" a="1"/>
  <c r="D78" i="13" s="1"/>
  <c r="AG55" i="26"/>
  <c r="AF55" i="26"/>
  <c r="I23" i="21" a="1"/>
  <c r="I23" i="21" s="1"/>
  <c r="I84" i="21" a="1"/>
  <c r="I84" i="21" s="1"/>
  <c r="I45" i="21" a="1"/>
  <c r="I45" i="21" s="1"/>
  <c r="J42" i="21" a="1"/>
  <c r="J42" i="21" s="1"/>
  <c r="L67" i="21" a="1"/>
  <c r="L67" i="21" s="1"/>
  <c r="J67" i="21" a="1"/>
  <c r="J67" i="21" s="1"/>
  <c r="I21" i="21" a="1"/>
  <c r="I21" i="21" s="1"/>
  <c r="J21" i="21" a="1"/>
  <c r="J21" i="21" s="1"/>
  <c r="D26" i="30" a="1"/>
  <c r="D26" i="30" s="1"/>
  <c r="L26" i="30" a="1"/>
  <c r="L26" i="30" s="1"/>
  <c r="M26" i="30" a="1"/>
  <c r="M26" i="30" s="1"/>
  <c r="G26" i="30" a="1"/>
  <c r="G26" i="30" s="1"/>
  <c r="H26" i="30" a="1"/>
  <c r="H26" i="30" s="1"/>
  <c r="I26" i="30" a="1"/>
  <c r="I26" i="30" s="1"/>
  <c r="J26" i="30" a="1"/>
  <c r="J26" i="30" s="1"/>
  <c r="K26" i="30" a="1"/>
  <c r="K26" i="30" s="1"/>
  <c r="D75" i="30" a="1"/>
  <c r="D75" i="30" s="1"/>
  <c r="H75" i="30" a="1"/>
  <c r="H75" i="30" s="1"/>
  <c r="I75" i="30" a="1"/>
  <c r="I75" i="30" s="1"/>
  <c r="J75" i="30" a="1"/>
  <c r="J75" i="30" s="1"/>
  <c r="K75" i="30" a="1"/>
  <c r="K75" i="30" s="1"/>
  <c r="L75" i="30" a="1"/>
  <c r="L75" i="30" s="1"/>
  <c r="M75" i="30" a="1"/>
  <c r="M75" i="30" s="1"/>
  <c r="G75" i="30" a="1"/>
  <c r="G75" i="30" s="1"/>
  <c r="D41" i="30" a="1"/>
  <c r="D41" i="30" s="1"/>
  <c r="G41" i="30" a="1"/>
  <c r="G41" i="30" s="1"/>
  <c r="H41" i="30" a="1"/>
  <c r="H41" i="30" s="1"/>
  <c r="I41" i="30" a="1"/>
  <c r="I41" i="30" s="1"/>
  <c r="J41" i="30" a="1"/>
  <c r="J41" i="30" s="1"/>
  <c r="K41" i="30" a="1"/>
  <c r="K41" i="30" s="1"/>
  <c r="L41" i="30" a="1"/>
  <c r="L41" i="30" s="1"/>
  <c r="M41" i="30" a="1"/>
  <c r="M41" i="30" s="1"/>
  <c r="D43" i="30" a="1"/>
  <c r="D43" i="30" s="1"/>
  <c r="K43" i="30" a="1"/>
  <c r="K43" i="30" s="1"/>
  <c r="L43" i="30" a="1"/>
  <c r="L43" i="30" s="1"/>
  <c r="M43" i="30" a="1"/>
  <c r="M43" i="30" s="1"/>
  <c r="G43" i="30" a="1"/>
  <c r="G43" i="30" s="1"/>
  <c r="H43" i="30" a="1"/>
  <c r="H43" i="30" s="1"/>
  <c r="J43" i="30" a="1"/>
  <c r="J43" i="30" s="1"/>
  <c r="I43" i="30" a="1"/>
  <c r="I43" i="30" s="1"/>
  <c r="D21" i="30" a="1"/>
  <c r="D21" i="30" s="1"/>
  <c r="M21" i="30" a="1"/>
  <c r="M21" i="30" s="1"/>
  <c r="G21" i="30" a="1"/>
  <c r="G21" i="30" s="1"/>
  <c r="H21" i="30" a="1"/>
  <c r="H21" i="30" s="1"/>
  <c r="I21" i="30" a="1"/>
  <c r="I21" i="30" s="1"/>
  <c r="J21" i="30" a="1"/>
  <c r="J21" i="30" s="1"/>
  <c r="K21" i="30" a="1"/>
  <c r="K21" i="30" s="1"/>
  <c r="L21" i="30" a="1"/>
  <c r="L21" i="30" s="1"/>
  <c r="D82" i="30" a="1"/>
  <c r="D82" i="30" s="1"/>
  <c r="H82" i="30" a="1"/>
  <c r="H82" i="30" s="1"/>
  <c r="I82" i="30" a="1"/>
  <c r="I82" i="30" s="1"/>
  <c r="J82" i="30" a="1"/>
  <c r="J82" i="30" s="1"/>
  <c r="K82" i="30" a="1"/>
  <c r="K82" i="30" s="1"/>
  <c r="L82" i="30" a="1"/>
  <c r="L82" i="30" s="1"/>
  <c r="G82" i="30" a="1"/>
  <c r="G82" i="30" s="1"/>
  <c r="M82" i="30" a="1"/>
  <c r="M82" i="30" s="1"/>
  <c r="D72" i="30" a="1"/>
  <c r="D72" i="30" s="1"/>
  <c r="K72" i="30" a="1"/>
  <c r="K72" i="30" s="1"/>
  <c r="L72" i="30" a="1"/>
  <c r="L72" i="30" s="1"/>
  <c r="M72" i="30" a="1"/>
  <c r="M72" i="30" s="1"/>
  <c r="G72" i="30" a="1"/>
  <c r="G72" i="30" s="1"/>
  <c r="H72" i="30" a="1"/>
  <c r="H72" i="30" s="1"/>
  <c r="I72" i="30" a="1"/>
  <c r="I72" i="30" s="1"/>
  <c r="J72" i="30" a="1"/>
  <c r="J72" i="30" s="1"/>
  <c r="D38" i="30" a="1"/>
  <c r="D38" i="30" s="1"/>
  <c r="K38" i="30" a="1"/>
  <c r="K38" i="30" s="1"/>
  <c r="L38" i="30" a="1"/>
  <c r="L38" i="30" s="1"/>
  <c r="M38" i="30" a="1"/>
  <c r="M38" i="30" s="1"/>
  <c r="G38" i="30" a="1"/>
  <c r="G38" i="30" s="1"/>
  <c r="H38" i="30" a="1"/>
  <c r="H38" i="30" s="1"/>
  <c r="I38" i="30" a="1"/>
  <c r="I38" i="30" s="1"/>
  <c r="J38" i="30" a="1"/>
  <c r="J38" i="30" s="1"/>
  <c r="D53" i="30" a="1"/>
  <c r="D53" i="30" s="1"/>
  <c r="M53" i="30" a="1"/>
  <c r="M53" i="30" s="1"/>
  <c r="G53" i="30" a="1"/>
  <c r="G53" i="30" s="1"/>
  <c r="H53" i="30" a="1"/>
  <c r="H53" i="30" s="1"/>
  <c r="I53" i="30" a="1"/>
  <c r="I53" i="30" s="1"/>
  <c r="K53" i="30" a="1"/>
  <c r="K53" i="30" s="1"/>
  <c r="L53" i="30" a="1"/>
  <c r="L53" i="30" s="1"/>
  <c r="J53" i="30" a="1"/>
  <c r="J53" i="30" s="1"/>
  <c r="D55" i="30" a="1"/>
  <c r="D55" i="30" s="1"/>
  <c r="G55" i="30" a="1"/>
  <c r="G55" i="30" s="1"/>
  <c r="H55" i="30" a="1"/>
  <c r="H55" i="30" s="1"/>
  <c r="I55" i="30" a="1"/>
  <c r="I55" i="30" s="1"/>
  <c r="J55" i="30" a="1"/>
  <c r="J55" i="30" s="1"/>
  <c r="K55" i="30" a="1"/>
  <c r="K55" i="30" s="1"/>
  <c r="L55" i="30" a="1"/>
  <c r="L55" i="30" s="1"/>
  <c r="M55" i="30" a="1"/>
  <c r="M55" i="30" s="1"/>
  <c r="D33" i="30" a="1"/>
  <c r="D33" i="30" s="1"/>
  <c r="J33" i="30" a="1"/>
  <c r="J33" i="30" s="1"/>
  <c r="I33" i="30" a="1"/>
  <c r="I33" i="30" s="1"/>
  <c r="K33" i="30" a="1"/>
  <c r="K33" i="30" s="1"/>
  <c r="L33" i="30" a="1"/>
  <c r="L33" i="30" s="1"/>
  <c r="M33" i="30" a="1"/>
  <c r="M33" i="30" s="1"/>
  <c r="H33" i="30" a="1"/>
  <c r="H33" i="30" s="1"/>
  <c r="G33" i="30" a="1"/>
  <c r="G33" i="30" s="1"/>
  <c r="D13" i="30" a="1"/>
  <c r="D13" i="30" s="1"/>
  <c r="H13" i="30" a="1"/>
  <c r="H13" i="30" s="1"/>
  <c r="I13" i="30" a="1"/>
  <c r="I13" i="30" s="1"/>
  <c r="J13" i="30" a="1"/>
  <c r="J13" i="30" s="1"/>
  <c r="K13" i="30" a="1"/>
  <c r="K13" i="30" s="1"/>
  <c r="L13" i="30" a="1"/>
  <c r="L13" i="30" s="1"/>
  <c r="G13" i="30" a="1"/>
  <c r="G13" i="30" s="1"/>
  <c r="M13" i="30" a="1"/>
  <c r="M13" i="30" s="1"/>
  <c r="D84" i="30" a="1"/>
  <c r="D84" i="30" s="1"/>
  <c r="J84" i="30" a="1"/>
  <c r="J84" i="30" s="1"/>
  <c r="K84" i="30" a="1"/>
  <c r="K84" i="30" s="1"/>
  <c r="L84" i="30" a="1"/>
  <c r="L84" i="30" s="1"/>
  <c r="M84" i="30" a="1"/>
  <c r="M84" i="30" s="1"/>
  <c r="G84" i="30" a="1"/>
  <c r="G84" i="30" s="1"/>
  <c r="H84" i="30" a="1"/>
  <c r="H84" i="30" s="1"/>
  <c r="I84" i="30" a="1"/>
  <c r="I84" i="30" s="1"/>
  <c r="D50" i="30" a="1"/>
  <c r="D50" i="30" s="1"/>
  <c r="G50" i="30" a="1"/>
  <c r="G50" i="30" s="1"/>
  <c r="H50" i="30" a="1"/>
  <c r="H50" i="30" s="1"/>
  <c r="I50" i="30" a="1"/>
  <c r="I50" i="30" s="1"/>
  <c r="J50" i="30" a="1"/>
  <c r="J50" i="30" s="1"/>
  <c r="K50" i="30" a="1"/>
  <c r="K50" i="30" s="1"/>
  <c r="L50" i="30" a="1"/>
  <c r="L50" i="30" s="1"/>
  <c r="M50" i="30" a="1"/>
  <c r="M50" i="30" s="1"/>
  <c r="D8" i="30" a="1"/>
  <c r="D8" i="30" s="1"/>
  <c r="I8" i="30" a="1"/>
  <c r="I8" i="30" s="1"/>
  <c r="J8" i="30" a="1"/>
  <c r="J8" i="30" s="1"/>
  <c r="K8" i="30" a="1"/>
  <c r="K8" i="30" s="1"/>
  <c r="L8" i="30" a="1"/>
  <c r="L8" i="30" s="1"/>
  <c r="M8" i="30" a="1"/>
  <c r="M8" i="30" s="1"/>
  <c r="G8" i="30" a="1"/>
  <c r="G8" i="30" s="1"/>
  <c r="H8" i="30" a="1"/>
  <c r="H8" i="30" s="1"/>
  <c r="D65" i="30" a="1"/>
  <c r="D65" i="30" s="1"/>
  <c r="G65" i="30" a="1"/>
  <c r="G65" i="30" s="1"/>
  <c r="H65" i="30" a="1"/>
  <c r="H65" i="30" s="1"/>
  <c r="I65" i="30" a="1"/>
  <c r="I65" i="30" s="1"/>
  <c r="J65" i="30" a="1"/>
  <c r="J65" i="30" s="1"/>
  <c r="K65" i="30" a="1"/>
  <c r="K65" i="30" s="1"/>
  <c r="L65" i="30" a="1"/>
  <c r="L65" i="30" s="1"/>
  <c r="M65" i="30" a="1"/>
  <c r="M65" i="30" s="1"/>
  <c r="D67" i="30" a="1"/>
  <c r="D67" i="30" s="1"/>
  <c r="K67" i="30" a="1"/>
  <c r="K67" i="30" s="1"/>
  <c r="L67" i="30" a="1"/>
  <c r="L67" i="30" s="1"/>
  <c r="M67" i="30" a="1"/>
  <c r="M67" i="30" s="1"/>
  <c r="G67" i="30" a="1"/>
  <c r="G67" i="30" s="1"/>
  <c r="H67" i="30" a="1"/>
  <c r="H67" i="30" s="1"/>
  <c r="J67" i="30" a="1"/>
  <c r="J67" i="30" s="1"/>
  <c r="I67" i="30" a="1"/>
  <c r="I67" i="30" s="1"/>
  <c r="D45" i="30" a="1"/>
  <c r="D45" i="30" s="1"/>
  <c r="G45" i="30" a="1"/>
  <c r="G45" i="30" s="1"/>
  <c r="H45" i="30" a="1"/>
  <c r="H45" i="30" s="1"/>
  <c r="I45" i="30" a="1"/>
  <c r="I45" i="30" s="1"/>
  <c r="J45" i="30" a="1"/>
  <c r="J45" i="30" s="1"/>
  <c r="K45" i="30" a="1"/>
  <c r="K45" i="30" s="1"/>
  <c r="M45" i="30" a="1"/>
  <c r="M45" i="30" s="1"/>
  <c r="L45" i="30" a="1"/>
  <c r="L45" i="30" s="1"/>
  <c r="D23" i="30" a="1"/>
  <c r="D23" i="30" s="1"/>
  <c r="G23" i="30" a="1"/>
  <c r="G23" i="30" s="1"/>
  <c r="I23" i="30" a="1"/>
  <c r="I23" i="30" s="1"/>
  <c r="J23" i="30" a="1"/>
  <c r="J23" i="30" s="1"/>
  <c r="K23" i="30" a="1"/>
  <c r="K23" i="30" s="1"/>
  <c r="H23" i="30" a="1"/>
  <c r="H23" i="30" s="1"/>
  <c r="L23" i="30" a="1"/>
  <c r="L23" i="30" s="1"/>
  <c r="M23" i="30" a="1"/>
  <c r="M23" i="30" s="1"/>
  <c r="D25" i="30" a="1"/>
  <c r="D25" i="30" s="1"/>
  <c r="J25" i="30" a="1"/>
  <c r="J25" i="30" s="1"/>
  <c r="K25" i="30" a="1"/>
  <c r="K25" i="30" s="1"/>
  <c r="M25" i="30" a="1"/>
  <c r="M25" i="30" s="1"/>
  <c r="I25" i="30" a="1"/>
  <c r="I25" i="30" s="1"/>
  <c r="L25" i="30" a="1"/>
  <c r="L25" i="30" s="1"/>
  <c r="G25" i="30" a="1"/>
  <c r="G25" i="30" s="1"/>
  <c r="H25" i="30" a="1"/>
  <c r="H25" i="30" s="1"/>
  <c r="H93" i="21" a="1"/>
  <c r="H93" i="21" s="1"/>
  <c r="G42" i="21" a="1"/>
  <c r="G42" i="21" s="1"/>
  <c r="D62" i="30" a="1"/>
  <c r="D62" i="30" s="1"/>
  <c r="K62" i="30" a="1"/>
  <c r="K62" i="30" s="1"/>
  <c r="L62" i="30" a="1"/>
  <c r="L62" i="30" s="1"/>
  <c r="M62" i="30" a="1"/>
  <c r="M62" i="30" s="1"/>
  <c r="G62" i="30" a="1"/>
  <c r="G62" i="30" s="1"/>
  <c r="H62" i="30" a="1"/>
  <c r="H62" i="30" s="1"/>
  <c r="J62" i="30" a="1"/>
  <c r="J62" i="30" s="1"/>
  <c r="I62" i="30" a="1"/>
  <c r="I62" i="30" s="1"/>
  <c r="D16" i="30" a="1"/>
  <c r="D16" i="30" s="1"/>
  <c r="M16" i="30" a="1"/>
  <c r="M16" i="30" s="1"/>
  <c r="H16" i="30" a="1"/>
  <c r="H16" i="30" s="1"/>
  <c r="G16" i="30" a="1"/>
  <c r="G16" i="30" s="1"/>
  <c r="I16" i="30" a="1"/>
  <c r="I16" i="30" s="1"/>
  <c r="J16" i="30" a="1"/>
  <c r="J16" i="30" s="1"/>
  <c r="K16" i="30" a="1"/>
  <c r="K16" i="30" s="1"/>
  <c r="L16" i="30" a="1"/>
  <c r="L16" i="30" s="1"/>
  <c r="D77" i="30" a="1"/>
  <c r="D77" i="30" s="1"/>
  <c r="K77" i="30" a="1"/>
  <c r="K77" i="30" s="1"/>
  <c r="L77" i="30" a="1"/>
  <c r="L77" i="30" s="1"/>
  <c r="M77" i="30" a="1"/>
  <c r="M77" i="30" s="1"/>
  <c r="G77" i="30" a="1"/>
  <c r="G77" i="30" s="1"/>
  <c r="J77" i="30" a="1"/>
  <c r="J77" i="30" s="1"/>
  <c r="H77" i="30" a="1"/>
  <c r="H77" i="30" s="1"/>
  <c r="I77" i="30" a="1"/>
  <c r="I77" i="30" s="1"/>
  <c r="D79" i="30" a="1"/>
  <c r="D79" i="30" s="1"/>
  <c r="M79" i="30" a="1"/>
  <c r="M79" i="30" s="1"/>
  <c r="G79" i="30" a="1"/>
  <c r="G79" i="30" s="1"/>
  <c r="H79" i="30" a="1"/>
  <c r="H79" i="30" s="1"/>
  <c r="I79" i="30" a="1"/>
  <c r="I79" i="30" s="1"/>
  <c r="J79" i="30" a="1"/>
  <c r="J79" i="30" s="1"/>
  <c r="L79" i="30" a="1"/>
  <c r="L79" i="30" s="1"/>
  <c r="K79" i="30" a="1"/>
  <c r="K79" i="30" s="1"/>
  <c r="D57" i="30" a="1"/>
  <c r="D57" i="30" s="1"/>
  <c r="K57" i="30" a="1"/>
  <c r="K57" i="30" s="1"/>
  <c r="L57" i="30" a="1"/>
  <c r="L57" i="30" s="1"/>
  <c r="M57" i="30" a="1"/>
  <c r="M57" i="30" s="1"/>
  <c r="G57" i="30" a="1"/>
  <c r="G57" i="30" s="1"/>
  <c r="H57" i="30" a="1"/>
  <c r="H57" i="30" s="1"/>
  <c r="J57" i="30" a="1"/>
  <c r="J57" i="30" s="1"/>
  <c r="I57" i="30" a="1"/>
  <c r="I57" i="30" s="1"/>
  <c r="D35" i="30" a="1"/>
  <c r="D35" i="30" s="1"/>
  <c r="G35" i="30" a="1"/>
  <c r="G35" i="30" s="1"/>
  <c r="H35" i="30" a="1"/>
  <c r="H35" i="30" s="1"/>
  <c r="I35" i="30" a="1"/>
  <c r="I35" i="30" s="1"/>
  <c r="J35" i="30" a="1"/>
  <c r="J35" i="30" s="1"/>
  <c r="K35" i="30" a="1"/>
  <c r="K35" i="30" s="1"/>
  <c r="L35" i="30" a="1"/>
  <c r="L35" i="30" s="1"/>
  <c r="M35" i="30" a="1"/>
  <c r="M35" i="30" s="1"/>
  <c r="D37" i="30" a="1"/>
  <c r="D37" i="30" s="1"/>
  <c r="I37" i="30" a="1"/>
  <c r="I37" i="30" s="1"/>
  <c r="J37" i="30" a="1"/>
  <c r="J37" i="30" s="1"/>
  <c r="K37" i="30" a="1"/>
  <c r="K37" i="30" s="1"/>
  <c r="L37" i="30" a="1"/>
  <c r="L37" i="30" s="1"/>
  <c r="M37" i="30" a="1"/>
  <c r="M37" i="30" s="1"/>
  <c r="G37" i="30" a="1"/>
  <c r="G37" i="30" s="1"/>
  <c r="H37" i="30" a="1"/>
  <c r="H37" i="30" s="1"/>
  <c r="D74" i="30" a="1"/>
  <c r="D74" i="30" s="1"/>
  <c r="G74" i="30" a="1"/>
  <c r="G74" i="30" s="1"/>
  <c r="H74" i="30" a="1"/>
  <c r="H74" i="30" s="1"/>
  <c r="I74" i="30" a="1"/>
  <c r="I74" i="30" s="1"/>
  <c r="J74" i="30" a="1"/>
  <c r="J74" i="30" s="1"/>
  <c r="K74" i="30" a="1"/>
  <c r="K74" i="30" s="1"/>
  <c r="L74" i="30" a="1"/>
  <c r="L74" i="30" s="1"/>
  <c r="M74" i="30" a="1"/>
  <c r="M74" i="30" s="1"/>
  <c r="D28" i="30" a="1"/>
  <c r="D28" i="30" s="1"/>
  <c r="G28" i="30" a="1"/>
  <c r="G28" i="30" s="1"/>
  <c r="H28" i="30" a="1"/>
  <c r="H28" i="30" s="1"/>
  <c r="I28" i="30" a="1"/>
  <c r="I28" i="30" s="1"/>
  <c r="J28" i="30" a="1"/>
  <c r="J28" i="30" s="1"/>
  <c r="K28" i="30" a="1"/>
  <c r="K28" i="30" s="1"/>
  <c r="L28" i="30" a="1"/>
  <c r="L28" i="30" s="1"/>
  <c r="M28" i="30" a="1"/>
  <c r="M28" i="30" s="1"/>
  <c r="D18" i="30" a="1"/>
  <c r="D18" i="30" s="1"/>
  <c r="H18" i="30" a="1"/>
  <c r="H18" i="30" s="1"/>
  <c r="I18" i="30" a="1"/>
  <c r="I18" i="30" s="1"/>
  <c r="J18" i="30" a="1"/>
  <c r="J18" i="30" s="1"/>
  <c r="K18" i="30" a="1"/>
  <c r="K18" i="30" s="1"/>
  <c r="L18" i="30" a="1"/>
  <c r="L18" i="30" s="1"/>
  <c r="G18" i="30" a="1"/>
  <c r="G18" i="30" s="1"/>
  <c r="M18" i="30" a="1"/>
  <c r="M18" i="30" s="1"/>
  <c r="D10" i="30" a="1"/>
  <c r="D10" i="30" s="1"/>
  <c r="M10" i="30" a="1"/>
  <c r="M10" i="30" s="1"/>
  <c r="G10" i="30" a="1"/>
  <c r="G10" i="30" s="1"/>
  <c r="H10" i="30" a="1"/>
  <c r="H10" i="30" s="1"/>
  <c r="I10" i="30" a="1"/>
  <c r="I10" i="30" s="1"/>
  <c r="J10" i="30" a="1"/>
  <c r="J10" i="30" s="1"/>
  <c r="K10" i="30" a="1"/>
  <c r="K10" i="30" s="1"/>
  <c r="L10" i="30" a="1"/>
  <c r="L10" i="30" s="1"/>
  <c r="D69" i="30" a="1"/>
  <c r="D69" i="30" s="1"/>
  <c r="G69" i="30" a="1"/>
  <c r="G69" i="30" s="1"/>
  <c r="H69" i="30" a="1"/>
  <c r="H69" i="30" s="1"/>
  <c r="I69" i="30" a="1"/>
  <c r="I69" i="30" s="1"/>
  <c r="J69" i="30" a="1"/>
  <c r="J69" i="30" s="1"/>
  <c r="K69" i="30" a="1"/>
  <c r="K69" i="30" s="1"/>
  <c r="L69" i="30" a="1"/>
  <c r="L69" i="30" s="1"/>
  <c r="M69" i="30" a="1"/>
  <c r="M69" i="30" s="1"/>
  <c r="D47" i="30" a="1"/>
  <c r="D47" i="30" s="1"/>
  <c r="I47" i="30" a="1"/>
  <c r="I47" i="30" s="1"/>
  <c r="J47" i="30" a="1"/>
  <c r="J47" i="30" s="1"/>
  <c r="K47" i="30" a="1"/>
  <c r="K47" i="30" s="1"/>
  <c r="L47" i="30" a="1"/>
  <c r="L47" i="30" s="1"/>
  <c r="M47" i="30" a="1"/>
  <c r="M47" i="30" s="1"/>
  <c r="H47" i="30" a="1"/>
  <c r="H47" i="30" s="1"/>
  <c r="G47" i="30" a="1"/>
  <c r="G47" i="30" s="1"/>
  <c r="D49" i="30" a="1"/>
  <c r="D49" i="30" s="1"/>
  <c r="M49" i="30" a="1"/>
  <c r="M49" i="30" s="1"/>
  <c r="G49" i="30" a="1"/>
  <c r="G49" i="30" s="1"/>
  <c r="H49" i="30" a="1"/>
  <c r="H49" i="30" s="1"/>
  <c r="I49" i="30" a="1"/>
  <c r="I49" i="30" s="1"/>
  <c r="J49" i="30" a="1"/>
  <c r="J49" i="30" s="1"/>
  <c r="L49" i="30" a="1"/>
  <c r="L49" i="30" s="1"/>
  <c r="K49" i="30" a="1"/>
  <c r="K49" i="30" s="1"/>
  <c r="D86" i="30" a="1"/>
  <c r="D86" i="30" s="1"/>
  <c r="K86" i="30" a="1"/>
  <c r="K86" i="30" s="1"/>
  <c r="L86" i="30" a="1"/>
  <c r="L86" i="30" s="1"/>
  <c r="M86" i="30" a="1"/>
  <c r="M86" i="30" s="1"/>
  <c r="G86" i="30" a="1"/>
  <c r="G86" i="30" s="1"/>
  <c r="H86" i="30" a="1"/>
  <c r="H86" i="30" s="1"/>
  <c r="I86" i="30" a="1"/>
  <c r="I86" i="30" s="1"/>
  <c r="J86" i="30" a="1"/>
  <c r="J86" i="30" s="1"/>
  <c r="D40" i="30" a="1"/>
  <c r="D40" i="30" s="1"/>
  <c r="G40" i="30" a="1"/>
  <c r="G40" i="30" s="1"/>
  <c r="H40" i="30" a="1"/>
  <c r="H40" i="30" s="1"/>
  <c r="I40" i="30" a="1"/>
  <c r="I40" i="30" s="1"/>
  <c r="J40" i="30" a="1"/>
  <c r="J40" i="30" s="1"/>
  <c r="K40" i="30" a="1"/>
  <c r="K40" i="30" s="1"/>
  <c r="M40" i="30" a="1"/>
  <c r="M40" i="30" s="1"/>
  <c r="L40" i="30" a="1"/>
  <c r="L40" i="30" s="1"/>
  <c r="D30" i="30" a="1"/>
  <c r="D30" i="30" s="1"/>
  <c r="K30" i="30" a="1"/>
  <c r="K30" i="30" s="1"/>
  <c r="L30" i="30" a="1"/>
  <c r="L30" i="30" s="1"/>
  <c r="M30" i="30" a="1"/>
  <c r="M30" i="30" s="1"/>
  <c r="G30" i="30" a="1"/>
  <c r="G30" i="30" s="1"/>
  <c r="H30" i="30" a="1"/>
  <c r="H30" i="30" s="1"/>
  <c r="I30" i="30" a="1"/>
  <c r="I30" i="30" s="1"/>
  <c r="J30" i="30" a="1"/>
  <c r="J30" i="30" s="1"/>
  <c r="D20" i="30" a="1"/>
  <c r="D20" i="30" s="1"/>
  <c r="J20" i="30" a="1"/>
  <c r="J20" i="30" s="1"/>
  <c r="K20" i="30" a="1"/>
  <c r="K20" i="30" s="1"/>
  <c r="L20" i="30" a="1"/>
  <c r="L20" i="30" s="1"/>
  <c r="I20" i="30" a="1"/>
  <c r="I20" i="30" s="1"/>
  <c r="M20" i="30" a="1"/>
  <c r="M20" i="30" s="1"/>
  <c r="H20" i="30" a="1"/>
  <c r="H20" i="30" s="1"/>
  <c r="G20" i="30" a="1"/>
  <c r="G20" i="30" s="1"/>
  <c r="D81" i="30" a="1"/>
  <c r="D81" i="30" s="1"/>
  <c r="G81" i="30" a="1"/>
  <c r="G81" i="30" s="1"/>
  <c r="H81" i="30" a="1"/>
  <c r="H81" i="30" s="1"/>
  <c r="I81" i="30" a="1"/>
  <c r="I81" i="30" s="1"/>
  <c r="J81" i="30" a="1"/>
  <c r="J81" i="30" s="1"/>
  <c r="K81" i="30" a="1"/>
  <c r="K81" i="30" s="1"/>
  <c r="L81" i="30" a="1"/>
  <c r="L81" i="30" s="1"/>
  <c r="M81" i="30" a="1"/>
  <c r="M81" i="30" s="1"/>
  <c r="D59" i="30" a="1"/>
  <c r="D59" i="30" s="1"/>
  <c r="G59" i="30" a="1"/>
  <c r="G59" i="30" s="1"/>
  <c r="H59" i="30" a="1"/>
  <c r="H59" i="30" s="1"/>
  <c r="I59" i="30" a="1"/>
  <c r="I59" i="30" s="1"/>
  <c r="J59" i="30" a="1"/>
  <c r="J59" i="30" s="1"/>
  <c r="K59" i="30" a="1"/>
  <c r="K59" i="30" s="1"/>
  <c r="L59" i="30" a="1"/>
  <c r="L59" i="30" s="1"/>
  <c r="M59" i="30" a="1"/>
  <c r="M59" i="30" s="1"/>
  <c r="D61" i="30" a="1"/>
  <c r="D61" i="30" s="1"/>
  <c r="J61" i="30" a="1"/>
  <c r="J61" i="30" s="1"/>
  <c r="K61" i="30" a="1"/>
  <c r="K61" i="30" s="1"/>
  <c r="L61" i="30" a="1"/>
  <c r="L61" i="30" s="1"/>
  <c r="M61" i="30" a="1"/>
  <c r="M61" i="30" s="1"/>
  <c r="H61" i="30" a="1"/>
  <c r="H61" i="30" s="1"/>
  <c r="I61" i="30" a="1"/>
  <c r="I61" i="30" s="1"/>
  <c r="G61" i="30" a="1"/>
  <c r="G61" i="30" s="1"/>
  <c r="H67" i="21" a="1"/>
  <c r="H67" i="21" s="1"/>
  <c r="D7" i="30" a="1"/>
  <c r="D7" i="30" s="1"/>
  <c r="H7" i="30" a="1"/>
  <c r="H7" i="30" s="1"/>
  <c r="I7" i="30" a="1"/>
  <c r="I7" i="30" s="1"/>
  <c r="J7" i="30" a="1"/>
  <c r="J7" i="30" s="1"/>
  <c r="K7" i="30" a="1"/>
  <c r="K7" i="30" s="1"/>
  <c r="G7" i="30" a="1"/>
  <c r="G7" i="30" s="1"/>
  <c r="L7" i="30" a="1"/>
  <c r="L7" i="30" s="1"/>
  <c r="M7" i="30" a="1"/>
  <c r="M7" i="30" s="1"/>
  <c r="D52" i="30" a="1"/>
  <c r="D52" i="30" s="1"/>
  <c r="J52" i="30" a="1"/>
  <c r="J52" i="30" s="1"/>
  <c r="K52" i="30" a="1"/>
  <c r="K52" i="30" s="1"/>
  <c r="L52" i="30" a="1"/>
  <c r="L52" i="30" s="1"/>
  <c r="M52" i="30" a="1"/>
  <c r="M52" i="30" s="1"/>
  <c r="G52" i="30" a="1"/>
  <c r="G52" i="30" s="1"/>
  <c r="I52" i="30" a="1"/>
  <c r="I52" i="30" s="1"/>
  <c r="H52" i="30" a="1"/>
  <c r="H52" i="30" s="1"/>
  <c r="D42" i="30" a="1"/>
  <c r="D42" i="30" s="1"/>
  <c r="I42" i="30" a="1"/>
  <c r="I42" i="30" s="1"/>
  <c r="J42" i="30" a="1"/>
  <c r="J42" i="30" s="1"/>
  <c r="K42" i="30" a="1"/>
  <c r="K42" i="30" s="1"/>
  <c r="L42" i="30" a="1"/>
  <c r="L42" i="30" s="1"/>
  <c r="M42" i="30" a="1"/>
  <c r="M42" i="30" s="1"/>
  <c r="G42" i="30" a="1"/>
  <c r="G42" i="30" s="1"/>
  <c r="H42" i="30" a="1"/>
  <c r="H42" i="30" s="1"/>
  <c r="D32" i="30" a="1"/>
  <c r="D32" i="30" s="1"/>
  <c r="I32" i="30" a="1"/>
  <c r="I32" i="30" s="1"/>
  <c r="G32" i="30" a="1"/>
  <c r="G32" i="30" s="1"/>
  <c r="H32" i="30" a="1"/>
  <c r="H32" i="30" s="1"/>
  <c r="J32" i="30" a="1"/>
  <c r="J32" i="30" s="1"/>
  <c r="K32" i="30" a="1"/>
  <c r="K32" i="30" s="1"/>
  <c r="L32" i="30" a="1"/>
  <c r="L32" i="30" s="1"/>
  <c r="M32" i="30" a="1"/>
  <c r="M32" i="30" s="1"/>
  <c r="D12" i="30" a="1"/>
  <c r="D12" i="30" s="1"/>
  <c r="G12" i="30" a="1"/>
  <c r="G12" i="30" s="1"/>
  <c r="H12" i="30" a="1"/>
  <c r="H12" i="30" s="1"/>
  <c r="I12" i="30" a="1"/>
  <c r="I12" i="30" s="1"/>
  <c r="J12" i="30" a="1"/>
  <c r="J12" i="30" s="1"/>
  <c r="K12" i="30" a="1"/>
  <c r="K12" i="30" s="1"/>
  <c r="M12" i="30" a="1"/>
  <c r="M12" i="30" s="1"/>
  <c r="L12" i="30" a="1"/>
  <c r="L12" i="30" s="1"/>
  <c r="D71" i="30" a="1"/>
  <c r="D71" i="30" s="1"/>
  <c r="I71" i="30" a="1"/>
  <c r="I71" i="30" s="1"/>
  <c r="J71" i="30" a="1"/>
  <c r="J71" i="30" s="1"/>
  <c r="K71" i="30" a="1"/>
  <c r="K71" i="30" s="1"/>
  <c r="L71" i="30" a="1"/>
  <c r="L71" i="30" s="1"/>
  <c r="M71" i="30" a="1"/>
  <c r="M71" i="30" s="1"/>
  <c r="H71" i="30" a="1"/>
  <c r="H71" i="30" s="1"/>
  <c r="G71" i="30" a="1"/>
  <c r="G71" i="30" s="1"/>
  <c r="D73" i="30" a="1"/>
  <c r="D73" i="30" s="1"/>
  <c r="L73" i="30" a="1"/>
  <c r="L73" i="30" s="1"/>
  <c r="M73" i="30" a="1"/>
  <c r="M73" i="30" s="1"/>
  <c r="G73" i="30" a="1"/>
  <c r="G73" i="30" s="1"/>
  <c r="H73" i="30" a="1"/>
  <c r="H73" i="30" s="1"/>
  <c r="I73" i="30" a="1"/>
  <c r="I73" i="30" s="1"/>
  <c r="J73" i="30" a="1"/>
  <c r="J73" i="30" s="1"/>
  <c r="K73" i="30" a="1"/>
  <c r="K73" i="30" s="1"/>
  <c r="K67" i="21" a="1"/>
  <c r="K67" i="21" s="1"/>
  <c r="H96" i="21" a="1"/>
  <c r="H96" i="21" s="1"/>
  <c r="H64" i="21" a="1"/>
  <c r="H64" i="21" s="1"/>
  <c r="L66" i="21" a="1"/>
  <c r="L66" i="21" s="1"/>
  <c r="D15" i="30" a="1"/>
  <c r="D15" i="30" s="1"/>
  <c r="L15" i="30" a="1"/>
  <c r="L15" i="30" s="1"/>
  <c r="M15" i="30" a="1"/>
  <c r="M15" i="30" s="1"/>
  <c r="G15" i="30" a="1"/>
  <c r="G15" i="30" s="1"/>
  <c r="J15" i="30" a="1"/>
  <c r="J15" i="30" s="1"/>
  <c r="K15" i="30" a="1"/>
  <c r="K15" i="30" s="1"/>
  <c r="I15" i="30" a="1"/>
  <c r="I15" i="30" s="1"/>
  <c r="H15" i="30" a="1"/>
  <c r="H15" i="30" s="1"/>
  <c r="D64" i="30" a="1"/>
  <c r="D64" i="30" s="1"/>
  <c r="G64" i="30" a="1"/>
  <c r="G64" i="30" s="1"/>
  <c r="H64" i="30" a="1"/>
  <c r="H64" i="30" s="1"/>
  <c r="I64" i="30" a="1"/>
  <c r="I64" i="30" s="1"/>
  <c r="J64" i="30" a="1"/>
  <c r="J64" i="30" s="1"/>
  <c r="K64" i="30" a="1"/>
  <c r="K64" i="30" s="1"/>
  <c r="L64" i="30" a="1"/>
  <c r="L64" i="30" s="1"/>
  <c r="M64" i="30" a="1"/>
  <c r="M64" i="30" s="1"/>
  <c r="D54" i="30" a="1"/>
  <c r="D54" i="30" s="1"/>
  <c r="G54" i="30" a="1"/>
  <c r="G54" i="30" s="1"/>
  <c r="H54" i="30" a="1"/>
  <c r="H54" i="30" s="1"/>
  <c r="I54" i="30" a="1"/>
  <c r="I54" i="30" s="1"/>
  <c r="J54" i="30" a="1"/>
  <c r="J54" i="30" s="1"/>
  <c r="K54" i="30" a="1"/>
  <c r="K54" i="30" s="1"/>
  <c r="L54" i="30" a="1"/>
  <c r="L54" i="30" s="1"/>
  <c r="M54" i="30" a="1"/>
  <c r="M54" i="30" s="1"/>
  <c r="D44" i="30" a="1"/>
  <c r="D44" i="30" s="1"/>
  <c r="L44" i="30" a="1"/>
  <c r="L44" i="30" s="1"/>
  <c r="M44" i="30" a="1"/>
  <c r="M44" i="30" s="1"/>
  <c r="G44" i="30" a="1"/>
  <c r="G44" i="30" s="1"/>
  <c r="H44" i="30" a="1"/>
  <c r="H44" i="30" s="1"/>
  <c r="I44" i="30" a="1"/>
  <c r="I44" i="30" s="1"/>
  <c r="J44" i="30" a="1"/>
  <c r="J44" i="30" s="1"/>
  <c r="K44" i="30" a="1"/>
  <c r="K44" i="30" s="1"/>
  <c r="D22" i="30" a="1"/>
  <c r="D22" i="30" s="1"/>
  <c r="G22" i="30" a="1"/>
  <c r="G22" i="30" s="1"/>
  <c r="H22" i="30" a="1"/>
  <c r="H22" i="30" s="1"/>
  <c r="I22" i="30" a="1"/>
  <c r="I22" i="30" s="1"/>
  <c r="M22" i="30" a="1"/>
  <c r="M22" i="30" s="1"/>
  <c r="K22" i="30" a="1"/>
  <c r="K22" i="30" s="1"/>
  <c r="L22" i="30" a="1"/>
  <c r="L22" i="30" s="1"/>
  <c r="J22" i="30" a="1"/>
  <c r="J22" i="30" s="1"/>
  <c r="D83" i="30" a="1"/>
  <c r="D83" i="30" s="1"/>
  <c r="H83" i="30" a="1"/>
  <c r="H83" i="30" s="1"/>
  <c r="I83" i="30" a="1"/>
  <c r="I83" i="30" s="1"/>
  <c r="J83" i="30" a="1"/>
  <c r="J83" i="30" s="1"/>
  <c r="K83" i="30" a="1"/>
  <c r="K83" i="30" s="1"/>
  <c r="L83" i="30" a="1"/>
  <c r="L83" i="30" s="1"/>
  <c r="M83" i="30" a="1"/>
  <c r="M83" i="30" s="1"/>
  <c r="G83" i="30" a="1"/>
  <c r="G83" i="30" s="1"/>
  <c r="D85" i="30" a="1"/>
  <c r="D85" i="30" s="1"/>
  <c r="K85" i="30" a="1"/>
  <c r="K85" i="30" s="1"/>
  <c r="L85" i="30" a="1"/>
  <c r="L85" i="30" s="1"/>
  <c r="M85" i="30" a="1"/>
  <c r="M85" i="30" s="1"/>
  <c r="G85" i="30" a="1"/>
  <c r="G85" i="30" s="1"/>
  <c r="H85" i="30" a="1"/>
  <c r="H85" i="30" s="1"/>
  <c r="I85" i="30" a="1"/>
  <c r="I85" i="30" s="1"/>
  <c r="J85" i="30" a="1"/>
  <c r="J85" i="30" s="1"/>
  <c r="I58" i="21" a="1"/>
  <c r="I58" i="21" s="1"/>
  <c r="L58" i="21" a="1"/>
  <c r="L58" i="21" s="1"/>
  <c r="H58" i="21" a="1"/>
  <c r="H58" i="21" s="1"/>
  <c r="K93" i="21" a="1"/>
  <c r="K93" i="21" s="1"/>
  <c r="I42" i="21" a="1"/>
  <c r="I42" i="21" s="1"/>
  <c r="L42" i="21" a="1"/>
  <c r="L42" i="21" s="1"/>
  <c r="G58" i="21" a="1"/>
  <c r="G58" i="21" s="1"/>
  <c r="D27" i="30" a="1"/>
  <c r="D27" i="30" s="1"/>
  <c r="H27" i="30" a="1"/>
  <c r="H27" i="30" s="1"/>
  <c r="K27" i="30" a="1"/>
  <c r="K27" i="30" s="1"/>
  <c r="L27" i="30" a="1"/>
  <c r="L27" i="30" s="1"/>
  <c r="M27" i="30" a="1"/>
  <c r="M27" i="30" s="1"/>
  <c r="I27" i="30" a="1"/>
  <c r="I27" i="30" s="1"/>
  <c r="J27" i="30" a="1"/>
  <c r="J27" i="30" s="1"/>
  <c r="G27" i="30" a="1"/>
  <c r="G27" i="30" s="1"/>
  <c r="D76" i="30" a="1"/>
  <c r="D76" i="30" s="1"/>
  <c r="I76" i="30" a="1"/>
  <c r="I76" i="30" s="1"/>
  <c r="J76" i="30" a="1"/>
  <c r="J76" i="30" s="1"/>
  <c r="K76" i="30" a="1"/>
  <c r="K76" i="30" s="1"/>
  <c r="L76" i="30" a="1"/>
  <c r="L76" i="30" s="1"/>
  <c r="M76" i="30" a="1"/>
  <c r="M76" i="30" s="1"/>
  <c r="G76" i="30" a="1"/>
  <c r="G76" i="30" s="1"/>
  <c r="H76" i="30" a="1"/>
  <c r="H76" i="30" s="1"/>
  <c r="D66" i="30" a="1"/>
  <c r="D66" i="30" s="1"/>
  <c r="J66" i="30" a="1"/>
  <c r="J66" i="30" s="1"/>
  <c r="K66" i="30" a="1"/>
  <c r="K66" i="30" s="1"/>
  <c r="L66" i="30" a="1"/>
  <c r="L66" i="30" s="1"/>
  <c r="M66" i="30" a="1"/>
  <c r="M66" i="30" s="1"/>
  <c r="H66" i="30" a="1"/>
  <c r="H66" i="30" s="1"/>
  <c r="I66" i="30" a="1"/>
  <c r="I66" i="30" s="1"/>
  <c r="G66" i="30" a="1"/>
  <c r="G66" i="30" s="1"/>
  <c r="D56" i="30" a="1"/>
  <c r="D56" i="30" s="1"/>
  <c r="I56" i="30" a="1"/>
  <c r="I56" i="30" s="1"/>
  <c r="J56" i="30" a="1"/>
  <c r="J56" i="30" s="1"/>
  <c r="K56" i="30" a="1"/>
  <c r="K56" i="30" s="1"/>
  <c r="L56" i="30" a="1"/>
  <c r="L56" i="30" s="1"/>
  <c r="M56" i="30" a="1"/>
  <c r="M56" i="30" s="1"/>
  <c r="H56" i="30" a="1"/>
  <c r="H56" i="30" s="1"/>
  <c r="G56" i="30" a="1"/>
  <c r="G56" i="30" s="1"/>
  <c r="D34" i="30" a="1"/>
  <c r="D34" i="30" s="1"/>
  <c r="K34" i="30" a="1"/>
  <c r="K34" i="30" s="1"/>
  <c r="L34" i="30" a="1"/>
  <c r="L34" i="30" s="1"/>
  <c r="M34" i="30" a="1"/>
  <c r="M34" i="30" s="1"/>
  <c r="G34" i="30" a="1"/>
  <c r="G34" i="30" s="1"/>
  <c r="I34" i="30" a="1"/>
  <c r="I34" i="30" s="1"/>
  <c r="J34" i="30" a="1"/>
  <c r="J34" i="30" s="1"/>
  <c r="H34" i="30" a="1"/>
  <c r="H34" i="30" s="1"/>
  <c r="D24" i="30" a="1"/>
  <c r="D24" i="30" s="1"/>
  <c r="H24" i="30" a="1"/>
  <c r="H24" i="30" s="1"/>
  <c r="I24" i="30" a="1"/>
  <c r="I24" i="30" s="1"/>
  <c r="J24" i="30" a="1"/>
  <c r="J24" i="30" s="1"/>
  <c r="K24" i="30" a="1"/>
  <c r="K24" i="30" s="1"/>
  <c r="L24" i="30" a="1"/>
  <c r="L24" i="30" s="1"/>
  <c r="G24" i="30" a="1"/>
  <c r="G24" i="30" s="1"/>
  <c r="M24" i="30" a="1"/>
  <c r="M24" i="30" s="1"/>
  <c r="K42" i="21" a="1"/>
  <c r="K42" i="21" s="1"/>
  <c r="G93" i="21" a="1"/>
  <c r="G93" i="21" s="1"/>
  <c r="K21" i="21" a="1"/>
  <c r="K21" i="21" s="1"/>
  <c r="H26" i="19" a="1"/>
  <c r="H26" i="19" s="1"/>
  <c r="K58" i="21" a="1"/>
  <c r="K58" i="21" s="1"/>
  <c r="D39" i="30" a="1"/>
  <c r="D39" i="30" s="1"/>
  <c r="M39" i="30" a="1"/>
  <c r="M39" i="30" s="1"/>
  <c r="G39" i="30" a="1"/>
  <c r="G39" i="30" s="1"/>
  <c r="H39" i="30" a="1"/>
  <c r="H39" i="30" s="1"/>
  <c r="I39" i="30" a="1"/>
  <c r="I39" i="30" s="1"/>
  <c r="K39" i="30" a="1"/>
  <c r="K39" i="30" s="1"/>
  <c r="L39" i="30" a="1"/>
  <c r="L39" i="30" s="1"/>
  <c r="J39" i="30" a="1"/>
  <c r="J39" i="30" s="1"/>
  <c r="D9" i="30" a="1"/>
  <c r="D9" i="30" s="1"/>
  <c r="J9" i="30" a="1"/>
  <c r="J9" i="30" s="1"/>
  <c r="K9" i="30" a="1"/>
  <c r="K9" i="30" s="1"/>
  <c r="L9" i="30" a="1"/>
  <c r="L9" i="30" s="1"/>
  <c r="M9" i="30" a="1"/>
  <c r="M9" i="30" s="1"/>
  <c r="G9" i="30" a="1"/>
  <c r="G9" i="30" s="1"/>
  <c r="H9" i="30" a="1"/>
  <c r="H9" i="30" s="1"/>
  <c r="I9" i="30" a="1"/>
  <c r="I9" i="30" s="1"/>
  <c r="D78" i="30" a="1"/>
  <c r="D78" i="30" s="1"/>
  <c r="L78" i="30" a="1"/>
  <c r="L78" i="30" s="1"/>
  <c r="M78" i="30" a="1"/>
  <c r="M78" i="30" s="1"/>
  <c r="G78" i="30" a="1"/>
  <c r="G78" i="30" s="1"/>
  <c r="H78" i="30" a="1"/>
  <c r="H78" i="30" s="1"/>
  <c r="I78" i="30" a="1"/>
  <c r="I78" i="30" s="1"/>
  <c r="J78" i="30" a="1"/>
  <c r="J78" i="30" s="1"/>
  <c r="K78" i="30" a="1"/>
  <c r="K78" i="30" s="1"/>
  <c r="D68" i="30" a="1"/>
  <c r="D68" i="30" s="1"/>
  <c r="M68" i="30" a="1"/>
  <c r="M68" i="30" s="1"/>
  <c r="G68" i="30" a="1"/>
  <c r="G68" i="30" s="1"/>
  <c r="H68" i="30" a="1"/>
  <c r="H68" i="30" s="1"/>
  <c r="I68" i="30" a="1"/>
  <c r="I68" i="30" s="1"/>
  <c r="K68" i="30" a="1"/>
  <c r="K68" i="30" s="1"/>
  <c r="L68" i="30" a="1"/>
  <c r="L68" i="30" s="1"/>
  <c r="J68" i="30" a="1"/>
  <c r="J68" i="30" s="1"/>
  <c r="D46" i="30" a="1"/>
  <c r="D46" i="30" s="1"/>
  <c r="G46" i="30" a="1"/>
  <c r="G46" i="30" s="1"/>
  <c r="H46" i="30" a="1"/>
  <c r="H46" i="30" s="1"/>
  <c r="I46" i="30" a="1"/>
  <c r="I46" i="30" s="1"/>
  <c r="J46" i="30" a="1"/>
  <c r="J46" i="30" s="1"/>
  <c r="K46" i="30" a="1"/>
  <c r="K46" i="30" s="1"/>
  <c r="L46" i="30" a="1"/>
  <c r="L46" i="30" s="1"/>
  <c r="M46" i="30" a="1"/>
  <c r="M46" i="30" s="1"/>
  <c r="D36" i="30" a="1"/>
  <c r="D36" i="30" s="1"/>
  <c r="G36" i="30" a="1"/>
  <c r="G36" i="30" s="1"/>
  <c r="H36" i="30" a="1"/>
  <c r="H36" i="30" s="1"/>
  <c r="I36" i="30" a="1"/>
  <c r="I36" i="30" s="1"/>
  <c r="J36" i="30" a="1"/>
  <c r="J36" i="30" s="1"/>
  <c r="K36" i="30" a="1"/>
  <c r="K36" i="30" s="1"/>
  <c r="L36" i="30" a="1"/>
  <c r="L36" i="30" s="1"/>
  <c r="M36" i="30" a="1"/>
  <c r="M36" i="30" s="1"/>
  <c r="I67" i="21" a="1"/>
  <c r="I67" i="21" s="1"/>
  <c r="G26" i="19" a="1"/>
  <c r="G26" i="19" s="1"/>
  <c r="H21" i="21" a="1"/>
  <c r="H21" i="21" s="1"/>
  <c r="L96" i="21" a="1"/>
  <c r="L96" i="21" s="1"/>
  <c r="D6" i="30" a="1"/>
  <c r="D6" i="30" s="1"/>
  <c r="I6" i="30" a="1"/>
  <c r="I6" i="30" s="1"/>
  <c r="J6" i="30" a="1"/>
  <c r="J6" i="30" s="1"/>
  <c r="K6" i="30" a="1"/>
  <c r="K6" i="30" s="1"/>
  <c r="L6" i="30" a="1"/>
  <c r="L6" i="30" s="1"/>
  <c r="G6" i="30" a="1"/>
  <c r="G6" i="30" s="1"/>
  <c r="H6" i="30" a="1"/>
  <c r="H6" i="30" s="1"/>
  <c r="M6" i="30" a="1"/>
  <c r="M6" i="30" s="1"/>
  <c r="D51" i="30" a="1"/>
  <c r="D51" i="30" s="1"/>
  <c r="H51" i="30" a="1"/>
  <c r="H51" i="30" s="1"/>
  <c r="I51" i="30" a="1"/>
  <c r="I51" i="30" s="1"/>
  <c r="J51" i="30" a="1"/>
  <c r="J51" i="30" s="1"/>
  <c r="K51" i="30" a="1"/>
  <c r="K51" i="30" s="1"/>
  <c r="L51" i="30" a="1"/>
  <c r="L51" i="30" s="1"/>
  <c r="M51" i="30" a="1"/>
  <c r="M51" i="30" s="1"/>
  <c r="G51" i="30" a="1"/>
  <c r="G51" i="30" s="1"/>
  <c r="D17" i="30" a="1"/>
  <c r="D17" i="30" s="1"/>
  <c r="G17" i="30" a="1"/>
  <c r="G17" i="30" s="1"/>
  <c r="I17" i="30" a="1"/>
  <c r="I17" i="30" s="1"/>
  <c r="J17" i="30" a="1"/>
  <c r="J17" i="30" s="1"/>
  <c r="K17" i="30" a="1"/>
  <c r="K17" i="30" s="1"/>
  <c r="H17" i="30" a="1"/>
  <c r="H17" i="30" s="1"/>
  <c r="L17" i="30" a="1"/>
  <c r="L17" i="30" s="1"/>
  <c r="M17" i="30" a="1"/>
  <c r="M17" i="30" s="1"/>
  <c r="D19" i="30" a="1"/>
  <c r="D19" i="30" s="1"/>
  <c r="J19" i="30" a="1"/>
  <c r="J19" i="30" s="1"/>
  <c r="L19" i="30" a="1"/>
  <c r="L19" i="30" s="1"/>
  <c r="M19" i="30" a="1"/>
  <c r="M19" i="30" s="1"/>
  <c r="G19" i="30" a="1"/>
  <c r="G19" i="30" s="1"/>
  <c r="H19" i="30" a="1"/>
  <c r="H19" i="30" s="1"/>
  <c r="I19" i="30" a="1"/>
  <c r="I19" i="30" s="1"/>
  <c r="K19" i="30" a="1"/>
  <c r="K19" i="30" s="1"/>
  <c r="D80" i="30" a="1"/>
  <c r="D80" i="30" s="1"/>
  <c r="G80" i="30" a="1"/>
  <c r="G80" i="30" s="1"/>
  <c r="H80" i="30" a="1"/>
  <c r="H80" i="30" s="1"/>
  <c r="I80" i="30" a="1"/>
  <c r="I80" i="30" s="1"/>
  <c r="J80" i="30" a="1"/>
  <c r="J80" i="30" s="1"/>
  <c r="K80" i="30" a="1"/>
  <c r="K80" i="30" s="1"/>
  <c r="L80" i="30" a="1"/>
  <c r="L80" i="30" s="1"/>
  <c r="M80" i="30" a="1"/>
  <c r="M80" i="30" s="1"/>
  <c r="D58" i="30" a="1"/>
  <c r="D58" i="30" s="1"/>
  <c r="M58" i="30" a="1"/>
  <c r="M58" i="30" s="1"/>
  <c r="G58" i="30" a="1"/>
  <c r="G58" i="30" s="1"/>
  <c r="H58" i="30" a="1"/>
  <c r="H58" i="30" s="1"/>
  <c r="I58" i="30" a="1"/>
  <c r="I58" i="30" s="1"/>
  <c r="J58" i="30" a="1"/>
  <c r="J58" i="30" s="1"/>
  <c r="L58" i="30" a="1"/>
  <c r="L58" i="30" s="1"/>
  <c r="K58" i="30" a="1"/>
  <c r="K58" i="30" s="1"/>
  <c r="D48" i="30" a="1"/>
  <c r="D48" i="30" s="1"/>
  <c r="K48" i="30" a="1"/>
  <c r="K48" i="30" s="1"/>
  <c r="L48" i="30" a="1"/>
  <c r="L48" i="30" s="1"/>
  <c r="M48" i="30" a="1"/>
  <c r="M48" i="30" s="1"/>
  <c r="G48" i="30" a="1"/>
  <c r="G48" i="30" s="1"/>
  <c r="H48" i="30" a="1"/>
  <c r="H48" i="30" s="1"/>
  <c r="J48" i="30" a="1"/>
  <c r="J48" i="30" s="1"/>
  <c r="I48" i="30" a="1"/>
  <c r="I48" i="30" s="1"/>
  <c r="K46" i="21" a="1"/>
  <c r="K46" i="21" s="1"/>
  <c r="K40" i="21" a="1"/>
  <c r="K40" i="21" s="1"/>
  <c r="I96" i="21" a="1"/>
  <c r="I96" i="21" s="1"/>
  <c r="D14" i="30" a="1"/>
  <c r="D14" i="30" s="1"/>
  <c r="J14" i="30" a="1"/>
  <c r="J14" i="30" s="1"/>
  <c r="K14" i="30" a="1"/>
  <c r="K14" i="30" s="1"/>
  <c r="M14" i="30" a="1"/>
  <c r="M14" i="30" s="1"/>
  <c r="G14" i="30" a="1"/>
  <c r="G14" i="30" s="1"/>
  <c r="H14" i="30" a="1"/>
  <c r="H14" i="30" s="1"/>
  <c r="I14" i="30" a="1"/>
  <c r="I14" i="30" s="1"/>
  <c r="L14" i="30" a="1"/>
  <c r="L14" i="30" s="1"/>
  <c r="D63" i="30" a="1"/>
  <c r="D63" i="30" s="1"/>
  <c r="M63" i="30" a="1"/>
  <c r="M63" i="30" s="1"/>
  <c r="G63" i="30" a="1"/>
  <c r="G63" i="30" s="1"/>
  <c r="H63" i="30" a="1"/>
  <c r="H63" i="30" s="1"/>
  <c r="I63" i="30" a="1"/>
  <c r="I63" i="30" s="1"/>
  <c r="K63" i="30" a="1"/>
  <c r="K63" i="30" s="1"/>
  <c r="L63" i="30" a="1"/>
  <c r="L63" i="30" s="1"/>
  <c r="J63" i="30" a="1"/>
  <c r="J63" i="30" s="1"/>
  <c r="D29" i="30" a="1"/>
  <c r="D29" i="30" s="1"/>
  <c r="I29" i="30" a="1"/>
  <c r="I29" i="30" s="1"/>
  <c r="J29" i="30" a="1"/>
  <c r="J29" i="30" s="1"/>
  <c r="L29" i="30" a="1"/>
  <c r="L29" i="30" s="1"/>
  <c r="M29" i="30" a="1"/>
  <c r="M29" i="30" s="1"/>
  <c r="G29" i="30" a="1"/>
  <c r="G29" i="30" s="1"/>
  <c r="H29" i="30" a="1"/>
  <c r="H29" i="30" s="1"/>
  <c r="K29" i="30" a="1"/>
  <c r="K29" i="30" s="1"/>
  <c r="D31" i="30" a="1"/>
  <c r="D31" i="30" s="1"/>
  <c r="L31" i="30" a="1"/>
  <c r="L31" i="30" s="1"/>
  <c r="M31" i="30" a="1"/>
  <c r="M31" i="30" s="1"/>
  <c r="G31" i="30" a="1"/>
  <c r="G31" i="30" s="1"/>
  <c r="H31" i="30" a="1"/>
  <c r="H31" i="30" s="1"/>
  <c r="I31" i="30" a="1"/>
  <c r="I31" i="30" s="1"/>
  <c r="J31" i="30" a="1"/>
  <c r="J31" i="30" s="1"/>
  <c r="K31" i="30" a="1"/>
  <c r="K31" i="30" s="1"/>
  <c r="D11" i="30" a="1"/>
  <c r="D11" i="30" s="1"/>
  <c r="G11" i="30" a="1"/>
  <c r="G11" i="30" s="1"/>
  <c r="H11" i="30" a="1"/>
  <c r="H11" i="30" s="1"/>
  <c r="I11" i="30" a="1"/>
  <c r="I11" i="30" s="1"/>
  <c r="J11" i="30" a="1"/>
  <c r="J11" i="30" s="1"/>
  <c r="K11" i="30" a="1"/>
  <c r="K11" i="30" s="1"/>
  <c r="L11" i="30" a="1"/>
  <c r="L11" i="30" s="1"/>
  <c r="M11" i="30" a="1"/>
  <c r="M11" i="30" s="1"/>
  <c r="D70" i="30" a="1"/>
  <c r="D70" i="30" s="1"/>
  <c r="H70" i="30" a="1"/>
  <c r="H70" i="30" s="1"/>
  <c r="I70" i="30" a="1"/>
  <c r="I70" i="30" s="1"/>
  <c r="J70" i="30" a="1"/>
  <c r="J70" i="30" s="1"/>
  <c r="K70" i="30" a="1"/>
  <c r="K70" i="30" s="1"/>
  <c r="L70" i="30" a="1"/>
  <c r="L70" i="30" s="1"/>
  <c r="M70" i="30" a="1"/>
  <c r="M70" i="30" s="1"/>
  <c r="G70" i="30" a="1"/>
  <c r="G70" i="30" s="1"/>
  <c r="D60" i="30" a="1"/>
  <c r="D60" i="30" s="1"/>
  <c r="G60" i="30" a="1"/>
  <c r="G60" i="30" s="1"/>
  <c r="H60" i="30" a="1"/>
  <c r="H60" i="30" s="1"/>
  <c r="I60" i="30" a="1"/>
  <c r="I60" i="30" s="1"/>
  <c r="J60" i="30" a="1"/>
  <c r="J60" i="30" s="1"/>
  <c r="K60" i="30" a="1"/>
  <c r="K60" i="30" s="1"/>
  <c r="L60" i="30" a="1"/>
  <c r="L60" i="30" s="1"/>
  <c r="M60" i="30" a="1"/>
  <c r="M60" i="30" s="1"/>
  <c r="G46" i="21" a="1"/>
  <c r="G46" i="21" s="1"/>
  <c r="L45" i="21" a="1"/>
  <c r="L45" i="21" s="1"/>
  <c r="G15" i="21" a="1"/>
  <c r="G15" i="21" s="1"/>
  <c r="H73" i="21" a="1"/>
  <c r="H73" i="21" s="1"/>
  <c r="L52" i="21" a="1"/>
  <c r="L52" i="21" s="1"/>
  <c r="F14" i="19" a="1"/>
  <c r="F14" i="19" s="1"/>
  <c r="E14" i="19" a="1"/>
  <c r="E14" i="19" s="1"/>
  <c r="G52" i="21" a="1"/>
  <c r="G52" i="21" s="1"/>
  <c r="J52" i="21" a="1"/>
  <c r="J52" i="21" s="1"/>
  <c r="H14" i="19" a="1"/>
  <c r="H14" i="19" s="1"/>
  <c r="I72" i="21" a="1"/>
  <c r="I72" i="21" s="1"/>
  <c r="I52" i="21" a="1"/>
  <c r="I52" i="21" s="1"/>
  <c r="G14" i="19" a="1"/>
  <c r="G14" i="19" s="1"/>
  <c r="K72" i="21" a="1"/>
  <c r="K72" i="21" s="1"/>
  <c r="H29" i="21" a="1"/>
  <c r="H29" i="21" s="1"/>
  <c r="J72" i="21" a="1"/>
  <c r="J72" i="21" s="1"/>
  <c r="H52" i="21" a="1"/>
  <c r="H52" i="21" s="1"/>
  <c r="H72" i="21" a="1"/>
  <c r="H72" i="21" s="1"/>
  <c r="L72" i="21" a="1"/>
  <c r="L72" i="21" s="1"/>
  <c r="J14" i="19" a="1"/>
  <c r="J14" i="19" s="1"/>
  <c r="H84" i="21" a="1"/>
  <c r="H84" i="21" s="1"/>
  <c r="J23" i="21" a="1"/>
  <c r="J23" i="21" s="1"/>
  <c r="G73" i="21" a="1"/>
  <c r="G73" i="21" s="1"/>
  <c r="J45" i="21" a="1"/>
  <c r="J45" i="21" s="1"/>
  <c r="H23" i="19" a="1"/>
  <c r="H23" i="19" s="1"/>
  <c r="J23" i="19" a="1"/>
  <c r="J23" i="19" s="1"/>
  <c r="H34" i="21" a="1"/>
  <c r="H34" i="21" s="1"/>
  <c r="I43" i="21" a="1"/>
  <c r="I43" i="21" s="1"/>
  <c r="I23" i="19" a="1"/>
  <c r="I23" i="19" s="1"/>
  <c r="G27" i="19" a="1"/>
  <c r="G27" i="19" s="1"/>
  <c r="F23" i="19" a="1"/>
  <c r="F23" i="19" s="1"/>
  <c r="J12" i="19" a="1"/>
  <c r="J12" i="19" s="1"/>
  <c r="G23" i="19" a="1"/>
  <c r="G23" i="19" s="1"/>
  <c r="H27" i="19" a="1"/>
  <c r="H27" i="19" s="1"/>
  <c r="F12" i="19" a="1"/>
  <c r="F12" i="19" s="1"/>
  <c r="E27" i="19" a="1"/>
  <c r="E27" i="19" s="1"/>
  <c r="I34" i="21" a="1"/>
  <c r="I34" i="21" s="1"/>
  <c r="H71" i="21" a="1"/>
  <c r="H71" i="21" s="1"/>
  <c r="F27" i="19" a="1"/>
  <c r="F27" i="19" s="1"/>
  <c r="G12" i="19" a="1"/>
  <c r="G12" i="19" s="1"/>
  <c r="H9" i="21" a="1"/>
  <c r="H9" i="21" s="1"/>
  <c r="I95" i="21" a="1"/>
  <c r="I95" i="21" s="1"/>
  <c r="L43" i="21" a="1"/>
  <c r="L43" i="21" s="1"/>
  <c r="I22" i="21" a="1"/>
  <c r="I22" i="21" s="1"/>
  <c r="K95" i="21" a="1"/>
  <c r="K95" i="21" s="1"/>
  <c r="I89" i="21" a="1"/>
  <c r="I89" i="21" s="1"/>
  <c r="E32" i="19" a="1"/>
  <c r="E32" i="19" s="1"/>
  <c r="H32" i="19" a="1"/>
  <c r="H32" i="19" s="1"/>
  <c r="J32" i="19" a="1"/>
  <c r="J32" i="19" s="1"/>
  <c r="H11" i="19" a="1"/>
  <c r="H11" i="19" s="1"/>
  <c r="F32" i="19" a="1"/>
  <c r="F32" i="19" s="1"/>
  <c r="I32" i="19" a="1"/>
  <c r="I32" i="19" s="1"/>
  <c r="E30" i="19" a="1"/>
  <c r="E30" i="19" s="1"/>
  <c r="H40" i="21" a="1"/>
  <c r="H40" i="21" s="1"/>
  <c r="E8" i="19" a="1"/>
  <c r="E8" i="19" s="1"/>
  <c r="I9" i="21" a="1"/>
  <c r="I9" i="21" s="1"/>
  <c r="L9" i="21" a="1"/>
  <c r="L9" i="21" s="1"/>
  <c r="K45" i="21" a="1"/>
  <c r="K45" i="21" s="1"/>
  <c r="I48" i="21" a="1"/>
  <c r="I48" i="21" s="1"/>
  <c r="K73" i="21" a="1"/>
  <c r="K73" i="21" s="1"/>
  <c r="I38" i="21" a="1"/>
  <c r="I38" i="21" s="1"/>
  <c r="E12" i="19" a="1"/>
  <c r="E12" i="19" s="1"/>
  <c r="K9" i="21" a="1"/>
  <c r="K9" i="21" s="1"/>
  <c r="E13" i="19" a="1"/>
  <c r="E13" i="19" s="1"/>
  <c r="L10" i="21" a="1"/>
  <c r="L10" i="21" s="1"/>
  <c r="J20" i="19" a="1"/>
  <c r="J20" i="19" s="1"/>
  <c r="I12" i="19" a="1"/>
  <c r="I12" i="19" s="1"/>
  <c r="J19" i="21" a="1"/>
  <c r="J19" i="21" s="1"/>
  <c r="J38" i="21" a="1"/>
  <c r="J38" i="21" s="1"/>
  <c r="G13" i="19" a="1"/>
  <c r="G13" i="19" s="1"/>
  <c r="G24" i="19" a="1"/>
  <c r="G24" i="19" s="1"/>
  <c r="L57" i="21" a="1"/>
  <c r="L57" i="21" s="1"/>
  <c r="G19" i="21" a="1"/>
  <c r="G19" i="21" s="1"/>
  <c r="I91" i="21" a="1"/>
  <c r="I91" i="21" s="1"/>
  <c r="G31" i="21" a="1"/>
  <c r="G31" i="21" s="1"/>
  <c r="L36" i="21" a="1"/>
  <c r="L36" i="21" s="1"/>
  <c r="L47" i="21" a="1"/>
  <c r="L47" i="21" s="1"/>
  <c r="E20" i="19" a="1"/>
  <c r="E20" i="19" s="1"/>
  <c r="F24" i="19" a="1"/>
  <c r="F24" i="19" s="1"/>
  <c r="L23" i="21" a="1"/>
  <c r="L23" i="21" s="1"/>
  <c r="G45" i="21" a="1"/>
  <c r="G45" i="21" s="1"/>
  <c r="J13" i="19" a="1"/>
  <c r="J13" i="19" s="1"/>
  <c r="L29" i="21" a="1"/>
  <c r="L29" i="21" s="1"/>
  <c r="I13" i="19" a="1"/>
  <c r="I13" i="19" s="1"/>
  <c r="H25" i="21" a="1"/>
  <c r="H25" i="21" s="1"/>
  <c r="K71" i="21" a="1"/>
  <c r="K71" i="21" s="1"/>
  <c r="J24" i="19" a="1"/>
  <c r="J24" i="19" s="1"/>
  <c r="H27" i="21" a="1"/>
  <c r="H27" i="21" s="1"/>
  <c r="J84" i="21" a="1"/>
  <c r="J84" i="21" s="1"/>
  <c r="I19" i="21" a="1"/>
  <c r="I19" i="21" s="1"/>
  <c r="L84" i="21" a="1"/>
  <c r="L84" i="21" s="1"/>
  <c r="H20" i="19" a="1"/>
  <c r="H20" i="19" s="1"/>
  <c r="I20" i="19" a="1"/>
  <c r="I20" i="19" s="1"/>
  <c r="H36" i="21" a="1"/>
  <c r="H36" i="21" s="1"/>
  <c r="K19" i="21" a="1"/>
  <c r="K19" i="21" s="1"/>
  <c r="K84" i="21" a="1"/>
  <c r="K84" i="21" s="1"/>
  <c r="L56" i="21" a="1"/>
  <c r="L56" i="21" s="1"/>
  <c r="H95" i="21" a="1"/>
  <c r="H95" i="21" s="1"/>
  <c r="L89" i="21" a="1"/>
  <c r="L89" i="21" s="1"/>
  <c r="J56" i="21" a="1"/>
  <c r="J56" i="21" s="1"/>
  <c r="G18" i="19" a="1"/>
  <c r="G18" i="19" s="1"/>
  <c r="L11" i="21" a="1"/>
  <c r="L11" i="21" s="1"/>
  <c r="J83" i="21" a="1"/>
  <c r="J83" i="21" s="1"/>
  <c r="I11" i="21" a="1"/>
  <c r="I11" i="21" s="1"/>
  <c r="J30" i="21" a="1"/>
  <c r="J30" i="21" s="1"/>
  <c r="L13" i="21" a="1"/>
  <c r="L13" i="21" s="1"/>
  <c r="L46" i="21" a="1"/>
  <c r="L46" i="21" s="1"/>
  <c r="L48" i="21" a="1"/>
  <c r="L48" i="21" s="1"/>
  <c r="I47" i="21" a="1"/>
  <c r="I47" i="21" s="1"/>
  <c r="L71" i="21" a="1"/>
  <c r="L71" i="21" s="1"/>
  <c r="E24" i="19" a="1"/>
  <c r="E24" i="19" s="1"/>
  <c r="K57" i="21" a="1"/>
  <c r="K57" i="21" s="1"/>
  <c r="I80" i="21" a="1"/>
  <c r="I80" i="21" s="1"/>
  <c r="K80" i="21" a="1"/>
  <c r="K80" i="21" s="1"/>
  <c r="I24" i="19" a="1"/>
  <c r="I24" i="19" s="1"/>
  <c r="H46" i="21" a="1"/>
  <c r="H46" i="21" s="1"/>
  <c r="I8" i="21" a="1"/>
  <c r="I8" i="21" s="1"/>
  <c r="L40" i="21" a="1"/>
  <c r="L40" i="21" s="1"/>
  <c r="I46" i="21" a="1"/>
  <c r="I46" i="21" s="1"/>
  <c r="E9" i="19" a="1"/>
  <c r="E9" i="19" s="1"/>
  <c r="G36" i="21" a="1"/>
  <c r="G36" i="21" s="1"/>
  <c r="G39" i="21" a="1"/>
  <c r="G39" i="21" s="1"/>
  <c r="L38" i="21" a="1"/>
  <c r="L38" i="21" s="1"/>
  <c r="G40" i="21" a="1"/>
  <c r="G40" i="21" s="1"/>
  <c r="K82" i="21" a="1"/>
  <c r="K82" i="21" s="1"/>
  <c r="H83" i="21" a="1"/>
  <c r="H83" i="21" s="1"/>
  <c r="E25" i="19" a="1"/>
  <c r="E25" i="19" s="1"/>
  <c r="I56" i="21" a="1"/>
  <c r="I56" i="21" s="1"/>
  <c r="H22" i="21" a="1"/>
  <c r="H22" i="21" s="1"/>
  <c r="H8" i="21" a="1"/>
  <c r="H8" i="21" s="1"/>
  <c r="L54" i="21" a="1"/>
  <c r="L54" i="21" s="1"/>
  <c r="L65" i="21" a="1"/>
  <c r="L65" i="21" s="1"/>
  <c r="I65" i="21" a="1"/>
  <c r="I65" i="21" s="1"/>
  <c r="K79" i="21" a="1"/>
  <c r="K79" i="21" s="1"/>
  <c r="L20" i="21" a="1"/>
  <c r="L20" i="21" s="1"/>
  <c r="I13" i="21" a="1"/>
  <c r="I13" i="21" s="1"/>
  <c r="F31" i="19" a="1"/>
  <c r="F31" i="19" s="1"/>
  <c r="K13" i="21" a="1"/>
  <c r="K13" i="21" s="1"/>
  <c r="H13" i="21" a="1"/>
  <c r="H13" i="21" s="1"/>
  <c r="J25" i="19" a="1"/>
  <c r="J25" i="19" s="1"/>
  <c r="I54" i="21" a="1"/>
  <c r="I54" i="21" s="1"/>
  <c r="H9" i="19" a="1"/>
  <c r="H9" i="19" s="1"/>
  <c r="J43" i="21" a="1"/>
  <c r="J43" i="21" s="1"/>
  <c r="I37" i="21" a="1"/>
  <c r="I37" i="21" s="1"/>
  <c r="H19" i="19" a="1"/>
  <c r="H19" i="19" s="1"/>
  <c r="J80" i="21" a="1"/>
  <c r="J80" i="21" s="1"/>
  <c r="I76" i="21" a="1"/>
  <c r="I76" i="21" s="1"/>
  <c r="I83" i="21" a="1"/>
  <c r="I83" i="21" s="1"/>
  <c r="J36" i="21" a="1"/>
  <c r="J36" i="21" s="1"/>
  <c r="K12" i="21" a="1"/>
  <c r="K12" i="21" s="1"/>
  <c r="I12" i="21" a="1"/>
  <c r="I12" i="21" s="1"/>
  <c r="L76" i="21" a="1"/>
  <c r="L76" i="21" s="1"/>
  <c r="J76" i="21" a="1"/>
  <c r="J76" i="21" s="1"/>
  <c r="I18" i="21" a="1"/>
  <c r="I18" i="21" s="1"/>
  <c r="I82" i="21" a="1"/>
  <c r="I82" i="21" s="1"/>
  <c r="L28" i="21" a="1"/>
  <c r="L28" i="21" s="1"/>
  <c r="L75" i="21" a="1"/>
  <c r="L75" i="21" s="1"/>
  <c r="F19" i="19" a="1"/>
  <c r="F19" i="19" s="1"/>
  <c r="G28" i="21" a="1"/>
  <c r="G28" i="21" s="1"/>
  <c r="I81" i="21" a="1"/>
  <c r="I81" i="21" s="1"/>
  <c r="G82" i="21" a="1"/>
  <c r="G82" i="21" s="1"/>
  <c r="K63" i="21" a="1"/>
  <c r="K63" i="21" s="1"/>
  <c r="G15" i="19" a="1"/>
  <c r="G15" i="19" s="1"/>
  <c r="H10" i="21" a="1"/>
  <c r="H10" i="21" s="1"/>
  <c r="L81" i="21" a="1"/>
  <c r="L81" i="21" s="1"/>
  <c r="L30" i="21" a="1"/>
  <c r="L30" i="21" s="1"/>
  <c r="I10" i="21" a="1"/>
  <c r="I10" i="21" s="1"/>
  <c r="J28" i="21" a="1"/>
  <c r="J28" i="21" s="1"/>
  <c r="L18" i="21" a="1"/>
  <c r="L18" i="21" s="1"/>
  <c r="G48" i="21" a="1"/>
  <c r="G48" i="21" s="1"/>
  <c r="I57" i="21" a="1"/>
  <c r="I57" i="21" s="1"/>
  <c r="L91" i="21" a="1"/>
  <c r="L91" i="21" s="1"/>
  <c r="I9" i="19" a="1"/>
  <c r="I9" i="19" s="1"/>
  <c r="I15" i="19" a="1"/>
  <c r="I15" i="19" s="1"/>
  <c r="K31" i="21" a="1"/>
  <c r="K31" i="21" s="1"/>
  <c r="K28" i="21" a="1"/>
  <c r="K28" i="21" s="1"/>
  <c r="L82" i="21" a="1"/>
  <c r="L82" i="21" s="1"/>
  <c r="J18" i="21" a="1"/>
  <c r="J18" i="21" s="1"/>
  <c r="J15" i="19" a="1"/>
  <c r="J15" i="19" s="1"/>
  <c r="I36" i="21" a="1"/>
  <c r="I36" i="21" s="1"/>
  <c r="G10" i="21" a="1"/>
  <c r="G10" i="21" s="1"/>
  <c r="H24" i="21" a="1"/>
  <c r="H24" i="21" s="1"/>
  <c r="K43" i="21" a="1"/>
  <c r="K43" i="21" s="1"/>
  <c r="G34" i="21" a="1"/>
  <c r="G34" i="21" s="1"/>
  <c r="I19" i="19" a="1"/>
  <c r="I19" i="19" s="1"/>
  <c r="K18" i="21" a="1"/>
  <c r="K18" i="21" s="1"/>
  <c r="I32" i="21" a="1"/>
  <c r="I32" i="21" s="1"/>
  <c r="G12" i="21" a="1"/>
  <c r="G12" i="21" s="1"/>
  <c r="L12" i="21" a="1"/>
  <c r="L12" i="21" s="1"/>
  <c r="G16" i="21" a="1"/>
  <c r="G16" i="21" s="1"/>
  <c r="J20" i="21" a="1"/>
  <c r="J20" i="21" s="1"/>
  <c r="K20" i="21" a="1"/>
  <c r="K20" i="21" s="1"/>
  <c r="G43" i="21" a="1"/>
  <c r="G43" i="21" s="1"/>
  <c r="L35" i="21" a="1"/>
  <c r="L35" i="21" s="1"/>
  <c r="F28" i="19" a="1"/>
  <c r="F28" i="19" s="1"/>
  <c r="H12" i="21" a="1"/>
  <c r="H12" i="21" s="1"/>
  <c r="G76" i="21" a="1"/>
  <c r="G76" i="21" s="1"/>
  <c r="I24" i="21" a="1"/>
  <c r="I24" i="21" s="1"/>
  <c r="I29" i="19" a="1"/>
  <c r="I29" i="19" s="1"/>
  <c r="J29" i="19" a="1"/>
  <c r="J29" i="19" s="1"/>
  <c r="F30" i="19" a="1"/>
  <c r="F30" i="19" s="1"/>
  <c r="J9" i="21" a="1"/>
  <c r="J9" i="21" s="1"/>
  <c r="L93" i="21" a="1"/>
  <c r="L93" i="21" s="1"/>
  <c r="J13" i="21" a="1"/>
  <c r="J13" i="21" s="1"/>
  <c r="H76" i="21" a="1"/>
  <c r="H76" i="21" s="1"/>
  <c r="H87" i="21" a="1"/>
  <c r="H87" i="21" s="1"/>
  <c r="L32" i="21" a="1"/>
  <c r="L32" i="21" s="1"/>
  <c r="H31" i="19" a="1"/>
  <c r="H31" i="19" s="1"/>
  <c r="H20" i="21" a="1"/>
  <c r="H20" i="21" s="1"/>
  <c r="K54" i="21" a="1"/>
  <c r="K54" i="21" s="1"/>
  <c r="G29" i="19" a="1"/>
  <c r="G29" i="19" s="1"/>
  <c r="J54" i="21" a="1"/>
  <c r="J54" i="21" s="1"/>
  <c r="G8" i="21" a="1"/>
  <c r="G8" i="21" s="1"/>
  <c r="I77" i="21" a="1"/>
  <c r="I77" i="21" s="1"/>
  <c r="E28" i="19" a="1"/>
  <c r="E28" i="19" s="1"/>
  <c r="E16" i="19" a="1"/>
  <c r="E16" i="19" s="1"/>
  <c r="L86" i="21" a="1"/>
  <c r="L86" i="21" s="1"/>
  <c r="K48" i="21" a="1"/>
  <c r="K48" i="21" s="1"/>
  <c r="K16" i="21" a="1"/>
  <c r="K16" i="21" s="1"/>
  <c r="H80" i="21" a="1"/>
  <c r="H80" i="21" s="1"/>
  <c r="I79" i="21" a="1"/>
  <c r="I79" i="21" s="1"/>
  <c r="J31" i="19" a="1"/>
  <c r="J31" i="19" s="1"/>
  <c r="L80" i="21" a="1"/>
  <c r="L80" i="21" s="1"/>
  <c r="I18" i="19" a="1"/>
  <c r="I18" i="19" s="1"/>
  <c r="H38" i="21" a="1"/>
  <c r="H38" i="21" s="1"/>
  <c r="K75" i="21" a="1"/>
  <c r="K75" i="21" s="1"/>
  <c r="G18" i="21" a="1"/>
  <c r="G18" i="21" s="1"/>
  <c r="J19" i="19" a="1"/>
  <c r="J19" i="19" s="1"/>
  <c r="H15" i="19" a="1"/>
  <c r="H15" i="19" s="1"/>
  <c r="G44" i="21" a="1"/>
  <c r="G44" i="21" s="1"/>
  <c r="L62" i="21" a="1"/>
  <c r="L62" i="21" s="1"/>
  <c r="J66" i="21" a="1"/>
  <c r="J66" i="21" s="1"/>
  <c r="F15" i="19" a="1"/>
  <c r="F15" i="19" s="1"/>
  <c r="J96" i="21" a="1"/>
  <c r="J96" i="21" s="1"/>
  <c r="G96" i="21" a="1"/>
  <c r="G96" i="21" s="1"/>
  <c r="K38" i="21" a="1"/>
  <c r="K38" i="21" s="1"/>
  <c r="J82" i="21" a="1"/>
  <c r="J82" i="21" s="1"/>
  <c r="I74" i="21" a="1"/>
  <c r="I74" i="21" s="1"/>
  <c r="L24" i="21" a="1"/>
  <c r="L24" i="21" s="1"/>
  <c r="E31" i="19" a="1"/>
  <c r="E31" i="19" s="1"/>
  <c r="G62" i="21" a="1"/>
  <c r="G62" i="21" s="1"/>
  <c r="H29" i="19" a="1"/>
  <c r="H29" i="19" s="1"/>
  <c r="F24" i="25"/>
  <c r="G24" i="25" s="1"/>
  <c r="E25" i="25"/>
  <c r="F25" i="25"/>
  <c r="K25" i="25" s="1"/>
  <c r="H25" i="25"/>
  <c r="E26" i="25" s="1"/>
  <c r="E8" i="25"/>
  <c r="D8" i="25"/>
  <c r="G7" i="25"/>
  <c r="K7" i="25"/>
  <c r="J7" i="25"/>
  <c r="L25" i="21" a="1"/>
  <c r="L25" i="21" s="1"/>
  <c r="E29" i="19" a="1"/>
  <c r="E29" i="19" s="1"/>
  <c r="I31" i="19" a="1"/>
  <c r="I31" i="19" s="1"/>
  <c r="K81" i="21" a="1"/>
  <c r="K81" i="21" s="1"/>
  <c r="G81" i="21" a="1"/>
  <c r="G81" i="21" s="1"/>
  <c r="L69" i="21" a="1"/>
  <c r="L69" i="21" s="1"/>
  <c r="L64" i="21" a="1"/>
  <c r="L64" i="21" s="1"/>
  <c r="J26" i="19" a="1"/>
  <c r="J26" i="19" s="1"/>
  <c r="I31" i="21" a="1"/>
  <c r="I31" i="21" s="1"/>
  <c r="H8" i="19" a="1"/>
  <c r="H8" i="19" s="1"/>
  <c r="I25" i="19" a="1"/>
  <c r="I25" i="19" s="1"/>
  <c r="G11" i="19" a="1"/>
  <c r="G11" i="19" s="1"/>
  <c r="J28" i="19" a="1"/>
  <c r="J28" i="19" s="1"/>
  <c r="L33" i="21" a="1"/>
  <c r="L33" i="21" s="1"/>
  <c r="H48" i="21" a="1"/>
  <c r="H48" i="21" s="1"/>
  <c r="I33" i="21" a="1"/>
  <c r="I33" i="21" s="1"/>
  <c r="H16" i="21" a="1"/>
  <c r="H16" i="21" s="1"/>
  <c r="K33" i="21" a="1"/>
  <c r="K33" i="21" s="1"/>
  <c r="I25" i="21" a="1"/>
  <c r="I25" i="21" s="1"/>
  <c r="J18" i="19" a="1"/>
  <c r="J18" i="19" s="1"/>
  <c r="F18" i="19" a="1"/>
  <c r="F18" i="19" s="1"/>
  <c r="G92" i="21" a="1"/>
  <c r="G92" i="21" s="1"/>
  <c r="H18" i="19" a="1"/>
  <c r="H18" i="19" s="1"/>
  <c r="J17" i="19" a="1"/>
  <c r="J17" i="19" s="1"/>
  <c r="E6" i="19" a="1"/>
  <c r="E6" i="19" s="1"/>
  <c r="H21" i="19" a="1"/>
  <c r="H21" i="19" s="1"/>
  <c r="F25" i="19" a="1"/>
  <c r="F25" i="19" s="1"/>
  <c r="G22" i="19" a="1"/>
  <c r="G22" i="19" s="1"/>
  <c r="F16" i="19" a="1"/>
  <c r="F16" i="19" s="1"/>
  <c r="I17" i="19" a="1"/>
  <c r="I17" i="19" s="1"/>
  <c r="H16" i="19" a="1"/>
  <c r="H16" i="19" s="1"/>
  <c r="G64" i="21" a="1"/>
  <c r="G64" i="21" s="1"/>
  <c r="L92" i="21" a="1"/>
  <c r="L92" i="21" s="1"/>
  <c r="G17" i="19" a="1"/>
  <c r="G17" i="19" s="1"/>
  <c r="L8" i="21" a="1"/>
  <c r="L8" i="21" s="1"/>
  <c r="I8" i="19" a="1"/>
  <c r="I8" i="19" s="1"/>
  <c r="F6" i="19" a="1"/>
  <c r="F6" i="19" s="1"/>
  <c r="G24" i="21" a="1"/>
  <c r="G24" i="21" s="1"/>
  <c r="K64" i="21" a="1"/>
  <c r="K64" i="21" s="1"/>
  <c r="H54" i="21" a="1"/>
  <c r="H54" i="21" s="1"/>
  <c r="G33" i="21" a="1"/>
  <c r="G33" i="21" s="1"/>
  <c r="I92" i="21" a="1"/>
  <c r="I92" i="21" s="1"/>
  <c r="E21" i="19" a="1"/>
  <c r="E21" i="19" s="1"/>
  <c r="E17" i="19" a="1"/>
  <c r="E17" i="19" s="1"/>
  <c r="I20" i="21" a="1"/>
  <c r="I20" i="21" s="1"/>
  <c r="J65" i="21" a="1"/>
  <c r="J65" i="21" s="1"/>
  <c r="L85" i="21" a="1"/>
  <c r="L85" i="21" s="1"/>
  <c r="F13" i="19" a="1"/>
  <c r="F13" i="19" s="1"/>
  <c r="K24" i="21" a="1"/>
  <c r="K24" i="21" s="1"/>
  <c r="L22" i="21" a="1"/>
  <c r="L22" i="21" s="1"/>
  <c r="L34" i="21" a="1"/>
  <c r="L34" i="21" s="1"/>
  <c r="K69" i="21" a="1"/>
  <c r="K69" i="21" s="1"/>
  <c r="G77" i="21" a="1"/>
  <c r="G77" i="21" s="1"/>
  <c r="G25" i="19" a="1"/>
  <c r="G25" i="19" s="1"/>
  <c r="H17" i="19" a="1"/>
  <c r="H17" i="19" s="1"/>
  <c r="I26" i="19" a="1"/>
  <c r="I26" i="19" s="1"/>
  <c r="E26" i="19" a="1"/>
  <c r="E26" i="19" s="1"/>
  <c r="J81" i="21" a="1"/>
  <c r="J81" i="21" s="1"/>
  <c r="J33" i="21" a="1"/>
  <c r="J33" i="21" s="1"/>
  <c r="J10" i="21" a="1"/>
  <c r="J10" i="21" s="1"/>
  <c r="G28" i="19" a="1"/>
  <c r="G28" i="19" s="1"/>
  <c r="J51" i="21" a="1"/>
  <c r="J51" i="21" s="1"/>
  <c r="L51" i="21" a="1"/>
  <c r="L51" i="21" s="1"/>
  <c r="H51" i="21" a="1"/>
  <c r="H51" i="21" s="1"/>
  <c r="G51" i="21" a="1"/>
  <c r="G51" i="21" s="1"/>
  <c r="I51" i="21" a="1"/>
  <c r="I51" i="21" s="1"/>
  <c r="J86" i="21" a="1"/>
  <c r="J86" i="21" s="1"/>
  <c r="I86" i="21" a="1"/>
  <c r="I86" i="21" s="1"/>
  <c r="G49" i="21" a="1"/>
  <c r="G49" i="21" s="1"/>
  <c r="J49" i="21" a="1"/>
  <c r="J49" i="21" s="1"/>
  <c r="G63" i="21" a="1"/>
  <c r="G63" i="21" s="1"/>
  <c r="L63" i="21" a="1"/>
  <c r="L63" i="21" s="1"/>
  <c r="I63" i="21" a="1"/>
  <c r="I63" i="21" s="1"/>
  <c r="J41" i="21" a="1"/>
  <c r="J41" i="21" s="1"/>
  <c r="I41" i="21" a="1"/>
  <c r="I41" i="21" s="1"/>
  <c r="L41" i="21" a="1"/>
  <c r="L41" i="21" s="1"/>
  <c r="H78" i="21" a="1"/>
  <c r="H78" i="21" s="1"/>
  <c r="G78" i="21" a="1"/>
  <c r="G78" i="21" s="1"/>
  <c r="I78" i="21" a="1"/>
  <c r="I78" i="21" s="1"/>
  <c r="I66" i="21" a="1"/>
  <c r="I66" i="21" s="1"/>
  <c r="G66" i="21" a="1"/>
  <c r="G66" i="21" s="1"/>
  <c r="G26" i="21" a="1"/>
  <c r="G26" i="21" s="1"/>
  <c r="I26" i="21" a="1"/>
  <c r="I26" i="21" s="1"/>
  <c r="L26" i="21" a="1"/>
  <c r="L26" i="21" s="1"/>
  <c r="J60" i="21" a="1"/>
  <c r="J60" i="21" s="1"/>
  <c r="I60" i="21" a="1"/>
  <c r="I60" i="21" s="1"/>
  <c r="G59" i="21" a="1"/>
  <c r="G59" i="21" s="1"/>
  <c r="I59" i="21" a="1"/>
  <c r="I59" i="21" s="1"/>
  <c r="L21" i="21" a="1"/>
  <c r="L21" i="21" s="1"/>
  <c r="K59" i="21" a="1"/>
  <c r="K59" i="21" s="1"/>
  <c r="J27" i="21" a="1"/>
  <c r="J27" i="21" s="1"/>
  <c r="J77" i="21" a="1"/>
  <c r="J77" i="21" s="1"/>
  <c r="L77" i="21" a="1"/>
  <c r="L77" i="21" s="1"/>
  <c r="G32" i="21" a="1"/>
  <c r="G32" i="21" s="1"/>
  <c r="K32" i="21" a="1"/>
  <c r="K32" i="21" s="1"/>
  <c r="H35" i="21" a="1"/>
  <c r="H35" i="21" s="1"/>
  <c r="K35" i="21" a="1"/>
  <c r="K35" i="21" s="1"/>
  <c r="G35" i="21" a="1"/>
  <c r="G35" i="21" s="1"/>
  <c r="L90" i="21" a="1"/>
  <c r="L90" i="21" s="1"/>
  <c r="G90" i="21" a="1"/>
  <c r="G90" i="21" s="1"/>
  <c r="I90" i="21" a="1"/>
  <c r="I90" i="21" s="1"/>
  <c r="H90" i="21" a="1"/>
  <c r="H90" i="21" s="1"/>
  <c r="E7" i="19" a="1"/>
  <c r="E7" i="19" s="1"/>
  <c r="J62" i="21" a="1"/>
  <c r="J62" i="21" s="1"/>
  <c r="I62" i="21" a="1"/>
  <c r="I62" i="21" s="1"/>
  <c r="K68" i="21" a="1"/>
  <c r="K68" i="21" s="1"/>
  <c r="L68" i="21" a="1"/>
  <c r="L68" i="21" s="1"/>
  <c r="H10" i="19" a="1"/>
  <c r="H10" i="19" s="1"/>
  <c r="J9" i="19" a="1"/>
  <c r="J9" i="19" s="1"/>
  <c r="J11" i="19" a="1"/>
  <c r="J11" i="19" s="1"/>
  <c r="J21" i="19" a="1"/>
  <c r="J21" i="19" s="1"/>
  <c r="I21" i="19" a="1"/>
  <c r="I21" i="19" s="1"/>
  <c r="I29" i="21" a="1"/>
  <c r="I29" i="21" s="1"/>
  <c r="K39" i="21" a="1"/>
  <c r="K39" i="21" s="1"/>
  <c r="I39" i="21" a="1"/>
  <c r="I39" i="21" s="1"/>
  <c r="J39" i="21" a="1"/>
  <c r="J39" i="21" s="1"/>
  <c r="G14" i="21" a="1"/>
  <c r="G14" i="21" s="1"/>
  <c r="H14" i="21" a="1"/>
  <c r="H14" i="21" s="1"/>
  <c r="L14" i="21" a="1"/>
  <c r="L14" i="21" s="1"/>
  <c r="I14" i="21" a="1"/>
  <c r="I14" i="21" s="1"/>
  <c r="K14" i="21" a="1"/>
  <c r="K14" i="21" s="1"/>
  <c r="J14" i="21" a="1"/>
  <c r="J14" i="21" s="1"/>
  <c r="J10" i="19" a="1"/>
  <c r="J10" i="19" s="1"/>
  <c r="H37" i="21" a="1"/>
  <c r="H37" i="21" s="1"/>
  <c r="I68" i="21" a="1"/>
  <c r="I68" i="21" s="1"/>
  <c r="L37" i="21" a="1"/>
  <c r="L37" i="21" s="1"/>
  <c r="L60" i="21" a="1"/>
  <c r="L60" i="21" s="1"/>
  <c r="H68" i="21" a="1"/>
  <c r="H68" i="21" s="1"/>
  <c r="H56" i="21" a="1"/>
  <c r="H56" i="21" s="1"/>
  <c r="K34" i="21" a="1"/>
  <c r="K34" i="21" s="1"/>
  <c r="J94" i="21" a="1"/>
  <c r="J94" i="21" s="1"/>
  <c r="K94" i="21" a="1"/>
  <c r="K94" i="21" s="1"/>
  <c r="L61" i="21" a="1"/>
  <c r="L61" i="21" s="1"/>
  <c r="E10" i="19" a="1"/>
  <c r="E10" i="19" s="1"/>
  <c r="H7" i="19" a="1"/>
  <c r="H7" i="19" s="1"/>
  <c r="H22" i="19" a="1"/>
  <c r="H22" i="19" s="1"/>
  <c r="I30" i="19" a="1"/>
  <c r="I30" i="19" s="1"/>
  <c r="K60" i="21" a="1"/>
  <c r="K60" i="21" s="1"/>
  <c r="I30" i="21" a="1"/>
  <c r="I30" i="21" s="1"/>
  <c r="H26" i="21" a="1"/>
  <c r="H26" i="21" s="1"/>
  <c r="H62" i="21" a="1"/>
  <c r="H62" i="21" s="1"/>
  <c r="J55" i="21" a="1"/>
  <c r="J55" i="21" s="1"/>
  <c r="J61" i="21" a="1"/>
  <c r="J61" i="21" s="1"/>
  <c r="G68" i="21" a="1"/>
  <c r="G68" i="21" s="1"/>
  <c r="G56" i="21" a="1"/>
  <c r="G56" i="21" s="1"/>
  <c r="I70" i="21" a="1"/>
  <c r="I70" i="21" s="1"/>
  <c r="J85" i="21" a="1"/>
  <c r="J85" i="21" s="1"/>
  <c r="H61" i="21" a="1"/>
  <c r="H61" i="21" s="1"/>
  <c r="K8" i="21" a="1"/>
  <c r="K8" i="21" s="1"/>
  <c r="G86" i="21" a="1"/>
  <c r="G86" i="21" s="1"/>
  <c r="K49" i="21" a="1"/>
  <c r="K49" i="21" s="1"/>
  <c r="J35" i="21" a="1"/>
  <c r="J35" i="21" s="1"/>
  <c r="G83" i="21" a="1"/>
  <c r="G83" i="21" s="1"/>
  <c r="L83" i="21" a="1"/>
  <c r="L83" i="21" s="1"/>
  <c r="G16" i="19" a="1"/>
  <c r="G16" i="19" s="1"/>
  <c r="H57" i="21" a="1"/>
  <c r="H57" i="21" s="1"/>
  <c r="G57" i="21" a="1"/>
  <c r="G57" i="21" s="1"/>
  <c r="J26" i="21" a="1"/>
  <c r="J26" i="21" s="1"/>
  <c r="G89" i="21" a="1"/>
  <c r="G89" i="21" s="1"/>
  <c r="L49" i="21" a="1"/>
  <c r="L49" i="21" s="1"/>
  <c r="I49" i="21" a="1"/>
  <c r="I49" i="21" s="1"/>
  <c r="H53" i="21" a="1"/>
  <c r="H53" i="21" s="1"/>
  <c r="I27" i="21" a="1"/>
  <c r="I27" i="21" s="1"/>
  <c r="K37" i="21" a="1"/>
  <c r="K37" i="21" s="1"/>
  <c r="J91" i="21" a="1"/>
  <c r="J91" i="21" s="1"/>
  <c r="K91" i="21" a="1"/>
  <c r="K91" i="21" s="1"/>
  <c r="H92" i="21" a="1"/>
  <c r="H92" i="21" s="1"/>
  <c r="K92" i="21" a="1"/>
  <c r="K92" i="21" s="1"/>
  <c r="J71" i="21" a="1"/>
  <c r="J71" i="21" s="1"/>
  <c r="I71" i="21" a="1"/>
  <c r="I71" i="21" s="1"/>
  <c r="G20" i="19" a="1"/>
  <c r="G20" i="19" s="1"/>
  <c r="K65" i="21" a="1"/>
  <c r="K65" i="21" s="1"/>
  <c r="H65" i="21" a="1"/>
  <c r="H65" i="21" s="1"/>
  <c r="J90" i="21" a="1"/>
  <c r="J90" i="21" s="1"/>
  <c r="G10" i="19" a="1"/>
  <c r="G10" i="19" s="1"/>
  <c r="J8" i="19" a="1"/>
  <c r="J8" i="19" s="1"/>
  <c r="H49" i="21" a="1"/>
  <c r="H49" i="21" s="1"/>
  <c r="I55" i="21" a="1"/>
  <c r="I55" i="21" s="1"/>
  <c r="H94" i="21" a="1"/>
  <c r="H94" i="21" s="1"/>
  <c r="G61" i="21" a="1"/>
  <c r="G61" i="21" s="1"/>
  <c r="G8" i="19" a="1"/>
  <c r="G8" i="19" s="1"/>
  <c r="H6" i="19" a="1"/>
  <c r="H6" i="19" s="1"/>
  <c r="H30" i="19" a="1"/>
  <c r="H30" i="19" s="1"/>
  <c r="J6" i="19" a="1"/>
  <c r="J6" i="19" s="1"/>
  <c r="J27" i="19" a="1"/>
  <c r="J27" i="19" s="1"/>
  <c r="L19" i="21" a="1"/>
  <c r="L19" i="21" s="1"/>
  <c r="K30" i="21" a="1"/>
  <c r="K30" i="21" s="1"/>
  <c r="L55" i="21" a="1"/>
  <c r="L55" i="21" s="1"/>
  <c r="I87" i="21" a="1"/>
  <c r="I87" i="21" s="1"/>
  <c r="G70" i="21" a="1"/>
  <c r="G70" i="21" s="1"/>
  <c r="H89" i="21" a="1"/>
  <c r="H89" i="21" s="1"/>
  <c r="H91" i="21" a="1"/>
  <c r="H91" i="21" s="1"/>
  <c r="J75" i="21" a="1"/>
  <c r="J75" i="21" s="1"/>
  <c r="G53" i="21" a="1"/>
  <c r="G53" i="21" s="1"/>
  <c r="L39" i="21" a="1"/>
  <c r="L39" i="21" s="1"/>
  <c r="K15" i="21" a="1"/>
  <c r="K15" i="21" s="1"/>
  <c r="I15" i="21" a="1"/>
  <c r="I15" i="21" s="1"/>
  <c r="L15" i="21" a="1"/>
  <c r="L15" i="21" s="1"/>
  <c r="J15" i="21" a="1"/>
  <c r="J15" i="21" s="1"/>
  <c r="I10" i="19" a="1"/>
  <c r="I10" i="19" s="1"/>
  <c r="J17" i="21" a="1"/>
  <c r="J17" i="21" s="1"/>
  <c r="G17" i="21" a="1"/>
  <c r="G17" i="21" s="1"/>
  <c r="H17" i="21" a="1"/>
  <c r="H17" i="21" s="1"/>
  <c r="L17" i="21" a="1"/>
  <c r="L17" i="21" s="1"/>
  <c r="K17" i="21" a="1"/>
  <c r="K17" i="21" s="1"/>
  <c r="F11" i="19" a="1"/>
  <c r="F11" i="19" s="1"/>
  <c r="I85" i="21" a="1"/>
  <c r="I85" i="21" s="1"/>
  <c r="L70" i="21" a="1"/>
  <c r="L70" i="21" s="1"/>
  <c r="J22" i="19" a="1"/>
  <c r="J22" i="19" s="1"/>
  <c r="I11" i="19" a="1"/>
  <c r="I11" i="19" s="1"/>
  <c r="J16" i="19" a="1"/>
  <c r="J16" i="19" s="1"/>
  <c r="I28" i="19" a="1"/>
  <c r="I28" i="19" s="1"/>
  <c r="I16" i="21" a="1"/>
  <c r="I16" i="21" s="1"/>
  <c r="I69" i="21" a="1"/>
  <c r="I69" i="21" s="1"/>
  <c r="J32" i="21" a="1"/>
  <c r="J32" i="21" s="1"/>
  <c r="H86" i="21" a="1"/>
  <c r="H86" i="21" s="1"/>
  <c r="H85" i="21" a="1"/>
  <c r="H85" i="21" s="1"/>
  <c r="J89" i="21" a="1"/>
  <c r="J89" i="21" s="1"/>
  <c r="J44" i="21" a="1"/>
  <c r="J44" i="21" s="1"/>
  <c r="K70" i="21" a="1"/>
  <c r="K70" i="21" s="1"/>
  <c r="K53" i="21" a="1"/>
  <c r="K53" i="21" s="1"/>
  <c r="G30" i="21" a="1"/>
  <c r="G30" i="21" s="1"/>
  <c r="J93" i="21" a="1"/>
  <c r="J93" i="21" s="1"/>
  <c r="G55" i="21" a="1"/>
  <c r="G55" i="21" s="1"/>
  <c r="J59" i="21" a="1"/>
  <c r="J59" i="21" s="1"/>
  <c r="K62" i="21" a="1"/>
  <c r="K62" i="21" s="1"/>
  <c r="J37" i="21" a="1"/>
  <c r="J37" i="21" s="1"/>
  <c r="H41" i="21" a="1"/>
  <c r="H41" i="21" s="1"/>
  <c r="G19" i="19" a="1"/>
  <c r="G19" i="19" s="1"/>
  <c r="L79" i="21" a="1"/>
  <c r="L79" i="21" s="1"/>
  <c r="H79" i="21" a="1"/>
  <c r="H79" i="21" s="1"/>
  <c r="G79" i="21" a="1"/>
  <c r="G79" i="21" s="1"/>
  <c r="J50" i="21" a="1"/>
  <c r="J50" i="21" s="1"/>
  <c r="I50" i="21" a="1"/>
  <c r="I50" i="21" s="1"/>
  <c r="K50" i="21" a="1"/>
  <c r="K50" i="21" s="1"/>
  <c r="G7" i="19" a="1"/>
  <c r="G7" i="19" s="1"/>
  <c r="J7" i="19" a="1"/>
  <c r="J7" i="19" s="1"/>
  <c r="F22" i="19" a="1"/>
  <c r="F22" i="19" s="1"/>
  <c r="G50" i="21" a="1"/>
  <c r="G50" i="21" s="1"/>
  <c r="K77" i="21" a="1"/>
  <c r="K77" i="21" s="1"/>
  <c r="G85" i="21" a="1"/>
  <c r="G85" i="21" s="1"/>
  <c r="K90" i="21" a="1"/>
  <c r="K90" i="21" s="1"/>
  <c r="I44" i="21" a="1"/>
  <c r="I44" i="21" s="1"/>
  <c r="L94" i="21" a="1"/>
  <c r="L94" i="21" s="1"/>
  <c r="J70" i="21" a="1"/>
  <c r="J70" i="21" s="1"/>
  <c r="J63" i="21" a="1"/>
  <c r="J63" i="21" s="1"/>
  <c r="L59" i="21" a="1"/>
  <c r="L59" i="21" s="1"/>
  <c r="L27" i="21" a="1"/>
  <c r="L27" i="21" s="1"/>
  <c r="L50" i="21" a="1"/>
  <c r="L50" i="21" s="1"/>
  <c r="I88" i="21" a="1"/>
  <c r="I88" i="21" s="1"/>
  <c r="G88" i="21" a="1"/>
  <c r="G88" i="21" s="1"/>
  <c r="H88" i="21" a="1"/>
  <c r="H88" i="21" s="1"/>
  <c r="L88" i="21" a="1"/>
  <c r="L88" i="21" s="1"/>
  <c r="J88" i="21" a="1"/>
  <c r="J88" i="21" s="1"/>
  <c r="K88" i="21" a="1"/>
  <c r="K88" i="21" s="1"/>
  <c r="H47" i="21" a="1"/>
  <c r="H47" i="21" s="1"/>
  <c r="G47" i="21" a="1"/>
  <c r="G47" i="21" s="1"/>
  <c r="K47" i="21" a="1"/>
  <c r="K47" i="21" s="1"/>
  <c r="J47" i="21" a="1"/>
  <c r="J47" i="21" s="1"/>
  <c r="G9" i="19" a="1"/>
  <c r="G9" i="19" s="1"/>
  <c r="I28" i="21" a="1"/>
  <c r="I28" i="21" s="1"/>
  <c r="G87" i="21" a="1"/>
  <c r="G87" i="21" s="1"/>
  <c r="J87" i="21" a="1"/>
  <c r="J87" i="21" s="1"/>
  <c r="L87" i="21" a="1"/>
  <c r="L87" i="21" s="1"/>
  <c r="G69" i="21" a="1"/>
  <c r="G69" i="21" s="1"/>
  <c r="I17" i="21" a="1"/>
  <c r="I17" i="21" s="1"/>
  <c r="L53" i="21" a="1"/>
  <c r="L53" i="21" s="1"/>
  <c r="K51" i="21" a="1"/>
  <c r="K51" i="21" s="1"/>
  <c r="G25" i="21" a="1"/>
  <c r="G25" i="21" s="1"/>
  <c r="J25" i="21" a="1"/>
  <c r="J25" i="21" s="1"/>
  <c r="I73" i="21" a="1"/>
  <c r="I73" i="21" s="1"/>
  <c r="L73" i="21" a="1"/>
  <c r="L73" i="21" s="1"/>
  <c r="I40" i="21" a="1"/>
  <c r="I40" i="21" s="1"/>
  <c r="K29" i="21" a="1"/>
  <c r="K29" i="21" s="1"/>
  <c r="J29" i="21" a="1"/>
  <c r="J29" i="21" s="1"/>
  <c r="I64" i="21" a="1"/>
  <c r="I64" i="21" s="1"/>
  <c r="I22" i="19" a="1"/>
  <c r="I22" i="19" s="1"/>
  <c r="G60" i="21" a="1"/>
  <c r="G60" i="21" s="1"/>
  <c r="K78" i="21" a="1"/>
  <c r="K78" i="21" s="1"/>
  <c r="I61" i="21" a="1"/>
  <c r="I61" i="21" s="1"/>
  <c r="L44" i="21" a="1"/>
  <c r="L44" i="21" s="1"/>
  <c r="G6" i="19" a="1"/>
  <c r="G6" i="19" s="1"/>
  <c r="F21" i="19" a="1"/>
  <c r="F21" i="19" s="1"/>
  <c r="J30" i="19" a="1"/>
  <c r="J30" i="19" s="1"/>
  <c r="I7" i="19" a="1"/>
  <c r="I7" i="19" s="1"/>
  <c r="G22" i="21" a="1"/>
  <c r="G22" i="21" s="1"/>
  <c r="J16" i="21" a="1"/>
  <c r="J16" i="21" s="1"/>
  <c r="H60" i="21" a="1"/>
  <c r="H60" i="21" s="1"/>
  <c r="G27" i="21" a="1"/>
  <c r="G27" i="21" s="1"/>
  <c r="J78" i="21" a="1"/>
  <c r="J78" i="21" s="1"/>
  <c r="K66" i="21" a="1"/>
  <c r="K66" i="21" s="1"/>
  <c r="K55" i="21" a="1"/>
  <c r="K55" i="21" s="1"/>
  <c r="H44" i="21" a="1"/>
  <c r="H44" i="21" s="1"/>
  <c r="I94" i="21" a="1"/>
  <c r="I94" i="21" s="1"/>
  <c r="H75" i="21" a="1"/>
  <c r="H75" i="21" s="1"/>
  <c r="H69" i="21" a="1"/>
  <c r="H69" i="21" s="1"/>
  <c r="K41" i="21" a="1"/>
  <c r="K41" i="21" s="1"/>
  <c r="I75" i="21" a="1"/>
  <c r="I75" i="21" s="1"/>
  <c r="J22" i="21" a="1"/>
  <c r="J22" i="21" s="1"/>
  <c r="I35" i="21" a="1"/>
  <c r="I35" i="21" s="1"/>
  <c r="I53" i="21" a="1"/>
  <c r="I53" i="21" s="1"/>
  <c r="G11" i="21" a="1"/>
  <c r="G11" i="21" s="1"/>
  <c r="J11" i="21" a="1"/>
  <c r="J11" i="21" s="1"/>
  <c r="K11" i="21" a="1"/>
  <c r="K11" i="21" s="1"/>
  <c r="L31" i="21" a="1"/>
  <c r="L31" i="21" s="1"/>
  <c r="H31" i="21" a="1"/>
  <c r="H31" i="21" s="1"/>
  <c r="L95" i="21" a="1"/>
  <c r="L95" i="21" s="1"/>
  <c r="J95" i="21" a="1"/>
  <c r="J95" i="21" s="1"/>
  <c r="G23" i="21" a="1"/>
  <c r="G23" i="21" s="1"/>
  <c r="K23" i="21" a="1"/>
  <c r="K23" i="21" s="1"/>
  <c r="E6" i="18"/>
  <c r="E14" i="18"/>
  <c r="E8" i="18"/>
  <c r="E13" i="18"/>
  <c r="E9" i="18"/>
  <c r="E11" i="18"/>
  <c r="E15" i="18"/>
  <c r="E16" i="18"/>
  <c r="E12" i="18"/>
  <c r="E7" i="18"/>
  <c r="E10" i="18"/>
  <c r="C79" i="13"/>
  <c r="M79" i="13" s="1" a="1"/>
  <c r="M79" i="13" s="1"/>
  <c r="C47" i="5"/>
  <c r="C33" i="5"/>
  <c r="J33" i="5" s="1" a="1"/>
  <c r="J33" i="5" s="1"/>
  <c r="C31" i="13"/>
  <c r="M31" i="13" s="1" a="1"/>
  <c r="M31" i="13" s="1"/>
  <c r="C26" i="13"/>
  <c r="M26" i="13" s="1" a="1"/>
  <c r="M26" i="13" s="1"/>
  <c r="C62" i="5"/>
  <c r="K62" i="5" s="1" a="1"/>
  <c r="K62" i="5" s="1"/>
  <c r="C75" i="5"/>
  <c r="H75" i="5" s="1" a="1"/>
  <c r="H75" i="5" s="1"/>
  <c r="C39" i="5"/>
  <c r="H39" i="5" s="1" a="1"/>
  <c r="H39" i="5" s="1"/>
  <c r="C36" i="13"/>
  <c r="I36" i="13" s="1" a="1"/>
  <c r="I36" i="13" s="1"/>
  <c r="C70" i="13"/>
  <c r="D70" i="13" s="1" a="1"/>
  <c r="D70" i="13" s="1"/>
  <c r="C77" i="13"/>
  <c r="M77" i="13" s="1" a="1"/>
  <c r="M77" i="13" s="1"/>
  <c r="C47" i="13"/>
  <c r="H47" i="13" s="1" a="1"/>
  <c r="H47" i="13" s="1"/>
  <c r="C33" i="13"/>
  <c r="L33" i="13" s="1" a="1"/>
  <c r="L33" i="13" s="1"/>
  <c r="C76" i="5"/>
  <c r="C20" i="13"/>
  <c r="I20" i="13" s="1" a="1"/>
  <c r="I20" i="13" s="1"/>
  <c r="C28" i="13"/>
  <c r="D28" i="13" s="1" a="1"/>
  <c r="D28" i="13" s="1"/>
  <c r="C42" i="5"/>
  <c r="C48" i="13"/>
  <c r="G48" i="13" s="1" a="1"/>
  <c r="G48" i="13" s="1"/>
  <c r="C61" i="13"/>
  <c r="H61" i="13" s="1" a="1"/>
  <c r="H61" i="13" s="1"/>
  <c r="C77" i="5"/>
  <c r="D77" i="5" s="1" a="1"/>
  <c r="D77" i="5" s="1"/>
  <c r="C42" i="13"/>
  <c r="J42" i="13" s="1" a="1"/>
  <c r="J42" i="13" s="1"/>
  <c r="C10" i="5"/>
  <c r="C6" i="5"/>
  <c r="G6" i="5" s="1" a="1"/>
  <c r="G6" i="5" s="1"/>
  <c r="C39" i="13"/>
  <c r="K39" i="13" s="1" a="1"/>
  <c r="K39" i="13" s="1"/>
  <c r="C73" i="5"/>
  <c r="K73" i="5" s="1" a="1"/>
  <c r="K73" i="5" s="1"/>
  <c r="C58" i="13"/>
  <c r="D58" i="13" s="1" a="1"/>
  <c r="D58" i="13" s="1"/>
  <c r="C27" i="13"/>
  <c r="G27" i="13" s="1" a="1"/>
  <c r="G27" i="13" s="1"/>
  <c r="C54" i="5"/>
  <c r="C23" i="13"/>
  <c r="D23" i="13" s="1" a="1"/>
  <c r="D23" i="13" s="1"/>
  <c r="C66" i="13"/>
  <c r="J66" i="13" s="1" a="1"/>
  <c r="J66" i="13" s="1"/>
  <c r="C50" i="13"/>
  <c r="G50" i="13" s="1" a="1"/>
  <c r="G50" i="13" s="1"/>
  <c r="C72" i="13"/>
  <c r="M72" i="13" s="1" a="1"/>
  <c r="M72" i="13" s="1"/>
  <c r="C66" i="5"/>
  <c r="C64" i="5"/>
  <c r="H64" i="5" s="1" a="1"/>
  <c r="H64" i="5" s="1"/>
  <c r="C21" i="5"/>
  <c r="J21" i="5" s="1" a="1"/>
  <c r="J21" i="5" s="1"/>
  <c r="C34" i="5"/>
  <c r="C70" i="5"/>
  <c r="J70" i="5" s="1" a="1"/>
  <c r="J70" i="5" s="1"/>
  <c r="C40" i="5"/>
  <c r="H40" i="5" s="1" a="1"/>
  <c r="H40" i="5" s="1"/>
  <c r="C38" i="13"/>
  <c r="J38" i="13" s="1" a="1"/>
  <c r="J38" i="13" s="1"/>
  <c r="C51" i="5"/>
  <c r="H51" i="5" s="1" a="1"/>
  <c r="H51" i="5" s="1"/>
  <c r="C21" i="13"/>
  <c r="D21" i="13" s="1" a="1"/>
  <c r="D21" i="13" s="1"/>
  <c r="C62" i="13"/>
  <c r="D62" i="13" s="1" a="1"/>
  <c r="D62" i="13" s="1"/>
  <c r="C29" i="13"/>
  <c r="I29" i="13" s="1" a="1"/>
  <c r="I29" i="13" s="1"/>
  <c r="C51" i="13"/>
  <c r="L51" i="13" s="1" a="1"/>
  <c r="L51" i="13" s="1"/>
  <c r="C15" i="13"/>
  <c r="D15" i="13" s="1" a="1"/>
  <c r="D15" i="13" s="1"/>
  <c r="C65" i="5"/>
  <c r="C46" i="5"/>
  <c r="J46" i="5" s="1" a="1"/>
  <c r="J46" i="5" s="1"/>
  <c r="C38" i="5"/>
  <c r="K38" i="5" s="1" a="1"/>
  <c r="K38" i="5" s="1"/>
  <c r="C53" i="5"/>
  <c r="C59" i="5"/>
  <c r="I59" i="5" s="1" a="1"/>
  <c r="I59" i="5" s="1"/>
  <c r="C74" i="13"/>
  <c r="M74" i="13" s="1" a="1"/>
  <c r="M74" i="13" s="1"/>
  <c r="C41" i="13"/>
  <c r="D41" i="13" s="1" a="1"/>
  <c r="D41" i="13" s="1"/>
  <c r="C63" i="13"/>
  <c r="J63" i="13" s="1" a="1"/>
  <c r="J63" i="13" s="1"/>
  <c r="C8" i="13"/>
  <c r="H8" i="13" s="1" a="1"/>
  <c r="H8" i="13" s="1"/>
  <c r="C27" i="5"/>
  <c r="H27" i="5" s="1" a="1"/>
  <c r="H27" i="5" s="1"/>
  <c r="C8" i="5"/>
  <c r="G8" i="5" s="1" a="1"/>
  <c r="G8" i="5" s="1"/>
  <c r="C45" i="5"/>
  <c r="C58" i="5"/>
  <c r="C28" i="5"/>
  <c r="H28" i="5" s="1" a="1"/>
  <c r="H28" i="5" s="1"/>
  <c r="C13" i="5"/>
  <c r="H13" i="5" s="1" a="1"/>
  <c r="H13" i="5" s="1"/>
  <c r="C60" i="13"/>
  <c r="K60" i="13" s="1" a="1"/>
  <c r="K60" i="13" s="1"/>
  <c r="C75" i="13"/>
  <c r="K75" i="13" s="1" a="1"/>
  <c r="K75" i="13" s="1"/>
  <c r="C54" i="13"/>
  <c r="I54" i="13" s="1" a="1"/>
  <c r="I54" i="13" s="1"/>
  <c r="C7" i="5"/>
  <c r="J7" i="5" s="1" a="1"/>
  <c r="J7" i="5" s="1"/>
  <c r="C20" i="5"/>
  <c r="C57" i="5"/>
  <c r="J57" i="5" s="1" a="1"/>
  <c r="J57" i="5" s="1"/>
  <c r="C14" i="5"/>
  <c r="C41" i="5"/>
  <c r="C25" i="5"/>
  <c r="K25" i="5" s="1" a="1"/>
  <c r="K25" i="5" s="1"/>
  <c r="C16" i="13"/>
  <c r="L16" i="13" s="1" a="1"/>
  <c r="L16" i="13" s="1"/>
  <c r="C22" i="5"/>
  <c r="J22" i="5" s="1" a="1"/>
  <c r="J22" i="5" s="1"/>
  <c r="C59" i="13"/>
  <c r="J59" i="13" s="1" a="1"/>
  <c r="J59" i="13" s="1"/>
  <c r="C52" i="13"/>
  <c r="K52" i="13" s="1" a="1"/>
  <c r="K52" i="13" s="1"/>
  <c r="C19" i="5"/>
  <c r="J19" i="5" s="1" a="1"/>
  <c r="J19" i="5" s="1"/>
  <c r="C32" i="5"/>
  <c r="H32" i="5" s="1" a="1"/>
  <c r="H32" i="5" s="1"/>
  <c r="C69" i="5"/>
  <c r="H69" i="5" s="1" a="1"/>
  <c r="H69" i="5" s="1"/>
  <c r="C63" i="5"/>
  <c r="H63" i="5" s="1" a="1"/>
  <c r="H63" i="5" s="1"/>
  <c r="C12" i="5"/>
  <c r="C37" i="5"/>
  <c r="K37" i="5" s="1" a="1"/>
  <c r="K37" i="5" s="1"/>
  <c r="C73" i="13"/>
  <c r="M73" i="13" s="1" a="1"/>
  <c r="M73" i="13" s="1"/>
  <c r="C71" i="13"/>
  <c r="I71" i="13" s="1" a="1"/>
  <c r="I71" i="13" s="1"/>
  <c r="C30" i="13"/>
  <c r="D30" i="13" s="1" a="1"/>
  <c r="D30" i="13" s="1"/>
  <c r="C44" i="13"/>
  <c r="K44" i="13" s="1" a="1"/>
  <c r="K44" i="13" s="1"/>
  <c r="C19" i="13"/>
  <c r="G19" i="13" s="1" a="1"/>
  <c r="G19" i="13" s="1"/>
  <c r="C31" i="5"/>
  <c r="J31" i="5" s="1" a="1"/>
  <c r="J31" i="5" s="1"/>
  <c r="C44" i="5"/>
  <c r="C5" i="13"/>
  <c r="I5" i="13" s="1" a="1"/>
  <c r="I5" i="13" s="1"/>
  <c r="C16" i="5"/>
  <c r="H16" i="5" s="1" a="1"/>
  <c r="H16" i="5" s="1"/>
  <c r="C24" i="5"/>
  <c r="L24" i="5" s="1" a="1"/>
  <c r="L24" i="5" s="1"/>
  <c r="C49" i="5"/>
  <c r="K49" i="5" s="1" a="1"/>
  <c r="K49" i="5" s="1"/>
  <c r="C9" i="5"/>
  <c r="J9" i="5" s="1" a="1"/>
  <c r="J9" i="5" s="1"/>
  <c r="C11" i="13"/>
  <c r="H11" i="13" s="1" a="1"/>
  <c r="H11" i="13" s="1"/>
  <c r="C43" i="13"/>
  <c r="D43" i="13" s="1" a="1"/>
  <c r="D43" i="13" s="1"/>
  <c r="C14" i="13"/>
  <c r="I14" i="13" s="1" a="1"/>
  <c r="I14" i="13" s="1"/>
  <c r="C6" i="13"/>
  <c r="M6" i="13" s="1" a="1"/>
  <c r="M6" i="13" s="1"/>
  <c r="C76" i="13"/>
  <c r="K76" i="13" s="1" a="1"/>
  <c r="K76" i="13" s="1"/>
  <c r="C67" i="13"/>
  <c r="J67" i="13" s="1" a="1"/>
  <c r="J67" i="13" s="1"/>
  <c r="C22" i="13"/>
  <c r="L22" i="13" s="1" a="1"/>
  <c r="L22" i="13" s="1"/>
  <c r="C25" i="13"/>
  <c r="I25" i="13" s="1" a="1"/>
  <c r="I25" i="13" s="1"/>
  <c r="C7" i="13"/>
  <c r="J7" i="13" s="1" a="1"/>
  <c r="J7" i="13" s="1"/>
  <c r="C43" i="5"/>
  <c r="J43" i="5" s="1" a="1"/>
  <c r="J43" i="5" s="1"/>
  <c r="C56" i="5"/>
  <c r="D56" i="5" s="1" a="1"/>
  <c r="D56" i="5" s="1"/>
  <c r="C50" i="5"/>
  <c r="K50" i="5" s="1" a="1"/>
  <c r="K50" i="5" s="1"/>
  <c r="C17" i="5"/>
  <c r="C36" i="5"/>
  <c r="J36" i="5" s="1" a="1"/>
  <c r="J36" i="5" s="1"/>
  <c r="C61" i="5"/>
  <c r="K61" i="5" s="1" a="1"/>
  <c r="K61" i="5" s="1"/>
  <c r="C49" i="13"/>
  <c r="J49" i="13" s="1" a="1"/>
  <c r="J49" i="13" s="1"/>
  <c r="C65" i="13"/>
  <c r="D65" i="13" s="1" a="1"/>
  <c r="D65" i="13" s="1"/>
  <c r="C55" i="13"/>
  <c r="M55" i="13" s="1" a="1"/>
  <c r="M55" i="13" s="1"/>
  <c r="C56" i="13"/>
  <c r="K56" i="13" s="1" a="1"/>
  <c r="K56" i="13" s="1"/>
  <c r="C35" i="13"/>
  <c r="D35" i="13" s="1" a="1"/>
  <c r="D35" i="13" s="1"/>
  <c r="C45" i="13"/>
  <c r="I45" i="13" s="1" a="1"/>
  <c r="I45" i="13" s="1"/>
  <c r="C34" i="13"/>
  <c r="L34" i="13" s="1" a="1"/>
  <c r="L34" i="13" s="1"/>
  <c r="C10" i="13"/>
  <c r="D10" i="13" s="1" a="1"/>
  <c r="D10" i="13" s="1"/>
  <c r="C55" i="5"/>
  <c r="J55" i="5" s="1" a="1"/>
  <c r="J55" i="5" s="1"/>
  <c r="C68" i="5"/>
  <c r="C74" i="5"/>
  <c r="H74" i="5" s="1" a="1"/>
  <c r="H74" i="5" s="1"/>
  <c r="C11" i="5"/>
  <c r="H11" i="5" s="1" a="1"/>
  <c r="H11" i="5" s="1"/>
  <c r="C48" i="5"/>
  <c r="C72" i="5"/>
  <c r="K72" i="5" s="1" a="1"/>
  <c r="K72" i="5" s="1"/>
  <c r="C40" i="13"/>
  <c r="D40" i="13" s="1" a="1"/>
  <c r="D40" i="13" s="1"/>
  <c r="C64" i="13"/>
  <c r="I64" i="13" s="1" a="1"/>
  <c r="I64" i="13" s="1"/>
  <c r="C37" i="13"/>
  <c r="H37" i="13" s="1" a="1"/>
  <c r="H37" i="13" s="1"/>
  <c r="C13" i="13"/>
  <c r="I13" i="13" s="1" a="1"/>
  <c r="I13" i="13" s="1"/>
  <c r="C57" i="13"/>
  <c r="K57" i="13" s="1" a="1"/>
  <c r="K57" i="13" s="1"/>
  <c r="C24" i="13"/>
  <c r="L24" i="13" s="1" a="1"/>
  <c r="L24" i="13" s="1"/>
  <c r="C46" i="13"/>
  <c r="L46" i="13" s="1" a="1"/>
  <c r="L46" i="13" s="1"/>
  <c r="C32" i="13"/>
  <c r="K32" i="13" s="1" a="1"/>
  <c r="K32" i="13" s="1"/>
  <c r="C18" i="5"/>
  <c r="H18" i="5" s="1" a="1"/>
  <c r="H18" i="5" s="1"/>
  <c r="C67" i="5"/>
  <c r="J67" i="5" s="1" a="1"/>
  <c r="J67" i="5" s="1"/>
  <c r="C5" i="5"/>
  <c r="K5" i="5" s="1" a="1"/>
  <c r="K5" i="5" s="1"/>
  <c r="C52" i="5"/>
  <c r="H52" i="5" s="1" a="1"/>
  <c r="H52" i="5" s="1"/>
  <c r="C23" i="5"/>
  <c r="C60" i="5"/>
  <c r="J60" i="5" s="1" a="1"/>
  <c r="J60" i="5" s="1"/>
  <c r="C15" i="5"/>
  <c r="H15" i="5" s="1" a="1"/>
  <c r="H15" i="5" s="1"/>
  <c r="C17" i="13"/>
  <c r="J17" i="13" s="1" a="1"/>
  <c r="J17" i="13" s="1"/>
  <c r="C53" i="13"/>
  <c r="J53" i="13" s="1" a="1"/>
  <c r="J53" i="13" s="1"/>
  <c r="C12" i="13"/>
  <c r="D12" i="13" s="1" a="1"/>
  <c r="D12" i="13" s="1"/>
  <c r="C18" i="13"/>
  <c r="H18" i="13" s="1" a="1"/>
  <c r="H18" i="13" s="1"/>
  <c r="C9" i="13"/>
  <c r="I9" i="13" s="1" a="1"/>
  <c r="I9" i="13" s="1"/>
  <c r="C68" i="13"/>
  <c r="J68" i="13" s="1" a="1"/>
  <c r="J68" i="13" s="1"/>
  <c r="C69" i="13"/>
  <c r="K69" i="13" s="1" a="1"/>
  <c r="K69" i="13" s="1"/>
  <c r="C30" i="5"/>
  <c r="C78" i="5"/>
  <c r="J78" i="5" s="1" a="1"/>
  <c r="J78" i="5" s="1"/>
  <c r="C26" i="5"/>
  <c r="I26" i="5" s="1" a="1"/>
  <c r="I26" i="5" s="1"/>
  <c r="C29" i="5"/>
  <c r="C35" i="5"/>
  <c r="J35" i="5" s="1" a="1"/>
  <c r="J35" i="5" s="1"/>
  <c r="C71" i="5"/>
  <c r="E5" i="2" a="1"/>
  <c r="E5" i="2" s="1"/>
  <c r="G39" i="2" a="1"/>
  <c r="G39" i="2" s="1"/>
  <c r="F31" i="2" a="1"/>
  <c r="F31" i="2" s="1"/>
  <c r="G23" i="2" a="1"/>
  <c r="G23" i="2" s="1"/>
  <c r="G5" i="2" a="1"/>
  <c r="G5" i="2" s="1"/>
  <c r="G44" i="2" a="1"/>
  <c r="G44" i="2" s="1"/>
  <c r="F37" i="2" a="1"/>
  <c r="F37" i="2" s="1"/>
  <c r="F34" i="2" a="1"/>
  <c r="F34" i="2" s="1"/>
  <c r="F26" i="2" a="1"/>
  <c r="F26" i="2" s="1"/>
  <c r="E20" i="2" a="1"/>
  <c r="E20" i="2" s="1"/>
  <c r="F18" i="2" a="1"/>
  <c r="F18" i="2" s="1"/>
  <c r="E16" i="2" a="1"/>
  <c r="E16" i="2" s="1"/>
  <c r="F20" i="2" a="1"/>
  <c r="F20" i="2" s="1"/>
  <c r="F5" i="2" a="1"/>
  <c r="F5" i="2" s="1"/>
  <c r="F41" i="2" a="1"/>
  <c r="F41" i="2" s="1"/>
  <c r="E31" i="2" a="1"/>
  <c r="E31" i="2" s="1"/>
  <c r="F29" i="2" a="1"/>
  <c r="F29" i="2" s="1"/>
  <c r="F23" i="2" a="1"/>
  <c r="F23" i="2" s="1"/>
  <c r="G21" i="2" a="1"/>
  <c r="G21" i="2" s="1"/>
  <c r="E18" i="2" a="1"/>
  <c r="E18" i="2" s="1"/>
  <c r="E13" i="2" a="1"/>
  <c r="E13" i="2" s="1"/>
  <c r="F39" i="2" a="1"/>
  <c r="F39" i="2" s="1"/>
  <c r="G49" i="2" a="1"/>
  <c r="G49" i="2" s="1"/>
  <c r="E37" i="2" a="1"/>
  <c r="E37" i="2" s="1"/>
  <c r="G35" i="2" a="1"/>
  <c r="G35" i="2" s="1"/>
  <c r="E34" i="2" a="1"/>
  <c r="E34" i="2" s="1"/>
  <c r="G32" i="2" a="1"/>
  <c r="G32" i="2" s="1"/>
  <c r="E29" i="2" a="1"/>
  <c r="E29" i="2" s="1"/>
  <c r="G27" i="2" a="1"/>
  <c r="G27" i="2" s="1"/>
  <c r="E26" i="2" a="1"/>
  <c r="E26" i="2" s="1"/>
  <c r="E23" i="2" a="1"/>
  <c r="E23" i="2" s="1"/>
  <c r="G34" i="2" a="1"/>
  <c r="G34" i="2" s="1"/>
  <c r="G41" i="2" a="1"/>
  <c r="G41" i="2" s="1"/>
  <c r="G29" i="2" a="1"/>
  <c r="G29" i="2" s="1"/>
  <c r="E51" i="2" a="1"/>
  <c r="E51" i="2" s="1"/>
  <c r="G46" i="2" a="1"/>
  <c r="G46" i="2" s="1"/>
  <c r="G43" i="2" a="1"/>
  <c r="G43" i="2" s="1"/>
  <c r="F35" i="2" a="1"/>
  <c r="F35" i="2" s="1"/>
  <c r="E32" i="2" a="1"/>
  <c r="E32" i="2" s="1"/>
  <c r="F27" i="2" a="1"/>
  <c r="F27" i="2" s="1"/>
  <c r="F24" i="2" a="1"/>
  <c r="F24" i="2" s="1"/>
  <c r="G19" i="2" a="1"/>
  <c r="G19" i="2" s="1"/>
  <c r="F15" i="2" a="1"/>
  <c r="F15" i="2" s="1"/>
  <c r="E50" i="2" a="1"/>
  <c r="E50" i="2" s="1"/>
  <c r="E33" i="2" a="1"/>
  <c r="E33" i="2" s="1"/>
  <c r="E25" i="2" a="1"/>
  <c r="E25" i="2" s="1"/>
  <c r="E54" i="2" a="1"/>
  <c r="E54" i="2" s="1"/>
  <c r="G24" i="2" a="1"/>
  <c r="G24" i="2" s="1"/>
  <c r="G40" i="2" a="1"/>
  <c r="G40" i="2" s="1"/>
  <c r="G38" i="2" a="1"/>
  <c r="G38" i="2" s="1"/>
  <c r="G30" i="2" a="1"/>
  <c r="G30" i="2" s="1"/>
  <c r="E21" i="2" a="1"/>
  <c r="E21" i="2" s="1"/>
  <c r="F17" i="2" a="1"/>
  <c r="F17" i="2" s="1"/>
  <c r="G37" i="2" a="1"/>
  <c r="G37" i="2" s="1"/>
  <c r="G48" i="2" a="1"/>
  <c r="G48" i="2" s="1"/>
  <c r="F40" i="2" a="1"/>
  <c r="F40" i="2" s="1"/>
  <c r="G36" i="2" a="1"/>
  <c r="G36" i="2" s="1"/>
  <c r="E35" i="2" a="1"/>
  <c r="E35" i="2" s="1"/>
  <c r="G33" i="2" a="1"/>
  <c r="G33" i="2" s="1"/>
  <c r="G28" i="2" a="1"/>
  <c r="G28" i="2" s="1"/>
  <c r="E27" i="2" a="1"/>
  <c r="E27" i="2" s="1"/>
  <c r="G25" i="2" a="1"/>
  <c r="G25" i="2" s="1"/>
  <c r="E24" i="2" a="1"/>
  <c r="E24" i="2" s="1"/>
  <c r="G22" i="2" a="1"/>
  <c r="G22" i="2" s="1"/>
  <c r="F19" i="2" a="1"/>
  <c r="F19" i="2" s="1"/>
  <c r="E15" i="2" a="1"/>
  <c r="E15" i="2" s="1"/>
  <c r="G52" i="2" a="1"/>
  <c r="G52" i="2" s="1"/>
  <c r="F32" i="2" a="1"/>
  <c r="F32" i="2" s="1"/>
  <c r="E53" i="2" a="1"/>
  <c r="E53" i="2" s="1"/>
  <c r="F48" i="2" a="1"/>
  <c r="F48" i="2" s="1"/>
  <c r="F38" i="2" a="1"/>
  <c r="F38" i="2" s="1"/>
  <c r="F36" i="2" a="1"/>
  <c r="F36" i="2" s="1"/>
  <c r="F30" i="2" a="1"/>
  <c r="F30" i="2" s="1"/>
  <c r="F28" i="2" a="1"/>
  <c r="F28" i="2" s="1"/>
  <c r="E17" i="2" a="1"/>
  <c r="E17" i="2" s="1"/>
  <c r="G26" i="2" a="1"/>
  <c r="G26" i="2" s="1"/>
  <c r="G51" i="2" a="1"/>
  <c r="G51" i="2" s="1"/>
  <c r="G45" i="2" a="1"/>
  <c r="G45" i="2" s="1"/>
  <c r="G42" i="2" a="1"/>
  <c r="G42" i="2" s="1"/>
  <c r="F33" i="2" a="1"/>
  <c r="F33" i="2" s="1"/>
  <c r="E30" i="2" a="1"/>
  <c r="E30" i="2" s="1"/>
  <c r="F25" i="2" a="1"/>
  <c r="F25" i="2" s="1"/>
  <c r="F22" i="2" a="1"/>
  <c r="F22" i="2" s="1"/>
  <c r="E19" i="2" a="1"/>
  <c r="E19" i="2" s="1"/>
  <c r="E11" i="2" a="1"/>
  <c r="E11" i="2" s="1"/>
  <c r="G47" i="2" a="1"/>
  <c r="G47" i="2" s="1"/>
  <c r="F21" i="2" a="1"/>
  <c r="F21" i="2" s="1"/>
  <c r="G50" i="2" a="1"/>
  <c r="G50" i="2" s="1"/>
  <c r="E36" i="2" a="1"/>
  <c r="E36" i="2" s="1"/>
  <c r="G31" i="2" a="1"/>
  <c r="G31" i="2" s="1"/>
  <c r="E28" i="2" a="1"/>
  <c r="E28" i="2" s="1"/>
  <c r="E22" i="2" a="1"/>
  <c r="E22" i="2" s="1"/>
  <c r="G20" i="2" a="1"/>
  <c r="G20" i="2" s="1"/>
  <c r="E14" i="2" a="1"/>
  <c r="E14" i="2" s="1"/>
  <c r="H10" i="2" a="1"/>
  <c r="H10" i="2" s="1"/>
  <c r="H9" i="2" a="1"/>
  <c r="H9" i="2" s="1"/>
  <c r="H12" i="2" a="1"/>
  <c r="H12" i="2" s="1"/>
  <c r="G9" i="2" a="1"/>
  <c r="G9" i="2" s="1"/>
  <c r="G8" i="2" a="1"/>
  <c r="G8" i="2" s="1"/>
  <c r="G7" i="2" a="1"/>
  <c r="G7" i="2" s="1"/>
  <c r="G6" i="2" a="1"/>
  <c r="G6" i="2" s="1"/>
  <c r="G10" i="2" a="1"/>
  <c r="G10" i="2" s="1"/>
  <c r="F8" i="2" a="1"/>
  <c r="F8" i="2" s="1"/>
  <c r="F6" i="2" a="1"/>
  <c r="F6" i="2" s="1"/>
  <c r="F44" i="2" a="1"/>
  <c r="F44" i="2" s="1"/>
  <c r="F42" i="2" a="1"/>
  <c r="F42" i="2" s="1"/>
  <c r="E40" i="2" a="1"/>
  <c r="E40" i="2" s="1"/>
  <c r="E38" i="2" a="1"/>
  <c r="E38" i="2" s="1"/>
  <c r="G13" i="2" a="1"/>
  <c r="G13" i="2" s="1"/>
  <c r="G12" i="2" a="1"/>
  <c r="G12" i="2" s="1"/>
  <c r="G11" i="2" a="1"/>
  <c r="G11" i="2" s="1"/>
  <c r="F9" i="2" a="1"/>
  <c r="F9" i="2" s="1"/>
  <c r="F7" i="2" a="1"/>
  <c r="F7" i="2" s="1"/>
  <c r="E6" i="2" a="1"/>
  <c r="E6" i="2" s="1"/>
  <c r="G54" i="2" a="1"/>
  <c r="G54" i="2" s="1"/>
  <c r="F52" i="2" a="1"/>
  <c r="F52" i="2" s="1"/>
  <c r="F47" i="2" a="1"/>
  <c r="F47" i="2" s="1"/>
  <c r="F46" i="2" a="1"/>
  <c r="F46" i="2" s="1"/>
  <c r="F45" i="2" a="1"/>
  <c r="F45" i="2" s="1"/>
  <c r="F43" i="2" a="1"/>
  <c r="F43" i="2" s="1"/>
  <c r="E41" i="2" a="1"/>
  <c r="E41" i="2" s="1"/>
  <c r="E39" i="2" a="1"/>
  <c r="E39" i="2" s="1"/>
  <c r="G14" i="2" a="1"/>
  <c r="G14" i="2" s="1"/>
  <c r="F12" i="2" a="1"/>
  <c r="F12" i="2" s="1"/>
  <c r="F10" i="2" a="1"/>
  <c r="F10" i="2" s="1"/>
  <c r="E8" i="2" a="1"/>
  <c r="E8" i="2" s="1"/>
  <c r="F51" i="2" a="1"/>
  <c r="F51" i="2" s="1"/>
  <c r="F50" i="2" a="1"/>
  <c r="F50" i="2" s="1"/>
  <c r="F49" i="2" a="1"/>
  <c r="F49" i="2" s="1"/>
  <c r="E48" i="2" a="1"/>
  <c r="E48" i="2" s="1"/>
  <c r="E44" i="2" a="1"/>
  <c r="E44" i="2" s="1"/>
  <c r="E42" i="2" a="1"/>
  <c r="E42" i="2" s="1"/>
  <c r="G17" i="2" a="1"/>
  <c r="G17" i="2" s="1"/>
  <c r="G16" i="2" a="1"/>
  <c r="G16" i="2" s="1"/>
  <c r="G15" i="2" a="1"/>
  <c r="G15" i="2" s="1"/>
  <c r="F13" i="2" a="1"/>
  <c r="F13" i="2" s="1"/>
  <c r="F11" i="2" a="1"/>
  <c r="F11" i="2" s="1"/>
  <c r="E10" i="2" a="1"/>
  <c r="E10" i="2" s="1"/>
  <c r="E9" i="2" a="1"/>
  <c r="E9" i="2" s="1"/>
  <c r="E7" i="2" a="1"/>
  <c r="E7" i="2" s="1"/>
  <c r="G53" i="2" a="1"/>
  <c r="G53" i="2" s="1"/>
  <c r="F54" i="2" a="1"/>
  <c r="F54" i="2" s="1"/>
  <c r="F53" i="2" a="1"/>
  <c r="F53" i="2" s="1"/>
  <c r="E52" i="2" a="1"/>
  <c r="E52" i="2" s="1"/>
  <c r="E49" i="2" a="1"/>
  <c r="E49" i="2" s="1"/>
  <c r="E47" i="2" a="1"/>
  <c r="E47" i="2" s="1"/>
  <c r="E46" i="2" a="1"/>
  <c r="E46" i="2" s="1"/>
  <c r="E45" i="2" a="1"/>
  <c r="E45" i="2" s="1"/>
  <c r="E43" i="2" a="1"/>
  <c r="E43" i="2" s="1"/>
  <c r="H30" i="2" a="1"/>
  <c r="H30" i="2" s="1"/>
  <c r="H26" i="2" a="1"/>
  <c r="H26" i="2" s="1"/>
  <c r="H22" i="2" a="1"/>
  <c r="H22" i="2" s="1"/>
  <c r="G18" i="2" a="1"/>
  <c r="G18" i="2" s="1"/>
  <c r="F16" i="2" a="1"/>
  <c r="F16" i="2" s="1"/>
  <c r="F14" i="2" a="1"/>
  <c r="F14" i="2" s="1"/>
  <c r="E12" i="2" a="1"/>
  <c r="E12" i="2" s="1"/>
  <c r="H16" i="2" a="1"/>
  <c r="H16" i="2" s="1"/>
  <c r="I26" i="13" l="1" a="1"/>
  <c r="I26" i="13" s="1"/>
  <c r="W53" i="34"/>
  <c r="W36" i="34"/>
  <c r="T9" i="34"/>
  <c r="D26" i="25"/>
  <c r="H26" i="25" s="1"/>
  <c r="E27" i="25" s="1"/>
  <c r="J25" i="25"/>
  <c r="G25" i="25"/>
  <c r="J24" i="25"/>
  <c r="U27" i="34"/>
  <c r="L78" i="13" a="1"/>
  <c r="L78" i="13" s="1"/>
  <c r="AA20" i="34"/>
  <c r="W7" i="34"/>
  <c r="G78" i="13" a="1"/>
  <c r="G78" i="13" s="1"/>
  <c r="W13" i="34"/>
  <c r="V53" i="34"/>
  <c r="S9" i="34"/>
  <c r="V45" i="34"/>
  <c r="X45" i="34"/>
  <c r="AA45" i="34"/>
  <c r="R9" i="34"/>
  <c r="AA9" i="34"/>
  <c r="V9" i="34"/>
  <c r="W9" i="34"/>
  <c r="W33" i="34"/>
  <c r="AA54" i="34"/>
  <c r="R54" i="34"/>
  <c r="R27" i="34"/>
  <c r="V27" i="34"/>
  <c r="T27" i="34"/>
  <c r="T38" i="34"/>
  <c r="W38" i="34"/>
  <c r="V38" i="34"/>
  <c r="Y29" i="34"/>
  <c r="U29" i="34"/>
  <c r="S22" i="34"/>
  <c r="T22" i="34"/>
  <c r="R6" i="34"/>
  <c r="S6" i="34"/>
  <c r="T6" i="34"/>
  <c r="X34" i="34"/>
  <c r="W31" i="34"/>
  <c r="X31" i="34"/>
  <c r="R40" i="34"/>
  <c r="W28" i="34"/>
  <c r="T39" i="34"/>
  <c r="X18" i="34"/>
  <c r="W46" i="34"/>
  <c r="R18" i="34"/>
  <c r="V18" i="34"/>
  <c r="W50" i="34"/>
  <c r="U22" i="34"/>
  <c r="X48" i="34"/>
  <c r="Y44" i="34"/>
  <c r="S54" i="34"/>
  <c r="X33" i="34"/>
  <c r="T7" i="34"/>
  <c r="AA46" i="34"/>
  <c r="V28" i="34"/>
  <c r="W18" i="34"/>
  <c r="Y53" i="34"/>
  <c r="AA28" i="34"/>
  <c r="U41" i="34"/>
  <c r="AA49" i="34"/>
  <c r="AA24" i="34"/>
  <c r="U34" i="34"/>
  <c r="Y36" i="34"/>
  <c r="U20" i="34"/>
  <c r="X49" i="34"/>
  <c r="AA42" i="34"/>
  <c r="R24" i="34"/>
  <c r="U19" i="34"/>
  <c r="V47" i="34"/>
  <c r="R42" i="34"/>
  <c r="T24" i="34"/>
  <c r="X47" i="34"/>
  <c r="V42" i="34"/>
  <c r="T47" i="34"/>
  <c r="W42" i="34"/>
  <c r="T8" i="34"/>
  <c r="Y54" i="34"/>
  <c r="V51" i="34"/>
  <c r="AA48" i="34"/>
  <c r="R20" i="34"/>
  <c r="U9" i="34"/>
  <c r="U38" i="34"/>
  <c r="R51" i="34"/>
  <c r="R49" i="34"/>
  <c r="U30" i="34"/>
  <c r="R48" i="34"/>
  <c r="R28" i="34"/>
  <c r="V24" i="34"/>
  <c r="AA39" i="34"/>
  <c r="AA43" i="34"/>
  <c r="S51" i="34"/>
  <c r="S49" i="34"/>
  <c r="S48" i="34"/>
  <c r="S28" i="34"/>
  <c r="Y42" i="34"/>
  <c r="W24" i="34"/>
  <c r="V21" i="34"/>
  <c r="R43" i="34"/>
  <c r="W51" i="34"/>
  <c r="T49" i="34"/>
  <c r="T48" i="34"/>
  <c r="U21" i="34"/>
  <c r="U8" i="34"/>
  <c r="X51" i="34"/>
  <c r="T46" i="34"/>
  <c r="V49" i="34"/>
  <c r="V48" i="34"/>
  <c r="AA51" i="34"/>
  <c r="V46" i="34"/>
  <c r="U12" i="34"/>
  <c r="X46" i="34"/>
  <c r="X42" i="34"/>
  <c r="AA18" i="34"/>
  <c r="U15" i="34"/>
  <c r="W34" i="34"/>
  <c r="X12" i="34"/>
  <c r="R46" i="34"/>
  <c r="X28" i="34"/>
  <c r="S42" i="34"/>
  <c r="S24" i="34"/>
  <c r="W16" i="34"/>
  <c r="S18" i="34"/>
  <c r="X16" i="34"/>
  <c r="AA16" i="34"/>
  <c r="X21" i="34"/>
  <c r="S43" i="34"/>
  <c r="T34" i="34"/>
  <c r="R12" i="34"/>
  <c r="R16" i="34"/>
  <c r="T21" i="34"/>
  <c r="T43" i="34"/>
  <c r="AA34" i="34"/>
  <c r="S12" i="34"/>
  <c r="S16" i="34"/>
  <c r="R21" i="34"/>
  <c r="V43" i="34"/>
  <c r="R34" i="34"/>
  <c r="W5" i="34"/>
  <c r="AA12" i="34"/>
  <c r="S21" i="34"/>
  <c r="S50" i="34"/>
  <c r="W43" i="34"/>
  <c r="S34" i="34"/>
  <c r="X5" i="34"/>
  <c r="T12" i="34"/>
  <c r="V39" i="34"/>
  <c r="W21" i="34"/>
  <c r="T50" i="34"/>
  <c r="AA5" i="34"/>
  <c r="V12" i="34"/>
  <c r="R39" i="34"/>
  <c r="R50" i="34"/>
  <c r="S5" i="34"/>
  <c r="S39" i="34"/>
  <c r="V50" i="34"/>
  <c r="T16" i="34"/>
  <c r="W39" i="34"/>
  <c r="X50" i="34"/>
  <c r="U13" i="34"/>
  <c r="X17" i="34"/>
  <c r="R37" i="34"/>
  <c r="W32" i="34"/>
  <c r="S37" i="34"/>
  <c r="AA32" i="34"/>
  <c r="T37" i="34"/>
  <c r="R19" i="34"/>
  <c r="V37" i="34"/>
  <c r="V19" i="34"/>
  <c r="X29" i="34"/>
  <c r="R29" i="34"/>
  <c r="U48" i="34"/>
  <c r="R36" i="34"/>
  <c r="S29" i="34"/>
  <c r="V36" i="34"/>
  <c r="W19" i="34"/>
  <c r="M78" i="13" a="1"/>
  <c r="M78" i="13" s="1"/>
  <c r="H78" i="13" a="1"/>
  <c r="H78" i="13" s="1"/>
  <c r="R14" i="34"/>
  <c r="V30" i="34"/>
  <c r="U46" i="34"/>
  <c r="W30" i="34"/>
  <c r="I78" i="13" a="1"/>
  <c r="I78" i="13" s="1"/>
  <c r="J78" i="13" a="1"/>
  <c r="J78" i="13" s="1"/>
  <c r="V5" i="34"/>
  <c r="R44" i="34"/>
  <c r="K78" i="13" a="1"/>
  <c r="K78" i="13" s="1"/>
  <c r="AA17" i="34"/>
  <c r="S26" i="34"/>
  <c r="W17" i="34"/>
  <c r="X52" i="34"/>
  <c r="T53" i="34"/>
  <c r="X41" i="34"/>
  <c r="W37" i="34"/>
  <c r="S17" i="34"/>
  <c r="Y39" i="34"/>
  <c r="T14" i="34"/>
  <c r="U5" i="34"/>
  <c r="T44" i="34"/>
  <c r="W52" i="34"/>
  <c r="AA41" i="34"/>
  <c r="X37" i="34"/>
  <c r="U11" i="34"/>
  <c r="T17" i="34"/>
  <c r="V14" i="34"/>
  <c r="V15" i="34"/>
  <c r="Y35" i="34"/>
  <c r="V7" i="34"/>
  <c r="V44" i="34"/>
  <c r="T52" i="34"/>
  <c r="V41" i="34"/>
  <c r="W14" i="34"/>
  <c r="U18" i="34"/>
  <c r="W15" i="34"/>
  <c r="R7" i="34"/>
  <c r="W44" i="34"/>
  <c r="T5" i="34"/>
  <c r="AA52" i="34"/>
  <c r="X30" i="34"/>
  <c r="R41" i="34"/>
  <c r="U28" i="34"/>
  <c r="X14" i="34"/>
  <c r="X15" i="34"/>
  <c r="X44" i="34"/>
  <c r="U50" i="34"/>
  <c r="AA30" i="34"/>
  <c r="S41" i="34"/>
  <c r="U10" i="34"/>
  <c r="U49" i="34"/>
  <c r="R32" i="34"/>
  <c r="AA14" i="34"/>
  <c r="S15" i="34"/>
  <c r="AA44" i="34"/>
  <c r="R30" i="34"/>
  <c r="U43" i="34"/>
  <c r="S19" i="34"/>
  <c r="S32" i="34"/>
  <c r="T15" i="34"/>
  <c r="R17" i="34"/>
  <c r="S30" i="34"/>
  <c r="T19" i="34"/>
  <c r="T32" i="34"/>
  <c r="X19" i="34"/>
  <c r="U14" i="34"/>
  <c r="V32" i="34"/>
  <c r="W29" i="34"/>
  <c r="S40" i="34"/>
  <c r="R25" i="34"/>
  <c r="W8" i="34"/>
  <c r="V52" i="34"/>
  <c r="AA53" i="34"/>
  <c r="U32" i="34"/>
  <c r="T41" i="34"/>
  <c r="R13" i="34"/>
  <c r="AA25" i="34"/>
  <c r="X8" i="34"/>
  <c r="W47" i="34"/>
  <c r="T29" i="34"/>
  <c r="S13" i="34"/>
  <c r="U26" i="34"/>
  <c r="S25" i="34"/>
  <c r="V8" i="34"/>
  <c r="R52" i="34"/>
  <c r="X53" i="34"/>
  <c r="S45" i="34"/>
  <c r="T13" i="34"/>
  <c r="T20" i="34"/>
  <c r="T25" i="34"/>
  <c r="AA8" i="34"/>
  <c r="X10" i="34"/>
  <c r="AA47" i="34"/>
  <c r="R53" i="34"/>
  <c r="U45" i="34"/>
  <c r="R45" i="34"/>
  <c r="V13" i="34"/>
  <c r="V20" i="34"/>
  <c r="U24" i="34"/>
  <c r="X36" i="34"/>
  <c r="V25" i="34"/>
  <c r="R8" i="34"/>
  <c r="T10" i="34"/>
  <c r="R47" i="34"/>
  <c r="U51" i="34"/>
  <c r="T45" i="34"/>
  <c r="X13" i="34"/>
  <c r="W20" i="34"/>
  <c r="AA36" i="34"/>
  <c r="W25" i="34"/>
  <c r="S10" i="34"/>
  <c r="AA7" i="34"/>
  <c r="U7" i="34"/>
  <c r="Y7" i="34"/>
  <c r="Y47" i="34"/>
  <c r="U16" i="34"/>
  <c r="T40" i="34"/>
  <c r="R10" i="34"/>
  <c r="S20" i="34"/>
  <c r="V40" i="34"/>
  <c r="U23" i="34"/>
  <c r="S36" i="34"/>
  <c r="AA10" i="34"/>
  <c r="V29" i="34"/>
  <c r="X7" i="34"/>
  <c r="W40" i="34"/>
  <c r="V10" i="34"/>
  <c r="X40" i="34"/>
  <c r="U37" i="34"/>
  <c r="U25" i="34"/>
  <c r="F7" i="24" a="1"/>
  <c r="F7" i="24" s="1"/>
  <c r="W27" i="34"/>
  <c r="X38" i="34"/>
  <c r="AA22" i="34"/>
  <c r="T54" i="34"/>
  <c r="AA33" i="34"/>
  <c r="W26" i="34"/>
  <c r="W6" i="34"/>
  <c r="AA23" i="34"/>
  <c r="X27" i="34"/>
  <c r="U6" i="34"/>
  <c r="AA38" i="34"/>
  <c r="V22" i="34"/>
  <c r="V54" i="34"/>
  <c r="V26" i="34"/>
  <c r="X6" i="34"/>
  <c r="V23" i="34"/>
  <c r="AA27" i="34"/>
  <c r="W22" i="34"/>
  <c r="W54" i="34"/>
  <c r="AA26" i="34"/>
  <c r="AA6" i="34"/>
  <c r="W23" i="34"/>
  <c r="X22" i="34"/>
  <c r="V6" i="34"/>
  <c r="X23" i="34"/>
  <c r="R22" i="34"/>
  <c r="R23" i="34"/>
  <c r="R31" i="34"/>
  <c r="U33" i="34"/>
  <c r="U40" i="34"/>
  <c r="S23" i="34"/>
  <c r="AA31" i="34"/>
  <c r="X35" i="34"/>
  <c r="R33" i="34"/>
  <c r="R15" i="34"/>
  <c r="R38" i="34"/>
  <c r="S31" i="34"/>
  <c r="S33" i="34"/>
  <c r="U17" i="34"/>
  <c r="U52" i="34"/>
  <c r="U31" i="34"/>
  <c r="S27" i="34"/>
  <c r="S38" i="34"/>
  <c r="T31" i="34"/>
  <c r="X54" i="34"/>
  <c r="T33" i="34"/>
  <c r="V35" i="34"/>
  <c r="R35" i="34"/>
  <c r="X26" i="34"/>
  <c r="S35" i="34"/>
  <c r="T35" i="34"/>
  <c r="R26" i="34"/>
  <c r="AA35" i="34"/>
  <c r="U18" i="35"/>
  <c r="Y18" i="35"/>
  <c r="Y37" i="35"/>
  <c r="U37" i="35"/>
  <c r="X13" i="35"/>
  <c r="V13" i="35"/>
  <c r="AA13" i="35"/>
  <c r="W13" i="35"/>
  <c r="T13" i="35"/>
  <c r="S13" i="35"/>
  <c r="R13" i="35"/>
  <c r="Y12" i="35"/>
  <c r="U12" i="35"/>
  <c r="Y43" i="35"/>
  <c r="U43" i="35"/>
  <c r="U47" i="35"/>
  <c r="Y47" i="35"/>
  <c r="S40" i="35"/>
  <c r="R40" i="35"/>
  <c r="AA40" i="35"/>
  <c r="X40" i="35"/>
  <c r="W40" i="35"/>
  <c r="V40" i="35"/>
  <c r="T40" i="35"/>
  <c r="Y16" i="35"/>
  <c r="U16" i="35"/>
  <c r="W48" i="35"/>
  <c r="V48" i="35"/>
  <c r="T48" i="35"/>
  <c r="S48" i="35"/>
  <c r="R48" i="35"/>
  <c r="AA48" i="35"/>
  <c r="X48" i="35"/>
  <c r="W24" i="35"/>
  <c r="V24" i="35"/>
  <c r="T24" i="35"/>
  <c r="S24" i="35"/>
  <c r="AA24" i="35"/>
  <c r="X24" i="35"/>
  <c r="R24" i="35"/>
  <c r="U24" i="35"/>
  <c r="Y24" i="35"/>
  <c r="AA45" i="35"/>
  <c r="X45" i="35"/>
  <c r="W45" i="35"/>
  <c r="V45" i="35"/>
  <c r="T45" i="35"/>
  <c r="R45" i="35"/>
  <c r="S45" i="35"/>
  <c r="S34" i="35"/>
  <c r="R34" i="35"/>
  <c r="AA34" i="35"/>
  <c r="T34" i="35"/>
  <c r="X34" i="35"/>
  <c r="W34" i="35"/>
  <c r="V34" i="35"/>
  <c r="Y21" i="35"/>
  <c r="U21" i="35"/>
  <c r="T41" i="35"/>
  <c r="S41" i="35"/>
  <c r="R41" i="35"/>
  <c r="AA41" i="35"/>
  <c r="X41" i="35"/>
  <c r="W41" i="35"/>
  <c r="V41" i="35"/>
  <c r="Y15" i="35"/>
  <c r="U15" i="35"/>
  <c r="X49" i="35"/>
  <c r="W49" i="35"/>
  <c r="V49" i="35"/>
  <c r="T49" i="35"/>
  <c r="S49" i="35"/>
  <c r="R49" i="35"/>
  <c r="AA49" i="35"/>
  <c r="U53" i="35"/>
  <c r="Y53" i="35"/>
  <c r="Y38" i="35"/>
  <c r="U38" i="35"/>
  <c r="T29" i="35"/>
  <c r="S29" i="35"/>
  <c r="R29" i="35"/>
  <c r="X29" i="35"/>
  <c r="W29" i="35"/>
  <c r="V29" i="35"/>
  <c r="AA29" i="35"/>
  <c r="Y20" i="35"/>
  <c r="U20" i="35"/>
  <c r="Y51" i="35"/>
  <c r="U51" i="35"/>
  <c r="U36" i="35"/>
  <c r="Y36" i="35"/>
  <c r="U41" i="35"/>
  <c r="Y41" i="35"/>
  <c r="S28" i="35"/>
  <c r="R28" i="35"/>
  <c r="AA28" i="35"/>
  <c r="X28" i="35"/>
  <c r="W28" i="35"/>
  <c r="V28" i="35"/>
  <c r="T28" i="35"/>
  <c r="AA51" i="35"/>
  <c r="X51" i="35"/>
  <c r="W51" i="35"/>
  <c r="V51" i="35"/>
  <c r="T51" i="35"/>
  <c r="S51" i="35"/>
  <c r="R51" i="35"/>
  <c r="AA21" i="35"/>
  <c r="T21" i="35"/>
  <c r="S21" i="35"/>
  <c r="R21" i="35"/>
  <c r="W21" i="35"/>
  <c r="V21" i="35"/>
  <c r="X21" i="35"/>
  <c r="T9" i="35"/>
  <c r="S9" i="35"/>
  <c r="X9" i="35"/>
  <c r="W9" i="35"/>
  <c r="V9" i="35"/>
  <c r="R9" i="35"/>
  <c r="AA9" i="35"/>
  <c r="U9" i="35"/>
  <c r="Y9" i="35"/>
  <c r="U29" i="35"/>
  <c r="Y29" i="35"/>
  <c r="S22" i="35"/>
  <c r="R22" i="35"/>
  <c r="AA22" i="35"/>
  <c r="X22" i="35"/>
  <c r="W22" i="35"/>
  <c r="V22" i="35"/>
  <c r="T22" i="35"/>
  <c r="W30" i="35"/>
  <c r="V30" i="35"/>
  <c r="T30" i="35"/>
  <c r="S30" i="35"/>
  <c r="R30" i="35"/>
  <c r="AA30" i="35"/>
  <c r="X30" i="35"/>
  <c r="AA6" i="35"/>
  <c r="X6" i="35"/>
  <c r="W6" i="35"/>
  <c r="V6" i="35"/>
  <c r="R6" i="35"/>
  <c r="T6" i="35"/>
  <c r="S6" i="35"/>
  <c r="AA50" i="35"/>
  <c r="X50" i="35"/>
  <c r="W50" i="35"/>
  <c r="V50" i="35"/>
  <c r="T50" i="35"/>
  <c r="S50" i="35"/>
  <c r="R50" i="35"/>
  <c r="Y13" i="35"/>
  <c r="U13" i="35"/>
  <c r="W18" i="35"/>
  <c r="V18" i="35"/>
  <c r="T18" i="35"/>
  <c r="AA18" i="35"/>
  <c r="X18" i="35"/>
  <c r="S18" i="35"/>
  <c r="R18" i="35"/>
  <c r="U30" i="35"/>
  <c r="Y30" i="35"/>
  <c r="Y6" i="35"/>
  <c r="U6" i="35"/>
  <c r="X43" i="35"/>
  <c r="W43" i="35"/>
  <c r="V43" i="35"/>
  <c r="T43" i="35"/>
  <c r="S43" i="35"/>
  <c r="R43" i="35"/>
  <c r="AA43" i="35"/>
  <c r="Y27" i="35"/>
  <c r="U27" i="35"/>
  <c r="Y52" i="35"/>
  <c r="U52" i="35"/>
  <c r="AA5" i="35"/>
  <c r="X5" i="35"/>
  <c r="W5" i="35"/>
  <c r="V5" i="35"/>
  <c r="R5" i="35"/>
  <c r="T5" i="35"/>
  <c r="S5" i="35"/>
  <c r="S16" i="35"/>
  <c r="R16" i="35"/>
  <c r="X16" i="35"/>
  <c r="W16" i="35"/>
  <c r="V16" i="35"/>
  <c r="T16" i="35"/>
  <c r="AA16" i="35"/>
  <c r="AA39" i="35"/>
  <c r="X39" i="35"/>
  <c r="W39" i="35"/>
  <c r="V39" i="35"/>
  <c r="T39" i="35"/>
  <c r="S39" i="35"/>
  <c r="R39" i="35"/>
  <c r="U14" i="35"/>
  <c r="Y14" i="35"/>
  <c r="T47" i="35"/>
  <c r="S47" i="35"/>
  <c r="R47" i="35"/>
  <c r="AA47" i="35"/>
  <c r="X47" i="35"/>
  <c r="W47" i="35"/>
  <c r="V47" i="35"/>
  <c r="Y46" i="35"/>
  <c r="U46" i="35"/>
  <c r="U10" i="35"/>
  <c r="Y10" i="35"/>
  <c r="AA44" i="35"/>
  <c r="X44" i="35"/>
  <c r="W44" i="35"/>
  <c r="V44" i="35"/>
  <c r="T44" i="35"/>
  <c r="S44" i="35"/>
  <c r="R44" i="35"/>
  <c r="X19" i="35"/>
  <c r="W19" i="35"/>
  <c r="V19" i="35"/>
  <c r="AA19" i="35"/>
  <c r="T19" i="35"/>
  <c r="S19" i="35"/>
  <c r="R19" i="35"/>
  <c r="AA26" i="35"/>
  <c r="X26" i="35"/>
  <c r="W26" i="35"/>
  <c r="V26" i="35"/>
  <c r="T26" i="35"/>
  <c r="S26" i="35"/>
  <c r="R26" i="35"/>
  <c r="AA38" i="35"/>
  <c r="X38" i="35"/>
  <c r="W38" i="35"/>
  <c r="V38" i="35"/>
  <c r="T38" i="35"/>
  <c r="S38" i="35"/>
  <c r="R38" i="35"/>
  <c r="Y44" i="35"/>
  <c r="U44" i="35"/>
  <c r="Y5" i="35"/>
  <c r="U5" i="35"/>
  <c r="Y34" i="35"/>
  <c r="U34" i="35"/>
  <c r="W54" i="35"/>
  <c r="V54" i="35"/>
  <c r="T54" i="35"/>
  <c r="S54" i="35"/>
  <c r="R54" i="35"/>
  <c r="AA54" i="35"/>
  <c r="X54" i="35"/>
  <c r="AA27" i="35"/>
  <c r="X27" i="35"/>
  <c r="W27" i="35"/>
  <c r="V27" i="35"/>
  <c r="T27" i="35"/>
  <c r="S27" i="35"/>
  <c r="R27" i="35"/>
  <c r="Y33" i="35"/>
  <c r="U33" i="35"/>
  <c r="X25" i="35"/>
  <c r="W25" i="35"/>
  <c r="V25" i="35"/>
  <c r="AA25" i="35"/>
  <c r="T25" i="35"/>
  <c r="S25" i="35"/>
  <c r="R25" i="35"/>
  <c r="W12" i="35"/>
  <c r="V12" i="35"/>
  <c r="T12" i="35"/>
  <c r="R12" i="35"/>
  <c r="AA12" i="35"/>
  <c r="X12" i="35"/>
  <c r="S12" i="35"/>
  <c r="T35" i="35"/>
  <c r="S35" i="35"/>
  <c r="R35" i="35"/>
  <c r="W35" i="35"/>
  <c r="V35" i="35"/>
  <c r="AA35" i="35"/>
  <c r="X35" i="35"/>
  <c r="U23" i="35"/>
  <c r="Y23" i="35"/>
  <c r="Y49" i="35"/>
  <c r="U49" i="35"/>
  <c r="AA32" i="35"/>
  <c r="X32" i="35"/>
  <c r="W32" i="35"/>
  <c r="V32" i="35"/>
  <c r="T32" i="35"/>
  <c r="S32" i="35"/>
  <c r="R32" i="35"/>
  <c r="Y45" i="35"/>
  <c r="U45" i="35"/>
  <c r="AA14" i="35"/>
  <c r="X14" i="35"/>
  <c r="V14" i="35"/>
  <c r="T14" i="35"/>
  <c r="S14" i="35"/>
  <c r="R14" i="35"/>
  <c r="W14" i="35"/>
  <c r="T17" i="35"/>
  <c r="R17" i="35"/>
  <c r="S17" i="35"/>
  <c r="AA17" i="35"/>
  <c r="X17" i="35"/>
  <c r="W17" i="35"/>
  <c r="V17" i="35"/>
  <c r="Y22" i="35"/>
  <c r="U22" i="35"/>
  <c r="U54" i="35"/>
  <c r="Y54" i="35"/>
  <c r="U17" i="35"/>
  <c r="Y17" i="35"/>
  <c r="Y39" i="35"/>
  <c r="U39" i="35"/>
  <c r="AA15" i="35"/>
  <c r="X15" i="35"/>
  <c r="W15" i="35"/>
  <c r="V15" i="35"/>
  <c r="T15" i="35"/>
  <c r="S15" i="35"/>
  <c r="R15" i="35"/>
  <c r="Y7" i="35"/>
  <c r="U7" i="35"/>
  <c r="Y50" i="35"/>
  <c r="U50" i="35"/>
  <c r="U28" i="35"/>
  <c r="Y28" i="35"/>
  <c r="Y40" i="35"/>
  <c r="U40" i="35"/>
  <c r="Y31" i="35"/>
  <c r="U31" i="35"/>
  <c r="T23" i="35"/>
  <c r="S23" i="35"/>
  <c r="R23" i="35"/>
  <c r="AA23" i="35"/>
  <c r="X23" i="35"/>
  <c r="W23" i="35"/>
  <c r="V23" i="35"/>
  <c r="S8" i="35"/>
  <c r="R8" i="35"/>
  <c r="AA8" i="35"/>
  <c r="X8" i="35"/>
  <c r="T8" i="35"/>
  <c r="V8" i="35"/>
  <c r="W8" i="35"/>
  <c r="Y25" i="35"/>
  <c r="U25" i="35"/>
  <c r="AA20" i="35"/>
  <c r="X20" i="35"/>
  <c r="W20" i="35"/>
  <c r="V20" i="35"/>
  <c r="T20" i="35"/>
  <c r="S20" i="35"/>
  <c r="R20" i="35"/>
  <c r="Y19" i="35"/>
  <c r="U19" i="35"/>
  <c r="U35" i="35"/>
  <c r="Y35" i="35"/>
  <c r="T10" i="35"/>
  <c r="R10" i="35"/>
  <c r="AA10" i="35"/>
  <c r="X10" i="35"/>
  <c r="W10" i="35"/>
  <c r="V10" i="35"/>
  <c r="S10" i="35"/>
  <c r="AA33" i="35"/>
  <c r="X33" i="35"/>
  <c r="W33" i="35"/>
  <c r="R33" i="35"/>
  <c r="V33" i="35"/>
  <c r="T33" i="35"/>
  <c r="S33" i="35"/>
  <c r="X31" i="35"/>
  <c r="W31" i="35"/>
  <c r="V31" i="35"/>
  <c r="T31" i="35"/>
  <c r="S31" i="35"/>
  <c r="AA31" i="35"/>
  <c r="R31" i="35"/>
  <c r="S52" i="35"/>
  <c r="R52" i="35"/>
  <c r="AA52" i="35"/>
  <c r="X52" i="35"/>
  <c r="W52" i="35"/>
  <c r="V52" i="35"/>
  <c r="T52" i="35"/>
  <c r="Y32" i="35"/>
  <c r="U32" i="35"/>
  <c r="T53" i="35"/>
  <c r="S53" i="35"/>
  <c r="R53" i="35"/>
  <c r="AA53" i="35"/>
  <c r="X53" i="35"/>
  <c r="W53" i="35"/>
  <c r="V53" i="35"/>
  <c r="Y26" i="35"/>
  <c r="U26" i="35"/>
  <c r="W36" i="35"/>
  <c r="V36" i="35"/>
  <c r="T36" i="35"/>
  <c r="S36" i="35"/>
  <c r="R36" i="35"/>
  <c r="AA36" i="35"/>
  <c r="X36" i="35"/>
  <c r="X37" i="35"/>
  <c r="W37" i="35"/>
  <c r="V37" i="35"/>
  <c r="T37" i="35"/>
  <c r="S37" i="35"/>
  <c r="R37" i="35"/>
  <c r="AA37" i="35"/>
  <c r="U48" i="35"/>
  <c r="Y48" i="35"/>
  <c r="U11" i="35"/>
  <c r="Y11" i="35"/>
  <c r="R7" i="35"/>
  <c r="AA7" i="35"/>
  <c r="X7" i="35"/>
  <c r="W7" i="35"/>
  <c r="S7" i="35"/>
  <c r="V7" i="35"/>
  <c r="T7" i="35"/>
  <c r="S46" i="35"/>
  <c r="R46" i="35"/>
  <c r="AA46" i="35"/>
  <c r="X46" i="35"/>
  <c r="W46" i="35"/>
  <c r="V46" i="35"/>
  <c r="T46" i="35"/>
  <c r="U42" i="35"/>
  <c r="Y42" i="35"/>
  <c r="Y8" i="35"/>
  <c r="U8" i="35"/>
  <c r="W42" i="35"/>
  <c r="V42" i="35"/>
  <c r="T42" i="35"/>
  <c r="S42" i="35"/>
  <c r="R42" i="35"/>
  <c r="AA42" i="35"/>
  <c r="X42" i="35"/>
  <c r="I47" i="5" a="1"/>
  <c r="I47" i="5" s="1"/>
  <c r="G44" i="5" a="1"/>
  <c r="G44" i="5" s="1"/>
  <c r="G30" i="5" a="1"/>
  <c r="G30" i="5" s="1"/>
  <c r="G29" i="5" a="1"/>
  <c r="G29" i="5" s="1"/>
  <c r="I71" i="5" a="1"/>
  <c r="I71" i="5" s="1"/>
  <c r="G54" i="5" a="1"/>
  <c r="G54" i="5" s="1"/>
  <c r="I45" i="5" a="1"/>
  <c r="I45" i="5" s="1"/>
  <c r="L5" i="30" a="1"/>
  <c r="L5" i="30" s="1"/>
  <c r="D5" i="30" a="1"/>
  <c r="D5" i="30" s="1"/>
  <c r="K5" i="30" a="1"/>
  <c r="K5" i="30" s="1"/>
  <c r="M5" i="30" a="1"/>
  <c r="M5" i="30" s="1"/>
  <c r="J5" i="30" a="1"/>
  <c r="J5" i="30" s="1"/>
  <c r="I5" i="30" a="1"/>
  <c r="I5" i="30" s="1"/>
  <c r="H5" i="30" a="1"/>
  <c r="H5" i="30" s="1"/>
  <c r="I68" i="5" a="1"/>
  <c r="I68" i="5" s="1"/>
  <c r="G17" i="5" a="1"/>
  <c r="G17" i="5" s="1"/>
  <c r="I14" i="5" a="1"/>
  <c r="I14" i="5" s="1"/>
  <c r="I12" i="5" a="1"/>
  <c r="I12" i="5" s="1"/>
  <c r="I20" i="5" a="1"/>
  <c r="I20" i="5" s="1"/>
  <c r="G42" i="5" a="1"/>
  <c r="G42" i="5" s="1"/>
  <c r="G76" i="5" a="1"/>
  <c r="G76" i="5" s="1"/>
  <c r="G23" i="5" a="1"/>
  <c r="G23" i="5" s="1"/>
  <c r="G53" i="5" a="1"/>
  <c r="G53" i="5" s="1"/>
  <c r="I34" i="5" a="1"/>
  <c r="I34" i="5" s="1"/>
  <c r="I48" i="5" a="1"/>
  <c r="I48" i="5" s="1"/>
  <c r="I58" i="5" a="1"/>
  <c r="I58" i="5" s="1"/>
  <c r="G65" i="5" a="1"/>
  <c r="G65" i="5" s="1"/>
  <c r="G10" i="5" a="1"/>
  <c r="G10" i="5" s="1"/>
  <c r="G66" i="5" a="1"/>
  <c r="G66" i="5" s="1"/>
  <c r="G41" i="5" a="1"/>
  <c r="G41" i="5" s="1"/>
  <c r="M48" i="13" a="1"/>
  <c r="M48" i="13" s="1"/>
  <c r="L75" i="5" a="1"/>
  <c r="L75" i="5" s="1"/>
  <c r="I48" i="13" a="1"/>
  <c r="I48" i="13" s="1"/>
  <c r="M62" i="5" a="1"/>
  <c r="M62" i="5" s="1"/>
  <c r="K66" i="13" a="1"/>
  <c r="K66" i="13" s="1"/>
  <c r="I66" i="13" a="1"/>
  <c r="I66" i="13" s="1"/>
  <c r="G8" i="13" a="1"/>
  <c r="G8" i="13" s="1"/>
  <c r="G62" i="13" a="1"/>
  <c r="G62" i="13" s="1"/>
  <c r="K48" i="13" a="1"/>
  <c r="K48" i="13" s="1"/>
  <c r="K8" i="5" a="1"/>
  <c r="K8" i="5" s="1"/>
  <c r="M39" i="5" a="1"/>
  <c r="M39" i="5" s="1"/>
  <c r="I77" i="5" a="1"/>
  <c r="I77" i="5" s="1"/>
  <c r="J11" i="13" a="1"/>
  <c r="J11" i="13" s="1"/>
  <c r="D66" i="13" a="1"/>
  <c r="D66" i="13" s="1"/>
  <c r="I72" i="13" a="1"/>
  <c r="I72" i="13" s="1"/>
  <c r="H77" i="5" a="1"/>
  <c r="H77" i="5" s="1"/>
  <c r="L66" i="13" a="1"/>
  <c r="L66" i="13" s="1"/>
  <c r="J75" i="5" a="1"/>
  <c r="J75" i="5" s="1"/>
  <c r="I62" i="5" a="1"/>
  <c r="I62" i="5" s="1"/>
  <c r="G66" i="13" a="1"/>
  <c r="G66" i="13" s="1"/>
  <c r="G62" i="5" a="1"/>
  <c r="G62" i="5" s="1"/>
  <c r="I75" i="5" a="1"/>
  <c r="I75" i="5" s="1"/>
  <c r="M66" i="13" a="1"/>
  <c r="M66" i="13" s="1"/>
  <c r="J62" i="5" a="1"/>
  <c r="J62" i="5" s="1"/>
  <c r="I8" i="13" a="1"/>
  <c r="I8" i="13" s="1"/>
  <c r="J73" i="13" a="1"/>
  <c r="J73" i="13" s="1"/>
  <c r="K11" i="13" a="1"/>
  <c r="K11" i="13" s="1"/>
  <c r="H41" i="5" a="1"/>
  <c r="H41" i="5" s="1"/>
  <c r="H29" i="13" a="1"/>
  <c r="H29" i="13" s="1"/>
  <c r="K72" i="13" a="1"/>
  <c r="K72" i="13" s="1"/>
  <c r="J8" i="5" a="1"/>
  <c r="J8" i="5" s="1"/>
  <c r="M41" i="5" a="1"/>
  <c r="M41" i="5" s="1"/>
  <c r="K62" i="13" a="1"/>
  <c r="K62" i="13" s="1"/>
  <c r="L72" i="13" a="1"/>
  <c r="L72" i="13" s="1"/>
  <c r="K24" i="25"/>
  <c r="F8" i="25"/>
  <c r="G8" i="25" s="1"/>
  <c r="H8" i="25"/>
  <c r="E9" i="25" s="1"/>
  <c r="L63" i="13" a="1"/>
  <c r="L63" i="13" s="1"/>
  <c r="M75" i="5" a="1"/>
  <c r="M75" i="5" s="1"/>
  <c r="D75" i="5" a="1"/>
  <c r="D75" i="5" s="1"/>
  <c r="K66" i="5" a="1"/>
  <c r="K66" i="5" s="1"/>
  <c r="L41" i="5" a="1"/>
  <c r="L41" i="5" s="1"/>
  <c r="I41" i="5" a="1"/>
  <c r="I41" i="5" s="1"/>
  <c r="D11" i="13" a="1"/>
  <c r="D11" i="13" s="1"/>
  <c r="H57" i="5" a="1"/>
  <c r="H57" i="5" s="1"/>
  <c r="H79" i="13" a="1"/>
  <c r="H79" i="13" s="1"/>
  <c r="K57" i="5" a="1"/>
  <c r="K57" i="5" s="1"/>
  <c r="I17" i="5" a="1"/>
  <c r="I17" i="5" s="1"/>
  <c r="M77" i="5" a="1"/>
  <c r="M77" i="5" s="1"/>
  <c r="L11" i="13" a="1"/>
  <c r="L11" i="13" s="1"/>
  <c r="H45" i="5" a="1"/>
  <c r="H45" i="5" s="1"/>
  <c r="H68" i="5" a="1"/>
  <c r="H68" i="5" s="1"/>
  <c r="M17" i="5" a="1"/>
  <c r="M17" i="5" s="1"/>
  <c r="M11" i="13" a="1"/>
  <c r="M11" i="13" s="1"/>
  <c r="K42" i="13" a="1"/>
  <c r="K42" i="13" s="1"/>
  <c r="M8" i="5" a="1"/>
  <c r="M8" i="5" s="1"/>
  <c r="D17" i="5" a="1"/>
  <c r="D17" i="5" s="1"/>
  <c r="M51" i="13" a="1"/>
  <c r="M51" i="13" s="1"/>
  <c r="I11" i="13" a="1"/>
  <c r="I11" i="13" s="1"/>
  <c r="J39" i="5" a="1"/>
  <c r="J39" i="5" s="1"/>
  <c r="I39" i="5" a="1"/>
  <c r="I39" i="5" s="1"/>
  <c r="H51" i="13" a="1"/>
  <c r="H51" i="13" s="1"/>
  <c r="J41" i="5" a="1"/>
  <c r="J41" i="5" s="1"/>
  <c r="L17" i="5" a="1"/>
  <c r="L17" i="5" s="1"/>
  <c r="I66" i="5" a="1"/>
  <c r="I66" i="5" s="1"/>
  <c r="I51" i="13" a="1"/>
  <c r="I51" i="13" s="1"/>
  <c r="D73" i="13" a="1"/>
  <c r="D73" i="13" s="1"/>
  <c r="L39" i="5" a="1"/>
  <c r="L39" i="5" s="1"/>
  <c r="H17" i="5" a="1"/>
  <c r="H17" i="5" s="1"/>
  <c r="J51" i="13" a="1"/>
  <c r="J51" i="13" s="1"/>
  <c r="H73" i="13" a="1"/>
  <c r="H73" i="13" s="1"/>
  <c r="K17" i="5" a="1"/>
  <c r="K17" i="5" s="1"/>
  <c r="K51" i="13" a="1"/>
  <c r="K51" i="13" s="1"/>
  <c r="H72" i="13" a="1"/>
  <c r="H72" i="13" s="1"/>
  <c r="I73" i="13" a="1"/>
  <c r="I73" i="13" s="1"/>
  <c r="M47" i="5" a="1"/>
  <c r="M47" i="5" s="1"/>
  <c r="I79" i="13" a="1"/>
  <c r="I79" i="13" s="1"/>
  <c r="D47" i="5" a="1"/>
  <c r="D47" i="5" s="1"/>
  <c r="M33" i="5" a="1"/>
  <c r="M33" i="5" s="1"/>
  <c r="K38" i="13" a="1"/>
  <c r="K38" i="13" s="1"/>
  <c r="J79" i="13" a="1"/>
  <c r="J79" i="13" s="1"/>
  <c r="D79" i="13" a="1"/>
  <c r="D79" i="13" s="1"/>
  <c r="K79" i="13" a="1"/>
  <c r="K79" i="13" s="1"/>
  <c r="L79" i="13" a="1"/>
  <c r="L79" i="13" s="1"/>
  <c r="L33" i="5" a="1"/>
  <c r="L33" i="5" s="1"/>
  <c r="J27" i="13" a="1"/>
  <c r="J27" i="13" s="1"/>
  <c r="I38" i="13" a="1"/>
  <c r="I38" i="13" s="1"/>
  <c r="G47" i="5" a="1"/>
  <c r="G47" i="5" s="1"/>
  <c r="G79" i="13" a="1"/>
  <c r="G79" i="13" s="1"/>
  <c r="H47" i="5" a="1"/>
  <c r="H47" i="5" s="1"/>
  <c r="K47" i="5" a="1"/>
  <c r="K47" i="5" s="1"/>
  <c r="J35" i="13" a="1"/>
  <c r="J35" i="13" s="1"/>
  <c r="I24" i="5" a="1"/>
  <c r="I24" i="5" s="1"/>
  <c r="K63" i="13" a="1"/>
  <c r="K63" i="13" s="1"/>
  <c r="G26" i="13" a="1"/>
  <c r="G26" i="13" s="1"/>
  <c r="M20" i="5" a="1"/>
  <c r="M20" i="5" s="1"/>
  <c r="D32" i="5" a="1"/>
  <c r="D32" i="5" s="1"/>
  <c r="L21" i="13" a="1"/>
  <c r="L21" i="13" s="1"/>
  <c r="H31" i="13" a="1"/>
  <c r="H31" i="13" s="1"/>
  <c r="L20" i="5" a="1"/>
  <c r="L20" i="5" s="1"/>
  <c r="H33" i="5" a="1"/>
  <c r="H33" i="5" s="1"/>
  <c r="D42" i="5" a="1"/>
  <c r="D42" i="5" s="1"/>
  <c r="I74" i="13" a="1"/>
  <c r="I74" i="13" s="1"/>
  <c r="K21" i="13" a="1"/>
  <c r="K21" i="13" s="1"/>
  <c r="I31" i="13" a="1"/>
  <c r="I31" i="13" s="1"/>
  <c r="G63" i="13" a="1"/>
  <c r="G63" i="13" s="1"/>
  <c r="M63" i="13" a="1"/>
  <c r="M63" i="13" s="1"/>
  <c r="I63" i="13" a="1"/>
  <c r="I63" i="13" s="1"/>
  <c r="D26" i="13" a="1"/>
  <c r="D26" i="13" s="1"/>
  <c r="J28" i="13" a="1"/>
  <c r="J28" i="13" s="1"/>
  <c r="K20" i="5" a="1"/>
  <c r="K20" i="5" s="1"/>
  <c r="J63" i="5" a="1"/>
  <c r="J63" i="5" s="1"/>
  <c r="J47" i="5" a="1"/>
  <c r="J47" i="5" s="1"/>
  <c r="M16" i="5" a="1"/>
  <c r="M16" i="5" s="1"/>
  <c r="D33" i="5" a="1"/>
  <c r="D33" i="5" s="1"/>
  <c r="G21" i="13" a="1"/>
  <c r="G21" i="13" s="1"/>
  <c r="H23" i="13" a="1"/>
  <c r="H23" i="13" s="1"/>
  <c r="D20" i="13" a="1"/>
  <c r="D20" i="13" s="1"/>
  <c r="K31" i="13" a="1"/>
  <c r="K31" i="13" s="1"/>
  <c r="K42" i="5" a="1"/>
  <c r="K42" i="5" s="1"/>
  <c r="J31" i="13" a="1"/>
  <c r="J31" i="13" s="1"/>
  <c r="H21" i="13" a="1"/>
  <c r="H21" i="13" s="1"/>
  <c r="D31" i="13" a="1"/>
  <c r="D31" i="13" s="1"/>
  <c r="K26" i="13" a="1"/>
  <c r="K26" i="13" s="1"/>
  <c r="J54" i="5" a="1"/>
  <c r="J54" i="5" s="1"/>
  <c r="L41" i="13" a="1"/>
  <c r="L41" i="13" s="1"/>
  <c r="D24" i="5" a="1"/>
  <c r="D24" i="5" s="1"/>
  <c r="K23" i="13" a="1"/>
  <c r="K23" i="13" s="1"/>
  <c r="J26" i="13" a="1"/>
  <c r="J26" i="13" s="1"/>
  <c r="K33" i="5" a="1"/>
  <c r="K33" i="5" s="1"/>
  <c r="H26" i="13" a="1"/>
  <c r="H26" i="13" s="1"/>
  <c r="I33" i="5" a="1"/>
  <c r="I33" i="5" s="1"/>
  <c r="J42" i="5" a="1"/>
  <c r="J42" i="5" s="1"/>
  <c r="G23" i="13" a="1"/>
  <c r="G23" i="13" s="1"/>
  <c r="L31" i="13" a="1"/>
  <c r="L31" i="13" s="1"/>
  <c r="G33" i="5" a="1"/>
  <c r="G33" i="5" s="1"/>
  <c r="M42" i="5" a="1"/>
  <c r="M42" i="5" s="1"/>
  <c r="I23" i="13" a="1"/>
  <c r="I23" i="13" s="1"/>
  <c r="G31" i="13" a="1"/>
  <c r="G31" i="13" s="1"/>
  <c r="M20" i="13" a="1"/>
  <c r="M20" i="13" s="1"/>
  <c r="L47" i="5" a="1"/>
  <c r="L47" i="5" s="1"/>
  <c r="D63" i="13" a="1"/>
  <c r="D63" i="13" s="1"/>
  <c r="I27" i="13" a="1"/>
  <c r="I27" i="13" s="1"/>
  <c r="F12" i="18" a="1"/>
  <c r="F12" i="18" s="1"/>
  <c r="H12" i="18" a="1"/>
  <c r="H12" i="18" s="1"/>
  <c r="I12" i="18" a="1"/>
  <c r="I12" i="18" s="1"/>
  <c r="G12" i="18" a="1"/>
  <c r="G12" i="18" s="1"/>
  <c r="J12" i="18" a="1"/>
  <c r="J12" i="18" s="1"/>
  <c r="F16" i="18" a="1"/>
  <c r="F16" i="18" s="1"/>
  <c r="J16" i="18" a="1"/>
  <c r="J16" i="18" s="1"/>
  <c r="I16" i="18" a="1"/>
  <c r="I16" i="18" s="1"/>
  <c r="H16" i="18" a="1"/>
  <c r="H16" i="18" s="1"/>
  <c r="G16" i="18" a="1"/>
  <c r="G16" i="18" s="1"/>
  <c r="F15" i="18" a="1"/>
  <c r="F15" i="18" s="1"/>
  <c r="J15" i="18" a="1"/>
  <c r="J15" i="18" s="1"/>
  <c r="I15" i="18" a="1"/>
  <c r="I15" i="18" s="1"/>
  <c r="H15" i="18" a="1"/>
  <c r="H15" i="18" s="1"/>
  <c r="G15" i="18" a="1"/>
  <c r="G15" i="18" s="1"/>
  <c r="F11" i="18" a="1"/>
  <c r="F11" i="18" s="1"/>
  <c r="H11" i="18" a="1"/>
  <c r="H11" i="18" s="1"/>
  <c r="I11" i="18" a="1"/>
  <c r="I11" i="18" s="1"/>
  <c r="G11" i="18" a="1"/>
  <c r="G11" i="18" s="1"/>
  <c r="J11" i="18" a="1"/>
  <c r="J11" i="18" s="1"/>
  <c r="K14" i="5" a="1"/>
  <c r="K14" i="5" s="1"/>
  <c r="H8" i="5" a="1"/>
  <c r="H8" i="5" s="1"/>
  <c r="L62" i="5" a="1"/>
  <c r="L62" i="5" s="1"/>
  <c r="J77" i="5" a="1"/>
  <c r="J77" i="5" s="1"/>
  <c r="D8" i="5" a="1"/>
  <c r="D8" i="5" s="1"/>
  <c r="D62" i="5" a="1"/>
  <c r="D62" i="5" s="1"/>
  <c r="H63" i="13" a="1"/>
  <c r="H63" i="13" s="1"/>
  <c r="G11" i="13" a="1"/>
  <c r="G11" i="13" s="1"/>
  <c r="I62" i="13" a="1"/>
  <c r="I62" i="13" s="1"/>
  <c r="J72" i="13" a="1"/>
  <c r="J72" i="13" s="1"/>
  <c r="H66" i="13" a="1"/>
  <c r="H66" i="13" s="1"/>
  <c r="H48" i="13" a="1"/>
  <c r="H48" i="13" s="1"/>
  <c r="L26" i="13" a="1"/>
  <c r="L26" i="13" s="1"/>
  <c r="F9" i="18" a="1"/>
  <c r="F9" i="18" s="1"/>
  <c r="J9" i="18" a="1"/>
  <c r="J9" i="18" s="1"/>
  <c r="I9" i="18" a="1"/>
  <c r="I9" i="18" s="1"/>
  <c r="H9" i="18" a="1"/>
  <c r="H9" i="18" s="1"/>
  <c r="G9" i="18" a="1"/>
  <c r="G9" i="18" s="1"/>
  <c r="F13" i="18" a="1"/>
  <c r="F13" i="18" s="1"/>
  <c r="G13" i="18" a="1"/>
  <c r="G13" i="18" s="1"/>
  <c r="J13" i="18" a="1"/>
  <c r="J13" i="18" s="1"/>
  <c r="I13" i="18" a="1"/>
  <c r="I13" i="18" s="1"/>
  <c r="H13" i="18" a="1"/>
  <c r="H13" i="18" s="1"/>
  <c r="L8" i="5" a="1"/>
  <c r="L8" i="5" s="1"/>
  <c r="G68" i="5" a="1"/>
  <c r="G68" i="5" s="1"/>
  <c r="G39" i="5" a="1"/>
  <c r="G39" i="5" s="1"/>
  <c r="K41" i="5" a="1"/>
  <c r="K41" i="5" s="1"/>
  <c r="L42" i="5" a="1"/>
  <c r="L42" i="5" s="1"/>
  <c r="D39" i="5" a="1"/>
  <c r="D39" i="5" s="1"/>
  <c r="G77" i="5" a="1"/>
  <c r="G77" i="5" s="1"/>
  <c r="I15" i="13" a="1"/>
  <c r="I15" i="13" s="1"/>
  <c r="L62" i="13" a="1"/>
  <c r="L62" i="13" s="1"/>
  <c r="I21" i="13" a="1"/>
  <c r="I21" i="13" s="1"/>
  <c r="D72" i="13" a="1"/>
  <c r="D72" i="13" s="1"/>
  <c r="J23" i="13" a="1"/>
  <c r="J23" i="13" s="1"/>
  <c r="K73" i="13" a="1"/>
  <c r="K73" i="13" s="1"/>
  <c r="J48" i="13" a="1"/>
  <c r="J48" i="13" s="1"/>
  <c r="F8" i="18" a="1"/>
  <c r="F8" i="18" s="1"/>
  <c r="I8" i="18" a="1"/>
  <c r="I8" i="18" s="1"/>
  <c r="G8" i="18" a="1"/>
  <c r="G8" i="18" s="1"/>
  <c r="H8" i="18" a="1"/>
  <c r="H8" i="18" s="1"/>
  <c r="J8" i="18" a="1"/>
  <c r="J8" i="18" s="1"/>
  <c r="J10" i="18" a="1"/>
  <c r="J10" i="18" s="1"/>
  <c r="I10" i="18" a="1"/>
  <c r="I10" i="18" s="1"/>
  <c r="H10" i="18" a="1"/>
  <c r="H10" i="18" s="1"/>
  <c r="G10" i="18" a="1"/>
  <c r="G10" i="18" s="1"/>
  <c r="F10" i="18" a="1"/>
  <c r="F10" i="18" s="1"/>
  <c r="G14" i="18" a="1"/>
  <c r="G14" i="18" s="1"/>
  <c r="I14" i="18" a="1"/>
  <c r="I14" i="18" s="1"/>
  <c r="J14" i="18" a="1"/>
  <c r="J14" i="18" s="1"/>
  <c r="F14" i="18" a="1"/>
  <c r="F14" i="18" s="1"/>
  <c r="H14" i="18" a="1"/>
  <c r="H14" i="18" s="1"/>
  <c r="M68" i="5" a="1"/>
  <c r="M68" i="5" s="1"/>
  <c r="H42" i="5" a="1"/>
  <c r="H42" i="5" s="1"/>
  <c r="J17" i="5" a="1"/>
  <c r="J17" i="5" s="1"/>
  <c r="D20" i="5" a="1"/>
  <c r="D20" i="5" s="1"/>
  <c r="J8" i="13" a="1"/>
  <c r="J8" i="13" s="1"/>
  <c r="D51" i="13" a="1"/>
  <c r="D51" i="13" s="1"/>
  <c r="M62" i="13" a="1"/>
  <c r="M62" i="13" s="1"/>
  <c r="J21" i="13" a="1"/>
  <c r="J21" i="13" s="1"/>
  <c r="G72" i="13" a="1"/>
  <c r="G72" i="13" s="1"/>
  <c r="L23" i="13" a="1"/>
  <c r="L23" i="13" s="1"/>
  <c r="L73" i="13" a="1"/>
  <c r="L73" i="13" s="1"/>
  <c r="D48" i="13" a="1"/>
  <c r="D48" i="13" s="1"/>
  <c r="D32" i="13" a="1"/>
  <c r="D32" i="13" s="1"/>
  <c r="F6" i="18" a="1"/>
  <c r="F6" i="18" s="1"/>
  <c r="J6" i="18" a="1"/>
  <c r="J6" i="18" s="1"/>
  <c r="I6" i="18" a="1"/>
  <c r="I6" i="18" s="1"/>
  <c r="H6" i="18" a="1"/>
  <c r="H6" i="18" s="1"/>
  <c r="G6" i="18" a="1"/>
  <c r="G6" i="18" s="1"/>
  <c r="G75" i="5" a="1"/>
  <c r="G75" i="5" s="1"/>
  <c r="L68" i="5" a="1"/>
  <c r="L68" i="5" s="1"/>
  <c r="K75" i="5" a="1"/>
  <c r="K75" i="5" s="1"/>
  <c r="K77" i="5" a="1"/>
  <c r="K77" i="5" s="1"/>
  <c r="L77" i="5" a="1"/>
  <c r="L77" i="5" s="1"/>
  <c r="D41" i="5" a="1"/>
  <c r="D41" i="5" s="1"/>
  <c r="D8" i="13" a="1"/>
  <c r="D8" i="13" s="1"/>
  <c r="G51" i="13" a="1"/>
  <c r="G51" i="13" s="1"/>
  <c r="H62" i="13" a="1"/>
  <c r="H62" i="13" s="1"/>
  <c r="M21" i="13" a="1"/>
  <c r="M21" i="13" s="1"/>
  <c r="M23" i="13" a="1"/>
  <c r="M23" i="13" s="1"/>
  <c r="G73" i="13" a="1"/>
  <c r="G73" i="13" s="1"/>
  <c r="L48" i="13" a="1"/>
  <c r="L48" i="13" s="1"/>
  <c r="H62" i="5" a="1"/>
  <c r="H62" i="5" s="1"/>
  <c r="G20" i="5" a="1"/>
  <c r="G20" i="5" s="1"/>
  <c r="J68" i="5" a="1"/>
  <c r="J68" i="5" s="1"/>
  <c r="K39" i="5" a="1"/>
  <c r="K39" i="5" s="1"/>
  <c r="I8" i="5" a="1"/>
  <c r="I8" i="5" s="1"/>
  <c r="I42" i="5" a="1"/>
  <c r="I42" i="5" s="1"/>
  <c r="L8" i="13" a="1"/>
  <c r="L8" i="13" s="1"/>
  <c r="M50" i="13" a="1"/>
  <c r="M50" i="13" s="1"/>
  <c r="F7" i="18" a="1"/>
  <c r="F7" i="18" s="1"/>
  <c r="J7" i="18" a="1"/>
  <c r="J7" i="18" s="1"/>
  <c r="I7" i="18" a="1"/>
  <c r="I7" i="18" s="1"/>
  <c r="H7" i="18" a="1"/>
  <c r="H7" i="18" s="1"/>
  <c r="G7" i="18" a="1"/>
  <c r="G7" i="18" s="1"/>
  <c r="H20" i="5" a="1"/>
  <c r="H20" i="5" s="1"/>
  <c r="I27" i="5" a="1"/>
  <c r="I27" i="5" s="1"/>
  <c r="H34" i="13" a="1"/>
  <c r="H34" i="13" s="1"/>
  <c r="H24" i="5" a="1"/>
  <c r="H24" i="5" s="1"/>
  <c r="L37" i="13" a="1"/>
  <c r="L37" i="13" s="1"/>
  <c r="M43" i="5" a="1"/>
  <c r="M43" i="5" s="1"/>
  <c r="G24" i="5" a="1"/>
  <c r="G24" i="5" s="1"/>
  <c r="L63" i="5" a="1"/>
  <c r="L63" i="5" s="1"/>
  <c r="D68" i="5" a="1"/>
  <c r="D68" i="5" s="1"/>
  <c r="G32" i="13" a="1"/>
  <c r="G32" i="13" s="1"/>
  <c r="H9" i="13" a="1"/>
  <c r="H9" i="13" s="1"/>
  <c r="L32" i="13" a="1"/>
  <c r="L32" i="13" s="1"/>
  <c r="H32" i="13" a="1"/>
  <c r="H32" i="13" s="1"/>
  <c r="D9" i="13" a="1"/>
  <c r="D9" i="13" s="1"/>
  <c r="J32" i="13" a="1"/>
  <c r="J32" i="13" s="1"/>
  <c r="L12" i="5" a="1"/>
  <c r="L12" i="5" s="1"/>
  <c r="K68" i="5" a="1"/>
  <c r="K68" i="5" s="1"/>
  <c r="D13" i="13" a="1"/>
  <c r="D13" i="13" s="1"/>
  <c r="K9" i="13" a="1"/>
  <c r="K9" i="13" s="1"/>
  <c r="K24" i="5" a="1"/>
  <c r="K24" i="5" s="1"/>
  <c r="K63" i="5" a="1"/>
  <c r="K63" i="5" s="1"/>
  <c r="D45" i="5" a="1"/>
  <c r="D45" i="5" s="1"/>
  <c r="L42" i="13" a="1"/>
  <c r="L42" i="13" s="1"/>
  <c r="H15" i="13" a="1"/>
  <c r="H15" i="13" s="1"/>
  <c r="J49" i="5" a="1"/>
  <c r="J49" i="5" s="1"/>
  <c r="K15" i="13" a="1"/>
  <c r="K15" i="13" s="1"/>
  <c r="D71" i="5" a="1"/>
  <c r="D71" i="5" s="1"/>
  <c r="I34" i="13" a="1"/>
  <c r="I34" i="13" s="1"/>
  <c r="D42" i="13" a="1"/>
  <c r="D42" i="13" s="1"/>
  <c r="M13" i="5" a="1"/>
  <c r="M13" i="5" s="1"/>
  <c r="M34" i="13" a="1"/>
  <c r="M34" i="13" s="1"/>
  <c r="G43" i="13" a="1"/>
  <c r="G43" i="13" s="1"/>
  <c r="H56" i="5" a="1"/>
  <c r="H56" i="5" s="1"/>
  <c r="I32" i="13" a="1"/>
  <c r="I32" i="13" s="1"/>
  <c r="J9" i="13" a="1"/>
  <c r="J9" i="13" s="1"/>
  <c r="G22" i="5" a="1"/>
  <c r="G22" i="5" s="1"/>
  <c r="I46" i="5" a="1"/>
  <c r="I46" i="5" s="1"/>
  <c r="D57" i="13" a="1"/>
  <c r="D57" i="13" s="1"/>
  <c r="M6" i="5" a="1"/>
  <c r="M6" i="5" s="1"/>
  <c r="J12" i="5" a="1"/>
  <c r="J12" i="5" s="1"/>
  <c r="J20" i="5" a="1"/>
  <c r="J20" i="5" s="1"/>
  <c r="K13" i="5" a="1"/>
  <c r="K13" i="5" s="1"/>
  <c r="G64" i="5" a="1"/>
  <c r="G64" i="5" s="1"/>
  <c r="H25" i="5" a="1"/>
  <c r="H25" i="5" s="1"/>
  <c r="D66" i="5" a="1"/>
  <c r="D66" i="5" s="1"/>
  <c r="H36" i="13" a="1"/>
  <c r="H36" i="13" s="1"/>
  <c r="H14" i="13" a="1"/>
  <c r="H14" i="13" s="1"/>
  <c r="I25" i="5" a="1"/>
  <c r="I25" i="5" s="1"/>
  <c r="I42" i="13" a="1"/>
  <c r="I42" i="13" s="1"/>
  <c r="L66" i="5" a="1"/>
  <c r="L66" i="5" s="1"/>
  <c r="H66" i="5" a="1"/>
  <c r="H66" i="5" s="1"/>
  <c r="K36" i="13" a="1"/>
  <c r="K36" i="13" s="1"/>
  <c r="K71" i="13" a="1"/>
  <c r="K71" i="13" s="1"/>
  <c r="J25" i="5" a="1"/>
  <c r="J25" i="5" s="1"/>
  <c r="L70" i="13" a="1"/>
  <c r="L70" i="13" s="1"/>
  <c r="J36" i="13" a="1"/>
  <c r="J36" i="13" s="1"/>
  <c r="J71" i="13" a="1"/>
  <c r="J71" i="13" s="1"/>
  <c r="H10" i="5" a="1"/>
  <c r="H10" i="5" s="1"/>
  <c r="D25" i="5" a="1"/>
  <c r="D25" i="5" s="1"/>
  <c r="D36" i="13" a="1"/>
  <c r="D36" i="13" s="1"/>
  <c r="H71" i="13" a="1"/>
  <c r="H71" i="13" s="1"/>
  <c r="M66" i="5" a="1"/>
  <c r="M66" i="5" s="1"/>
  <c r="L36" i="13" a="1"/>
  <c r="L36" i="13" s="1"/>
  <c r="K18" i="5" a="1"/>
  <c r="K18" i="5" s="1"/>
  <c r="K77" i="13" a="1"/>
  <c r="K77" i="13" s="1"/>
  <c r="G36" i="13" a="1"/>
  <c r="G36" i="13" s="1"/>
  <c r="H36" i="5" a="1"/>
  <c r="H36" i="5" s="1"/>
  <c r="G45" i="5" a="1"/>
  <c r="G45" i="5" s="1"/>
  <c r="M15" i="13" a="1"/>
  <c r="M15" i="13" s="1"/>
  <c r="M32" i="13" a="1"/>
  <c r="M32" i="13" s="1"/>
  <c r="M9" i="13" a="1"/>
  <c r="M9" i="13" s="1"/>
  <c r="M67" i="13" a="1"/>
  <c r="M67" i="13" s="1"/>
  <c r="H65" i="13" a="1"/>
  <c r="H65" i="13" s="1"/>
  <c r="H34" i="5" a="1"/>
  <c r="H34" i="5" s="1"/>
  <c r="M65" i="5" a="1"/>
  <c r="M65" i="5" s="1"/>
  <c r="I6" i="13" a="1"/>
  <c r="I6" i="13" s="1"/>
  <c r="H6" i="13" a="1"/>
  <c r="H6" i="13" s="1"/>
  <c r="M10" i="5" a="1"/>
  <c r="M10" i="5" s="1"/>
  <c r="G63" i="5" a="1"/>
  <c r="G63" i="5" s="1"/>
  <c r="M24" i="5" a="1"/>
  <c r="M24" i="5" s="1"/>
  <c r="M34" i="5" a="1"/>
  <c r="M34" i="5" s="1"/>
  <c r="K45" i="5" a="1"/>
  <c r="K45" i="5" s="1"/>
  <c r="J66" i="5" a="1"/>
  <c r="J66" i="5" s="1"/>
  <c r="I63" i="5" a="1"/>
  <c r="I63" i="5" s="1"/>
  <c r="D18" i="5" a="1"/>
  <c r="D18" i="5" s="1"/>
  <c r="D13" i="5" a="1"/>
  <c r="D13" i="5" s="1"/>
  <c r="L44" i="13" a="1"/>
  <c r="L44" i="13" s="1"/>
  <c r="J34" i="13" a="1"/>
  <c r="J34" i="13" s="1"/>
  <c r="G42" i="13" a="1"/>
  <c r="G42" i="13" s="1"/>
  <c r="M36" i="13" a="1"/>
  <c r="M36" i="13" s="1"/>
  <c r="D71" i="13" a="1"/>
  <c r="D71" i="13" s="1"/>
  <c r="G33" i="13" a="1"/>
  <c r="G33" i="13" s="1"/>
  <c r="K28" i="5" a="1"/>
  <c r="K28" i="5" s="1"/>
  <c r="K34" i="5" a="1"/>
  <c r="K34" i="5" s="1"/>
  <c r="L46" i="5" a="1"/>
  <c r="L46" i="5" s="1"/>
  <c r="J45" i="5" a="1"/>
  <c r="J45" i="5" s="1"/>
  <c r="M45" i="5" a="1"/>
  <c r="M45" i="5" s="1"/>
  <c r="J61" i="5" a="1"/>
  <c r="J61" i="5" s="1"/>
  <c r="M74" i="5" a="1"/>
  <c r="M74" i="5" s="1"/>
  <c r="J15" i="13" a="1"/>
  <c r="J15" i="13" s="1"/>
  <c r="I43" i="13" a="1"/>
  <c r="I43" i="13" s="1"/>
  <c r="M42" i="13" a="1"/>
  <c r="M42" i="13" s="1"/>
  <c r="L71" i="13" a="1"/>
  <c r="L71" i="13" s="1"/>
  <c r="J10" i="5" a="1"/>
  <c r="J10" i="5" s="1"/>
  <c r="G36" i="5" a="1"/>
  <c r="G36" i="5" s="1"/>
  <c r="L45" i="5" a="1"/>
  <c r="L45" i="5" s="1"/>
  <c r="L25" i="5" a="1"/>
  <c r="L25" i="5" s="1"/>
  <c r="G43" i="5" a="1"/>
  <c r="G43" i="5" s="1"/>
  <c r="D43" i="5" a="1"/>
  <c r="D43" i="5" s="1"/>
  <c r="K59" i="13" a="1"/>
  <c r="K59" i="13" s="1"/>
  <c r="G15" i="13" a="1"/>
  <c r="G15" i="13" s="1"/>
  <c r="L43" i="13" a="1"/>
  <c r="L43" i="13" s="1"/>
  <c r="H42" i="13" a="1"/>
  <c r="H42" i="13" s="1"/>
  <c r="M71" i="13" a="1"/>
  <c r="M71" i="13" s="1"/>
  <c r="D59" i="13" a="1"/>
  <c r="D59" i="13" s="1"/>
  <c r="G46" i="5" a="1"/>
  <c r="G46" i="5" s="1"/>
  <c r="M21" i="5" a="1"/>
  <c r="M21" i="5" s="1"/>
  <c r="K64" i="5" a="1"/>
  <c r="K64" i="5" s="1"/>
  <c r="I47" i="13" a="1"/>
  <c r="I47" i="13" s="1"/>
  <c r="L36" i="5" a="1"/>
  <c r="L36" i="5" s="1"/>
  <c r="L21" i="5" a="1"/>
  <c r="L21" i="5" s="1"/>
  <c r="K21" i="5" a="1"/>
  <c r="K21" i="5" s="1"/>
  <c r="G25" i="5" a="1"/>
  <c r="G25" i="5" s="1"/>
  <c r="I74" i="5" a="1"/>
  <c r="I74" i="5" s="1"/>
  <c r="L15" i="13" a="1"/>
  <c r="L15" i="13" s="1"/>
  <c r="H77" i="13" a="1"/>
  <c r="H77" i="13" s="1"/>
  <c r="M43" i="13" a="1"/>
  <c r="M43" i="13" s="1"/>
  <c r="L64" i="5" a="1"/>
  <c r="L64" i="5" s="1"/>
  <c r="J11" i="5" a="1"/>
  <c r="J11" i="5" s="1"/>
  <c r="M28" i="5" a="1"/>
  <c r="M28" i="5" s="1"/>
  <c r="I77" i="13" a="1"/>
  <c r="I77" i="13" s="1"/>
  <c r="L53" i="13" a="1"/>
  <c r="L53" i="13" s="1"/>
  <c r="J24" i="5" a="1"/>
  <c r="J24" i="5" s="1"/>
  <c r="H67" i="5" a="1"/>
  <c r="H67" i="5" s="1"/>
  <c r="M25" i="5" a="1"/>
  <c r="M25" i="5" s="1"/>
  <c r="M63" i="5" a="1"/>
  <c r="M63" i="5" s="1"/>
  <c r="I13" i="5" a="1"/>
  <c r="I13" i="5" s="1"/>
  <c r="D64" i="5" a="1"/>
  <c r="D64" i="5" s="1"/>
  <c r="L18" i="5" a="1"/>
  <c r="L18" i="5" s="1"/>
  <c r="J77" i="13" a="1"/>
  <c r="J77" i="13" s="1"/>
  <c r="I16" i="13" a="1"/>
  <c r="I16" i="13" s="1"/>
  <c r="L9" i="13" a="1"/>
  <c r="L9" i="13" s="1"/>
  <c r="J52" i="13" a="1"/>
  <c r="J52" i="13" s="1"/>
  <c r="M33" i="13" a="1"/>
  <c r="M33" i="13" s="1"/>
  <c r="J73" i="5" a="1"/>
  <c r="J73" i="5" s="1"/>
  <c r="D52" i="13" a="1"/>
  <c r="D52" i="13" s="1"/>
  <c r="J65" i="13" a="1"/>
  <c r="J65" i="13" s="1"/>
  <c r="D60" i="13" a="1"/>
  <c r="D60" i="13" s="1"/>
  <c r="L60" i="13" a="1"/>
  <c r="L60" i="13" s="1"/>
  <c r="H23" i="5" a="1"/>
  <c r="H23" i="5" s="1"/>
  <c r="K53" i="5" a="1"/>
  <c r="K53" i="5" s="1"/>
  <c r="G70" i="5" a="1"/>
  <c r="G70" i="5" s="1"/>
  <c r="M53" i="5" a="1"/>
  <c r="M53" i="5" s="1"/>
  <c r="G18" i="5" a="1"/>
  <c r="G18" i="5" s="1"/>
  <c r="I43" i="5" a="1"/>
  <c r="I43" i="5" s="1"/>
  <c r="G34" i="13" a="1"/>
  <c r="G34" i="13" s="1"/>
  <c r="L10" i="13" a="1"/>
  <c r="L10" i="13" s="1"/>
  <c r="L26" i="5" a="1"/>
  <c r="L26" i="5" s="1"/>
  <c r="H25" i="13" a="1"/>
  <c r="H25" i="13" s="1"/>
  <c r="L35" i="5" a="1"/>
  <c r="L35" i="5" s="1"/>
  <c r="L73" i="5" a="1"/>
  <c r="L73" i="5" s="1"/>
  <c r="M73" i="5" a="1"/>
  <c r="M73" i="5" s="1"/>
  <c r="H30" i="13" a="1"/>
  <c r="H30" i="13" s="1"/>
  <c r="J25" i="13" a="1"/>
  <c r="J25" i="13" s="1"/>
  <c r="I53" i="5" a="1"/>
  <c r="I53" i="5" s="1"/>
  <c r="G31" i="5" a="1"/>
  <c r="G31" i="5" s="1"/>
  <c r="I15" i="5" a="1"/>
  <c r="I15" i="5" s="1"/>
  <c r="L35" i="13" a="1"/>
  <c r="L35" i="13" s="1"/>
  <c r="I73" i="5" a="1"/>
  <c r="I73" i="5" s="1"/>
  <c r="G55" i="13" a="1"/>
  <c r="G55" i="13" s="1"/>
  <c r="J40" i="13" a="1"/>
  <c r="J40" i="13" s="1"/>
  <c r="M37" i="13" a="1"/>
  <c r="M37" i="13" s="1"/>
  <c r="L67" i="13" a="1"/>
  <c r="L67" i="13" s="1"/>
  <c r="G57" i="13" a="1"/>
  <c r="G57" i="13" s="1"/>
  <c r="K14" i="13" a="1"/>
  <c r="K14" i="13" s="1"/>
  <c r="J65" i="5" a="1"/>
  <c r="J65" i="5" s="1"/>
  <c r="D11" i="5" a="1"/>
  <c r="D11" i="5" s="1"/>
  <c r="K53" i="13" a="1"/>
  <c r="K53" i="13" s="1"/>
  <c r="J12" i="13" a="1"/>
  <c r="J12" i="13" s="1"/>
  <c r="G11" i="5" a="1"/>
  <c r="G11" i="5" s="1"/>
  <c r="M26" i="5" a="1"/>
  <c r="M26" i="5" s="1"/>
  <c r="M64" i="5" a="1"/>
  <c r="M64" i="5" s="1"/>
  <c r="I72" i="5" a="1"/>
  <c r="I72" i="5" s="1"/>
  <c r="L67" i="5" a="1"/>
  <c r="L67" i="5" s="1"/>
  <c r="D53" i="13" a="1"/>
  <c r="D53" i="13" s="1"/>
  <c r="L61" i="5" a="1"/>
  <c r="L61" i="5" s="1"/>
  <c r="J58" i="5" a="1"/>
  <c r="J58" i="5" s="1"/>
  <c r="L30" i="13" a="1"/>
  <c r="L30" i="13" s="1"/>
  <c r="M67" i="5" a="1"/>
  <c r="M67" i="5" s="1"/>
  <c r="M30" i="13" a="1"/>
  <c r="M30" i="13" s="1"/>
  <c r="K10" i="5" a="1"/>
  <c r="K10" i="5" s="1"/>
  <c r="G67" i="5" a="1"/>
  <c r="G67" i="5" s="1"/>
  <c r="H65" i="5" a="1"/>
  <c r="H65" i="5" s="1"/>
  <c r="D67" i="5" a="1"/>
  <c r="D67" i="5" s="1"/>
  <c r="G30" i="13" a="1"/>
  <c r="G30" i="13" s="1"/>
  <c r="G16" i="13" a="1"/>
  <c r="G16" i="13" s="1"/>
  <c r="M14" i="13" a="1"/>
  <c r="M14" i="13" s="1"/>
  <c r="M78" i="5" a="1"/>
  <c r="M78" i="5" s="1"/>
  <c r="K65" i="5" a="1"/>
  <c r="K65" i="5" s="1"/>
  <c r="I11" i="5" a="1"/>
  <c r="I11" i="5" s="1"/>
  <c r="K30" i="13" a="1"/>
  <c r="K30" i="13" s="1"/>
  <c r="M16" i="13" a="1"/>
  <c r="M16" i="13" s="1"/>
  <c r="J14" i="13" a="1"/>
  <c r="J14" i="13" s="1"/>
  <c r="G39" i="13" a="1"/>
  <c r="G39" i="13" s="1"/>
  <c r="J38" i="5" a="1"/>
  <c r="J38" i="5" s="1"/>
  <c r="G26" i="5" a="1"/>
  <c r="G26" i="5" s="1"/>
  <c r="H59" i="13" a="1"/>
  <c r="H59" i="13" s="1"/>
  <c r="I70" i="5" a="1"/>
  <c r="I70" i="5" s="1"/>
  <c r="L40" i="13" a="1"/>
  <c r="L40" i="13" s="1"/>
  <c r="L52" i="5" a="1"/>
  <c r="L52" i="5" s="1"/>
  <c r="D77" i="13" a="1"/>
  <c r="D77" i="13" s="1"/>
  <c r="L10" i="5" a="1"/>
  <c r="L10" i="5" s="1"/>
  <c r="L78" i="5" a="1"/>
  <c r="L78" i="5" s="1"/>
  <c r="L65" i="5" a="1"/>
  <c r="L65" i="5" s="1"/>
  <c r="H61" i="5" a="1"/>
  <c r="H61" i="5" s="1"/>
  <c r="I65" i="5" a="1"/>
  <c r="I65" i="5" s="1"/>
  <c r="I21" i="5" a="1"/>
  <c r="I21" i="5" s="1"/>
  <c r="D46" i="5" a="1"/>
  <c r="D46" i="5" s="1"/>
  <c r="D48" i="5" a="1"/>
  <c r="D48" i="5" s="1"/>
  <c r="D21" i="5" a="1"/>
  <c r="D21" i="5" s="1"/>
  <c r="M44" i="13" a="1"/>
  <c r="M44" i="13" s="1"/>
  <c r="H52" i="13" a="1"/>
  <c r="H52" i="13" s="1"/>
  <c r="L77" i="13" a="1"/>
  <c r="L77" i="13" s="1"/>
  <c r="H40" i="13" a="1"/>
  <c r="H40" i="13" s="1"/>
  <c r="D39" i="13" a="1"/>
  <c r="D39" i="13" s="1"/>
  <c r="D76" i="13" a="1"/>
  <c r="D76" i="13" s="1"/>
  <c r="I30" i="13" a="1"/>
  <c r="I30" i="13" s="1"/>
  <c r="J16" i="13" a="1"/>
  <c r="J16" i="13" s="1"/>
  <c r="G70" i="13" a="1"/>
  <c r="G70" i="13" s="1"/>
  <c r="K47" i="13" a="1"/>
  <c r="K47" i="13" s="1"/>
  <c r="D6" i="13" a="1"/>
  <c r="D6" i="13" s="1"/>
  <c r="L49" i="13" a="1"/>
  <c r="L49" i="13" s="1"/>
  <c r="G69" i="13" a="1"/>
  <c r="G69" i="13" s="1"/>
  <c r="I19" i="13" a="1"/>
  <c r="I19" i="13" s="1"/>
  <c r="G52" i="5" a="1"/>
  <c r="G52" i="5" s="1"/>
  <c r="L28" i="5" a="1"/>
  <c r="L28" i="5" s="1"/>
  <c r="H22" i="5" a="1"/>
  <c r="H22" i="5" s="1"/>
  <c r="H48" i="5" a="1"/>
  <c r="H48" i="5" s="1"/>
  <c r="K58" i="5" a="1"/>
  <c r="K58" i="5" s="1"/>
  <c r="M23" i="5" a="1"/>
  <c r="M23" i="5" s="1"/>
  <c r="H26" i="5" a="1"/>
  <c r="H26" i="5" s="1"/>
  <c r="K67" i="5" a="1"/>
  <c r="K67" i="5" s="1"/>
  <c r="K6" i="5" a="1"/>
  <c r="K6" i="5" s="1"/>
  <c r="I64" i="5" a="1"/>
  <c r="I64" i="5" s="1"/>
  <c r="I10" i="5" a="1"/>
  <c r="I10" i="5" s="1"/>
  <c r="I31" i="5" a="1"/>
  <c r="I31" i="5" s="1"/>
  <c r="D65" i="5" a="1"/>
  <c r="D65" i="5" s="1"/>
  <c r="D58" i="5" a="1"/>
  <c r="D58" i="5" s="1"/>
  <c r="I36" i="5" a="1"/>
  <c r="I36" i="5" s="1"/>
  <c r="M18" i="5" a="1"/>
  <c r="M18" i="5" s="1"/>
  <c r="I59" i="13" a="1"/>
  <c r="I59" i="13" s="1"/>
  <c r="D44" i="13" a="1"/>
  <c r="D44" i="13" s="1"/>
  <c r="I52" i="13" a="1"/>
  <c r="I52" i="13" s="1"/>
  <c r="H55" i="13" a="1"/>
  <c r="H55" i="13" s="1"/>
  <c r="I40" i="13" a="1"/>
  <c r="I40" i="13" s="1"/>
  <c r="L39" i="13" a="1"/>
  <c r="L39" i="13" s="1"/>
  <c r="L76" i="13" a="1"/>
  <c r="L76" i="13" s="1"/>
  <c r="J30" i="13" a="1"/>
  <c r="J30" i="13" s="1"/>
  <c r="H16" i="13" a="1"/>
  <c r="H16" i="13" s="1"/>
  <c r="M70" i="13" a="1"/>
  <c r="M70" i="13" s="1"/>
  <c r="J47" i="13" a="1"/>
  <c r="J47" i="13" s="1"/>
  <c r="L6" i="13" a="1"/>
  <c r="L6" i="13" s="1"/>
  <c r="D49" i="13" a="1"/>
  <c r="D49" i="13" s="1"/>
  <c r="H58" i="13" a="1"/>
  <c r="H58" i="13" s="1"/>
  <c r="M69" i="13" a="1"/>
  <c r="M69" i="13" s="1"/>
  <c r="L57" i="13" a="1"/>
  <c r="L57" i="13" s="1"/>
  <c r="J19" i="13" a="1"/>
  <c r="J19" i="13" s="1"/>
  <c r="G71" i="13" a="1"/>
  <c r="G71" i="13" s="1"/>
  <c r="L70" i="5" a="1"/>
  <c r="L70" i="5" s="1"/>
  <c r="G40" i="13" a="1"/>
  <c r="G40" i="13" s="1"/>
  <c r="G73" i="5" a="1"/>
  <c r="G73" i="5" s="1"/>
  <c r="J53" i="5" a="1"/>
  <c r="J53" i="5" s="1"/>
  <c r="L53" i="5" a="1"/>
  <c r="L53" i="5" s="1"/>
  <c r="D23" i="5" a="1"/>
  <c r="D23" i="5" s="1"/>
  <c r="L59" i="13" a="1"/>
  <c r="L59" i="13" s="1"/>
  <c r="H33" i="13" a="1"/>
  <c r="H33" i="13" s="1"/>
  <c r="G60" i="13" a="1"/>
  <c r="G60" i="13" s="1"/>
  <c r="H73" i="5" a="1"/>
  <c r="H73" i="5" s="1"/>
  <c r="J34" i="5" a="1"/>
  <c r="J34" i="5" s="1"/>
  <c r="L31" i="5" a="1"/>
  <c r="L31" i="5" s="1"/>
  <c r="H39" i="13" a="1"/>
  <c r="H39" i="13" s="1"/>
  <c r="K6" i="13" a="1"/>
  <c r="K6" i="13" s="1"/>
  <c r="D19" i="13" a="1"/>
  <c r="D19" i="13" s="1"/>
  <c r="G58" i="5" a="1"/>
  <c r="G58" i="5" s="1"/>
  <c r="K23" i="5" a="1"/>
  <c r="K23" i="5" s="1"/>
  <c r="J23" i="5" a="1"/>
  <c r="J23" i="5" s="1"/>
  <c r="K48" i="5" a="1"/>
  <c r="K48" i="5" s="1"/>
  <c r="L13" i="5" a="1"/>
  <c r="L13" i="5" s="1"/>
  <c r="K33" i="13" a="1"/>
  <c r="K33" i="13" s="1"/>
  <c r="M39" i="13" a="1"/>
  <c r="M39" i="13" s="1"/>
  <c r="G76" i="13" a="1"/>
  <c r="G76" i="13" s="1"/>
  <c r="K16" i="13" a="1"/>
  <c r="K16" i="13" s="1"/>
  <c r="H70" i="13" a="1"/>
  <c r="H70" i="13" s="1"/>
  <c r="D47" i="13" a="1"/>
  <c r="D47" i="13" s="1"/>
  <c r="G6" i="13" a="1"/>
  <c r="G6" i="13" s="1"/>
  <c r="G49" i="13" a="1"/>
  <c r="G49" i="13" s="1"/>
  <c r="L58" i="13" a="1"/>
  <c r="L58" i="13" s="1"/>
  <c r="H69" i="13" a="1"/>
  <c r="H69" i="13" s="1"/>
  <c r="M19" i="13" a="1"/>
  <c r="M19" i="13" s="1"/>
  <c r="K70" i="5" a="1"/>
  <c r="K70" i="5" s="1"/>
  <c r="L72" i="5" a="1"/>
  <c r="L72" i="5" s="1"/>
  <c r="M72" i="5" a="1"/>
  <c r="M72" i="5" s="1"/>
  <c r="L11" i="5" a="1"/>
  <c r="L11" i="5" s="1"/>
  <c r="I76" i="5" a="1"/>
  <c r="I76" i="5" s="1"/>
  <c r="K74" i="5" a="1"/>
  <c r="K74" i="5" s="1"/>
  <c r="I61" i="5" a="1"/>
  <c r="I61" i="5" s="1"/>
  <c r="D36" i="5" a="1"/>
  <c r="D36" i="5" s="1"/>
  <c r="D28" i="5" a="1"/>
  <c r="D28" i="5" s="1"/>
  <c r="I23" i="5" a="1"/>
  <c r="I23" i="5" s="1"/>
  <c r="I44" i="13" a="1"/>
  <c r="I44" i="13" s="1"/>
  <c r="J55" i="13" a="1"/>
  <c r="J55" i="13" s="1"/>
  <c r="I33" i="13" a="1"/>
  <c r="I33" i="13" s="1"/>
  <c r="I39" i="13" a="1"/>
  <c r="I39" i="13" s="1"/>
  <c r="M76" i="13" a="1"/>
  <c r="M76" i="13" s="1"/>
  <c r="H43" i="13" a="1"/>
  <c r="H43" i="13" s="1"/>
  <c r="H60" i="13" a="1"/>
  <c r="H60" i="13" s="1"/>
  <c r="D16" i="13" a="1"/>
  <c r="D16" i="13" s="1"/>
  <c r="I70" i="13" a="1"/>
  <c r="I70" i="13" s="1"/>
  <c r="L47" i="13" a="1"/>
  <c r="L47" i="13" s="1"/>
  <c r="H67" i="13" a="1"/>
  <c r="H67" i="13" s="1"/>
  <c r="M49" i="13" a="1"/>
  <c r="M49" i="13" s="1"/>
  <c r="L68" i="13" a="1"/>
  <c r="L68" i="13" s="1"/>
  <c r="L14" i="13" a="1"/>
  <c r="L14" i="13" s="1"/>
  <c r="H19" i="13" a="1"/>
  <c r="H19" i="13" s="1"/>
  <c r="J13" i="5" a="1"/>
  <c r="J13" i="5" s="1"/>
  <c r="G44" i="13" a="1"/>
  <c r="G44" i="13" s="1"/>
  <c r="I69" i="13" a="1"/>
  <c r="I69" i="13" s="1"/>
  <c r="G38" i="5" a="1"/>
  <c r="G38" i="5" s="1"/>
  <c r="G28" i="5" a="1"/>
  <c r="G28" i="5" s="1"/>
  <c r="M48" i="5" a="1"/>
  <c r="M48" i="5" s="1"/>
  <c r="J30" i="5" a="1"/>
  <c r="J30" i="5" s="1"/>
  <c r="M70" i="5" a="1"/>
  <c r="M70" i="5" s="1"/>
  <c r="L23" i="5" a="1"/>
  <c r="L23" i="5" s="1"/>
  <c r="G13" i="5" a="1"/>
  <c r="G13" i="5" s="1"/>
  <c r="G72" i="5" a="1"/>
  <c r="G72" i="5" s="1"/>
  <c r="I28" i="5" a="1"/>
  <c r="I28" i="5" s="1"/>
  <c r="D53" i="5" a="1"/>
  <c r="D53" i="5" s="1"/>
  <c r="D38" i="5" a="1"/>
  <c r="D38" i="5" s="1"/>
  <c r="D10" i="5" a="1"/>
  <c r="D10" i="5" s="1"/>
  <c r="D34" i="5" a="1"/>
  <c r="D34" i="5" s="1"/>
  <c r="J44" i="13" a="1"/>
  <c r="J44" i="13" s="1"/>
  <c r="K55" i="13" a="1"/>
  <c r="K55" i="13" s="1"/>
  <c r="J33" i="13" a="1"/>
  <c r="J33" i="13" s="1"/>
  <c r="J39" i="13" a="1"/>
  <c r="J39" i="13" s="1"/>
  <c r="H76" i="13" a="1"/>
  <c r="H76" i="13" s="1"/>
  <c r="J43" i="13" a="1"/>
  <c r="J43" i="13" s="1"/>
  <c r="I60" i="13" a="1"/>
  <c r="I60" i="13" s="1"/>
  <c r="J70" i="13" a="1"/>
  <c r="J70" i="13" s="1"/>
  <c r="G47" i="13" a="1"/>
  <c r="G47" i="13" s="1"/>
  <c r="I67" i="13" a="1"/>
  <c r="I67" i="13" s="1"/>
  <c r="I49" i="13" a="1"/>
  <c r="I49" i="13" s="1"/>
  <c r="G68" i="13" a="1"/>
  <c r="G68" i="13" s="1"/>
  <c r="D14" i="13" a="1"/>
  <c r="D14" i="13" s="1"/>
  <c r="K19" i="13" a="1"/>
  <c r="K19" i="13" s="1"/>
  <c r="M76" i="5" a="1"/>
  <c r="M76" i="5" s="1"/>
  <c r="D73" i="5" a="1"/>
  <c r="D73" i="5" s="1"/>
  <c r="L52" i="13" a="1"/>
  <c r="L52" i="13" s="1"/>
  <c r="L34" i="5" a="1"/>
  <c r="L34" i="5" s="1"/>
  <c r="L38" i="5" a="1"/>
  <c r="L38" i="5" s="1"/>
  <c r="J26" i="5" a="1"/>
  <c r="J26" i="5" s="1"/>
  <c r="K30" i="5" a="1"/>
  <c r="K30" i="5" s="1"/>
  <c r="M52" i="13" a="1"/>
  <c r="M52" i="13" s="1"/>
  <c r="M40" i="13" a="1"/>
  <c r="M40" i="13" s="1"/>
  <c r="J64" i="5" a="1"/>
  <c r="J64" i="5" s="1"/>
  <c r="H58" i="5" a="1"/>
  <c r="H58" i="5" s="1"/>
  <c r="H70" i="5" a="1"/>
  <c r="H70" i="5" s="1"/>
  <c r="M31" i="5" a="1"/>
  <c r="M31" i="5" s="1"/>
  <c r="I6" i="5" a="1"/>
  <c r="I6" i="5" s="1"/>
  <c r="D76" i="5" a="1"/>
  <c r="D76" i="5" s="1"/>
  <c r="D22" i="5" a="1"/>
  <c r="D22" i="5" s="1"/>
  <c r="H44" i="13" a="1"/>
  <c r="H44" i="13" s="1"/>
  <c r="I55" i="13" a="1"/>
  <c r="I55" i="13" s="1"/>
  <c r="J6" i="5" a="1"/>
  <c r="J6" i="5" s="1"/>
  <c r="L76" i="5" a="1"/>
  <c r="L76" i="5" s="1"/>
  <c r="L22" i="5" a="1"/>
  <c r="L22" i="5" s="1"/>
  <c r="H6" i="5" a="1"/>
  <c r="H6" i="5" s="1"/>
  <c r="L6" i="5" a="1"/>
  <c r="L6" i="5" s="1"/>
  <c r="G61" i="5" a="1"/>
  <c r="G61" i="5" s="1"/>
  <c r="J76" i="5" a="1"/>
  <c r="J76" i="5" s="1"/>
  <c r="J74" i="5" a="1"/>
  <c r="J74" i="5" s="1"/>
  <c r="K11" i="5" a="1"/>
  <c r="K11" i="5" s="1"/>
  <c r="K46" i="5" a="1"/>
  <c r="K46" i="5" s="1"/>
  <c r="K36" i="5" a="1"/>
  <c r="K36" i="5" s="1"/>
  <c r="G34" i="5" a="1"/>
  <c r="G34" i="5" s="1"/>
  <c r="G5" i="5" a="1"/>
  <c r="G5" i="5" s="1"/>
  <c r="H78" i="5" a="1"/>
  <c r="H78" i="5" s="1"/>
  <c r="I38" i="5" a="1"/>
  <c r="I38" i="5" s="1"/>
  <c r="I22" i="5" a="1"/>
  <c r="I22" i="5" s="1"/>
  <c r="D72" i="5" a="1"/>
  <c r="D72" i="5" s="1"/>
  <c r="D61" i="5" a="1"/>
  <c r="D61" i="5" s="1"/>
  <c r="D52" i="5" a="1"/>
  <c r="D52" i="5" s="1"/>
  <c r="G77" i="13" a="1"/>
  <c r="G77" i="13" s="1"/>
  <c r="D55" i="13" a="1"/>
  <c r="D55" i="13" s="1"/>
  <c r="D33" i="13" a="1"/>
  <c r="D33" i="13" s="1"/>
  <c r="I76" i="13" a="1"/>
  <c r="I76" i="13" s="1"/>
  <c r="K43" i="13" a="1"/>
  <c r="K43" i="13" s="1"/>
  <c r="J60" i="13" a="1"/>
  <c r="J60" i="13" s="1"/>
  <c r="K70" i="13" a="1"/>
  <c r="K70" i="13" s="1"/>
  <c r="M47" i="13" a="1"/>
  <c r="M47" i="13" s="1"/>
  <c r="K67" i="13" a="1"/>
  <c r="K67" i="13" s="1"/>
  <c r="I68" i="13" a="1"/>
  <c r="I68" i="13" s="1"/>
  <c r="G14" i="13" a="1"/>
  <c r="G14" i="13" s="1"/>
  <c r="G65" i="13" a="1"/>
  <c r="G65" i="13" s="1"/>
  <c r="G59" i="13" a="1"/>
  <c r="G59" i="13" s="1"/>
  <c r="G52" i="13" a="1"/>
  <c r="G52" i="13" s="1"/>
  <c r="M60" i="13" a="1"/>
  <c r="M60" i="13" s="1"/>
  <c r="G21" i="5" a="1"/>
  <c r="G21" i="5" s="1"/>
  <c r="M59" i="13" a="1"/>
  <c r="M59" i="13" s="1"/>
  <c r="H38" i="5" a="1"/>
  <c r="H38" i="5" s="1"/>
  <c r="K22" i="5" a="1"/>
  <c r="K22" i="5" s="1"/>
  <c r="M58" i="5" a="1"/>
  <c r="M58" i="5" s="1"/>
  <c r="K26" i="5" a="1"/>
  <c r="K26" i="5" s="1"/>
  <c r="I5" i="5" a="1"/>
  <c r="I5" i="5" s="1"/>
  <c r="J28" i="5" a="1"/>
  <c r="J28" i="5" s="1"/>
  <c r="M22" i="5" a="1"/>
  <c r="M22" i="5" s="1"/>
  <c r="L58" i="5" a="1"/>
  <c r="L58" i="5" s="1"/>
  <c r="M11" i="5" a="1"/>
  <c r="M11" i="5" s="1"/>
  <c r="H46" i="5" a="1"/>
  <c r="H46" i="5" s="1"/>
  <c r="L5" i="5" a="1"/>
  <c r="L5" i="5" s="1"/>
  <c r="G74" i="5" a="1"/>
  <c r="G74" i="5" s="1"/>
  <c r="L48" i="5" a="1"/>
  <c r="L48" i="5" s="1"/>
  <c r="M44" i="5" a="1"/>
  <c r="M44" i="5" s="1"/>
  <c r="M46" i="5" a="1"/>
  <c r="M46" i="5" s="1"/>
  <c r="M36" i="5" a="1"/>
  <c r="M36" i="5" s="1"/>
  <c r="H21" i="5" a="1"/>
  <c r="H21" i="5" s="1"/>
  <c r="H53" i="5" a="1"/>
  <c r="H53" i="5" s="1"/>
  <c r="H31" i="5" a="1"/>
  <c r="H31" i="5" s="1"/>
  <c r="K78" i="5" a="1"/>
  <c r="K78" i="5" s="1"/>
  <c r="H76" i="5" a="1"/>
  <c r="H76" i="5" s="1"/>
  <c r="K31" i="5" a="1"/>
  <c r="K31" i="5" s="1"/>
  <c r="M61" i="5" a="1"/>
  <c r="M61" i="5" s="1"/>
  <c r="L74" i="5" a="1"/>
  <c r="L74" i="5" s="1"/>
  <c r="I78" i="5" a="1"/>
  <c r="I78" i="5" s="1"/>
  <c r="M38" i="5" a="1"/>
  <c r="M38" i="5" s="1"/>
  <c r="D6" i="5" a="1"/>
  <c r="D6" i="5" s="1"/>
  <c r="D31" i="5" a="1"/>
  <c r="D31" i="5" s="1"/>
  <c r="D70" i="5" a="1"/>
  <c r="D70" i="5" s="1"/>
  <c r="L55" i="13" a="1"/>
  <c r="L55" i="13" s="1"/>
  <c r="G24" i="13" a="1"/>
  <c r="G24" i="13" s="1"/>
  <c r="D67" i="13" a="1"/>
  <c r="D67" i="13" s="1"/>
  <c r="M65" i="13" a="1"/>
  <c r="M65" i="13" s="1"/>
  <c r="K7" i="5" a="1"/>
  <c r="K7" i="5" s="1"/>
  <c r="G7" i="5" a="1"/>
  <c r="G7" i="5" s="1"/>
  <c r="M28" i="13" a="1"/>
  <c r="M28" i="13" s="1"/>
  <c r="G16" i="5" a="1"/>
  <c r="G16" i="5" s="1"/>
  <c r="J52" i="5" a="1"/>
  <c r="J52" i="5" s="1"/>
  <c r="M32" i="5" a="1"/>
  <c r="M32" i="5" s="1"/>
  <c r="G48" i="5" a="1"/>
  <c r="G48" i="5" s="1"/>
  <c r="G51" i="5" a="1"/>
  <c r="G51" i="5" s="1"/>
  <c r="K76" i="5" a="1"/>
  <c r="K76" i="5" s="1"/>
  <c r="M15" i="5" a="1"/>
  <c r="M15" i="5" s="1"/>
  <c r="G69" i="5" a="1"/>
  <c r="G69" i="5" s="1"/>
  <c r="I18" i="5" a="1"/>
  <c r="I18" i="5" s="1"/>
  <c r="D51" i="5" a="1"/>
  <c r="D51" i="5" s="1"/>
  <c r="K74" i="13" a="1"/>
  <c r="K74" i="13" s="1"/>
  <c r="K45" i="13" a="1"/>
  <c r="K45" i="13" s="1"/>
  <c r="M17" i="13" a="1"/>
  <c r="M17" i="13" s="1"/>
  <c r="L38" i="13" a="1"/>
  <c r="L38" i="13" s="1"/>
  <c r="G13" i="13" a="1"/>
  <c r="G13" i="13" s="1"/>
  <c r="D54" i="13" a="1"/>
  <c r="D54" i="13" s="1"/>
  <c r="H20" i="13" a="1"/>
  <c r="H20" i="13" s="1"/>
  <c r="J37" i="13" a="1"/>
  <c r="J37" i="13" s="1"/>
  <c r="G35" i="13" a="1"/>
  <c r="G35" i="13" s="1"/>
  <c r="J6" i="13" a="1"/>
  <c r="J6" i="13" s="1"/>
  <c r="H28" i="13" a="1"/>
  <c r="H28" i="13" s="1"/>
  <c r="K49" i="13" a="1"/>
  <c r="K49" i="13" s="1"/>
  <c r="D68" i="13" a="1"/>
  <c r="D68" i="13" s="1"/>
  <c r="J71" i="5" a="1"/>
  <c r="J71" i="5" s="1"/>
  <c r="I7" i="5" a="1"/>
  <c r="I7" i="5" s="1"/>
  <c r="I54" i="5" a="1"/>
  <c r="I54" i="5" s="1"/>
  <c r="L32" i="5" a="1"/>
  <c r="L32" i="5" s="1"/>
  <c r="I69" i="5" a="1"/>
  <c r="I69" i="5" s="1"/>
  <c r="D45" i="13" a="1"/>
  <c r="D45" i="13" s="1"/>
  <c r="L54" i="13" a="1"/>
  <c r="L54" i="13" s="1"/>
  <c r="L20" i="13" a="1"/>
  <c r="L20" i="13" s="1"/>
  <c r="M35" i="13" a="1"/>
  <c r="M35" i="13" s="1"/>
  <c r="I28" i="13" a="1"/>
  <c r="I28" i="13" s="1"/>
  <c r="K32" i="5" a="1"/>
  <c r="K32" i="5" s="1"/>
  <c r="J74" i="13" a="1"/>
  <c r="J74" i="13" s="1"/>
  <c r="J13" i="13" a="1"/>
  <c r="J13" i="13" s="1"/>
  <c r="H35" i="13" a="1"/>
  <c r="H35" i="13" s="1"/>
  <c r="D7" i="5" a="1"/>
  <c r="D7" i="5" s="1"/>
  <c r="D38" i="13" a="1"/>
  <c r="D38" i="13" s="1"/>
  <c r="G20" i="13" a="1"/>
  <c r="G20" i="13" s="1"/>
  <c r="K35" i="13" a="1"/>
  <c r="K35" i="13" s="1"/>
  <c r="M51" i="5" a="1"/>
  <c r="M51" i="5" s="1"/>
  <c r="L54" i="5" a="1"/>
  <c r="L54" i="5" s="1"/>
  <c r="I16" i="5" a="1"/>
  <c r="I16" i="5" s="1"/>
  <c r="M41" i="13" a="1"/>
  <c r="M41" i="13" s="1"/>
  <c r="G74" i="13" a="1"/>
  <c r="G74" i="13" s="1"/>
  <c r="G45" i="13" a="1"/>
  <c r="G45" i="13" s="1"/>
  <c r="I17" i="13" a="1"/>
  <c r="I17" i="13" s="1"/>
  <c r="H38" i="13" a="1"/>
  <c r="H38" i="13" s="1"/>
  <c r="G54" i="13" a="1"/>
  <c r="G54" i="13" s="1"/>
  <c r="K20" i="13" a="1"/>
  <c r="K20" i="13" s="1"/>
  <c r="I35" i="13" a="1"/>
  <c r="I35" i="13" s="1"/>
  <c r="H49" i="13" a="1"/>
  <c r="H49" i="13" s="1"/>
  <c r="M58" i="13" a="1"/>
  <c r="M58" i="13" s="1"/>
  <c r="M68" i="13" a="1"/>
  <c r="M68" i="13" s="1"/>
  <c r="L13" i="13" a="1"/>
  <c r="L13" i="13" s="1"/>
  <c r="M35" i="5" a="1"/>
  <c r="M35" i="5" s="1"/>
  <c r="G41" i="13" a="1"/>
  <c r="G41" i="13" s="1"/>
  <c r="L17" i="13" a="1"/>
  <c r="L17" i="13" s="1"/>
  <c r="G32" i="5" a="1"/>
  <c r="G32" i="5" s="1"/>
  <c r="H27" i="13" a="1"/>
  <c r="H27" i="13" s="1"/>
  <c r="M25" i="13" a="1"/>
  <c r="M25" i="13" s="1"/>
  <c r="M54" i="13" a="1"/>
  <c r="M54" i="13" s="1"/>
  <c r="G58" i="13" a="1"/>
  <c r="G58" i="13" s="1"/>
  <c r="G17" i="13" a="1"/>
  <c r="G17" i="13" s="1"/>
  <c r="I37" i="13" a="1"/>
  <c r="I37" i="13" s="1"/>
  <c r="K35" i="5" a="1"/>
  <c r="K35" i="5" s="1"/>
  <c r="M54" i="5" a="1"/>
  <c r="M54" i="5" s="1"/>
  <c r="D74" i="13" a="1"/>
  <c r="D74" i="13" s="1"/>
  <c r="H17" i="13" a="1"/>
  <c r="H17" i="13" s="1"/>
  <c r="L51" i="5" a="1"/>
  <c r="L51" i="5" s="1"/>
  <c r="D69" i="5" a="1"/>
  <c r="D69" i="5" s="1"/>
  <c r="L74" i="13" a="1"/>
  <c r="L74" i="13" s="1"/>
  <c r="M38" i="13" a="1"/>
  <c r="M38" i="13" s="1"/>
  <c r="J20" i="13" a="1"/>
  <c r="J20" i="13" s="1"/>
  <c r="I51" i="5" a="1"/>
  <c r="I51" i="5" s="1"/>
  <c r="K69" i="5" a="1"/>
  <c r="K69" i="5" s="1"/>
  <c r="H35" i="5" a="1"/>
  <c r="H35" i="5" s="1"/>
  <c r="G71" i="5" a="1"/>
  <c r="G71" i="5" s="1"/>
  <c r="H72" i="5" a="1"/>
  <c r="H72" i="5" s="1"/>
  <c r="J16" i="5" a="1"/>
  <c r="J16" i="5" s="1"/>
  <c r="J72" i="5" a="1"/>
  <c r="J72" i="5" s="1"/>
  <c r="J5" i="5" a="1"/>
  <c r="J5" i="5" s="1"/>
  <c r="K54" i="5" a="1"/>
  <c r="K54" i="5" s="1"/>
  <c r="H54" i="5" a="1"/>
  <c r="H54" i="5" s="1"/>
  <c r="I52" i="5" a="1"/>
  <c r="I52" i="5" s="1"/>
  <c r="D16" i="5" a="1"/>
  <c r="D16" i="5" s="1"/>
  <c r="D78" i="5" a="1"/>
  <c r="D78" i="5" s="1"/>
  <c r="I41" i="13" a="1"/>
  <c r="I41" i="13" s="1"/>
  <c r="H74" i="13" a="1"/>
  <c r="H74" i="13" s="1"/>
  <c r="H45" i="13" a="1"/>
  <c r="H45" i="13" s="1"/>
  <c r="L27" i="13" a="1"/>
  <c r="L27" i="13" s="1"/>
  <c r="D25" i="13" a="1"/>
  <c r="D25" i="13" s="1"/>
  <c r="H54" i="13" a="1"/>
  <c r="H54" i="13" s="1"/>
  <c r="I58" i="13" a="1"/>
  <c r="I58" i="13" s="1"/>
  <c r="K68" i="13" a="1"/>
  <c r="K68" i="13" s="1"/>
  <c r="D7" i="13" a="1"/>
  <c r="D7" i="13" s="1"/>
  <c r="I65" i="13" a="1"/>
  <c r="I65" i="13" s="1"/>
  <c r="M5" i="13" a="1"/>
  <c r="M5" i="13" s="1"/>
  <c r="M7" i="5" a="1"/>
  <c r="M7" i="5" s="1"/>
  <c r="I32" i="5" a="1"/>
  <c r="I32" i="5" s="1"/>
  <c r="J51" i="5" a="1"/>
  <c r="J51" i="5" s="1"/>
  <c r="J32" i="5" a="1"/>
  <c r="J32" i="5" s="1"/>
  <c r="L45" i="13" a="1"/>
  <c r="L45" i="13" s="1"/>
  <c r="L15" i="5" a="1"/>
  <c r="L15" i="5" s="1"/>
  <c r="M69" i="5" a="1"/>
  <c r="M69" i="5" s="1"/>
  <c r="J69" i="5" a="1"/>
  <c r="J69" i="5" s="1"/>
  <c r="J41" i="13" a="1"/>
  <c r="J41" i="13" s="1"/>
  <c r="G25" i="13" a="1"/>
  <c r="G25" i="13" s="1"/>
  <c r="L7" i="13" a="1"/>
  <c r="L7" i="13" s="1"/>
  <c r="K7" i="13" a="1"/>
  <c r="K7" i="13" s="1"/>
  <c r="D15" i="5" a="1"/>
  <c r="D15" i="5" s="1"/>
  <c r="K27" i="13" a="1"/>
  <c r="K27" i="13" s="1"/>
  <c r="L16" i="5" a="1"/>
  <c r="L16" i="5" s="1"/>
  <c r="M13" i="13" a="1"/>
  <c r="M13" i="13" s="1"/>
  <c r="K54" i="13" a="1"/>
  <c r="K54" i="13" s="1"/>
  <c r="L60" i="5" a="1"/>
  <c r="L60" i="5" s="1"/>
  <c r="K51" i="5" a="1"/>
  <c r="K51" i="5" s="1"/>
  <c r="M52" i="5" a="1"/>
  <c r="M52" i="5" s="1"/>
  <c r="H41" i="13" a="1"/>
  <c r="H41" i="13" s="1"/>
  <c r="L69" i="5" a="1"/>
  <c r="L69" i="5" s="1"/>
  <c r="M71" i="5" a="1"/>
  <c r="M71" i="5" s="1"/>
  <c r="M30" i="5" a="1"/>
  <c r="M30" i="5" s="1"/>
  <c r="L30" i="5" a="1"/>
  <c r="L30" i="5" s="1"/>
  <c r="L7" i="5" a="1"/>
  <c r="L7" i="5" s="1"/>
  <c r="D54" i="5" a="1"/>
  <c r="D54" i="5" s="1"/>
  <c r="I67" i="5" a="1"/>
  <c r="I67" i="5" s="1"/>
  <c r="K41" i="13" a="1"/>
  <c r="K41" i="13" s="1"/>
  <c r="J76" i="13" a="1"/>
  <c r="J76" i="13" s="1"/>
  <c r="M27" i="13" a="1"/>
  <c r="M27" i="13" s="1"/>
  <c r="K25" i="13" a="1"/>
  <c r="K25" i="13" s="1"/>
  <c r="J54" i="13" a="1"/>
  <c r="J54" i="13" s="1"/>
  <c r="L28" i="13" a="1"/>
  <c r="L28" i="13" s="1"/>
  <c r="K58" i="13" a="1"/>
  <c r="K58" i="13" s="1"/>
  <c r="D69" i="13" a="1"/>
  <c r="D69" i="13" s="1"/>
  <c r="G9" i="13" a="1"/>
  <c r="G9" i="13" s="1"/>
  <c r="G7" i="13" a="1"/>
  <c r="G7" i="13" s="1"/>
  <c r="L19" i="13" a="1"/>
  <c r="L19" i="13" s="1"/>
  <c r="K65" i="13" a="1"/>
  <c r="K65" i="13" s="1"/>
  <c r="D5" i="13" a="1"/>
  <c r="D5" i="13" s="1"/>
  <c r="K17" i="13" a="1"/>
  <c r="K17" i="13" s="1"/>
  <c r="G28" i="13" a="1"/>
  <c r="G28" i="13" s="1"/>
  <c r="G38" i="13" a="1"/>
  <c r="G38" i="13" s="1"/>
  <c r="G15" i="5" a="1"/>
  <c r="G15" i="5" s="1"/>
  <c r="H13" i="13" a="1"/>
  <c r="H13" i="13" s="1"/>
  <c r="G35" i="5" a="1"/>
  <c r="G35" i="5" s="1"/>
  <c r="K15" i="5" a="1"/>
  <c r="K15" i="5" s="1"/>
  <c r="M45" i="13" a="1"/>
  <c r="M45" i="13" s="1"/>
  <c r="H71" i="5" a="1"/>
  <c r="H71" i="5" s="1"/>
  <c r="H5" i="5" a="1"/>
  <c r="H5" i="5" s="1"/>
  <c r="M5" i="5" a="1"/>
  <c r="M5" i="5" s="1"/>
  <c r="H22" i="13" a="1"/>
  <c r="H22" i="13" s="1"/>
  <c r="D27" i="13" a="1"/>
  <c r="D27" i="13" s="1"/>
  <c r="K28" i="13" a="1"/>
  <c r="K28" i="13" s="1"/>
  <c r="J58" i="13" a="1"/>
  <c r="J58" i="13" s="1"/>
  <c r="G5" i="13" a="1"/>
  <c r="G5" i="13" s="1"/>
  <c r="K16" i="5" a="1"/>
  <c r="K16" i="5" s="1"/>
  <c r="K52" i="5" a="1"/>
  <c r="K52" i="5" s="1"/>
  <c r="G78" i="5" a="1"/>
  <c r="G78" i="5" s="1"/>
  <c r="H7" i="5" a="1"/>
  <c r="H7" i="5" s="1"/>
  <c r="I35" i="5" a="1"/>
  <c r="I35" i="5" s="1"/>
  <c r="D74" i="5" a="1"/>
  <c r="D74" i="5" s="1"/>
  <c r="J48" i="5" a="1"/>
  <c r="J48" i="5" s="1"/>
  <c r="J18" i="5" a="1"/>
  <c r="J18" i="5" s="1"/>
  <c r="K13" i="13" a="1"/>
  <c r="K13" i="13" s="1"/>
  <c r="L25" i="13" a="1"/>
  <c r="L25" i="13" s="1"/>
  <c r="G37" i="13" a="1"/>
  <c r="G37" i="13" s="1"/>
  <c r="L69" i="13" a="1"/>
  <c r="L69" i="13" s="1"/>
  <c r="H7" i="13" a="1"/>
  <c r="H7" i="13" s="1"/>
  <c r="L65" i="13" a="1"/>
  <c r="L65" i="13" s="1"/>
  <c r="H5" i="13" a="1"/>
  <c r="H5" i="13" s="1"/>
  <c r="L12" i="13" a="1"/>
  <c r="L12" i="13" s="1"/>
  <c r="G56" i="5" a="1"/>
  <c r="G56" i="5" s="1"/>
  <c r="M55" i="5" a="1"/>
  <c r="M55" i="5" s="1"/>
  <c r="D50" i="5" a="1"/>
  <c r="D50" i="5" s="1"/>
  <c r="G29" i="13" a="1"/>
  <c r="G29" i="13" s="1"/>
  <c r="H46" i="13" a="1"/>
  <c r="H46" i="13" s="1"/>
  <c r="G18" i="13" a="1"/>
  <c r="G18" i="13" s="1"/>
  <c r="M57" i="13" a="1"/>
  <c r="M57" i="13" s="1"/>
  <c r="K18" i="13" a="1"/>
  <c r="K18" i="13" s="1"/>
  <c r="M37" i="5" a="1"/>
  <c r="M37" i="5" s="1"/>
  <c r="M29" i="13" a="1"/>
  <c r="M29" i="13" s="1"/>
  <c r="H49" i="5" a="1"/>
  <c r="H49" i="5" s="1"/>
  <c r="M50" i="5" a="1"/>
  <c r="M50" i="5" s="1"/>
  <c r="L37" i="5" a="1"/>
  <c r="L37" i="5" s="1"/>
  <c r="I9" i="5" a="1"/>
  <c r="I9" i="5" s="1"/>
  <c r="I57" i="5" a="1"/>
  <c r="I57" i="5" s="1"/>
  <c r="J29" i="13" a="1"/>
  <c r="J29" i="13" s="1"/>
  <c r="M46" i="13" a="1"/>
  <c r="M46" i="13" s="1"/>
  <c r="M18" i="13" a="1"/>
  <c r="M18" i="13" s="1"/>
  <c r="H57" i="13" a="1"/>
  <c r="H57" i="13" s="1"/>
  <c r="I10" i="13" a="1"/>
  <c r="I10" i="13" s="1"/>
  <c r="K55" i="5" a="1"/>
  <c r="K55" i="5" s="1"/>
  <c r="G55" i="5" a="1"/>
  <c r="G55" i="5" s="1"/>
  <c r="I50" i="5" a="1"/>
  <c r="I50" i="5" s="1"/>
  <c r="D55" i="5" a="1"/>
  <c r="D55" i="5" s="1"/>
  <c r="K29" i="13" a="1"/>
  <c r="K29" i="13" s="1"/>
  <c r="G46" i="13" a="1"/>
  <c r="G46" i="13" s="1"/>
  <c r="I18" i="13" a="1"/>
  <c r="I18" i="13" s="1"/>
  <c r="G12" i="5" a="1"/>
  <c r="G12" i="5" s="1"/>
  <c r="D29" i="13" a="1"/>
  <c r="D29" i="13" s="1"/>
  <c r="I50" i="13" a="1"/>
  <c r="I50" i="13" s="1"/>
  <c r="J24" i="13" a="1"/>
  <c r="J24" i="13" s="1"/>
  <c r="I46" i="13" a="1"/>
  <c r="I46" i="13" s="1"/>
  <c r="J18" i="13" a="1"/>
  <c r="J18" i="13" s="1"/>
  <c r="D61" i="13" a="1"/>
  <c r="D61" i="13" s="1"/>
  <c r="I61" i="13" a="1"/>
  <c r="I61" i="13" s="1"/>
  <c r="I37" i="5" a="1"/>
  <c r="I37" i="5" s="1"/>
  <c r="H50" i="13" a="1"/>
  <c r="H50" i="13" s="1"/>
  <c r="K10" i="13" a="1"/>
  <c r="K10" i="13" s="1"/>
  <c r="D9" i="5" a="1"/>
  <c r="D9" i="5" s="1"/>
  <c r="H55" i="5" a="1"/>
  <c r="H55" i="5" s="1"/>
  <c r="H12" i="5" a="1"/>
  <c r="H12" i="5" s="1"/>
  <c r="M12" i="5" a="1"/>
  <c r="M12" i="5" s="1"/>
  <c r="J27" i="5" a="1"/>
  <c r="J27" i="5" s="1"/>
  <c r="L29" i="13" a="1"/>
  <c r="L29" i="13" s="1"/>
  <c r="J50" i="13" a="1"/>
  <c r="J50" i="13" s="1"/>
  <c r="H24" i="13" a="1"/>
  <c r="H24" i="13" s="1"/>
  <c r="K34" i="13" a="1"/>
  <c r="K34" i="13" s="1"/>
  <c r="G53" i="13" a="1"/>
  <c r="G53" i="13" s="1"/>
  <c r="J46" i="13" a="1"/>
  <c r="J46" i="13" s="1"/>
  <c r="J10" i="13" a="1"/>
  <c r="J10" i="13" s="1"/>
  <c r="K12" i="13" a="1"/>
  <c r="K12" i="13" s="1"/>
  <c r="L61" i="13" a="1"/>
  <c r="L61" i="13" s="1"/>
  <c r="J50" i="5" a="1"/>
  <c r="J50" i="5" s="1"/>
  <c r="K50" i="13" a="1"/>
  <c r="K50" i="13" s="1"/>
  <c r="I24" i="13" a="1"/>
  <c r="I24" i="13" s="1"/>
  <c r="D34" i="13" a="1"/>
  <c r="D34" i="13" s="1"/>
  <c r="H53" i="13" a="1"/>
  <c r="H53" i="13" s="1"/>
  <c r="K46" i="13" a="1"/>
  <c r="K46" i="13" s="1"/>
  <c r="G10" i="13" a="1"/>
  <c r="G10" i="13" s="1"/>
  <c r="H12" i="13" a="1"/>
  <c r="H12" i="13" s="1"/>
  <c r="K61" i="13" a="1"/>
  <c r="K61" i="13" s="1"/>
  <c r="L55" i="5" a="1"/>
  <c r="L55" i="5" s="1"/>
  <c r="M24" i="13" a="1"/>
  <c r="M24" i="13" s="1"/>
  <c r="J61" i="13" a="1"/>
  <c r="J61" i="13" s="1"/>
  <c r="L18" i="13" a="1"/>
  <c r="L18" i="13" s="1"/>
  <c r="D27" i="5" a="1"/>
  <c r="D27" i="5" s="1"/>
  <c r="K12" i="5" a="1"/>
  <c r="K12" i="5" s="1"/>
  <c r="L27" i="5" a="1"/>
  <c r="L27" i="5" s="1"/>
  <c r="L14" i="5" a="1"/>
  <c r="L14" i="5" s="1"/>
  <c r="J37" i="5" a="1"/>
  <c r="J37" i="5" s="1"/>
  <c r="K9" i="5" a="1"/>
  <c r="K9" i="5" s="1"/>
  <c r="I49" i="5" a="1"/>
  <c r="I49" i="5" s="1"/>
  <c r="D12" i="5" a="1"/>
  <c r="D12" i="5" s="1"/>
  <c r="G27" i="5" a="1"/>
  <c r="G27" i="5" s="1"/>
  <c r="M56" i="5" a="1"/>
  <c r="M56" i="5" s="1"/>
  <c r="J14" i="5" a="1"/>
  <c r="J14" i="5" s="1"/>
  <c r="K71" i="5" a="1"/>
  <c r="K71" i="5" s="1"/>
  <c r="G57" i="5" a="1"/>
  <c r="G57" i="5" s="1"/>
  <c r="K27" i="5" a="1"/>
  <c r="K27" i="5" s="1"/>
  <c r="K43" i="5" a="1"/>
  <c r="K43" i="5" s="1"/>
  <c r="G37" i="5" a="1"/>
  <c r="G37" i="5" s="1"/>
  <c r="D49" i="5" a="1"/>
  <c r="D49" i="5" s="1"/>
  <c r="D35" i="5" a="1"/>
  <c r="D35" i="5" s="1"/>
  <c r="M8" i="13" a="1"/>
  <c r="M8" i="13" s="1"/>
  <c r="J62" i="13" a="1"/>
  <c r="J62" i="13" s="1"/>
  <c r="D50" i="13" a="1"/>
  <c r="D50" i="13" s="1"/>
  <c r="K24" i="13" a="1"/>
  <c r="K24" i="13" s="1"/>
  <c r="M53" i="13" a="1"/>
  <c r="M53" i="13" s="1"/>
  <c r="D17" i="13" a="1"/>
  <c r="D17" i="13" s="1"/>
  <c r="D46" i="13" a="1"/>
  <c r="D46" i="13" s="1"/>
  <c r="M10" i="13" a="1"/>
  <c r="M10" i="13" s="1"/>
  <c r="M12" i="13" a="1"/>
  <c r="M12" i="13" s="1"/>
  <c r="G61" i="13" a="1"/>
  <c r="G61" i="13" s="1"/>
  <c r="K37" i="13" a="1"/>
  <c r="K37" i="13" s="1"/>
  <c r="J64" i="13" a="1"/>
  <c r="J64" i="13" s="1"/>
  <c r="H68" i="13" a="1"/>
  <c r="H68" i="13" s="1"/>
  <c r="I57" i="13" a="1"/>
  <c r="I57" i="13" s="1"/>
  <c r="I7" i="13" a="1"/>
  <c r="I7" i="13" s="1"/>
  <c r="L5" i="13" a="1"/>
  <c r="L5" i="13" s="1"/>
  <c r="D18" i="13" a="1"/>
  <c r="D18" i="13" s="1"/>
  <c r="H37" i="5" a="1"/>
  <c r="H37" i="5" s="1"/>
  <c r="G50" i="5" a="1"/>
  <c r="G50" i="5" s="1"/>
  <c r="G9" i="5" a="1"/>
  <c r="G9" i="5" s="1"/>
  <c r="M9" i="5" a="1"/>
  <c r="M9" i="5" s="1"/>
  <c r="L57" i="5" a="1"/>
  <c r="L57" i="5" s="1"/>
  <c r="D37" i="5" a="1"/>
  <c r="D37" i="5" s="1"/>
  <c r="D57" i="5" a="1"/>
  <c r="D57" i="5" s="1"/>
  <c r="D14" i="5" a="1"/>
  <c r="D14" i="5" s="1"/>
  <c r="L9" i="5" a="1"/>
  <c r="L9" i="5" s="1"/>
  <c r="K56" i="5" a="1"/>
  <c r="K56" i="5" s="1"/>
  <c r="G49" i="5" a="1"/>
  <c r="G49" i="5" s="1"/>
  <c r="I55" i="5" a="1"/>
  <c r="I55" i="5" s="1"/>
  <c r="L56" i="5" a="1"/>
  <c r="L56" i="5" s="1"/>
  <c r="I56" i="5" a="1"/>
  <c r="I56" i="5" s="1"/>
  <c r="K8" i="13" a="1"/>
  <c r="K8" i="13" s="1"/>
  <c r="L50" i="13" a="1"/>
  <c r="L50" i="13" s="1"/>
  <c r="D24" i="13" a="1"/>
  <c r="D24" i="13" s="1"/>
  <c r="J45" i="13" a="1"/>
  <c r="J45" i="13" s="1"/>
  <c r="I53" i="13" a="1"/>
  <c r="I53" i="13" s="1"/>
  <c r="H10" i="13" a="1"/>
  <c r="H10" i="13" s="1"/>
  <c r="G12" i="13" a="1"/>
  <c r="G12" i="13" s="1"/>
  <c r="M61" i="13" a="1"/>
  <c r="M61" i="13" s="1"/>
  <c r="D37" i="13" a="1"/>
  <c r="D37" i="13" s="1"/>
  <c r="J57" i="13" a="1"/>
  <c r="J57" i="13" s="1"/>
  <c r="M7" i="13" a="1"/>
  <c r="M7" i="13" s="1"/>
  <c r="H9" i="5" a="1"/>
  <c r="H9" i="5" s="1"/>
  <c r="M57" i="5" a="1"/>
  <c r="M57" i="5" s="1"/>
  <c r="M27" i="5" a="1"/>
  <c r="M27" i="5" s="1"/>
  <c r="L50" i="5" a="1"/>
  <c r="L50" i="5" s="1"/>
  <c r="H50" i="5" a="1"/>
  <c r="H50" i="5" s="1"/>
  <c r="H14" i="5" a="1"/>
  <c r="H14" i="5" s="1"/>
  <c r="M49" i="5" a="1"/>
  <c r="M49" i="5" s="1"/>
  <c r="M14" i="5" a="1"/>
  <c r="M14" i="5" s="1"/>
  <c r="J56" i="5" a="1"/>
  <c r="J56" i="5" s="1"/>
  <c r="L71" i="5" a="1"/>
  <c r="L71" i="5" s="1"/>
  <c r="G14" i="5" a="1"/>
  <c r="G14" i="5" s="1"/>
  <c r="L43" i="5" a="1"/>
  <c r="L43" i="5" s="1"/>
  <c r="H43" i="5" a="1"/>
  <c r="H43" i="5" s="1"/>
  <c r="H30" i="5" a="1"/>
  <c r="H30" i="5" s="1"/>
  <c r="J15" i="5" a="1"/>
  <c r="J15" i="5" s="1"/>
  <c r="I30" i="5" a="1"/>
  <c r="I30" i="5" s="1"/>
  <c r="L49" i="5" a="1"/>
  <c r="L49" i="5" s="1"/>
  <c r="D26" i="5" a="1"/>
  <c r="D26" i="5" s="1"/>
  <c r="D5" i="5" a="1"/>
  <c r="D5" i="5" s="1"/>
  <c r="D30" i="5" a="1"/>
  <c r="D30" i="5" s="1"/>
  <c r="D63" i="5" a="1"/>
  <c r="D63" i="5" s="1"/>
  <c r="K40" i="13" a="1"/>
  <c r="K40" i="13" s="1"/>
  <c r="I12" i="13" a="1"/>
  <c r="I12" i="13" s="1"/>
  <c r="G67" i="13" a="1"/>
  <c r="G67" i="13" s="1"/>
  <c r="J69" i="13" a="1"/>
  <c r="J69" i="13" s="1"/>
  <c r="D19" i="5" a="1"/>
  <c r="D19" i="5" s="1"/>
  <c r="G59" i="5" a="1"/>
  <c r="G59" i="5" s="1"/>
  <c r="I22" i="13" a="1"/>
  <c r="I22" i="13" s="1"/>
  <c r="K64" i="13" a="1"/>
  <c r="K64" i="13" s="1"/>
  <c r="L29" i="5" a="1"/>
  <c r="L29" i="5" s="1"/>
  <c r="M19" i="5" a="1"/>
  <c r="M19" i="5" s="1"/>
  <c r="D40" i="5" a="1"/>
  <c r="D40" i="5" s="1"/>
  <c r="M22" i="13" a="1"/>
  <c r="M22" i="13" s="1"/>
  <c r="D64" i="13" a="1"/>
  <c r="D64" i="13" s="1"/>
  <c r="H60" i="5" a="1"/>
  <c r="H60" i="5" s="1"/>
  <c r="I60" i="5" a="1"/>
  <c r="I60" i="5" s="1"/>
  <c r="K29" i="5" a="1"/>
  <c r="K29" i="5" s="1"/>
  <c r="G22" i="13" a="1"/>
  <c r="G22" i="13" s="1"/>
  <c r="L64" i="13" a="1"/>
  <c r="L64" i="13" s="1"/>
  <c r="L44" i="5" a="1"/>
  <c r="L44" i="5" s="1"/>
  <c r="K60" i="5" a="1"/>
  <c r="K60" i="5" s="1"/>
  <c r="H29" i="5" a="1"/>
  <c r="H29" i="5" s="1"/>
  <c r="D29" i="5" a="1"/>
  <c r="D29" i="5" s="1"/>
  <c r="D75" i="13" a="1"/>
  <c r="D75" i="13" s="1"/>
  <c r="J22" i="13" a="1"/>
  <c r="J22" i="13" s="1"/>
  <c r="G64" i="13" a="1"/>
  <c r="G64" i="13" s="1"/>
  <c r="G56" i="13" a="1"/>
  <c r="G56" i="13" s="1"/>
  <c r="M60" i="5" a="1"/>
  <c r="M60" i="5" s="1"/>
  <c r="D44" i="5" a="1"/>
  <c r="D44" i="5" s="1"/>
  <c r="L75" i="13" a="1"/>
  <c r="L75" i="13" s="1"/>
  <c r="K22" i="13" a="1"/>
  <c r="K22" i="13" s="1"/>
  <c r="M64" i="13" a="1"/>
  <c r="M64" i="13" s="1"/>
  <c r="L56" i="13" a="1"/>
  <c r="L56" i="13" s="1"/>
  <c r="K40" i="5" a="1"/>
  <c r="K40" i="5" s="1"/>
  <c r="L19" i="5" a="1"/>
  <c r="L19" i="5" s="1"/>
  <c r="J29" i="5" a="1"/>
  <c r="J29" i="5" s="1"/>
  <c r="G75" i="13" a="1"/>
  <c r="G75" i="13" s="1"/>
  <c r="D22" i="13" a="1"/>
  <c r="D22" i="13" s="1"/>
  <c r="H64" i="13" a="1"/>
  <c r="H64" i="13" s="1"/>
  <c r="M56" i="13" a="1"/>
  <c r="M56" i="13" s="1"/>
  <c r="G40" i="5" a="1"/>
  <c r="G40" i="5" s="1"/>
  <c r="K19" i="5" a="1"/>
  <c r="K19" i="5" s="1"/>
  <c r="M75" i="13" a="1"/>
  <c r="M75" i="13" s="1"/>
  <c r="D56" i="13" a="1"/>
  <c r="D56" i="13" s="1"/>
  <c r="L59" i="5" a="1"/>
  <c r="L59" i="5" s="1"/>
  <c r="D60" i="5" a="1"/>
  <c r="D60" i="5" s="1"/>
  <c r="H75" i="13" a="1"/>
  <c r="H75" i="13" s="1"/>
  <c r="H56" i="13" a="1"/>
  <c r="H56" i="13" s="1"/>
  <c r="I40" i="5" a="1"/>
  <c r="I40" i="5" s="1"/>
  <c r="G60" i="5" a="1"/>
  <c r="G60" i="5" s="1"/>
  <c r="H59" i="5" a="1"/>
  <c r="H59" i="5" s="1"/>
  <c r="G19" i="5" a="1"/>
  <c r="G19" i="5" s="1"/>
  <c r="I44" i="5" a="1"/>
  <c r="I44" i="5" s="1"/>
  <c r="I75" i="13" a="1"/>
  <c r="I75" i="13" s="1"/>
  <c r="I56" i="13" a="1"/>
  <c r="I56" i="13" s="1"/>
  <c r="I19" i="5" a="1"/>
  <c r="I19" i="5" s="1"/>
  <c r="J44" i="5" a="1"/>
  <c r="J44" i="5" s="1"/>
  <c r="J40" i="5" a="1"/>
  <c r="J40" i="5" s="1"/>
  <c r="L40" i="5" a="1"/>
  <c r="L40" i="5" s="1"/>
  <c r="J59" i="5" a="1"/>
  <c r="J59" i="5" s="1"/>
  <c r="K59" i="5" a="1"/>
  <c r="K59" i="5" s="1"/>
  <c r="H19" i="5" a="1"/>
  <c r="H19" i="5" s="1"/>
  <c r="H44" i="5" a="1"/>
  <c r="H44" i="5" s="1"/>
  <c r="J75" i="13" a="1"/>
  <c r="J75" i="13" s="1"/>
  <c r="J56" i="13" a="1"/>
  <c r="J56" i="13" s="1"/>
  <c r="D59" i="5" a="1"/>
  <c r="D59" i="5" s="1"/>
  <c r="K44" i="5" a="1"/>
  <c r="K44" i="5" s="1"/>
  <c r="M59" i="5" a="1"/>
  <c r="M59" i="5" s="1"/>
  <c r="M40" i="5" a="1"/>
  <c r="M40" i="5" s="1"/>
  <c r="I29" i="5" a="1"/>
  <c r="I29" i="5" s="1"/>
  <c r="M29" i="5" a="1"/>
  <c r="M29" i="5" s="1"/>
  <c r="J5" i="13" a="1"/>
  <c r="J5" i="13" s="1"/>
  <c r="K5" i="13" a="1"/>
  <c r="K5" i="13" s="1"/>
  <c r="H13" i="2" a="1"/>
  <c r="H13" i="2" s="1"/>
  <c r="H14" i="2" a="1"/>
  <c r="H14" i="2" s="1"/>
  <c r="H19" i="2" a="1"/>
  <c r="H19" i="2" s="1"/>
  <c r="H20" i="2" a="1"/>
  <c r="H20" i="2" s="1"/>
  <c r="H21" i="2" a="1"/>
  <c r="H21" i="2" s="1"/>
  <c r="H11" i="2" a="1"/>
  <c r="H11" i="2" s="1"/>
  <c r="H15" i="2" a="1"/>
  <c r="H15" i="2" s="1"/>
  <c r="H52" i="2" a="1"/>
  <c r="H52" i="2" s="1"/>
  <c r="H50" i="2" a="1"/>
  <c r="H50" i="2" s="1"/>
  <c r="H46" i="2" a="1"/>
  <c r="H46" i="2" s="1"/>
  <c r="H42" i="2" a="1"/>
  <c r="H42" i="2" s="1"/>
  <c r="H39" i="2" a="1"/>
  <c r="H39" i="2" s="1"/>
  <c r="H37" i="2" a="1"/>
  <c r="H37" i="2" s="1"/>
  <c r="H29" i="2" a="1"/>
  <c r="H29" i="2" s="1"/>
  <c r="H47" i="2" a="1"/>
  <c r="H47" i="2" s="1"/>
  <c r="H33" i="2" a="1"/>
  <c r="H33" i="2" s="1"/>
  <c r="H53" i="2" a="1"/>
  <c r="H53" i="2" s="1"/>
  <c r="H44" i="2" a="1"/>
  <c r="H44" i="2" s="1"/>
  <c r="H27" i="2" a="1"/>
  <c r="H27" i="2" s="1"/>
  <c r="H54" i="2" a="1"/>
  <c r="H54" i="2" s="1"/>
  <c r="H48" i="2" a="1"/>
  <c r="H48" i="2" s="1"/>
  <c r="H24" i="2" a="1"/>
  <c r="H24" i="2" s="1"/>
  <c r="H31" i="2" a="1"/>
  <c r="H31" i="2" s="1"/>
  <c r="H51" i="2" a="1"/>
  <c r="H51" i="2" s="1"/>
  <c r="H43" i="2" a="1"/>
  <c r="H43" i="2" s="1"/>
  <c r="H45" i="2" a="1"/>
  <c r="H45" i="2" s="1"/>
  <c r="H35" i="2" a="1"/>
  <c r="H35" i="2" s="1"/>
  <c r="H28" i="2" a="1"/>
  <c r="H28" i="2" s="1"/>
  <c r="H49" i="2" a="1"/>
  <c r="H49" i="2" s="1"/>
  <c r="H41" i="2" a="1"/>
  <c r="H41" i="2" s="1"/>
  <c r="H36" i="2" a="1"/>
  <c r="H36" i="2" s="1"/>
  <c r="H5" i="2" a="1"/>
  <c r="H5" i="2" s="1"/>
  <c r="H32" i="2" a="1"/>
  <c r="H32" i="2" s="1"/>
  <c r="H23" i="2" a="1"/>
  <c r="H23" i="2" s="1"/>
  <c r="H38" i="2" a="1"/>
  <c r="H38" i="2" s="1"/>
  <c r="H34" i="2" a="1"/>
  <c r="H34" i="2" s="1"/>
  <c r="H40" i="2" a="1"/>
  <c r="H40" i="2" s="1"/>
  <c r="H25" i="2" a="1"/>
  <c r="H25" i="2" s="1"/>
  <c r="H17" i="2" a="1"/>
  <c r="H17" i="2" s="1"/>
  <c r="H6" i="2" a="1"/>
  <c r="H6" i="2" s="1"/>
  <c r="H18" i="2" a="1"/>
  <c r="H18" i="2" s="1"/>
  <c r="H7" i="2" a="1"/>
  <c r="H7" i="2" s="1"/>
  <c r="H8" i="2" a="1"/>
  <c r="H8" i="2" s="1"/>
  <c r="F26" i="25" l="1"/>
  <c r="D27" i="25"/>
  <c r="F27" i="25" s="1"/>
  <c r="G27" i="25" s="1"/>
  <c r="K8" i="25"/>
  <c r="J8" i="25"/>
  <c r="U15" i="5"/>
  <c r="U52" i="5"/>
  <c r="U87" i="5"/>
  <c r="U100" i="5"/>
  <c r="U89" i="5"/>
  <c r="U39" i="5"/>
  <c r="U88" i="5"/>
  <c r="U53" i="5"/>
  <c r="U16" i="5"/>
  <c r="U10" i="5"/>
  <c r="U64" i="5"/>
  <c r="U51" i="5"/>
  <c r="U17" i="5"/>
  <c r="U28" i="5"/>
  <c r="U75" i="5"/>
  <c r="U80" i="5"/>
  <c r="U68" i="5"/>
  <c r="U95" i="5"/>
  <c r="U83" i="5"/>
  <c r="U50" i="5"/>
  <c r="U76" i="5"/>
  <c r="U11" i="5"/>
  <c r="U21" i="5"/>
  <c r="U74" i="5"/>
  <c r="U79" i="5"/>
  <c r="U92" i="5"/>
  <c r="U43" i="5"/>
  <c r="U62" i="5"/>
  <c r="U25" i="5"/>
  <c r="U67" i="5"/>
  <c r="U44" i="5"/>
  <c r="U60" i="5"/>
  <c r="U14" i="5"/>
  <c r="U48" i="5"/>
  <c r="U86" i="5"/>
  <c r="U65" i="5"/>
  <c r="U96" i="5"/>
  <c r="U57" i="5"/>
  <c r="U59" i="5"/>
  <c r="U24" i="5"/>
  <c r="U34" i="5"/>
  <c r="U49" i="5"/>
  <c r="U5" i="5"/>
  <c r="U13" i="5"/>
  <c r="U69" i="5"/>
  <c r="U37" i="5"/>
  <c r="U47" i="5"/>
  <c r="U46" i="5"/>
  <c r="U85" i="5"/>
  <c r="U97" i="5"/>
  <c r="U23" i="5"/>
  <c r="U38" i="5"/>
  <c r="U70" i="5"/>
  <c r="U71" i="5"/>
  <c r="U103" i="5"/>
  <c r="U73" i="5"/>
  <c r="U42" i="5"/>
  <c r="U41" i="5"/>
  <c r="U94" i="5"/>
  <c r="U26" i="5"/>
  <c r="U12" i="5"/>
  <c r="U33" i="5"/>
  <c r="U29" i="5"/>
  <c r="U84" i="5"/>
  <c r="U61" i="5"/>
  <c r="U58" i="5"/>
  <c r="U31" i="5"/>
  <c r="U35" i="5"/>
  <c r="U78" i="5"/>
  <c r="U98" i="5"/>
  <c r="U7" i="5"/>
  <c r="U22" i="5"/>
  <c r="U77" i="5"/>
  <c r="U8" i="5"/>
  <c r="U32" i="5"/>
  <c r="U55" i="5"/>
  <c r="U20" i="5"/>
  <c r="U30" i="5"/>
  <c r="U56" i="5"/>
  <c r="U93" i="5"/>
  <c r="U101" i="5"/>
  <c r="U6" i="5"/>
  <c r="U91" i="5"/>
  <c r="U19" i="5"/>
  <c r="U40" i="5"/>
  <c r="U82" i="5"/>
  <c r="U66" i="5"/>
  <c r="U102" i="5"/>
  <c r="U9" i="5"/>
  <c r="U27" i="5"/>
  <c r="U45" i="5"/>
  <c r="U18" i="5"/>
  <c r="U36" i="5"/>
  <c r="U54" i="5"/>
  <c r="U90" i="5"/>
  <c r="U63" i="5"/>
  <c r="U72" i="5"/>
  <c r="U99" i="5"/>
  <c r="U81" i="5"/>
  <c r="AL6" i="34"/>
  <c r="AK7" i="34"/>
  <c r="G26" i="25"/>
  <c r="K26" i="25"/>
  <c r="J26" i="25"/>
  <c r="D9" i="25"/>
  <c r="F9" i="25" s="1"/>
  <c r="G9" i="25" s="1"/>
  <c r="I50" i="2" a="1"/>
  <c r="I50" i="2" s="1"/>
  <c r="I42" i="2" a="1"/>
  <c r="I42" i="2" s="1"/>
  <c r="I36" i="2" a="1"/>
  <c r="I36" i="2" s="1"/>
  <c r="I53" i="2" a="1"/>
  <c r="I53" i="2" s="1"/>
  <c r="I48" i="2" a="1"/>
  <c r="I48" i="2" s="1"/>
  <c r="I47" i="2" a="1"/>
  <c r="I47" i="2" s="1"/>
  <c r="I41" i="2" a="1"/>
  <c r="I41" i="2" s="1"/>
  <c r="I44" i="2" a="1"/>
  <c r="I44" i="2" s="1"/>
  <c r="I9" i="2" a="1"/>
  <c r="I9" i="2" s="1"/>
  <c r="I6" i="2" a="1"/>
  <c r="I6" i="2" s="1"/>
  <c r="I45" i="2" a="1"/>
  <c r="I45" i="2" s="1"/>
  <c r="I54" i="2" a="1"/>
  <c r="I54" i="2" s="1"/>
  <c r="I10" i="2" a="1"/>
  <c r="I10" i="2" s="1"/>
  <c r="I7" i="2" a="1"/>
  <c r="I7" i="2" s="1"/>
  <c r="I37" i="2" a="1"/>
  <c r="I37" i="2" s="1"/>
  <c r="I52" i="2" a="1"/>
  <c r="I52" i="2" s="1"/>
  <c r="I49" i="2" a="1"/>
  <c r="I49" i="2" s="1"/>
  <c r="I8" i="2" a="1"/>
  <c r="I8" i="2" s="1"/>
  <c r="I46" i="2" a="1"/>
  <c r="I46" i="2" s="1"/>
  <c r="I40" i="2" a="1"/>
  <c r="I40" i="2" s="1"/>
  <c r="I5" i="2" a="1"/>
  <c r="I5" i="2" s="1"/>
  <c r="I51" i="2" a="1"/>
  <c r="I51" i="2" s="1"/>
  <c r="I43" i="2" a="1"/>
  <c r="I43" i="2" s="1"/>
  <c r="I39" i="2" a="1"/>
  <c r="I39" i="2" s="1"/>
  <c r="I38" i="2" a="1"/>
  <c r="I38" i="2" s="1"/>
  <c r="I11" i="2" a="1"/>
  <c r="I11" i="2" s="1"/>
  <c r="I21" i="2" a="1"/>
  <c r="I21" i="2" s="1"/>
  <c r="I20" i="2" a="1"/>
  <c r="I20" i="2" s="1"/>
  <c r="I22" i="2" a="1"/>
  <c r="I22" i="2" s="1"/>
  <c r="I34" i="2" a="1"/>
  <c r="I34" i="2" s="1"/>
  <c r="I30" i="2" a="1"/>
  <c r="I30" i="2" s="1"/>
  <c r="I26" i="2" a="1"/>
  <c r="I26" i="2" s="1"/>
  <c r="I31" i="2" a="1"/>
  <c r="I31" i="2" s="1"/>
  <c r="I14" i="2" a="1"/>
  <c r="I14" i="2" s="1"/>
  <c r="I18" i="2" a="1"/>
  <c r="I18" i="2" s="1"/>
  <c r="I19" i="2" a="1"/>
  <c r="I19" i="2" s="1"/>
  <c r="I29" i="2" a="1"/>
  <c r="I29" i="2" s="1"/>
  <c r="I13" i="2" a="1"/>
  <c r="I13" i="2" s="1"/>
  <c r="I17" i="2" a="1"/>
  <c r="I17" i="2" s="1"/>
  <c r="I28" i="2" a="1"/>
  <c r="I28" i="2" s="1"/>
  <c r="I35" i="2" a="1"/>
  <c r="I35" i="2" s="1"/>
  <c r="I12" i="2" a="1"/>
  <c r="I12" i="2" s="1"/>
  <c r="I16" i="2" a="1"/>
  <c r="I16" i="2" s="1"/>
  <c r="I27" i="2" a="1"/>
  <c r="I27" i="2" s="1"/>
  <c r="I33" i="2" a="1"/>
  <c r="I33" i="2" s="1"/>
  <c r="I23" i="2" a="1"/>
  <c r="I23" i="2" s="1"/>
  <c r="I25" i="2" a="1"/>
  <c r="I25" i="2" s="1"/>
  <c r="I32" i="2" a="1"/>
  <c r="I32" i="2" s="1"/>
  <c r="I24" i="2" a="1"/>
  <c r="I24" i="2" s="1"/>
  <c r="I15" i="2" a="1"/>
  <c r="I15" i="2" s="1"/>
  <c r="H27" i="25" l="1"/>
  <c r="D28" i="25" s="1"/>
  <c r="F28" i="25" s="1"/>
  <c r="J28" i="25" s="1"/>
  <c r="J27" i="25"/>
  <c r="K27" i="25"/>
  <c r="J9" i="25"/>
  <c r="K9" i="25"/>
  <c r="H9" i="25"/>
  <c r="D10" i="25" s="1"/>
  <c r="F10" i="25" s="1"/>
  <c r="AL11" i="34"/>
  <c r="AL8" i="34"/>
  <c r="AL10" i="34"/>
  <c r="AM10" i="34" s="1"/>
  <c r="AL7" i="34"/>
  <c r="AL9" i="34"/>
  <c r="K28" i="25" l="1"/>
  <c r="G28" i="25"/>
  <c r="H28" i="25"/>
  <c r="E29" i="25" s="1"/>
  <c r="E28" i="25"/>
  <c r="E10" i="25"/>
  <c r="H10" i="25"/>
  <c r="E11" i="25" s="1"/>
  <c r="K10" i="25"/>
  <c r="G10" i="25"/>
  <c r="J10" i="25"/>
  <c r="D29" i="25" l="1"/>
  <c r="H29" i="25" s="1"/>
  <c r="D30" i="25" s="1"/>
  <c r="F30" i="25" s="1"/>
  <c r="D11" i="25"/>
  <c r="F11" i="25" s="1"/>
  <c r="G11" i="25" s="1"/>
  <c r="E30" i="25" l="1"/>
  <c r="F29" i="25"/>
  <c r="G29" i="25" s="1"/>
  <c r="G30" i="25"/>
  <c r="K30" i="25"/>
  <c r="J30" i="25"/>
  <c r="H30" i="25"/>
  <c r="E31" i="25" s="1"/>
  <c r="K11" i="25"/>
  <c r="J11" i="25"/>
  <c r="H11" i="25"/>
  <c r="E12" i="25" s="1"/>
  <c r="J29" i="25" l="1"/>
  <c r="K29" i="25"/>
  <c r="D12" i="25"/>
  <c r="F12" i="25" s="1"/>
  <c r="J12" i="25" s="1"/>
  <c r="D31" i="25"/>
  <c r="H31" i="25" s="1"/>
  <c r="E32" i="25" s="1"/>
  <c r="G12" i="25" l="1"/>
  <c r="K12" i="25"/>
  <c r="H12" i="25"/>
  <c r="D13" i="25" s="1"/>
  <c r="H13" i="25" s="1"/>
  <c r="E14" i="25" s="1"/>
  <c r="F31" i="25"/>
  <c r="D32" i="25"/>
  <c r="F32" i="25" s="1"/>
  <c r="F13" i="25" l="1"/>
  <c r="G13" i="25" s="1"/>
  <c r="E13" i="25"/>
  <c r="D14" i="25"/>
  <c r="F14" i="25" s="1"/>
  <c r="J14" i="25" s="1"/>
  <c r="G32" i="25"/>
  <c r="J32" i="25"/>
  <c r="K32" i="25"/>
  <c r="H32" i="25"/>
  <c r="E33" i="25" s="1"/>
  <c r="G31" i="25"/>
  <c r="K31" i="25"/>
  <c r="J31" i="25"/>
  <c r="J13" i="25" l="1"/>
  <c r="K13" i="25"/>
  <c r="K14" i="25"/>
  <c r="G14" i="25"/>
  <c r="H14" i="25"/>
  <c r="D15" i="25" s="1"/>
  <c r="F15" i="25" s="1"/>
  <c r="G15" i="25" s="1"/>
  <c r="D33" i="25"/>
  <c r="H33" i="25" s="1"/>
  <c r="D34" i="25" s="1"/>
  <c r="F34" i="25" s="1"/>
  <c r="J15" i="25" l="1"/>
  <c r="K15" i="25"/>
  <c r="E15" i="25"/>
  <c r="H15" i="25"/>
  <c r="E16" i="25" s="1"/>
  <c r="F33" i="25"/>
  <c r="G33" i="25" s="1"/>
  <c r="E34" i="25"/>
  <c r="G34" i="25"/>
  <c r="J34" i="25"/>
  <c r="K34" i="25"/>
  <c r="H34" i="25"/>
  <c r="K33" i="25" l="1"/>
  <c r="J33" i="25"/>
  <c r="D16" i="25"/>
  <c r="F16" i="25" s="1"/>
  <c r="K16" i="25" s="1"/>
  <c r="D35" i="25"/>
  <c r="H35" i="25" s="1"/>
  <c r="E35" i="25"/>
  <c r="J16" i="25" l="1"/>
  <c r="G16" i="25"/>
  <c r="H16" i="25"/>
  <c r="E17" i="25" s="1"/>
  <c r="F35" i="25"/>
  <c r="D36" i="25"/>
  <c r="H36" i="25" s="1"/>
  <c r="E36" i="25"/>
  <c r="D17" i="25" l="1"/>
  <c r="H17" i="25" s="1"/>
  <c r="E18" i="25" s="1"/>
  <c r="G35" i="25"/>
  <c r="J35" i="25"/>
  <c r="K35" i="25"/>
  <c r="D37" i="25"/>
  <c r="F37" i="25" s="1"/>
  <c r="E37" i="25"/>
  <c r="F36" i="25"/>
  <c r="F17" i="25" l="1"/>
  <c r="J17" i="25" s="1"/>
  <c r="D18" i="25"/>
  <c r="F18" i="25" s="1"/>
  <c r="K18" i="25" s="1"/>
  <c r="G36" i="25"/>
  <c r="J36" i="25"/>
  <c r="K36" i="25"/>
  <c r="G37" i="25"/>
  <c r="K37" i="25"/>
  <c r="J37" i="25"/>
  <c r="H37" i="25"/>
  <c r="K17" i="25" l="1"/>
  <c r="G17" i="25"/>
  <c r="G18" i="25"/>
  <c r="H18" i="25"/>
  <c r="E19" i="25" s="1"/>
  <c r="J18" i="25"/>
  <c r="D38" i="25"/>
  <c r="F38" i="25" s="1"/>
  <c r="E38" i="25"/>
  <c r="D19" i="25" l="1"/>
  <c r="F19" i="25" s="1"/>
  <c r="G19" i="25" s="1"/>
  <c r="G38" i="25"/>
  <c r="K38" i="25"/>
  <c r="J38" i="25"/>
  <c r="H38" i="25"/>
  <c r="K19" i="25" l="1"/>
  <c r="H19" i="25"/>
  <c r="D20" i="25" s="1"/>
  <c r="F20" i="25" s="1"/>
  <c r="J19" i="25"/>
  <c r="E39" i="25"/>
  <c r="D39" i="25"/>
  <c r="F39" i="25" s="1"/>
  <c r="E20" i="25" l="1"/>
  <c r="G39" i="25"/>
  <c r="K39" i="25"/>
  <c r="J39" i="25"/>
  <c r="H39" i="25"/>
  <c r="H20" i="25"/>
  <c r="G20" i="25"/>
  <c r="K20" i="25"/>
  <c r="J20" i="25"/>
  <c r="D40" i="25" l="1"/>
  <c r="H40" i="25" s="1"/>
  <c r="E40" i="25"/>
  <c r="D21" i="25"/>
  <c r="F21" i="25" s="1"/>
  <c r="G21" i="25" s="1"/>
  <c r="E21" i="25"/>
  <c r="F40" i="25" l="1"/>
  <c r="G40" i="25" s="1"/>
  <c r="E41" i="25"/>
  <c r="D41" i="25"/>
  <c r="H41" i="25" s="1"/>
  <c r="H21" i="25"/>
  <c r="J40" i="25" l="1"/>
  <c r="K40" i="25"/>
  <c r="F41" i="25"/>
  <c r="D42" i="25"/>
  <c r="F42" i="25" s="1"/>
  <c r="E42" i="25"/>
  <c r="G42" i="25" l="1"/>
  <c r="K42" i="25"/>
  <c r="J42" i="25"/>
  <c r="G41" i="25"/>
  <c r="K41" i="25"/>
  <c r="J41" i="25"/>
  <c r="H42" i="25"/>
  <c r="E43" i="25" l="1"/>
  <c r="D43" i="25"/>
  <c r="H43" i="25" s="1"/>
  <c r="E44" i="25" l="1"/>
  <c r="D44" i="25"/>
  <c r="H44" i="25" s="1"/>
  <c r="F43" i="25"/>
  <c r="G43" i="25" l="1"/>
  <c r="K43" i="25"/>
  <c r="J43" i="25"/>
  <c r="F44" i="25"/>
  <c r="D45" i="25"/>
  <c r="H45" i="25" s="1"/>
  <c r="E45" i="25"/>
  <c r="G44" i="25" l="1"/>
  <c r="J44" i="25"/>
  <c r="K44" i="25"/>
  <c r="F45" i="25"/>
  <c r="D46" i="25"/>
  <c r="H46" i="25" s="1"/>
  <c r="E46" i="25"/>
  <c r="F46" i="25" l="1"/>
  <c r="G45" i="25"/>
  <c r="J45" i="25"/>
  <c r="K45" i="25"/>
  <c r="D47" i="25"/>
  <c r="F47" i="25" s="1"/>
  <c r="E47" i="25"/>
  <c r="H47" i="25" l="1"/>
  <c r="E48" i="25" s="1"/>
  <c r="G47" i="25"/>
  <c r="J47" i="25"/>
  <c r="K47" i="25"/>
  <c r="G46" i="25"/>
  <c r="J46" i="25"/>
  <c r="K46" i="25"/>
  <c r="D48" i="25" l="1"/>
  <c r="H48" i="25" s="1"/>
  <c r="D49" i="25" s="1"/>
  <c r="F49" i="25" s="1"/>
  <c r="F48" i="25" l="1"/>
  <c r="G48" i="25" s="1"/>
  <c r="E49" i="25"/>
  <c r="H49" i="25"/>
  <c r="E50" i="25" s="1"/>
  <c r="G49" i="25"/>
  <c r="K49" i="25"/>
  <c r="J49" i="25"/>
  <c r="K48" i="25" l="1"/>
  <c r="J48" i="25"/>
  <c r="D50" i="25"/>
  <c r="F50" i="25" s="1"/>
  <c r="G50" i="25" s="1"/>
  <c r="H50" i="25" l="1"/>
  <c r="E51" i="25" s="1"/>
  <c r="J50" i="25"/>
  <c r="K50" i="25"/>
  <c r="D51" i="25" l="1"/>
  <c r="F51" i="25" s="1"/>
  <c r="G51" i="25" s="1"/>
  <c r="H51" i="25" l="1"/>
  <c r="E52" i="25" s="1"/>
  <c r="J51" i="25"/>
  <c r="K51" i="25"/>
  <c r="D52" i="25" l="1"/>
  <c r="H52" i="25" s="1"/>
  <c r="E53" i="25" s="1"/>
  <c r="D53" i="25" l="1"/>
  <c r="H53" i="25" s="1"/>
  <c r="D54" i="25" s="1"/>
  <c r="F54" i="25" s="1"/>
  <c r="G54" i="25" s="1"/>
  <c r="F52" i="25"/>
  <c r="G52" i="25" s="1"/>
  <c r="F53" i="25" l="1"/>
  <c r="G53" i="25" s="1"/>
  <c r="J52" i="25"/>
  <c r="K52" i="25"/>
  <c r="E54" i="25"/>
  <c r="H54" i="25"/>
  <c r="E55" i="25" s="1"/>
  <c r="J53" i="25" l="1"/>
  <c r="K53" i="25"/>
  <c r="D55" i="25"/>
  <c r="F55" i="25" s="1"/>
  <c r="G55" i="25" s="1"/>
  <c r="H55" i="25" l="1"/>
  <c r="E56" i="25" s="1"/>
  <c r="D56" i="25" l="1"/>
  <c r="F56" i="25" s="1"/>
  <c r="G56" i="25" s="1"/>
  <c r="H56" i="25" l="1"/>
  <c r="D57" i="25" s="1"/>
  <c r="H57" i="25" s="1"/>
  <c r="E57" i="25" l="1"/>
  <c r="E58" i="25"/>
  <c r="D58" i="25"/>
  <c r="H58" i="25" s="1"/>
  <c r="F57" i="25"/>
  <c r="G57" i="25" s="1"/>
  <c r="F58" i="25" l="1"/>
  <c r="G58" i="25" s="1"/>
  <c r="D59" i="25"/>
  <c r="F59" i="25" s="1"/>
  <c r="G59" i="25" s="1"/>
  <c r="E59" i="25"/>
  <c r="H59" i="25" l="1"/>
  <c r="D60" i="25" s="1"/>
  <c r="F60" i="25" s="1"/>
  <c r="G60" i="25" s="1"/>
  <c r="E60" i="25" l="1"/>
  <c r="H60" i="25"/>
  <c r="D61" i="25" s="1"/>
  <c r="H61" i="25" l="1"/>
  <c r="D62" i="25" s="1"/>
  <c r="H62" i="25" s="1"/>
  <c r="F61" i="25"/>
  <c r="G61" i="25" s="1"/>
  <c r="E61" i="25"/>
  <c r="E62" i="25" l="1"/>
  <c r="F62" i="25"/>
  <c r="G62" i="25" s="1"/>
  <c r="D63" i="25"/>
  <c r="F63" i="25" s="1"/>
  <c r="G63" i="25" s="1"/>
  <c r="E63" i="25"/>
  <c r="H63" i="25" l="1"/>
  <c r="M60" i="49" l="1"/>
  <c r="M61" i="4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<sst xmlns="http://schemas.openxmlformats.org/spreadsheetml/2006/main" count="11001" uniqueCount="3778">
  <si>
    <r>
      <rPr>
        <sz val="18"/>
        <color rgb="FF000000"/>
        <rFont val="PingFang TC"/>
        <family val="2"/>
        <charset val="136"/>
      </rPr>
      <t>聲母碼</t>
    </r>
    <r>
      <rPr>
        <sz val="18"/>
        <color rgb="FF000000"/>
        <rFont val="蘋方-繁 標準體"/>
        <charset val="136"/>
      </rPr>
      <t>序號</t>
    </r>
    <phoneticPr fontId="42" type="noConversion"/>
  </si>
  <si>
    <t>序號</t>
  </si>
  <si>
    <t>聲母碼</t>
  </si>
  <si>
    <t>國際音標</t>
  </si>
  <si>
    <t>十五音</t>
  </si>
  <si>
    <t>白話字</t>
    <phoneticPr fontId="1" type="noConversion"/>
  </si>
  <si>
    <t>台羅拼音</t>
  </si>
  <si>
    <t>閩拼標音</t>
    <phoneticPr fontId="1" type="noConversion"/>
  </si>
  <si>
    <t>方音符號</t>
    <phoneticPr fontId="1" type="noConversion"/>
  </si>
  <si>
    <t>十八聲母</t>
    <phoneticPr fontId="1" type="noConversion"/>
  </si>
  <si>
    <t>聲母碼序號</t>
    <phoneticPr fontId="1" type="noConversion"/>
  </si>
  <si>
    <t>q</t>
  </si>
  <si>
    <t>Ø</t>
    <phoneticPr fontId="1" type="noConversion"/>
  </si>
  <si>
    <t>英</t>
  </si>
  <si>
    <t>Ø</t>
  </si>
  <si>
    <t>p</t>
    <phoneticPr fontId="1" type="noConversion"/>
  </si>
  <si>
    <t>p</t>
  </si>
  <si>
    <t>[p]</t>
  </si>
  <si>
    <t>邊</t>
  </si>
  <si>
    <t>b</t>
  </si>
  <si>
    <t>ㄅ</t>
  </si>
  <si>
    <t>ph</t>
    <phoneticPr fontId="1" type="noConversion"/>
  </si>
  <si>
    <t>ph</t>
  </si>
  <si>
    <t>[pʰ]</t>
  </si>
  <si>
    <t>頗</t>
  </si>
  <si>
    <t>ㄆ</t>
  </si>
  <si>
    <t>b</t>
    <phoneticPr fontId="1" type="noConversion"/>
  </si>
  <si>
    <t>m</t>
  </si>
  <si>
    <t>[m]</t>
  </si>
  <si>
    <t>門</t>
  </si>
  <si>
    <t>bbn</t>
    <phoneticPr fontId="1" type="noConversion"/>
  </si>
  <si>
    <t>ㄇ</t>
  </si>
  <si>
    <t>k</t>
    <phoneticPr fontId="1" type="noConversion"/>
  </si>
  <si>
    <t>[b]</t>
  </si>
  <si>
    <t>bb</t>
  </si>
  <si>
    <t>ㆠ</t>
  </si>
  <si>
    <t>m</t>
    <phoneticPr fontId="1" type="noConversion"/>
  </si>
  <si>
    <t>k</t>
  </si>
  <si>
    <t>[k]</t>
  </si>
  <si>
    <t>求</t>
  </si>
  <si>
    <t>g</t>
  </si>
  <si>
    <t>ㄍ</t>
  </si>
  <si>
    <t>th</t>
    <phoneticPr fontId="1" type="noConversion"/>
  </si>
  <si>
    <t>kh</t>
  </si>
  <si>
    <t>[kʰ]</t>
  </si>
  <si>
    <t>去</t>
  </si>
  <si>
    <t>ㄎ</t>
  </si>
  <si>
    <t>n</t>
    <phoneticPr fontId="1" type="noConversion"/>
  </si>
  <si>
    <t>ng</t>
  </si>
  <si>
    <t>[ŋ]</t>
  </si>
  <si>
    <t>語</t>
  </si>
  <si>
    <t>ggn</t>
  </si>
  <si>
    <t>ㄫ</t>
  </si>
  <si>
    <t>ts</t>
    <phoneticPr fontId="1" type="noConversion"/>
  </si>
  <si>
    <t>[ɡ]</t>
  </si>
  <si>
    <t>gg</t>
  </si>
  <si>
    <t>ㆣ</t>
  </si>
  <si>
    <t>l</t>
    <phoneticPr fontId="1" type="noConversion"/>
  </si>
  <si>
    <t>t</t>
  </si>
  <si>
    <t>[t]</t>
  </si>
  <si>
    <t>地</t>
  </si>
  <si>
    <t>d</t>
  </si>
  <si>
    <t>ㄉ</t>
  </si>
  <si>
    <t>kh</t>
    <phoneticPr fontId="1" type="noConversion"/>
  </si>
  <si>
    <t>th</t>
  </si>
  <si>
    <t>[tʰ]</t>
  </si>
  <si>
    <t>他</t>
  </si>
  <si>
    <t>ㄊ</t>
  </si>
  <si>
    <t>ng</t>
    <phoneticPr fontId="1" type="noConversion"/>
  </si>
  <si>
    <t>n</t>
  </si>
  <si>
    <t>[n]</t>
  </si>
  <si>
    <t>柳</t>
  </si>
  <si>
    <t>ln</t>
  </si>
  <si>
    <t>ㄋ</t>
  </si>
  <si>
    <t>g</t>
    <phoneticPr fontId="1" type="noConversion"/>
  </si>
  <si>
    <t>l</t>
  </si>
  <si>
    <t>[l]</t>
  </si>
  <si>
    <t>ㄌ</t>
  </si>
  <si>
    <t>t</t>
    <phoneticPr fontId="1" type="noConversion"/>
  </si>
  <si>
    <t>ts</t>
  </si>
  <si>
    <t>[ʦ]</t>
    <phoneticPr fontId="1" type="noConversion"/>
  </si>
  <si>
    <t>曾</t>
  </si>
  <si>
    <t>ch</t>
    <phoneticPr fontId="1" type="noConversion"/>
  </si>
  <si>
    <t>z</t>
  </si>
  <si>
    <t>ㄗ</t>
    <phoneticPr fontId="1" type="noConversion"/>
  </si>
  <si>
    <t>s</t>
    <phoneticPr fontId="1" type="noConversion"/>
  </si>
  <si>
    <t>tsh</t>
  </si>
  <si>
    <t>[ʦʰ]</t>
    <phoneticPr fontId="1" type="noConversion"/>
  </si>
  <si>
    <t>出</t>
  </si>
  <si>
    <t>chh</t>
    <phoneticPr fontId="1" type="noConversion"/>
  </si>
  <si>
    <t>tsh</t>
    <phoneticPr fontId="1" type="noConversion"/>
  </si>
  <si>
    <t>c</t>
  </si>
  <si>
    <t>ㄘ</t>
    <phoneticPr fontId="1" type="noConversion"/>
  </si>
  <si>
    <t>[ʦ] / [ʨ]</t>
    <phoneticPr fontId="1" type="noConversion"/>
  </si>
  <si>
    <t>ch / chi</t>
    <phoneticPr fontId="1" type="noConversion"/>
  </si>
  <si>
    <t>ts / tsi</t>
    <phoneticPr fontId="1" type="noConversion"/>
  </si>
  <si>
    <t>ㄗ / ㄐ</t>
    <phoneticPr fontId="1" type="noConversion"/>
  </si>
  <si>
    <t>j</t>
    <phoneticPr fontId="1" type="noConversion"/>
  </si>
  <si>
    <t>s</t>
  </si>
  <si>
    <t>[s]</t>
    <phoneticPr fontId="1" type="noConversion"/>
  </si>
  <si>
    <t>時</t>
  </si>
  <si>
    <t>ㄙ</t>
    <phoneticPr fontId="1" type="noConversion"/>
  </si>
  <si>
    <t>[ʦʰ] / [ʨʰ]</t>
    <phoneticPr fontId="1" type="noConversion"/>
  </si>
  <si>
    <t>chh / chhi</t>
    <phoneticPr fontId="1" type="noConversion"/>
  </si>
  <si>
    <t>tsh / tshi</t>
    <phoneticPr fontId="1" type="noConversion"/>
  </si>
  <si>
    <t>ㄘ / ㄑ</t>
    <phoneticPr fontId="1" type="noConversion"/>
  </si>
  <si>
    <t>h</t>
    <phoneticPr fontId="1" type="noConversion"/>
  </si>
  <si>
    <t>j</t>
  </si>
  <si>
    <t>[ʣ]</t>
    <phoneticPr fontId="1" type="noConversion"/>
  </si>
  <si>
    <t>入</t>
  </si>
  <si>
    <t>zzi</t>
    <phoneticPr fontId="1" type="noConversion"/>
  </si>
  <si>
    <t>ㆡ</t>
    <phoneticPr fontId="1" type="noConversion"/>
  </si>
  <si>
    <t>[s] / [ɕ]</t>
    <phoneticPr fontId="1" type="noConversion"/>
  </si>
  <si>
    <t>s / si</t>
    <phoneticPr fontId="1" type="noConversion"/>
  </si>
  <si>
    <t>ㄙ / ㄒ</t>
    <phoneticPr fontId="1" type="noConversion"/>
  </si>
  <si>
    <t>q</t>
    <phoneticPr fontId="1" type="noConversion"/>
  </si>
  <si>
    <t>h</t>
  </si>
  <si>
    <t>[h]</t>
  </si>
  <si>
    <t>喜</t>
  </si>
  <si>
    <t>ㄏ</t>
  </si>
  <si>
    <t>韻母中「韻腹」為 i 時，方音符號需變更「聲母」之符號</t>
    <phoneticPr fontId="1" type="noConversion"/>
  </si>
  <si>
    <t>[ʣ] / [ʥ]</t>
    <phoneticPr fontId="1" type="noConversion"/>
  </si>
  <si>
    <t>j / ji</t>
    <phoneticPr fontId="1" type="noConversion"/>
  </si>
  <si>
    <t>ㆡ / ㆢ</t>
    <phoneticPr fontId="1" type="noConversion"/>
  </si>
  <si>
    <t>彙音寶鑑 45 韻母</t>
    <phoneticPr fontId="1" type="noConversion"/>
  </si>
  <si>
    <t>彙音韻母排序表</t>
    <phoneticPr fontId="1" type="noConversion"/>
  </si>
  <si>
    <t>雅俗通五十韻母（以台羅拼音母音字母排序）</t>
    <phoneticPr fontId="1" type="noConversion"/>
  </si>
  <si>
    <t>序號</t>
    <phoneticPr fontId="1" type="noConversion"/>
  </si>
  <si>
    <t>韻母</t>
    <phoneticPr fontId="1" type="noConversion"/>
  </si>
  <si>
    <t>韻母碼</t>
    <phoneticPr fontId="1" type="noConversion"/>
  </si>
  <si>
    <t>韻母舒聲碼</t>
    <phoneticPr fontId="1" type="noConversion"/>
  </si>
  <si>
    <t>韻母入聲碼</t>
    <phoneticPr fontId="1" type="noConversion"/>
  </si>
  <si>
    <t>彙音序</t>
    <phoneticPr fontId="1" type="noConversion"/>
  </si>
  <si>
    <t>序次</t>
  </si>
  <si>
    <t>雅俗通序號</t>
    <phoneticPr fontId="1" type="noConversion"/>
  </si>
  <si>
    <t>君</t>
  </si>
  <si>
    <t>un</t>
  </si>
  <si>
    <t>ut</t>
  </si>
  <si>
    <t>膠</t>
  </si>
  <si>
    <t>a</t>
  </si>
  <si>
    <t>ah</t>
  </si>
  <si>
    <t>堅</t>
  </si>
  <si>
    <t>ian</t>
  </si>
  <si>
    <t>iat</t>
  </si>
  <si>
    <t>監</t>
  </si>
  <si>
    <t>ann</t>
  </si>
  <si>
    <t>annh</t>
  </si>
  <si>
    <t>金</t>
  </si>
  <si>
    <t>im</t>
  </si>
  <si>
    <t>ip</t>
  </si>
  <si>
    <t>皆</t>
  </si>
  <si>
    <t>ai</t>
  </si>
  <si>
    <t>aih</t>
  </si>
  <si>
    <t>規</t>
  </si>
  <si>
    <t>ui</t>
  </si>
  <si>
    <t>uih</t>
  </si>
  <si>
    <t>閒</t>
  </si>
  <si>
    <t>ainn</t>
  </si>
  <si>
    <t>ainnh</t>
  </si>
  <si>
    <t>嘉</t>
  </si>
  <si>
    <t>e</t>
  </si>
  <si>
    <t>eh</t>
  </si>
  <si>
    <t>甘</t>
  </si>
  <si>
    <t>am</t>
  </si>
  <si>
    <t>ap</t>
  </si>
  <si>
    <t>干</t>
  </si>
  <si>
    <t>an</t>
  </si>
  <si>
    <t>at</t>
  </si>
  <si>
    <t>公</t>
  </si>
  <si>
    <t>ong</t>
  </si>
  <si>
    <t>ok</t>
  </si>
  <si>
    <t>江</t>
  </si>
  <si>
    <t>ang</t>
  </si>
  <si>
    <t>ak</t>
  </si>
  <si>
    <t>乖</t>
  </si>
  <si>
    <t>uai</t>
  </si>
  <si>
    <t>uaih</t>
  </si>
  <si>
    <t>交</t>
  </si>
  <si>
    <t>au</t>
  </si>
  <si>
    <t>auh</t>
  </si>
  <si>
    <t>經</t>
  </si>
  <si>
    <t>ing</t>
  </si>
  <si>
    <t>ik</t>
  </si>
  <si>
    <t>爻</t>
  </si>
  <si>
    <t>aunn</t>
  </si>
  <si>
    <t>aunnh</t>
  </si>
  <si>
    <t>觀</t>
  </si>
  <si>
    <t>uan</t>
  </si>
  <si>
    <t>uat</t>
  </si>
  <si>
    <t>伽</t>
  </si>
  <si>
    <t>沽</t>
  </si>
  <si>
    <t>oo</t>
  </si>
  <si>
    <t>ooh</t>
  </si>
  <si>
    <t>更</t>
  </si>
  <si>
    <t>enn</t>
  </si>
  <si>
    <t>ennh</t>
  </si>
  <si>
    <t>嬌</t>
  </si>
  <si>
    <t>iau</t>
  </si>
  <si>
    <t>iauh</t>
  </si>
  <si>
    <t>居</t>
  </si>
  <si>
    <t>i</t>
  </si>
  <si>
    <t>ih</t>
  </si>
  <si>
    <t>ee</t>
  </si>
  <si>
    <t>梔</t>
  </si>
  <si>
    <t>inn</t>
  </si>
  <si>
    <t>innh</t>
  </si>
  <si>
    <t>稽</t>
  </si>
  <si>
    <t>ei</t>
  </si>
  <si>
    <t>恭</t>
  </si>
  <si>
    <t>iong</t>
  </si>
  <si>
    <t>iok</t>
  </si>
  <si>
    <t>迦</t>
  </si>
  <si>
    <t>ia</t>
  </si>
  <si>
    <t>iah</t>
  </si>
  <si>
    <t>高</t>
  </si>
  <si>
    <t>o</t>
  </si>
  <si>
    <t>oh</t>
  </si>
  <si>
    <t>驚</t>
  </si>
  <si>
    <t>iann</t>
  </si>
  <si>
    <t>iannh</t>
  </si>
  <si>
    <t>兼</t>
  </si>
  <si>
    <t>iam</t>
  </si>
  <si>
    <t>iap</t>
  </si>
  <si>
    <t>巾</t>
  </si>
  <si>
    <t>in</t>
  </si>
  <si>
    <t>it</t>
  </si>
  <si>
    <t>姜</t>
  </si>
  <si>
    <t>iang</t>
  </si>
  <si>
    <t>iak</t>
  </si>
  <si>
    <t>瓜</t>
  </si>
  <si>
    <t>ua</t>
  </si>
  <si>
    <t>uah</t>
  </si>
  <si>
    <t>嘄</t>
  </si>
  <si>
    <t>iaunn</t>
  </si>
  <si>
    <t>iaunnh</t>
  </si>
  <si>
    <t>茄</t>
  </si>
  <si>
    <t>io</t>
  </si>
  <si>
    <t>ioh</t>
  </si>
  <si>
    <t>檜</t>
  </si>
  <si>
    <t>ue</t>
  </si>
  <si>
    <t>ueh</t>
  </si>
  <si>
    <t>丩</t>
  </si>
  <si>
    <t>iu</t>
  </si>
  <si>
    <t>iuh</t>
  </si>
  <si>
    <t>龜</t>
  </si>
  <si>
    <t>u</t>
  </si>
  <si>
    <t>uh</t>
  </si>
  <si>
    <t>薑</t>
  </si>
  <si>
    <t>iunn</t>
  </si>
  <si>
    <t>iunnh</t>
  </si>
  <si>
    <t>ionn</t>
  </si>
  <si>
    <t>姆</t>
  </si>
  <si>
    <t>mh</t>
  </si>
  <si>
    <t>褌</t>
  </si>
  <si>
    <t>ngh</t>
  </si>
  <si>
    <t>牛</t>
  </si>
  <si>
    <t>姑</t>
  </si>
  <si>
    <t>onn</t>
    <phoneticPr fontId="1" type="noConversion"/>
  </si>
  <si>
    <t>onn</t>
  </si>
  <si>
    <t>onnh</t>
  </si>
  <si>
    <t>鋼</t>
  </si>
  <si>
    <t>箴</t>
  </si>
  <si>
    <t>om</t>
  </si>
  <si>
    <t>op</t>
  </si>
  <si>
    <t>官</t>
  </si>
  <si>
    <t>uann</t>
  </si>
  <si>
    <t>uannh</t>
  </si>
  <si>
    <t>扛</t>
  </si>
  <si>
    <t>oonn</t>
  </si>
  <si>
    <t>光</t>
  </si>
  <si>
    <t>uang</t>
  </si>
  <si>
    <t>uak</t>
  </si>
  <si>
    <t>糜</t>
  </si>
  <si>
    <t>uainn</t>
  </si>
  <si>
    <t>uainnh</t>
  </si>
  <si>
    <t>艍</t>
  </si>
  <si>
    <t>閂</t>
  </si>
  <si>
    <t>關</t>
  </si>
  <si>
    <t>uinn</t>
  </si>
  <si>
    <t>uinnh</t>
  </si>
  <si>
    <t>uenn</t>
  </si>
  <si>
    <t>韻母碼序號</t>
    <phoneticPr fontId="42" type="noConversion"/>
  </si>
  <si>
    <t>目前沒用用到的韻母</t>
    <phoneticPr fontId="42" type="noConversion"/>
  </si>
  <si>
    <t>=0</t>
    <phoneticPr fontId="42" type="noConversion"/>
  </si>
  <si>
    <t>白話字</t>
    <phoneticPr fontId="42" type="noConversion"/>
  </si>
  <si>
    <t>白話字序號</t>
    <phoneticPr fontId="42" type="noConversion"/>
  </si>
  <si>
    <t>十五音韻母序</t>
    <phoneticPr fontId="42" type="noConversion"/>
  </si>
  <si>
    <t>序號</t>
    <phoneticPr fontId="42" type="noConversion"/>
  </si>
  <si>
    <t>韻母碼</t>
    <phoneticPr fontId="42" type="noConversion"/>
  </si>
  <si>
    <t>國際音標</t>
    <phoneticPr fontId="42" type="noConversion"/>
  </si>
  <si>
    <t>十五音</t>
    <phoneticPr fontId="42" type="noConversion"/>
  </si>
  <si>
    <t>方音符號</t>
    <phoneticPr fontId="42" type="noConversion"/>
  </si>
  <si>
    <t>閩拼標音</t>
    <phoneticPr fontId="42" type="noConversion"/>
  </si>
  <si>
    <t>台羅拼音</t>
    <phoneticPr fontId="42" type="noConversion"/>
  </si>
  <si>
    <t>SN</t>
    <phoneticPr fontId="42" type="noConversion"/>
  </si>
  <si>
    <t>奇偶</t>
    <phoneticPr fontId="42" type="noConversion"/>
  </si>
  <si>
    <t>aⁿ</t>
  </si>
  <si>
    <t>ahⁿ</t>
  </si>
  <si>
    <t>aiⁿ</t>
  </si>
  <si>
    <t>eih</t>
  </si>
  <si>
    <t>ionnh</t>
  </si>
  <si>
    <t>eⁿ</t>
  </si>
  <si>
    <t>ehⁿ</t>
  </si>
  <si>
    <t>ek</t>
  </si>
  <si>
    <t>uennh</t>
  </si>
  <si>
    <t>eng</t>
  </si>
  <si>
    <t>iⁿ</t>
  </si>
  <si>
    <t>iaⁿ</t>
  </si>
  <si>
    <t>oonnh</t>
  </si>
  <si>
    <t>iahⁿ</t>
  </si>
  <si>
    <t>iauⁿ</t>
  </si>
  <si>
    <t>iuⁿ</t>
  </si>
  <si>
    <t>iuhⁿ</t>
  </si>
  <si>
    <t>oⁿ</t>
  </si>
  <si>
    <t>o͘</t>
    <phoneticPr fontId="1" type="noConversion"/>
  </si>
  <si>
    <t>oa</t>
  </si>
  <si>
    <t>oaⁿ</t>
  </si>
  <si>
    <t>oah</t>
  </si>
  <si>
    <t>oai</t>
  </si>
  <si>
    <t>oaiⁿ</t>
  </si>
  <si>
    <t>oan</t>
  </si>
  <si>
    <t>oang</t>
  </si>
  <si>
    <t>oat</t>
  </si>
  <si>
    <t>oe</t>
  </si>
  <si>
    <t>oeh</t>
  </si>
  <si>
    <t>ohⁿ</t>
  </si>
  <si>
    <t>漢語八聲調</t>
  </si>
  <si>
    <r>
      <rPr>
        <sz val="18"/>
        <color rgb="FF202122"/>
        <rFont val="PingFang TC"/>
        <family val="2"/>
        <charset val="136"/>
      </rPr>
      <t>台羅方案</t>
    </r>
    <r>
      <rPr>
        <sz val="18"/>
        <color rgb="FF202122"/>
        <rFont val="Cambria"/>
        <family val="1"/>
      </rPr>
      <t>(TL)</t>
    </r>
    <phoneticPr fontId="44" type="noConversion"/>
  </si>
  <si>
    <t>白話字(POJ)</t>
  </si>
  <si>
    <r>
      <rPr>
        <sz val="18"/>
        <color rgb="FF202122"/>
        <rFont val="PingFang TC"/>
        <family val="2"/>
        <charset val="136"/>
      </rPr>
      <t>閩拼方案</t>
    </r>
    <r>
      <rPr>
        <sz val="18"/>
        <color rgb="FF202122"/>
        <rFont val="Cambria"/>
        <family val="1"/>
      </rPr>
      <t>(BP)</t>
    </r>
    <phoneticPr fontId="44" type="noConversion"/>
  </si>
  <si>
    <t>方音符號(TPS)</t>
  </si>
  <si>
    <t>TLPA</t>
  </si>
  <si>
    <t>DT</t>
  </si>
  <si>
    <r>
      <t>許極燉式</t>
    </r>
    <r>
      <rPr>
        <vertAlign val="superscript"/>
        <sz val="18"/>
        <color rgb="FF202122"/>
        <rFont val="蘋方-繁 標準體"/>
        <charset val="136"/>
      </rPr>
      <t>13</t>
    </r>
  </si>
  <si>
    <r>
      <t>123臺語</t>
    </r>
    <r>
      <rPr>
        <vertAlign val="superscript"/>
        <sz val="18"/>
        <color rgb="FF202122"/>
        <rFont val="蘋方-繁 標準體"/>
        <charset val="136"/>
      </rPr>
      <t>10</t>
    </r>
  </si>
  <si>
    <t>SMLT</t>
  </si>
  <si>
    <t>MLT</t>
  </si>
  <si>
    <t>PSDB</t>
  </si>
  <si>
    <r>
      <t>KHDB</t>
    </r>
    <r>
      <rPr>
        <vertAlign val="superscript"/>
        <sz val="18"/>
        <color rgb="FF202122"/>
        <rFont val="蘋方-繁 標準體"/>
        <charset val="136"/>
      </rPr>
      <t>6</t>
    </r>
  </si>
  <si>
    <r>
      <t>廈語拼音字</t>
    </r>
    <r>
      <rPr>
        <vertAlign val="superscript"/>
        <sz val="18"/>
        <color rgb="FF202122"/>
        <rFont val="蘋方-繁 標準體"/>
        <charset val="136"/>
      </rPr>
      <t>9</t>
    </r>
  </si>
  <si>
    <r>
      <t>台灣字</t>
    </r>
    <r>
      <rPr>
        <vertAlign val="superscript"/>
        <sz val="18"/>
        <color rgb="FF202122"/>
        <rFont val="蘋方-繁 標準體"/>
        <charset val="136"/>
      </rPr>
      <t>11</t>
    </r>
  </si>
  <si>
    <r>
      <t>TLS</t>
    </r>
    <r>
      <rPr>
        <vertAlign val="superscript"/>
        <sz val="18"/>
        <color rgb="FF202122"/>
        <rFont val="蘋方-繁 標準體"/>
        <charset val="136"/>
      </rPr>
      <t>16</t>
    </r>
  </si>
  <si>
    <r>
      <t>STTB</t>
    </r>
    <r>
      <rPr>
        <vertAlign val="superscript"/>
        <sz val="18"/>
        <color rgb="FF202122"/>
        <rFont val="蘋方-繁 標準體"/>
        <charset val="136"/>
      </rPr>
      <t>8</t>
    </r>
  </si>
  <si>
    <r>
      <t>唯信拼音</t>
    </r>
    <r>
      <rPr>
        <vertAlign val="superscript"/>
        <sz val="18"/>
        <color rgb="FF202122"/>
        <rFont val="蘋方-繁 標準體"/>
        <charset val="136"/>
      </rPr>
      <t>12</t>
    </r>
  </si>
  <si>
    <t>羅常培式(新式)14</t>
  </si>
  <si>
    <r>
      <t>周辨明式</t>
    </r>
    <r>
      <rPr>
        <vertAlign val="superscript"/>
        <sz val="18"/>
        <color rgb="FF202122"/>
        <rFont val="蘋方-繁 標準體"/>
        <charset val="136"/>
      </rPr>
      <t>9</t>
    </r>
  </si>
  <si>
    <t>Campbell式</t>
  </si>
  <si>
    <r>
      <t>河洛字角</t>
    </r>
    <r>
      <rPr>
        <vertAlign val="superscript"/>
        <sz val="18"/>
        <color rgb="FF202122"/>
        <rFont val="蘋方-繁 標準體"/>
        <charset val="136"/>
      </rPr>
      <t>7</t>
    </r>
  </si>
  <si>
    <r>
      <t>河洛語</t>
    </r>
    <r>
      <rPr>
        <vertAlign val="superscript"/>
        <sz val="18"/>
        <color rgb="FF202122"/>
        <rFont val="蘋方-繁 標準體"/>
        <charset val="136"/>
      </rPr>
      <t>17</t>
    </r>
  </si>
  <si>
    <r>
      <t>臺語諺文</t>
    </r>
    <r>
      <rPr>
        <vertAlign val="superscript"/>
        <sz val="18"/>
        <color rgb="FF202122"/>
        <rFont val="蘋方-繁 標準體"/>
        <charset val="136"/>
      </rPr>
      <t>15</t>
    </r>
  </si>
  <si>
    <r>
      <t>ТКС</t>
    </r>
    <r>
      <rPr>
        <vertAlign val="superscript"/>
        <sz val="18"/>
        <color rgb="FF202122"/>
        <rFont val="蘋方-繁 標準體"/>
        <charset val="136"/>
      </rPr>
      <t>16</t>
    </r>
  </si>
  <si>
    <t>本調調值1</t>
  </si>
  <si>
    <t>漢字臺音4</t>
  </si>
  <si>
    <t>BP調名</t>
  </si>
  <si>
    <t>SMLT調名</t>
  </si>
  <si>
    <r>
      <t>漢語四聲</t>
    </r>
    <r>
      <rPr>
        <vertAlign val="superscript"/>
        <sz val="18"/>
        <color rgb="FF202122"/>
        <rFont val="蘋方-繁 標準體"/>
        <charset val="136"/>
      </rPr>
      <t>5</t>
    </r>
  </si>
  <si>
    <t>英語調名</t>
  </si>
  <si>
    <t>(tone)</t>
  </si>
  <si>
    <t>IPA調符</t>
  </si>
  <si>
    <t>IPA調值</t>
  </si>
  <si>
    <t>第1聲</t>
  </si>
  <si>
    <t>① ā</t>
  </si>
  <si>
    <t>◌</t>
  </si>
  <si>
    <t>a1</t>
  </si>
  <si>
    <t>◌̄</t>
  </si>
  <si>
    <t>af</t>
  </si>
  <si>
    <t>ax</t>
  </si>
  <si>
    <t>-(f,w,y)</t>
  </si>
  <si>
    <t>-v</t>
  </si>
  <si>
    <r>
      <rPr>
        <sz val="28"/>
        <color rgb="FF202122"/>
        <rFont val="Arial"/>
        <family val="2"/>
      </rPr>
      <t>ㅇ</t>
    </r>
  </si>
  <si>
    <t>高平調</t>
  </si>
  <si>
    <t>高調</t>
  </si>
  <si>
    <t>陰平</t>
  </si>
  <si>
    <t>high</t>
  </si>
  <si>
    <t>level</t>
  </si>
  <si>
    <t>˥˥/˦˦</t>
  </si>
  <si>
    <t>55/44</t>
  </si>
  <si>
    <t>第2聲</t>
  </si>
  <si>
    <t>á</t>
  </si>
  <si>
    <t>③ ǎ</t>
  </si>
  <si>
    <t>◌ˋ</t>
  </si>
  <si>
    <t>a2</t>
  </si>
  <si>
    <t>ˋ(à)</t>
  </si>
  <si>
    <r>
      <t>◌</t>
    </r>
    <r>
      <rPr>
        <sz val="28"/>
        <color rgb="FF202122"/>
        <rFont val="Lucida Sans Unicode"/>
        <family val="2"/>
      </rPr>
      <t>̀</t>
    </r>
  </si>
  <si>
    <t>ar</t>
  </si>
  <si>
    <t>ˊ</t>
  </si>
  <si>
    <t>-r</t>
  </si>
  <si>
    <t>-f</t>
  </si>
  <si>
    <t>aa</t>
  </si>
  <si>
    <t>ˋ(4)</t>
  </si>
  <si>
    <t>ʀ</t>
  </si>
  <si>
    <r>
      <rPr>
        <sz val="28"/>
        <color rgb="FF202122"/>
        <rFont val="Arial"/>
        <family val="2"/>
      </rPr>
      <t>ㄹ</t>
    </r>
  </si>
  <si>
    <t>滾</t>
  </si>
  <si>
    <t>高降調</t>
  </si>
  <si>
    <t>上突調</t>
  </si>
  <si>
    <t>陰上</t>
  </si>
  <si>
    <t>falling</t>
  </si>
  <si>
    <t>˥˧</t>
  </si>
  <si>
    <t>第3聲</t>
  </si>
  <si>
    <t>à</t>
  </si>
  <si>
    <t>⑤ à</t>
  </si>
  <si>
    <t>◌˪</t>
  </si>
  <si>
    <t>a3</t>
  </si>
  <si>
    <t>_(a̱)</t>
  </si>
  <si>
    <t>◌̖</t>
  </si>
  <si>
    <t>^(â)</t>
  </si>
  <si>
    <t>aw</t>
  </si>
  <si>
    <t>ˋ</t>
  </si>
  <si>
    <t>-x</t>
  </si>
  <si>
    <t>-l</t>
  </si>
  <si>
    <t>^(3)</t>
  </si>
  <si>
    <t>ᴧ</t>
  </si>
  <si>
    <r>
      <rPr>
        <sz val="28"/>
        <color rgb="FF202122"/>
        <rFont val="Arial"/>
        <family val="2"/>
      </rPr>
      <t>ㄴ</t>
    </r>
  </si>
  <si>
    <t>棍</t>
  </si>
  <si>
    <t>低降調</t>
  </si>
  <si>
    <t>下突調</t>
  </si>
  <si>
    <t>陰去</t>
  </si>
  <si>
    <t>low</t>
  </si>
  <si>
    <t>˨˩</t>
  </si>
  <si>
    <t>第4聲</t>
  </si>
  <si>
    <t>a[p|t|k|h]</t>
  </si>
  <si>
    <t>⑦ ā[p|t|k|h]</t>
  </si>
  <si>
    <t>◌[ㄅ|ㄉ|ㄍ|ㄏ]</t>
  </si>
  <si>
    <t>a(p/t/k/h)4</t>
  </si>
  <si>
    <t>ā(p/t/k/h)</t>
  </si>
  <si>
    <t>◌h</t>
  </si>
  <si>
    <r>
      <t>a</t>
    </r>
    <r>
      <rPr>
        <vertAlign val="superscript"/>
        <sz val="28"/>
        <color rgb="FF202122"/>
        <rFont val="蘋方-繁 標準體"/>
        <charset val="136"/>
      </rPr>
      <t>.</t>
    </r>
  </si>
  <si>
    <t>a(b/d/g/q)</t>
  </si>
  <si>
    <t>a(b/d/g/h)</t>
  </si>
  <si>
    <r>
      <t>a(p/t/k),a</t>
    </r>
    <r>
      <rPr>
        <vertAlign val="superscript"/>
        <sz val="28"/>
        <color rgb="FF202122"/>
        <rFont val="蘋方-繁 標準體"/>
        <charset val="136"/>
      </rPr>
      <t>o</t>
    </r>
  </si>
  <si>
    <t>a(p/t/k/h)</t>
  </si>
  <si>
    <t>-(p/t/k/h)</t>
  </si>
  <si>
    <t>-(p/t/k/q)</t>
  </si>
  <si>
    <t>aq</t>
  </si>
  <si>
    <t>不標號</t>
  </si>
  <si>
    <t>aн</t>
  </si>
  <si>
    <t>◌(п/т/к/ӿ)</t>
  </si>
  <si>
    <t>骨</t>
  </si>
  <si>
    <t>中(低)入調</t>
  </si>
  <si>
    <t>低促調</t>
  </si>
  <si>
    <t>陰入</t>
  </si>
  <si>
    <t>short</t>
  </si>
  <si>
    <t>˨</t>
  </si>
  <si>
    <t>第5聲</t>
  </si>
  <si>
    <t>â</t>
  </si>
  <si>
    <t>② á</t>
  </si>
  <si>
    <t>◌ˊ</t>
  </si>
  <si>
    <t>a5</t>
  </si>
  <si>
    <r>
      <rPr>
        <sz val="28"/>
        <color rgb="FF202122"/>
        <rFont val="Arial"/>
        <family val="2"/>
      </rPr>
      <t>˘</t>
    </r>
    <r>
      <rPr>
        <sz val="28"/>
        <color rgb="FF202122"/>
        <rFont val="蘋方-繁 標準體"/>
        <charset val="136"/>
      </rPr>
      <t>(</t>
    </r>
    <r>
      <rPr>
        <sz val="28"/>
        <color rgb="FF202122"/>
        <rFont val="Arial"/>
        <family val="2"/>
      </rPr>
      <t>ă</t>
    </r>
    <r>
      <rPr>
        <sz val="28"/>
        <color rgb="FF202122"/>
        <rFont val="蘋方-繁 標準體"/>
        <charset val="136"/>
      </rPr>
      <t>)</t>
    </r>
  </si>
  <si>
    <t>◌̌</t>
  </si>
  <si>
    <r>
      <t>ˇ(</t>
    </r>
    <r>
      <rPr>
        <sz val="28"/>
        <color rgb="FF202122"/>
        <rFont val="Arial"/>
        <family val="2"/>
      </rPr>
      <t>ă</t>
    </r>
    <r>
      <rPr>
        <sz val="28"/>
        <color rgb="FF202122"/>
        <rFont val="蘋方-繁 標準體"/>
        <charset val="136"/>
      </rPr>
      <t>)</t>
    </r>
  </si>
  <si>
    <t>^</t>
  </si>
  <si>
    <t>ˇ(5)</t>
  </si>
  <si>
    <t>ʏ</t>
  </si>
  <si>
    <r>
      <rPr>
        <sz val="28"/>
        <color rgb="FF202122"/>
        <rFont val="Arial"/>
        <family val="2"/>
      </rPr>
      <t>ㅅ</t>
    </r>
  </si>
  <si>
    <t>群</t>
  </si>
  <si>
    <t>低緩昇調</t>
  </si>
  <si>
    <t>迴旋調</t>
  </si>
  <si>
    <t>陽平</t>
  </si>
  <si>
    <t>rising</t>
  </si>
  <si>
    <t>˨˦</t>
  </si>
  <si>
    <t>第6聲</t>
  </si>
  <si>
    <t>ǎ</t>
  </si>
  <si>
    <t>④</t>
  </si>
  <si>
    <t>a6</t>
  </si>
  <si>
    <t>aar</t>
  </si>
  <si>
    <t>~(8)</t>
  </si>
  <si>
    <t>/</t>
  </si>
  <si>
    <t>陽上</t>
  </si>
  <si>
    <t>˨˨</t>
  </si>
  <si>
    <t>第7聲</t>
  </si>
  <si>
    <t>ā</t>
  </si>
  <si>
    <t>⑥ â</t>
  </si>
  <si>
    <t>◌˫</t>
  </si>
  <si>
    <t>a7</t>
  </si>
  <si>
    <t>-(ā)</t>
  </si>
  <si>
    <t>al</t>
  </si>
  <si>
    <t>-</t>
  </si>
  <si>
    <t>-(d)</t>
  </si>
  <si>
    <t>-d</t>
  </si>
  <si>
    <t>arh</t>
  </si>
  <si>
    <t>不標(2)</t>
  </si>
  <si>
    <t>ᴀ</t>
  </si>
  <si>
    <r>
      <rPr>
        <sz val="28"/>
        <color rgb="FF202122"/>
        <rFont val="Arial"/>
        <family val="2"/>
      </rPr>
      <t>ㄱ</t>
    </r>
  </si>
  <si>
    <t>郡</t>
  </si>
  <si>
    <t>中平調</t>
  </si>
  <si>
    <t>基調</t>
  </si>
  <si>
    <t>陽去</t>
  </si>
  <si>
    <t>mid</t>
  </si>
  <si>
    <t>˧˧</t>
  </si>
  <si>
    <t>第8聲</t>
  </si>
  <si>
    <t>a̍[p|t|k|h]</t>
  </si>
  <si>
    <t>⑧ á[p|t|k|h]</t>
  </si>
  <si>
    <r>
      <rPr>
        <sz val="28"/>
        <color rgb="FF202122"/>
        <rFont val="Times New Roman"/>
        <family val="1"/>
      </rPr>
      <t>◌[</t>
    </r>
    <r>
      <rPr>
        <sz val="28"/>
        <color rgb="FF202122"/>
        <rFont val="PingFang TC"/>
        <family val="2"/>
        <charset val="136"/>
      </rPr>
      <t>ㄅ</t>
    </r>
    <r>
      <rPr>
        <sz val="28"/>
        <color rgb="FF202122"/>
        <rFont val="Times New Roman"/>
        <family val="1"/>
      </rPr>
      <t xml:space="preserve">̇| </t>
    </r>
    <r>
      <rPr>
        <sz val="28"/>
        <color rgb="FF202122"/>
        <rFont val="PingFang TC"/>
        <family val="2"/>
        <charset val="136"/>
      </rPr>
      <t>ㄉ</t>
    </r>
    <r>
      <rPr>
        <sz val="28"/>
        <color rgb="FF202122"/>
        <rFont val="Times New Roman"/>
        <family val="1"/>
      </rPr>
      <t xml:space="preserve">̇| </t>
    </r>
    <r>
      <rPr>
        <sz val="28"/>
        <color rgb="FF202122"/>
        <rFont val="PingFang TC"/>
        <family val="2"/>
        <charset val="136"/>
      </rPr>
      <t>ㄍ</t>
    </r>
    <r>
      <rPr>
        <sz val="28"/>
        <color rgb="FF202122"/>
        <rFont val="Times New Roman"/>
        <family val="1"/>
      </rPr>
      <t xml:space="preserve">̇| </t>
    </r>
    <r>
      <rPr>
        <sz val="28"/>
        <color rgb="FF202122"/>
        <rFont val="PingFang TC"/>
        <family val="2"/>
        <charset val="136"/>
      </rPr>
      <t>ㄏ</t>
    </r>
    <r>
      <rPr>
        <sz val="28"/>
        <color rgb="FF202122"/>
        <rFont val="Times New Roman"/>
        <family val="1"/>
      </rPr>
      <t>̇ ]</t>
    </r>
  </si>
  <si>
    <t>a(p/t/k/h)8</t>
  </si>
  <si>
    <t>◌̄h</t>
  </si>
  <si>
    <t>(4=8)</t>
  </si>
  <si>
    <t>a(p/t/k/c)</t>
  </si>
  <si>
    <t>a(b/d/g),a'</t>
  </si>
  <si>
    <t>~</t>
  </si>
  <si>
    <t>a̽(p/t/k/h)</t>
  </si>
  <si>
    <t>-(pp/tt/kk/hh)</t>
  </si>
  <si>
    <t>-(px/tx/kx/qx)</t>
  </si>
  <si>
    <t>arq</t>
  </si>
  <si>
    <t>a̍(p/t/k/h)</t>
  </si>
  <si>
    <r>
      <rPr>
        <sz val="28"/>
        <color rgb="FF202122"/>
        <rFont val="Arial"/>
        <family val="2"/>
      </rPr>
      <t>ㅂ</t>
    </r>
  </si>
  <si>
    <t>(п/т/к/ӿ)</t>
  </si>
  <si>
    <t>滑</t>
  </si>
  <si>
    <t>高入調</t>
  </si>
  <si>
    <t>高促調</t>
  </si>
  <si>
    <t>陽入</t>
  </si>
  <si>
    <t>˦</t>
  </si>
  <si>
    <t>第9聲</t>
  </si>
  <si>
    <t>a̋</t>
  </si>
  <si>
    <t>a9</t>
  </si>
  <si>
    <t>ˊ(á)</t>
  </si>
  <si>
    <t>-q</t>
  </si>
  <si>
    <t>(紅)紅紅</t>
  </si>
  <si>
    <t>高升調</t>
  </si>
  <si>
    <t>高升</t>
  </si>
  <si>
    <t>˦˥</t>
  </si>
  <si>
    <t>輕聲</t>
  </si>
  <si>
    <t>--a</t>
  </si>
  <si>
    <t>a0</t>
  </si>
  <si>
    <t>--å</t>
  </si>
  <si>
    <r>
      <t>◌</t>
    </r>
    <r>
      <rPr>
        <sz val="28"/>
        <color rgb="FF202122"/>
        <rFont val="Lucida Sans Unicode"/>
        <family val="2"/>
      </rPr>
      <t>̣</t>
    </r>
  </si>
  <si>
    <r>
      <t>~ </t>
    </r>
    <r>
      <rPr>
        <sz val="28"/>
        <color rgb="FF202122"/>
        <rFont val="蘋方-繁 標準體"/>
        <charset val="136"/>
      </rPr>
      <t>a</t>
    </r>
  </si>
  <si>
    <t>ac</t>
  </si>
  <si>
    <t>å</t>
  </si>
  <si>
    <t>--</t>
  </si>
  <si>
    <r>
      <t>.</t>
    </r>
    <r>
      <rPr>
        <sz val="28"/>
        <color rgb="FF202122"/>
        <rFont val="蘋方-繁 標準體"/>
        <charset val="136"/>
      </rPr>
      <t>a</t>
    </r>
  </si>
  <si>
    <r>
      <t>-a</t>
    </r>
    <r>
      <rPr>
        <vertAlign val="superscript"/>
        <sz val="28"/>
        <color rgb="FF202122"/>
        <rFont val="蘋方-繁 標準體"/>
        <charset val="136"/>
      </rPr>
      <t>o</t>
    </r>
  </si>
  <si>
    <t>"</t>
  </si>
  <si>
    <t>neutral</t>
  </si>
  <si>
    <t>tone</t>
  </si>
  <si>
    <t>◌̊</t>
  </si>
  <si>
    <t>鼻化元音</t>
  </si>
  <si>
    <r>
      <t>a</t>
    </r>
    <r>
      <rPr>
        <sz val="28"/>
        <color rgb="FF202122"/>
        <rFont val="Arial"/>
        <family val="2"/>
      </rPr>
      <t>ⁿ</t>
    </r>
  </si>
  <si>
    <t>na</t>
  </si>
  <si>
    <t>◌(ㆩ,ㆥ,ㆪ,ㆧ,ㆫ,ㆮ,ㆯ)</t>
  </si>
  <si>
    <t>aN/ann</t>
  </si>
  <si>
    <r>
      <t>◌</t>
    </r>
    <r>
      <rPr>
        <sz val="28"/>
        <color rgb="FF202122"/>
        <rFont val="Lucida Sans Unicode"/>
        <family val="2"/>
      </rPr>
      <t>ⁿ</t>
    </r>
  </si>
  <si>
    <t>va</t>
  </si>
  <si>
    <t>n(g)a</t>
  </si>
  <si>
    <t>añ</t>
  </si>
  <si>
    <t>-y</t>
  </si>
  <si>
    <t>aпп</t>
  </si>
  <si>
    <r>
      <t>◌н</t>
    </r>
    <r>
      <rPr>
        <sz val="28"/>
        <color rgb="FF202122"/>
        <rFont val="Arial"/>
        <family val="2"/>
      </rPr>
      <t>̃</t>
    </r>
  </si>
  <si>
    <t>(嬰)仔</t>
  </si>
  <si>
    <t>半鼻音</t>
  </si>
  <si>
    <t>nasal</t>
  </si>
  <si>
    <t>vowel</t>
  </si>
  <si>
    <r>
      <t>◌</t>
    </r>
    <r>
      <rPr>
        <sz val="28"/>
        <color rgb="FF202122"/>
        <rFont val="Lucida Sans Unicode"/>
        <family val="2"/>
      </rPr>
      <t>̃</t>
    </r>
  </si>
  <si>
    <r>
      <rPr>
        <sz val="28"/>
        <color rgb="FF202122"/>
        <rFont val="蘋方-繁 標準體"/>
        <charset val="136"/>
      </rPr>
      <t>◌</t>
    </r>
    <r>
      <rPr>
        <sz val="28"/>
        <color rgb="FF202122"/>
        <rFont val="Lucida Sans Unicode"/>
        <family val="2"/>
      </rPr>
      <t>̃</t>
    </r>
  </si>
  <si>
    <t>零聲母</t>
  </si>
  <si>
    <t>y(i)/w(u)</t>
  </si>
  <si>
    <t>zero</t>
  </si>
  <si>
    <t>consonant</t>
  </si>
  <si>
    <t>ʔ</t>
  </si>
  <si>
    <t>聲調碼</t>
  </si>
  <si>
    <r>
      <rPr>
        <sz val="18"/>
        <color rgb="FF202122"/>
        <rFont val="PingFang TC"/>
        <family val="2"/>
        <charset val="136"/>
      </rPr>
      <t xml:space="preserve">閩拼方案
</t>
    </r>
    <r>
      <rPr>
        <sz val="18"/>
        <color rgb="FF202122"/>
        <rFont val="Cambria"/>
        <family val="1"/>
      </rPr>
      <t>(BP)</t>
    </r>
  </si>
  <si>
    <r>
      <rPr>
        <sz val="18"/>
        <color rgb="FF202122"/>
        <rFont val="PingFang TC"/>
        <family val="2"/>
        <charset val="136"/>
      </rPr>
      <t xml:space="preserve">台羅方案
</t>
    </r>
    <r>
      <rPr>
        <sz val="18"/>
        <color rgb="FF202122"/>
        <rFont val="Cambria"/>
        <family val="1"/>
      </rPr>
      <t>(TL)</t>
    </r>
  </si>
  <si>
    <t>本調調值</t>
  </si>
  <si>
    <t>漢字臺音</t>
  </si>
  <si>
    <t>平</t>
  </si>
  <si>
    <t>陰</t>
  </si>
  <si>
    <t>東</t>
  </si>
  <si>
    <t>陽</t>
  </si>
  <si>
    <t>ˊ</t>
    <phoneticPr fontId="1" type="noConversion"/>
  </si>
  <si>
    <t>同</t>
  </si>
  <si>
    <t>上</t>
  </si>
  <si>
    <t>ˋ</t>
    <phoneticPr fontId="1" type="noConversion"/>
  </si>
  <si>
    <t>黨</t>
  </si>
  <si>
    <t>動</t>
  </si>
  <si>
    <t>˧</t>
  </si>
  <si>
    <t>˪</t>
    <phoneticPr fontId="1" type="noConversion"/>
  </si>
  <si>
    <t>棟</t>
  </si>
  <si>
    <t>˫</t>
    <phoneticPr fontId="1" type="noConversion"/>
  </si>
  <si>
    <t>洞</t>
  </si>
  <si>
    <t>ā[h/p/t/k]</t>
  </si>
  <si>
    <t>a[h/p/t/k]</t>
  </si>
  <si>
    <t>督</t>
  </si>
  <si>
    <t>˧˨</t>
  </si>
  <si>
    <t>˙</t>
    <phoneticPr fontId="1" type="noConversion"/>
  </si>
  <si>
    <t>á[h/p/t/k]</t>
  </si>
  <si>
    <t>a̍[h/p/t/k]</t>
  </si>
  <si>
    <t>毒</t>
  </si>
  <si>
    <t>十五音聲母</t>
    <phoneticPr fontId="1" type="noConversion"/>
  </si>
  <si>
    <t>聲母碼</t>
    <phoneticPr fontId="1" type="noConversion"/>
  </si>
  <si>
    <t>國際音標</t>
    <phoneticPr fontId="1" type="noConversion"/>
  </si>
  <si>
    <t>白話字拼音</t>
    <phoneticPr fontId="1" type="noConversion"/>
  </si>
  <si>
    <t>台羅拼音</t>
    <phoneticPr fontId="1" type="noConversion"/>
  </si>
  <si>
    <t>l
n</t>
  </si>
  <si>
    <t>[l]
[n]</t>
  </si>
  <si>
    <r>
      <rPr>
        <sz val="18"/>
        <color rgb="FF000000"/>
        <rFont val="PingFang TC"/>
        <family val="2"/>
        <charset val="136"/>
      </rPr>
      <t xml:space="preserve">ㄌ
</t>
    </r>
    <r>
      <rPr>
        <sz val="18"/>
        <color rgb="FF000000"/>
        <rFont val="蘋方-繁"/>
        <family val="2"/>
        <charset val="136"/>
      </rPr>
      <t>ㄋ</t>
    </r>
    <phoneticPr fontId="1" type="noConversion"/>
  </si>
  <si>
    <t>l
ln</t>
  </si>
  <si>
    <t>[ʦ]
[ʨ]</t>
  </si>
  <si>
    <t>ㄗ
ㄐ</t>
    <phoneticPr fontId="1" type="noConversion"/>
  </si>
  <si>
    <t>ch
ch(i~)</t>
    <phoneticPr fontId="1" type="noConversion"/>
  </si>
  <si>
    <t>ts
ts(i~)</t>
    <phoneticPr fontId="1" type="noConversion"/>
  </si>
  <si>
    <t>[ʣ]
[ʥ]</t>
  </si>
  <si>
    <t>ㆡ
ㆢ</t>
    <phoneticPr fontId="1" type="noConversion"/>
  </si>
  <si>
    <t>zz</t>
  </si>
  <si>
    <t>[s]
[ɕ]</t>
  </si>
  <si>
    <t>ㄙ
ㄒ</t>
    <phoneticPr fontId="1" type="noConversion"/>
  </si>
  <si>
    <t>s
s(i~)</t>
    <phoneticPr fontId="1" type="noConversion"/>
  </si>
  <si>
    <t>[ʔ]</t>
  </si>
  <si>
    <t>b
m</t>
  </si>
  <si>
    <t>[b]
[m]</t>
  </si>
  <si>
    <r>
      <rPr>
        <sz val="18"/>
        <color rgb="FF000000"/>
        <rFont val="PingFang TC"/>
        <family val="2"/>
        <charset val="136"/>
      </rPr>
      <t xml:space="preserve">ㆠ
</t>
    </r>
    <r>
      <rPr>
        <sz val="18"/>
        <color rgb="FF000000"/>
        <rFont val="蘋方-繁"/>
        <family val="2"/>
        <charset val="136"/>
      </rPr>
      <t>ㄇ</t>
    </r>
    <phoneticPr fontId="1" type="noConversion"/>
  </si>
  <si>
    <t>bb
bbn</t>
  </si>
  <si>
    <t>g
ng</t>
  </si>
  <si>
    <t>[ɡ]
[ŋ]</t>
  </si>
  <si>
    <r>
      <rPr>
        <sz val="18"/>
        <color rgb="FF000000"/>
        <rFont val="PingFang TC"/>
        <family val="2"/>
        <charset val="136"/>
      </rPr>
      <t>ㆣ</t>
    </r>
    <r>
      <rPr>
        <sz val="18"/>
        <color rgb="FF000000"/>
        <rFont val="蘋方-繁"/>
        <family val="2"/>
        <charset val="136"/>
      </rPr>
      <t xml:space="preserve">
ㄫ</t>
    </r>
    <phoneticPr fontId="1" type="noConversion"/>
  </si>
  <si>
    <t>gg
ggn</t>
  </si>
  <si>
    <t>[ʦʰ]
[ʨʰ]</t>
  </si>
  <si>
    <r>
      <rPr>
        <sz val="18"/>
        <color rgb="FF000000"/>
        <rFont val="PingFang TC"/>
        <family val="2"/>
        <charset val="136"/>
      </rPr>
      <t>ㄘ</t>
    </r>
    <r>
      <rPr>
        <sz val="18"/>
        <color rgb="FF000000"/>
        <rFont val="蘋方-繁"/>
        <family val="2"/>
        <charset val="136"/>
      </rPr>
      <t xml:space="preserve">
ㄑ</t>
    </r>
    <phoneticPr fontId="1" type="noConversion"/>
  </si>
  <si>
    <t>chh
chh(i~)</t>
    <phoneticPr fontId="1" type="noConversion"/>
  </si>
  <si>
    <t>tsh
tsh(i~)</t>
    <phoneticPr fontId="1" type="noConversion"/>
  </si>
  <si>
    <t>ㄏ</t>
    <phoneticPr fontId="1" type="noConversion"/>
  </si>
  <si>
    <t>[d]</t>
    <phoneticPr fontId="1" type="noConversion"/>
  </si>
  <si>
    <t>dd</t>
    <phoneticPr fontId="1" type="noConversion"/>
  </si>
  <si>
    <t>聲母碼</t>
    <phoneticPr fontId="42" type="noConversion"/>
  </si>
  <si>
    <r>
      <t>方音</t>
    </r>
    <r>
      <rPr>
        <sz val="16"/>
        <color rgb="FF000000"/>
        <rFont val="PingFang TC Semibold"/>
        <family val="1"/>
      </rPr>
      <t>聲母</t>
    </r>
    <phoneticPr fontId="42" type="noConversion"/>
  </si>
  <si>
    <r>
      <rPr>
        <sz val="16"/>
        <color rgb="FF000000"/>
        <rFont val="PingFang TC"/>
        <family val="2"/>
        <charset val="136"/>
      </rPr>
      <t>白話字</t>
    </r>
    <r>
      <rPr>
        <sz val="16"/>
        <color rgb="FF000000"/>
        <rFont val="蘋方-繁 標準體"/>
        <charset val="136"/>
      </rPr>
      <t>聲母</t>
    </r>
    <phoneticPr fontId="42" type="noConversion"/>
  </si>
  <si>
    <t>台羅聲母</t>
    <phoneticPr fontId="42" type="noConversion"/>
  </si>
  <si>
    <t>閩拼聲母</t>
    <phoneticPr fontId="42" type="noConversion"/>
  </si>
  <si>
    <t>ㄌ</t>
    <phoneticPr fontId="42" type="noConversion"/>
  </si>
  <si>
    <t>l</t>
    <phoneticPr fontId="42" type="noConversion"/>
  </si>
  <si>
    <t>ㄅ</t>
    <phoneticPr fontId="42" type="noConversion"/>
  </si>
  <si>
    <t>ㄍ</t>
    <phoneticPr fontId="42" type="noConversion"/>
  </si>
  <si>
    <t>kʰ</t>
  </si>
  <si>
    <t>ㄎ</t>
    <phoneticPr fontId="42" type="noConversion"/>
  </si>
  <si>
    <t>ㄉ</t>
    <phoneticPr fontId="42" type="noConversion"/>
  </si>
  <si>
    <t>pʰ</t>
  </si>
  <si>
    <t>ㄆ</t>
    <phoneticPr fontId="42" type="noConversion"/>
  </si>
  <si>
    <t>tʰ</t>
  </si>
  <si>
    <t>ㄊ</t>
    <phoneticPr fontId="42" type="noConversion"/>
  </si>
  <si>
    <t>ʦ</t>
  </si>
  <si>
    <t>ㄗ</t>
    <phoneticPr fontId="42" type="noConversion"/>
  </si>
  <si>
    <t>ch</t>
    <phoneticPr fontId="42" type="noConversion"/>
  </si>
  <si>
    <t>tsi</t>
  </si>
  <si>
    <t>ʨ</t>
  </si>
  <si>
    <t>ㄐ</t>
    <phoneticPr fontId="42" type="noConversion"/>
  </si>
  <si>
    <t>chi</t>
    <phoneticPr fontId="42" type="noConversion"/>
  </si>
  <si>
    <t>tsi</t>
    <phoneticPr fontId="42" type="noConversion"/>
  </si>
  <si>
    <t>zi</t>
    <phoneticPr fontId="42" type="noConversion"/>
  </si>
  <si>
    <t>ʣ</t>
  </si>
  <si>
    <t>ㆡ</t>
    <phoneticPr fontId="42" type="noConversion"/>
  </si>
  <si>
    <t>ji</t>
  </si>
  <si>
    <t>ʥ</t>
  </si>
  <si>
    <t>ㆢ</t>
    <phoneticPr fontId="42" type="noConversion"/>
  </si>
  <si>
    <r>
      <t>j</t>
    </r>
    <r>
      <rPr>
        <sz val="36"/>
        <color rgb="FFFF0000"/>
        <rFont val="Arial"/>
        <family val="2"/>
      </rPr>
      <t>i</t>
    </r>
    <phoneticPr fontId="42" type="noConversion"/>
  </si>
  <si>
    <r>
      <t>zz</t>
    </r>
    <r>
      <rPr>
        <sz val="36"/>
        <color rgb="FFFF0000"/>
        <rFont val="Arial"/>
        <family val="2"/>
      </rPr>
      <t>i</t>
    </r>
    <phoneticPr fontId="42" type="noConversion"/>
  </si>
  <si>
    <t>ㄙ</t>
    <phoneticPr fontId="42" type="noConversion"/>
  </si>
  <si>
    <t>si</t>
  </si>
  <si>
    <t>ɕ</t>
  </si>
  <si>
    <t>ㄒ</t>
    <phoneticPr fontId="42" type="noConversion"/>
  </si>
  <si>
    <r>
      <t>s</t>
    </r>
    <r>
      <rPr>
        <sz val="36"/>
        <color rgb="FFFF0000"/>
        <rFont val="Arial"/>
        <family val="2"/>
      </rPr>
      <t>i</t>
    </r>
    <phoneticPr fontId="42" type="noConversion"/>
  </si>
  <si>
    <t>ㆠ</t>
    <phoneticPr fontId="42" type="noConversion"/>
  </si>
  <si>
    <t>b</t>
    <phoneticPr fontId="42" type="noConversion"/>
  </si>
  <si>
    <t>bb</t>
    <phoneticPr fontId="42" type="noConversion"/>
  </si>
  <si>
    <t>ɡ</t>
  </si>
  <si>
    <t>ㆣ</t>
    <phoneticPr fontId="42" type="noConversion"/>
  </si>
  <si>
    <t>g</t>
    <phoneticPr fontId="42" type="noConversion"/>
  </si>
  <si>
    <t>gg</t>
    <phoneticPr fontId="42" type="noConversion"/>
  </si>
  <si>
    <t>ʦʰ</t>
  </si>
  <si>
    <t>ㄘ</t>
    <phoneticPr fontId="42" type="noConversion"/>
  </si>
  <si>
    <t>chh</t>
    <phoneticPr fontId="42" type="noConversion"/>
  </si>
  <si>
    <t>tshi</t>
  </si>
  <si>
    <t>ʨʰ</t>
  </si>
  <si>
    <t>ㄑ</t>
    <phoneticPr fontId="42" type="noConversion"/>
  </si>
  <si>
    <r>
      <t>chh</t>
    </r>
    <r>
      <rPr>
        <sz val="36"/>
        <color rgb="FFFF0000"/>
        <rFont val="Arial"/>
        <family val="2"/>
      </rPr>
      <t>i</t>
    </r>
    <phoneticPr fontId="42" type="noConversion"/>
  </si>
  <si>
    <r>
      <t>tsh</t>
    </r>
    <r>
      <rPr>
        <sz val="36"/>
        <color rgb="FFFF0000"/>
        <rFont val="Arial"/>
        <family val="2"/>
      </rPr>
      <t>i</t>
    </r>
    <phoneticPr fontId="42" type="noConversion"/>
  </si>
  <si>
    <r>
      <t>c</t>
    </r>
    <r>
      <rPr>
        <sz val="36"/>
        <color rgb="FFFF0000"/>
        <rFont val="Arial"/>
        <family val="2"/>
      </rPr>
      <t>i</t>
    </r>
    <phoneticPr fontId="42" type="noConversion"/>
  </si>
  <si>
    <t>ㄏ</t>
    <phoneticPr fontId="42" type="noConversion"/>
  </si>
  <si>
    <t>毛</t>
    <phoneticPr fontId="42" type="noConversion"/>
  </si>
  <si>
    <t>ㄇ</t>
    <phoneticPr fontId="42" type="noConversion"/>
  </si>
  <si>
    <t>m</t>
    <phoneticPr fontId="42" type="noConversion"/>
  </si>
  <si>
    <t>bbn</t>
    <phoneticPr fontId="42" type="noConversion"/>
  </si>
  <si>
    <t>耐</t>
    <phoneticPr fontId="42" type="noConversion"/>
  </si>
  <si>
    <t>ㄋ</t>
    <phoneticPr fontId="42" type="noConversion"/>
  </si>
  <si>
    <t>n</t>
    <phoneticPr fontId="42" type="noConversion"/>
  </si>
  <si>
    <t>ln</t>
    <phoneticPr fontId="42" type="noConversion"/>
  </si>
  <si>
    <t>ŋ</t>
  </si>
  <si>
    <t>雅</t>
    <phoneticPr fontId="42" type="noConversion"/>
  </si>
  <si>
    <t>ㄫ</t>
    <phoneticPr fontId="42" type="noConversion"/>
  </si>
  <si>
    <t>ng</t>
    <phoneticPr fontId="42" type="noConversion"/>
  </si>
  <si>
    <t>ggn</t>
    <phoneticPr fontId="42" type="noConversion"/>
  </si>
  <si>
    <t>台語四十五韻母（以台羅拼音的母音字母排序）</t>
    <phoneticPr fontId="1" type="noConversion"/>
  </si>
  <si>
    <t>十五音韻母</t>
    <phoneticPr fontId="1" type="noConversion"/>
  </si>
  <si>
    <t>韻母促聲碼</t>
  </si>
  <si>
    <t>國際音標舒聲韻母</t>
    <phoneticPr fontId="1" type="noConversion"/>
  </si>
  <si>
    <t>國際音標促聲韻母</t>
  </si>
  <si>
    <t>白話字舒聲韻母</t>
    <phoneticPr fontId="1" type="noConversion"/>
  </si>
  <si>
    <t>白話字促聲韻母</t>
  </si>
  <si>
    <t>台羅舒聲韻母</t>
    <phoneticPr fontId="1" type="noConversion"/>
  </si>
  <si>
    <t>台羅促聲韻母</t>
  </si>
  <si>
    <t>閩拼舒聲韻母</t>
    <phoneticPr fontId="1" type="noConversion"/>
  </si>
  <si>
    <t>閩拼促聲韻母</t>
  </si>
  <si>
    <t>方音舒聲韻母</t>
    <phoneticPr fontId="1" type="noConversion"/>
  </si>
  <si>
    <t>方音促聲韻母</t>
  </si>
  <si>
    <t>麥氏舒聲韻母</t>
    <phoneticPr fontId="1" type="noConversion"/>
  </si>
  <si>
    <t>麥氏都促聲韻母</t>
  </si>
  <si>
    <t>附註</t>
  </si>
  <si>
    <t>四十五韻母</t>
    <phoneticPr fontId="1" type="noConversion"/>
  </si>
  <si>
    <t>雅俗通韻母</t>
    <phoneticPr fontId="1" type="noConversion"/>
  </si>
  <si>
    <t>ut̚</t>
  </si>
  <si>
    <t>ㄨㄣ</t>
  </si>
  <si>
    <t>ㄨㆵ</t>
  </si>
  <si>
    <t>wun</t>
  </si>
  <si>
    <t>wut</t>
  </si>
  <si>
    <t>加</t>
    <phoneticPr fontId="1" type="noConversion"/>
  </si>
  <si>
    <t>a</t>
    <phoneticPr fontId="1" type="noConversion"/>
  </si>
  <si>
    <t>iat̚</t>
  </si>
  <si>
    <t>ㄧㄢ</t>
  </si>
  <si>
    <t>ㄧㄚㆵ</t>
  </si>
  <si>
    <t>ëen</t>
  </si>
  <si>
    <t>ëet</t>
  </si>
  <si>
    <t>監</t>
    <phoneticPr fontId="1" type="noConversion"/>
  </si>
  <si>
    <t>ann</t>
    <phoneticPr fontId="1" type="noConversion"/>
  </si>
  <si>
    <t>ip̚</t>
  </si>
  <si>
    <t>ㄧㆬ</t>
  </si>
  <si>
    <t>ㄧㆴ</t>
  </si>
  <si>
    <t>皆</t>
    <phoneticPr fontId="1" type="noConversion"/>
  </si>
  <si>
    <t>ai</t>
    <phoneticPr fontId="1" type="noConversion"/>
  </si>
  <si>
    <t>ui?</t>
    <phoneticPr fontId="1" type="noConversion"/>
  </si>
  <si>
    <t>ui</t>
    <phoneticPr fontId="1" type="noConversion"/>
  </si>
  <si>
    <t>uih</t>
    <phoneticPr fontId="1" type="noConversion"/>
  </si>
  <si>
    <t>ㄨㄧ</t>
  </si>
  <si>
    <t>ㄨㄧㆷ</t>
  </si>
  <si>
    <t>wuy</t>
  </si>
  <si>
    <t>閒</t>
    <phoneticPr fontId="1" type="noConversion"/>
  </si>
  <si>
    <t>ainn</t>
    <phoneticPr fontId="1" type="noConversion"/>
  </si>
  <si>
    <t>ee</t>
    <phoneticPr fontId="1" type="noConversion"/>
  </si>
  <si>
    <t>eeh</t>
    <phoneticPr fontId="1" type="noConversion"/>
  </si>
  <si>
    <t>ɛ</t>
    <phoneticPr fontId="1" type="noConversion"/>
  </si>
  <si>
    <t>ɛ?</t>
  </si>
  <si>
    <t>eeh</t>
  </si>
  <si>
    <t>e</t>
    <phoneticPr fontId="1" type="noConversion"/>
  </si>
  <si>
    <t>eh</t>
    <phoneticPr fontId="1" type="noConversion"/>
  </si>
  <si>
    <t>ㄝ</t>
  </si>
  <si>
    <t>ㄝㆷ</t>
  </si>
  <si>
    <t>ay</t>
  </si>
  <si>
    <t>ăyh</t>
  </si>
  <si>
    <r>
      <rPr>
        <sz val="14"/>
        <color rgb="FF000000"/>
        <rFont val="PingFang TC"/>
        <family val="2"/>
        <charset val="136"/>
      </rPr>
      <t>彙音【嘉】韻母為：</t>
    </r>
    <r>
      <rPr>
        <sz val="14"/>
        <color rgb="FF000000"/>
        <rFont val="Cambria"/>
        <family val="1"/>
      </rPr>
      <t>e</t>
    </r>
    <phoneticPr fontId="1" type="noConversion"/>
  </si>
  <si>
    <t>甘</t>
    <phoneticPr fontId="1" type="noConversion"/>
  </si>
  <si>
    <t>am</t>
    <phoneticPr fontId="1" type="noConversion"/>
  </si>
  <si>
    <t>at</t>
    <phoneticPr fontId="1" type="noConversion"/>
  </si>
  <si>
    <t>at̚</t>
  </si>
  <si>
    <t>ap</t>
    <phoneticPr fontId="1" type="noConversion"/>
  </si>
  <si>
    <t>ㄢ</t>
  </si>
  <si>
    <t>ㄚㆵ</t>
  </si>
  <si>
    <t>干</t>
    <phoneticPr fontId="1" type="noConversion"/>
  </si>
  <si>
    <t>an</t>
    <phoneticPr fontId="1" type="noConversion"/>
  </si>
  <si>
    <t>ɔŋ</t>
  </si>
  <si>
    <t>ɔk̚</t>
  </si>
  <si>
    <t>ㆲ</t>
  </si>
  <si>
    <t>ㆦㆻ</t>
  </si>
  <si>
    <t>江</t>
    <phoneticPr fontId="1" type="noConversion"/>
  </si>
  <si>
    <t>ang</t>
    <phoneticPr fontId="1" type="noConversion"/>
  </si>
  <si>
    <t>uai?</t>
  </si>
  <si>
    <t>oaih</t>
  </si>
  <si>
    <t>ㄨㄞ</t>
  </si>
  <si>
    <t>ㄨㄞㆷ</t>
  </si>
  <si>
    <t>wae</t>
  </si>
  <si>
    <t>waĕh</t>
  </si>
  <si>
    <t>交</t>
    <phoneticPr fontId="1" type="noConversion"/>
  </si>
  <si>
    <t>au</t>
    <phoneticPr fontId="1" type="noConversion"/>
  </si>
  <si>
    <t>ɪŋ</t>
  </si>
  <si>
    <t>ik̚</t>
  </si>
  <si>
    <t>ㄧㄥ</t>
  </si>
  <si>
    <r>
      <rPr>
        <sz val="24"/>
        <color rgb="FF0000FF"/>
        <rFont val="PMingLiU"/>
        <family val="1"/>
        <charset val="136"/>
      </rPr>
      <t>ㄧ</t>
    </r>
    <r>
      <rPr>
        <sz val="24"/>
        <color rgb="FF0000FF"/>
        <rFont val="Arial"/>
        <family val="2"/>
      </rPr>
      <t>ㆻ</t>
    </r>
    <phoneticPr fontId="1" type="noConversion"/>
  </si>
  <si>
    <t>爻</t>
    <phoneticPr fontId="1" type="noConversion"/>
  </si>
  <si>
    <t>aunn</t>
    <phoneticPr fontId="1" type="noConversion"/>
  </si>
  <si>
    <t>uat̚</t>
  </si>
  <si>
    <t>ㄨㄢ</t>
  </si>
  <si>
    <t>ㄨㄚㆵ</t>
  </si>
  <si>
    <t>wan</t>
  </si>
  <si>
    <t>wat</t>
  </si>
  <si>
    <t>雞</t>
    <phoneticPr fontId="1" type="noConversion"/>
  </si>
  <si>
    <t>oo</t>
    <phoneticPr fontId="1" type="noConversion"/>
  </si>
  <si>
    <t>ou</t>
    <phoneticPr fontId="1" type="noConversion"/>
  </si>
  <si>
    <t>ou?</t>
    <phoneticPr fontId="1" type="noConversion"/>
  </si>
  <si>
    <t>o͘h</t>
    <phoneticPr fontId="1" type="noConversion"/>
  </si>
  <si>
    <t>ooh</t>
    <phoneticPr fontId="1" type="noConversion"/>
  </si>
  <si>
    <t>ㆦ</t>
  </si>
  <si>
    <t>ㆦㆷ</t>
  </si>
  <si>
    <t>白話字的/ɔ/ [o͘] 有時寫成[ou]，因為[o͘]右上角的那點不易見。台羅 oo = ou</t>
  </si>
  <si>
    <t>更</t>
    <phoneticPr fontId="1" type="noConversion"/>
  </si>
  <si>
    <t>enn</t>
    <phoneticPr fontId="1" type="noConversion"/>
  </si>
  <si>
    <t>iau</t>
    <phoneticPr fontId="1" type="noConversion"/>
  </si>
  <si>
    <t>iau?</t>
  </si>
  <si>
    <t>iao</t>
  </si>
  <si>
    <t>iaoh</t>
  </si>
  <si>
    <t>ㄧㄠ</t>
  </si>
  <si>
    <t>ㄧㄠㆷ</t>
  </si>
  <si>
    <t>eaou</t>
  </si>
  <si>
    <t>eaoŭh</t>
  </si>
  <si>
    <t>基</t>
    <phoneticPr fontId="1" type="noConversion"/>
  </si>
  <si>
    <t>i</t>
    <phoneticPr fontId="1" type="noConversion"/>
  </si>
  <si>
    <t>ei</t>
    <phoneticPr fontId="1" type="noConversion"/>
  </si>
  <si>
    <t>eih</t>
    <phoneticPr fontId="1" type="noConversion"/>
  </si>
  <si>
    <t>ei?</t>
    <phoneticPr fontId="1" type="noConversion"/>
  </si>
  <si>
    <t>ㄟ</t>
    <phoneticPr fontId="1" type="noConversion"/>
  </si>
  <si>
    <t>ㄟㆷ</t>
    <phoneticPr fontId="1" type="noConversion"/>
  </si>
  <si>
    <t>ey</t>
  </si>
  <si>
    <t>啼：【雅俗通】Thei2 (他稽下平）；【台羅】The5</t>
  </si>
  <si>
    <t>梔</t>
    <phoneticPr fontId="1" type="noConversion"/>
  </si>
  <si>
    <t>inn</t>
    <phoneticPr fontId="1" type="noConversion"/>
  </si>
  <si>
    <t>iɔŋ</t>
  </si>
  <si>
    <t>iɔk̚</t>
  </si>
  <si>
    <t>ㄧㆲ</t>
  </si>
  <si>
    <t>ㄧㆦㆻ</t>
  </si>
  <si>
    <t>ëung</t>
  </si>
  <si>
    <t>ëuk</t>
  </si>
  <si>
    <t>迦</t>
    <phoneticPr fontId="1" type="noConversion"/>
  </si>
  <si>
    <t>ia</t>
    <phoneticPr fontId="1" type="noConversion"/>
  </si>
  <si>
    <t>o?</t>
    <phoneticPr fontId="1" type="noConversion"/>
  </si>
  <si>
    <t>ㄜ</t>
  </si>
  <si>
    <t>ㄜㆷ</t>
  </si>
  <si>
    <t>ŏh</t>
  </si>
  <si>
    <t>驚</t>
    <phoneticPr fontId="1" type="noConversion"/>
  </si>
  <si>
    <t>iann</t>
    <phoneticPr fontId="1" type="noConversion"/>
  </si>
  <si>
    <t>ai?</t>
    <phoneticPr fontId="1" type="noConversion"/>
  </si>
  <si>
    <t>aih</t>
    <phoneticPr fontId="1" type="noConversion"/>
  </si>
  <si>
    <t>ㄞ</t>
  </si>
  <si>
    <t>ㄞㆷ</t>
  </si>
  <si>
    <t>ae</t>
  </si>
  <si>
    <t>兼</t>
    <phoneticPr fontId="1" type="noConversion"/>
  </si>
  <si>
    <t>iam</t>
    <phoneticPr fontId="1" type="noConversion"/>
  </si>
  <si>
    <t>it̚</t>
  </si>
  <si>
    <t>ㄧㄣ</t>
  </si>
  <si>
    <t>ㄧㆵ</t>
  </si>
  <si>
    <t>堅</t>
    <phoneticPr fontId="1" type="noConversion"/>
  </si>
  <si>
    <t>ian</t>
    <phoneticPr fontId="1" type="noConversion"/>
  </si>
  <si>
    <t>iaŋ</t>
  </si>
  <si>
    <t>iak̚</t>
  </si>
  <si>
    <t>ㄧㄤ</t>
  </si>
  <si>
    <t>ㄧㄚㆻ</t>
  </si>
  <si>
    <t>ëang</t>
  </si>
  <si>
    <t>ëak</t>
  </si>
  <si>
    <t>iang</t>
    <phoneticPr fontId="1" type="noConversion"/>
  </si>
  <si>
    <t>ap̚</t>
  </si>
  <si>
    <t>ㆰ</t>
  </si>
  <si>
    <t>ㄚㆴ</t>
  </si>
  <si>
    <t>嬌</t>
    <phoneticPr fontId="1" type="noConversion"/>
  </si>
  <si>
    <t>ua?</t>
  </si>
  <si>
    <t>ㄨㄚ</t>
  </si>
  <si>
    <t>ㄨㄚㆷ</t>
  </si>
  <si>
    <t>wa</t>
  </si>
  <si>
    <t>wăh</t>
  </si>
  <si>
    <t>喵</t>
    <phoneticPr fontId="1" type="noConversion"/>
  </si>
  <si>
    <t>iaunn</t>
    <phoneticPr fontId="1" type="noConversion"/>
  </si>
  <si>
    <t>aŋ</t>
  </si>
  <si>
    <t>ak̚</t>
  </si>
  <si>
    <t>ㄤ</t>
  </si>
  <si>
    <t>ㄚㆻ</t>
    <phoneticPr fontId="1" type="noConversion"/>
  </si>
  <si>
    <t>金</t>
    <phoneticPr fontId="1" type="noConversion"/>
  </si>
  <si>
    <t>im</t>
    <phoneticPr fontId="1" type="noConversion"/>
  </si>
  <si>
    <t>iap̚</t>
    <phoneticPr fontId="1" type="noConversion"/>
  </si>
  <si>
    <t>ㄧㆰ</t>
  </si>
  <si>
    <t>ㄧㄚㆴ</t>
  </si>
  <si>
    <t>ëem</t>
  </si>
  <si>
    <t>ëep</t>
  </si>
  <si>
    <t>巾</t>
    <phoneticPr fontId="1" type="noConversion"/>
  </si>
  <si>
    <t>in</t>
    <phoneticPr fontId="1" type="noConversion"/>
  </si>
  <si>
    <t>au?</t>
  </si>
  <si>
    <t>ao</t>
  </si>
  <si>
    <t>aoh</t>
  </si>
  <si>
    <t>ㄠ</t>
  </si>
  <si>
    <t>ㄠㆷ</t>
  </si>
  <si>
    <t>aou</t>
  </si>
  <si>
    <t>aoŭh</t>
  </si>
  <si>
    <t>aʊ</t>
  </si>
  <si>
    <t>經</t>
    <phoneticPr fontId="1" type="noConversion"/>
  </si>
  <si>
    <t>ing</t>
    <phoneticPr fontId="1" type="noConversion"/>
  </si>
  <si>
    <t>ia?</t>
  </si>
  <si>
    <t>ㄧㄚ</t>
  </si>
  <si>
    <t>ㄧㄚㆷ</t>
  </si>
  <si>
    <t>ëa</t>
  </si>
  <si>
    <t>ëăh</t>
  </si>
  <si>
    <t>【若】：梵文譯音用字，僅限翻念外來語特殊用法。例：般若波羅密多。</t>
  </si>
  <si>
    <t>茄</t>
    <phoneticPr fontId="1" type="noConversion"/>
  </si>
  <si>
    <t>io</t>
    <phoneticPr fontId="1" type="noConversion"/>
  </si>
  <si>
    <t>ue?</t>
  </si>
  <si>
    <t>ㄨㆤ</t>
    <phoneticPr fontId="1" type="noConversion"/>
  </si>
  <si>
    <r>
      <rPr>
        <sz val="24"/>
        <color rgb="FF0000FF"/>
        <rFont val="PMingLiU"/>
        <family val="1"/>
        <charset val="136"/>
      </rPr>
      <t>ㄨㆤ</t>
    </r>
    <r>
      <rPr>
        <sz val="24"/>
        <color rgb="FF0000FF"/>
        <rFont val="Arial"/>
        <family val="2"/>
      </rPr>
      <t>ㆷ</t>
    </r>
    <phoneticPr fontId="1" type="noConversion"/>
  </si>
  <si>
    <t>öey</t>
  </si>
  <si>
    <t>öĕyh</t>
  </si>
  <si>
    <t>鴦</t>
    <phoneticPr fontId="1" type="noConversion"/>
  </si>
  <si>
    <t>ionn</t>
    <phoneticPr fontId="1" type="noConversion"/>
  </si>
  <si>
    <t>ã</t>
  </si>
  <si>
    <t>ã?</t>
  </si>
  <si>
    <t>ahⁿ</t>
    <phoneticPr fontId="1" type="noConversion"/>
  </si>
  <si>
    <t>nah</t>
  </si>
  <si>
    <t>ㆩ</t>
  </si>
  <si>
    <t>ㆩㆷ</t>
  </si>
  <si>
    <t>ⁿa</t>
  </si>
  <si>
    <t>ⁿăh</t>
  </si>
  <si>
    <t>Lann = Na</t>
  </si>
  <si>
    <t>恭</t>
    <phoneticPr fontId="1" type="noConversion"/>
  </si>
  <si>
    <t>iong</t>
    <phoneticPr fontId="1" type="noConversion"/>
  </si>
  <si>
    <t>u?</t>
  </si>
  <si>
    <t>ㄨ</t>
  </si>
  <si>
    <t>ㄨㆷ</t>
  </si>
  <si>
    <t>oŏh</t>
  </si>
  <si>
    <t>海腔</t>
  </si>
  <si>
    <t>糾</t>
    <phoneticPr fontId="1" type="noConversion"/>
  </si>
  <si>
    <t>iu</t>
    <phoneticPr fontId="1" type="noConversion"/>
  </si>
  <si>
    <t>a?</t>
  </si>
  <si>
    <t>ㄚ</t>
  </si>
  <si>
    <t>ㄚㆷ</t>
  </si>
  <si>
    <t>ăh</t>
  </si>
  <si>
    <t>薑</t>
    <phoneticPr fontId="1" type="noConversion"/>
  </si>
  <si>
    <t>iunn</t>
    <phoneticPr fontId="1" type="noConversion"/>
  </si>
  <si>
    <t>i?</t>
  </si>
  <si>
    <t>ㄧ</t>
  </si>
  <si>
    <t>ㄧㆷ</t>
  </si>
  <si>
    <t>eĕh</t>
  </si>
  <si>
    <t>姆</t>
    <phoneticPr fontId="1" type="noConversion"/>
  </si>
  <si>
    <t>iu?</t>
    <phoneticPr fontId="1" type="noConversion"/>
  </si>
  <si>
    <t>iuh</t>
    <phoneticPr fontId="1" type="noConversion"/>
  </si>
  <si>
    <t>ㄧㄨ</t>
  </si>
  <si>
    <t>ㄧㄨㆷ</t>
  </si>
  <si>
    <t>ew</t>
  </si>
  <si>
    <t>缸</t>
    <phoneticPr fontId="1" type="noConversion"/>
  </si>
  <si>
    <t>ɛ̃</t>
    <phoneticPr fontId="1" type="noConversion"/>
  </si>
  <si>
    <t>ɛ̃?</t>
    <phoneticPr fontId="1" type="noConversion"/>
  </si>
  <si>
    <t>ehⁿ</t>
    <phoneticPr fontId="1" type="noConversion"/>
  </si>
  <si>
    <t>ne</t>
  </si>
  <si>
    <t>neh</t>
  </si>
  <si>
    <t>ㆥ</t>
  </si>
  <si>
    <t>ㆥㆷ</t>
  </si>
  <si>
    <t>aiⁿᶢ</t>
  </si>
  <si>
    <t>aĭⁿᶢh</t>
  </si>
  <si>
    <t>箏</t>
  </si>
  <si>
    <t>高</t>
    <phoneticPr fontId="1" type="noConversion"/>
  </si>
  <si>
    <t>o</t>
    <phoneticPr fontId="1" type="noConversion"/>
  </si>
  <si>
    <t>uĩ</t>
    <phoneticPr fontId="1" type="noConversion"/>
  </si>
  <si>
    <t>uĩ?</t>
    <phoneticPr fontId="1" type="noConversion"/>
  </si>
  <si>
    <t>uiⁿ</t>
    <phoneticPr fontId="1" type="noConversion"/>
  </si>
  <si>
    <t>uihⁿ</t>
    <phoneticPr fontId="1" type="noConversion"/>
  </si>
  <si>
    <t>nui</t>
  </si>
  <si>
    <t>nuih</t>
    <phoneticPr fontId="1" type="noConversion"/>
  </si>
  <si>
    <t>ㄨㆪ</t>
  </si>
  <si>
    <t>ㄨㆪㆷ</t>
  </si>
  <si>
    <t>wuiⁿᶢ</t>
  </si>
  <si>
    <t>【彙音】褌：-ng</t>
  </si>
  <si>
    <t>孤</t>
    <phoneticPr fontId="1" type="noConversion"/>
  </si>
  <si>
    <t>io?</t>
    <phoneticPr fontId="1" type="noConversion"/>
  </si>
  <si>
    <t>ㄧㄜ</t>
  </si>
  <si>
    <t>ㄧㄜㆷ</t>
  </si>
  <si>
    <t>ëo</t>
  </si>
  <si>
    <t>ëŏh</t>
  </si>
  <si>
    <t>瘂</t>
    <phoneticPr fontId="1" type="noConversion"/>
  </si>
  <si>
    <t>oonn</t>
    <phoneticPr fontId="1" type="noConversion"/>
  </si>
  <si>
    <t>ĩ</t>
  </si>
  <si>
    <t>ĩ?</t>
  </si>
  <si>
    <t>iⁿh</t>
  </si>
  <si>
    <t>ni</t>
  </si>
  <si>
    <t>nih</t>
  </si>
  <si>
    <t>ㆪ</t>
  </si>
  <si>
    <t>eeⁿᶢ</t>
  </si>
  <si>
    <t>eĕⁿᶢh</t>
  </si>
  <si>
    <t>掩</t>
    <phoneticPr fontId="1" type="noConversion"/>
  </si>
  <si>
    <t>om</t>
    <phoneticPr fontId="1" type="noConversion"/>
  </si>
  <si>
    <t>iɔ̃</t>
    <phoneticPr fontId="1" type="noConversion"/>
  </si>
  <si>
    <t>iɔ̃?</t>
    <phoneticPr fontId="1" type="noConversion"/>
  </si>
  <si>
    <t>ioⁿ</t>
  </si>
  <si>
    <t>iohⁿ</t>
    <phoneticPr fontId="1" type="noConversion"/>
  </si>
  <si>
    <t>nioo</t>
  </si>
  <si>
    <t>niooh</t>
    <phoneticPr fontId="1" type="noConversion"/>
  </si>
  <si>
    <t>ㄧㆧ</t>
  </si>
  <si>
    <t>ㄧㆧㆷ</t>
  </si>
  <si>
    <t>ëoⁿᶢ</t>
  </si>
  <si>
    <t>彙音的薑轉到牛</t>
  </si>
  <si>
    <t>公</t>
    <phoneticPr fontId="1" type="noConversion"/>
  </si>
  <si>
    <t>ong</t>
    <phoneticPr fontId="1" type="noConversion"/>
  </si>
  <si>
    <t>iã</t>
    <phoneticPr fontId="1" type="noConversion"/>
  </si>
  <si>
    <t>iã?</t>
    <phoneticPr fontId="1" type="noConversion"/>
  </si>
  <si>
    <t>iahⁿ</t>
    <phoneticPr fontId="1" type="noConversion"/>
  </si>
  <si>
    <t>nia</t>
  </si>
  <si>
    <t>niah</t>
    <phoneticPr fontId="1" type="noConversion"/>
  </si>
  <si>
    <t>ㄧㆩ</t>
  </si>
  <si>
    <t>ㄧㆩㆷ</t>
  </si>
  <si>
    <t>ëⁿa</t>
  </si>
  <si>
    <t>娘： Liann5</t>
  </si>
  <si>
    <t>痀</t>
    <phoneticPr fontId="1" type="noConversion"/>
  </si>
  <si>
    <t>u</t>
    <phoneticPr fontId="1" type="noConversion"/>
  </si>
  <si>
    <t>uã</t>
    <phoneticPr fontId="1" type="noConversion"/>
  </si>
  <si>
    <t>uã?</t>
    <phoneticPr fontId="1" type="noConversion"/>
  </si>
  <si>
    <t>oahⁿ</t>
    <phoneticPr fontId="1" type="noConversion"/>
  </si>
  <si>
    <t>nua</t>
  </si>
  <si>
    <t>nuah</t>
    <phoneticPr fontId="1" type="noConversion"/>
  </si>
  <si>
    <t>ㄨㆩ</t>
  </si>
  <si>
    <t>ㄨㆩㆷ</t>
  </si>
  <si>
    <t>wⁿa</t>
  </si>
  <si>
    <t>瓜</t>
    <phoneticPr fontId="1" type="noConversion"/>
  </si>
  <si>
    <t>ua</t>
    <phoneticPr fontId="1" type="noConversion"/>
  </si>
  <si>
    <t>ŋ</t>
    <phoneticPr fontId="1" type="noConversion"/>
  </si>
  <si>
    <t>ŋ?</t>
    <phoneticPr fontId="1" type="noConversion"/>
  </si>
  <si>
    <t>ngh</t>
    <phoneticPr fontId="1" type="noConversion"/>
  </si>
  <si>
    <t>ㆭ</t>
  </si>
  <si>
    <t>ㆭㆷ</t>
  </si>
  <si>
    <t>eⁿᶢ</t>
  </si>
  <si>
    <t>官</t>
    <phoneticPr fontId="1" type="noConversion"/>
  </si>
  <si>
    <t>uann</t>
    <phoneticPr fontId="1" type="noConversion"/>
  </si>
  <si>
    <t>e?</t>
  </si>
  <si>
    <t>ㆤ</t>
  </si>
  <si>
    <t>ㆤㆷ</t>
  </si>
  <si>
    <t>乖</t>
    <phoneticPr fontId="1" type="noConversion"/>
  </si>
  <si>
    <t>uai</t>
    <phoneticPr fontId="1" type="noConversion"/>
  </si>
  <si>
    <t>aĩ</t>
    <phoneticPr fontId="1" type="noConversion"/>
  </si>
  <si>
    <t>aĩ?</t>
    <phoneticPr fontId="1" type="noConversion"/>
  </si>
  <si>
    <t>aihⁿ</t>
    <phoneticPr fontId="1" type="noConversion"/>
  </si>
  <si>
    <t>nai</t>
  </si>
  <si>
    <t>naih</t>
    <phoneticPr fontId="1" type="noConversion"/>
  </si>
  <si>
    <t>ㆮ</t>
  </si>
  <si>
    <t>ㆮㆷ</t>
  </si>
  <si>
    <t>aeⁿᶢ</t>
  </si>
  <si>
    <t>閒：Kainn1，為「同安」音；間：Kainn1</t>
  </si>
  <si>
    <t>糜</t>
    <phoneticPr fontId="1" type="noConversion"/>
  </si>
  <si>
    <t>uainn</t>
    <phoneticPr fontId="1" type="noConversion"/>
  </si>
  <si>
    <t>oonnh</t>
    <phoneticPr fontId="1" type="noConversion"/>
  </si>
  <si>
    <t>õu</t>
    <phoneticPr fontId="1" type="noConversion"/>
  </si>
  <si>
    <t>õu?</t>
    <phoneticPr fontId="1" type="noConversion"/>
  </si>
  <si>
    <t>ohⁿ</t>
    <phoneticPr fontId="1" type="noConversion"/>
  </si>
  <si>
    <t>onnh</t>
    <phoneticPr fontId="1" type="noConversion"/>
  </si>
  <si>
    <t>noo</t>
  </si>
  <si>
    <t>nooh</t>
    <phoneticPr fontId="1" type="noConversion"/>
  </si>
  <si>
    <t>ㆧ</t>
  </si>
  <si>
    <t>ㆧㆷ</t>
  </si>
  <si>
    <t>ⁿoe</t>
  </si>
  <si>
    <t>台羅 oonn = ounn</t>
  </si>
  <si>
    <t>觀</t>
    <phoneticPr fontId="1" type="noConversion"/>
  </si>
  <si>
    <t>uan</t>
    <phoneticPr fontId="1" type="noConversion"/>
  </si>
  <si>
    <t>mh</t>
    <phoneticPr fontId="1" type="noConversion"/>
  </si>
  <si>
    <t>ㆬ</t>
  </si>
  <si>
    <t>ㆬㆷ</t>
  </si>
  <si>
    <t>uᵐ</t>
  </si>
  <si>
    <t>檜</t>
    <phoneticPr fontId="1" type="noConversion"/>
  </si>
  <si>
    <t>ue</t>
    <phoneticPr fontId="1" type="noConversion"/>
  </si>
  <si>
    <t>uaŋ</t>
  </si>
  <si>
    <t>uak̚</t>
  </si>
  <si>
    <t>oak</t>
  </si>
  <si>
    <t>ㄨㄤ</t>
  </si>
  <si>
    <t>ㄨㄚㆻ</t>
  </si>
  <si>
    <t>wang</t>
  </si>
  <si>
    <t>wak</t>
  </si>
  <si>
    <t>規</t>
    <phoneticPr fontId="1" type="noConversion"/>
  </si>
  <si>
    <t>uãi</t>
    <phoneticPr fontId="1" type="noConversion"/>
  </si>
  <si>
    <t>uãi?</t>
    <phoneticPr fontId="1" type="noConversion"/>
  </si>
  <si>
    <t>oaiⁿh</t>
  </si>
  <si>
    <t>nuai</t>
  </si>
  <si>
    <t>nuaih</t>
  </si>
  <si>
    <t>ㄨㆮ</t>
  </si>
  <si>
    <t>ㄨㆮㆷ</t>
  </si>
  <si>
    <t>waeⁿᶢ</t>
  </si>
  <si>
    <t>waĕⁿᶢh</t>
  </si>
  <si>
    <t>閂 (Tshuann) : 興事的意思</t>
  </si>
  <si>
    <t>關</t>
    <phoneticPr fontId="1" type="noConversion"/>
  </si>
  <si>
    <t>uinn</t>
    <phoneticPr fontId="1" type="noConversion"/>
  </si>
  <si>
    <t>uẽi</t>
    <phoneticPr fontId="1" type="noConversion"/>
  </si>
  <si>
    <t>uẽi?</t>
    <phoneticPr fontId="1" type="noConversion"/>
  </si>
  <si>
    <t>oeⁿ</t>
  </si>
  <si>
    <t>oehⁿ</t>
    <phoneticPr fontId="1" type="noConversion"/>
  </si>
  <si>
    <t>nue</t>
  </si>
  <si>
    <t>nueh</t>
    <phoneticPr fontId="1" type="noConversion"/>
  </si>
  <si>
    <t>ㄨㆥ</t>
  </si>
  <si>
    <t>ㄨㆥㆷ</t>
  </si>
  <si>
    <t>ⁿöey</t>
  </si>
  <si>
    <t>檜、糜：現在漳州各地主要腔口不存在 /i/ 尾，亦爲簡便故，今式羅馬字僅寫ue</t>
  </si>
  <si>
    <t>君</t>
    <phoneticPr fontId="1" type="noConversion"/>
  </si>
  <si>
    <t>un</t>
    <phoneticPr fontId="1" type="noConversion"/>
  </si>
  <si>
    <t>iãu</t>
    <phoneticPr fontId="1" type="noConversion"/>
  </si>
  <si>
    <t>iãu?</t>
    <phoneticPr fontId="1" type="noConversion"/>
  </si>
  <si>
    <t>iauⁿh</t>
  </si>
  <si>
    <t>niao</t>
  </si>
  <si>
    <t>niaoh</t>
  </si>
  <si>
    <t>ㄧㆯ</t>
  </si>
  <si>
    <t>ㄧㆯㆷ</t>
  </si>
  <si>
    <t>ⁿeaou</t>
  </si>
  <si>
    <t>ⁿeaoŭh</t>
  </si>
  <si>
    <t>ɔm</t>
  </si>
  <si>
    <t>ɔp̚</t>
  </si>
  <si>
    <t>ㆱ</t>
  </si>
  <si>
    <t>ㆦㆴ</t>
  </si>
  <si>
    <t>ŏmh</t>
  </si>
  <si>
    <t>ãu</t>
    <phoneticPr fontId="1" type="noConversion"/>
  </si>
  <si>
    <t>ãu?</t>
    <phoneticPr fontId="1" type="noConversion"/>
  </si>
  <si>
    <t>auⁿ</t>
    <phoneticPr fontId="1" type="noConversion"/>
  </si>
  <si>
    <t>auhⁿ</t>
    <phoneticPr fontId="1" type="noConversion"/>
  </si>
  <si>
    <t>nao</t>
  </si>
  <si>
    <t>naoh</t>
    <phoneticPr fontId="1" type="noConversion"/>
  </si>
  <si>
    <t>ㆯ</t>
  </si>
  <si>
    <t>ㆯㆷ</t>
  </si>
  <si>
    <t>ⁿaou</t>
  </si>
  <si>
    <t>ɔ̃</t>
    <phoneticPr fontId="1" type="noConversion"/>
  </si>
  <si>
    <t>ɔ̃h</t>
    <phoneticPr fontId="1" type="noConversion"/>
  </si>
  <si>
    <t>no</t>
    <phoneticPr fontId="1" type="noConversion"/>
  </si>
  <si>
    <t>noh</t>
    <phoneticPr fontId="1" type="noConversion"/>
  </si>
  <si>
    <t>ⁿo</t>
  </si>
  <si>
    <t>ⁿŏh</t>
  </si>
  <si>
    <t>長泰音</t>
  </si>
  <si>
    <t>iũ</t>
    <phoneticPr fontId="1" type="noConversion"/>
  </si>
  <si>
    <t>iũh</t>
    <phoneticPr fontId="1" type="noConversion"/>
  </si>
  <si>
    <t>iuhⁿ</t>
    <phoneticPr fontId="1" type="noConversion"/>
  </si>
  <si>
    <t>niu</t>
  </si>
  <si>
    <t>niuh</t>
    <phoneticPr fontId="1" type="noConversion"/>
  </si>
  <si>
    <t>ㄧㆫ</t>
  </si>
  <si>
    <t>ㄧㆫㆷ</t>
  </si>
  <si>
    <t>ⁿew</t>
  </si>
  <si>
    <t>十五音序</t>
    <phoneticPr fontId="42" type="noConversion"/>
  </si>
  <si>
    <t>聲韻</t>
    <phoneticPr fontId="42" type="noConversion"/>
  </si>
  <si>
    <t>白話字韻母</t>
    <phoneticPr fontId="42" type="noConversion"/>
  </si>
  <si>
    <t>台羅韻母</t>
    <phoneticPr fontId="42" type="noConversion"/>
  </si>
  <si>
    <t>閩拼韻母</t>
    <phoneticPr fontId="42" type="noConversion"/>
  </si>
  <si>
    <t>方音韻母</t>
    <phoneticPr fontId="42" type="noConversion"/>
  </si>
  <si>
    <t>舒聲</t>
  </si>
  <si>
    <t>入聲</t>
  </si>
  <si>
    <t>上平</t>
  </si>
  <si>
    <t>上声</t>
  </si>
  <si>
    <t>上去</t>
  </si>
  <si>
    <t>上入</t>
  </si>
  <si>
    <t>下平</t>
  </si>
  <si>
    <t>下去</t>
  </si>
  <si>
    <t>下入</t>
  </si>
  <si>
    <t>蹇</t>
  </si>
  <si>
    <t>見</t>
  </si>
  <si>
    <t>結</t>
  </si>
  <si>
    <t>空音</t>
  </si>
  <si>
    <t>健</t>
  </si>
  <si>
    <t>傑</t>
  </si>
  <si>
    <t>錦</t>
  </si>
  <si>
    <t>禁</t>
  </si>
  <si>
    <t>急</t>
  </si>
  <si>
    <t>㦗</t>
  </si>
  <si>
    <t>及</t>
  </si>
  <si>
    <t>鬼</t>
  </si>
  <si>
    <t>季</t>
  </si>
  <si>
    <t>葵</t>
  </si>
  <si>
    <t>櫃</t>
  </si>
  <si>
    <t>假</t>
  </si>
  <si>
    <t>嫁</t>
  </si>
  <si>
    <t>骼</t>
  </si>
  <si>
    <t>枷</t>
  </si>
  <si>
    <t>下</t>
  </si>
  <si>
    <t>逆</t>
  </si>
  <si>
    <t>柬</t>
  </si>
  <si>
    <t>澗</t>
  </si>
  <si>
    <t>葛</t>
  </si>
  <si>
    <t>廣</t>
  </si>
  <si>
    <t>貢</t>
  </si>
  <si>
    <t>國</t>
  </si>
  <si>
    <t>狂</t>
  </si>
  <si>
    <t>咯</t>
  </si>
  <si>
    <t>拐</t>
  </si>
  <si>
    <t>怪</t>
  </si>
  <si>
    <t>景</t>
  </si>
  <si>
    <t>敬</t>
  </si>
  <si>
    <t>格</t>
  </si>
  <si>
    <t>煢</t>
  </si>
  <si>
    <t>梗</t>
  </si>
  <si>
    <t>極</t>
  </si>
  <si>
    <t>琯</t>
  </si>
  <si>
    <t>貫</t>
  </si>
  <si>
    <t>决</t>
  </si>
  <si>
    <t>權</t>
  </si>
  <si>
    <t>倦</t>
  </si>
  <si>
    <t>橜</t>
  </si>
  <si>
    <t>古</t>
  </si>
  <si>
    <t>固</t>
  </si>
  <si>
    <t>糊</t>
  </si>
  <si>
    <t>怙</t>
  </si>
  <si>
    <t>皎</t>
  </si>
  <si>
    <t>呌</t>
  </si>
  <si>
    <t>勪</t>
  </si>
  <si>
    <t>橋</t>
  </si>
  <si>
    <t>轎</t>
  </si>
  <si>
    <t>噭</t>
  </si>
  <si>
    <t>攺</t>
  </si>
  <si>
    <t>計</t>
  </si>
  <si>
    <t>莢</t>
  </si>
  <si>
    <t>鮭</t>
  </si>
  <si>
    <t>易</t>
  </si>
  <si>
    <t>拱</t>
  </si>
  <si>
    <t>供</t>
  </si>
  <si>
    <t>菊</t>
  </si>
  <si>
    <t>窮</t>
  </si>
  <si>
    <t>共</t>
  </si>
  <si>
    <t>局</t>
  </si>
  <si>
    <t>果</t>
  </si>
  <si>
    <t>告</t>
  </si>
  <si>
    <t>閣</t>
  </si>
  <si>
    <t>翗</t>
  </si>
  <si>
    <t>膏</t>
  </si>
  <si>
    <t>介</t>
  </si>
  <si>
    <t>謹</t>
  </si>
  <si>
    <t>艮</t>
  </si>
  <si>
    <t>吉</t>
  </si>
  <si>
    <t>近</t>
  </si>
  <si>
    <t>䊕</t>
  </si>
  <si>
    <t>襁</t>
  </si>
  <si>
    <t>脚</t>
  </si>
  <si>
    <t>強</t>
  </si>
  <si>
    <t>倞</t>
  </si>
  <si>
    <t>矍</t>
  </si>
  <si>
    <t>敢</t>
  </si>
  <si>
    <t>鑑</t>
  </si>
  <si>
    <t>鴿</t>
  </si>
  <si>
    <t>銜</t>
  </si>
  <si>
    <t>鰹</t>
  </si>
  <si>
    <t>卦</t>
  </si>
  <si>
    <t>嘓</t>
  </si>
  <si>
    <t>港</t>
  </si>
  <si>
    <t>降</t>
  </si>
  <si>
    <t>角</t>
  </si>
  <si>
    <t>磔</t>
  </si>
  <si>
    <t>檢</t>
  </si>
  <si>
    <t>劍</t>
  </si>
  <si>
    <t>夾</t>
  </si>
  <si>
    <t>鹹</t>
  </si>
  <si>
    <t>鐱</t>
  </si>
  <si>
    <t>狡</t>
  </si>
  <si>
    <t>教</t>
  </si>
  <si>
    <t>食夾</t>
  </si>
  <si>
    <t>候</t>
  </si>
  <si>
    <t>厚</t>
  </si>
  <si>
    <t>寄</t>
  </si>
  <si>
    <t>崎</t>
  </si>
  <si>
    <t>屐</t>
  </si>
  <si>
    <t>粿</t>
  </si>
  <si>
    <t>郭</t>
  </si>
  <si>
    <t>趶</t>
  </si>
  <si>
    <t>䭝</t>
  </si>
  <si>
    <t>酵</t>
  </si>
  <si>
    <t>㩜</t>
  </si>
  <si>
    <t>韮</t>
  </si>
  <si>
    <t>句</t>
  </si>
  <si>
    <t>舌久</t>
  </si>
  <si>
    <r>
      <t>金</t>
    </r>
    <r>
      <rPr>
        <sz val="24"/>
        <color rgb="FFFF9900"/>
        <rFont val="源樣黑體 L"/>
        <family val="3"/>
        <charset val="136"/>
      </rPr>
      <t>巨木</t>
    </r>
  </si>
  <si>
    <t>舅</t>
  </si>
  <si>
    <t>絞</t>
  </si>
  <si>
    <t>甲</t>
  </si>
  <si>
    <t>齩</t>
  </si>
  <si>
    <t>己</t>
  </si>
  <si>
    <t>既</t>
  </si>
  <si>
    <t>築</t>
  </si>
  <si>
    <t>期</t>
  </si>
  <si>
    <t>具</t>
  </si>
  <si>
    <t>ㄐ</t>
  </si>
  <si>
    <t>久</t>
  </si>
  <si>
    <t>救</t>
  </si>
  <si>
    <t>舊</t>
  </si>
  <si>
    <t>耞</t>
  </si>
  <si>
    <t>徑</t>
  </si>
  <si>
    <t>捲</t>
  </si>
  <si>
    <t>卷</t>
  </si>
  <si>
    <t>墘</t>
  </si>
  <si>
    <t>謽</t>
  </si>
  <si>
    <t>子</t>
  </si>
  <si>
    <t>鏡</t>
  </si>
  <si>
    <t>行</t>
  </si>
  <si>
    <t>件</t>
  </si>
  <si>
    <t>寡</t>
  </si>
  <si>
    <t>寒</t>
  </si>
  <si>
    <t>汗</t>
  </si>
  <si>
    <t>槓</t>
  </si>
  <si>
    <t>瘸</t>
  </si>
  <si>
    <t>面奈</t>
  </si>
  <si>
    <t>咉</t>
  </si>
  <si>
    <t>譖</t>
  </si>
  <si>
    <t>雅俗通序次</t>
    <phoneticPr fontId="1" type="noConversion"/>
  </si>
  <si>
    <t>閩南方言拚音方案 45 韻母</t>
    <phoneticPr fontId="1" type="noConversion"/>
  </si>
  <si>
    <t>雅俗通獨有此處不用之韻母</t>
    <phoneticPr fontId="1" type="noConversion"/>
  </si>
  <si>
    <t>此處棄用之韻母</t>
    <phoneticPr fontId="1" type="noConversion"/>
  </si>
  <si>
    <t>雅俗通韻母碼</t>
    <phoneticPr fontId="1" type="noConversion"/>
  </si>
  <si>
    <t>雅俗通韻母總數：</t>
    <phoneticPr fontId="1" type="noConversion"/>
  </si>
  <si>
    <t>與雅俗通同韻母總數：</t>
    <phoneticPr fontId="1" type="noConversion"/>
  </si>
  <si>
    <t>雅俗通獨有此處不用韻母總數：</t>
    <phoneticPr fontId="1" type="noConversion"/>
  </si>
  <si>
    <t>彙音妙悟 50 韻母</t>
    <phoneticPr fontId="1" type="noConversion"/>
  </si>
  <si>
    <t>彙音妙悟獨有之韻母</t>
    <phoneticPr fontId="1" type="noConversion"/>
  </si>
  <si>
    <t>春</t>
  </si>
  <si>
    <t>ur</t>
  </si>
  <si>
    <t>朝</t>
  </si>
  <si>
    <t>恩</t>
  </si>
  <si>
    <t>urn</t>
  </si>
  <si>
    <t>飛</t>
  </si>
  <si>
    <t>鉤</t>
  </si>
  <si>
    <t>eo</t>
  </si>
  <si>
    <t>花</t>
  </si>
  <si>
    <t>生</t>
  </si>
  <si>
    <t>香</t>
  </si>
  <si>
    <t>科</t>
  </si>
  <si>
    <t>er</t>
  </si>
  <si>
    <t>歡</t>
  </si>
  <si>
    <t>雞</t>
  </si>
  <si>
    <t>ire</t>
  </si>
  <si>
    <t>卿</t>
  </si>
  <si>
    <t>杯</t>
  </si>
  <si>
    <t>商</t>
  </si>
  <si>
    <t>郊</t>
  </si>
  <si>
    <t>開</t>
  </si>
  <si>
    <t>珠</t>
  </si>
  <si>
    <t>賓</t>
  </si>
  <si>
    <t>莪</t>
  </si>
  <si>
    <t>嗟</t>
  </si>
  <si>
    <t>西</t>
  </si>
  <si>
    <t>軒</t>
  </si>
  <si>
    <t>三</t>
  </si>
  <si>
    <t>秋</t>
  </si>
  <si>
    <t>丹</t>
  </si>
  <si>
    <t>川</t>
  </si>
  <si>
    <t>管</t>
  </si>
  <si>
    <t>基</t>
  </si>
  <si>
    <t>貓</t>
  </si>
  <si>
    <t>刀</t>
  </si>
  <si>
    <t>梅</t>
  </si>
  <si>
    <t>京</t>
  </si>
  <si>
    <t>毛</t>
  </si>
  <si>
    <t>青</t>
  </si>
  <si>
    <t>燒</t>
  </si>
  <si>
    <t>風</t>
  </si>
  <si>
    <t>箱</t>
  </si>
  <si>
    <t>弎</t>
  </si>
  <si>
    <t>熊</t>
  </si>
  <si>
    <t>嘐</t>
  </si>
  <si>
    <t>台語彙音</t>
    <phoneticPr fontId="1" type="noConversion"/>
  </si>
  <si>
    <t>台語彙音獨有之韻母</t>
    <phoneticPr fontId="1" type="noConversion"/>
  </si>
  <si>
    <t>歸</t>
  </si>
  <si>
    <t>家</t>
  </si>
  <si>
    <t>宮</t>
  </si>
  <si>
    <t>根</t>
  </si>
  <si>
    <t>葩</t>
  </si>
  <si>
    <t>葴</t>
  </si>
  <si>
    <t>璣</t>
  </si>
  <si>
    <t>京。</t>
  </si>
  <si>
    <t>官。</t>
  </si>
  <si>
    <t>天。</t>
  </si>
  <si>
    <t>光。</t>
  </si>
  <si>
    <t>皆。</t>
  </si>
  <si>
    <t>薑。</t>
  </si>
  <si>
    <t>么。</t>
  </si>
  <si>
    <t>姆。</t>
  </si>
  <si>
    <t>監。</t>
  </si>
  <si>
    <t>關。</t>
  </si>
  <si>
    <t>更。</t>
  </si>
  <si>
    <t>毛。</t>
  </si>
  <si>
    <t>交。</t>
  </si>
  <si>
    <t>嬌。</t>
  </si>
  <si>
    <t>聲母序</t>
    <phoneticPr fontId="1" type="noConversion"/>
  </si>
  <si>
    <t>補註</t>
    <phoneticPr fontId="1" type="noConversion"/>
  </si>
  <si>
    <t>羅馬字排序</t>
    <phoneticPr fontId="1" type="noConversion"/>
  </si>
  <si>
    <t>注音排序</t>
    <phoneticPr fontId="1" type="noConversion"/>
  </si>
  <si>
    <t>dz</t>
    <phoneticPr fontId="1" type="noConversion"/>
  </si>
  <si>
    <t>A0</t>
    <phoneticPr fontId="1" type="noConversion"/>
  </si>
  <si>
    <t>B0</t>
    <phoneticPr fontId="1" type="noConversion"/>
  </si>
  <si>
    <t>y</t>
    <phoneticPr fontId="1" type="noConversion"/>
  </si>
  <si>
    <t>C0</t>
    <phoneticPr fontId="1" type="noConversion"/>
  </si>
  <si>
    <t>bbn</t>
  </si>
  <si>
    <t>C1</t>
    <phoneticPr fontId="1" type="noConversion"/>
  </si>
  <si>
    <t>D0</t>
    <phoneticPr fontId="1" type="noConversion"/>
  </si>
  <si>
    <t>D1</t>
    <phoneticPr fontId="1" type="noConversion"/>
  </si>
  <si>
    <t>E0</t>
    <phoneticPr fontId="1" type="noConversion"/>
  </si>
  <si>
    <t>H0</t>
    <phoneticPr fontId="1" type="noConversion"/>
  </si>
  <si>
    <t>台語十五音</t>
    <phoneticPr fontId="1" type="noConversion"/>
  </si>
  <si>
    <t>舒聲方音</t>
    <phoneticPr fontId="1" type="noConversion"/>
  </si>
  <si>
    <t>入聲方音</t>
    <phoneticPr fontId="1" type="noConversion"/>
  </si>
  <si>
    <t>舒聲台羅</t>
    <phoneticPr fontId="1" type="noConversion"/>
  </si>
  <si>
    <t>入聲台羅</t>
    <phoneticPr fontId="1" type="noConversion"/>
  </si>
  <si>
    <t>雅俗通</t>
    <phoneticPr fontId="1" type="noConversion"/>
  </si>
  <si>
    <t>雅俗通序</t>
    <phoneticPr fontId="1" type="noConversion"/>
  </si>
  <si>
    <t>毋用</t>
  </si>
  <si>
    <t>韻母字</t>
  </si>
  <si>
    <t>方音符號</t>
  </si>
  <si>
    <t>台羅音標</t>
  </si>
  <si>
    <t>國際音舒聲</t>
  </si>
  <si>
    <t>國際音入聲</t>
  </si>
  <si>
    <t>白話字舒聲</t>
    <phoneticPr fontId="1" type="noConversion"/>
  </si>
  <si>
    <t>白話字入聲</t>
    <phoneticPr fontId="1" type="noConversion"/>
  </si>
  <si>
    <t>台羅舒聲</t>
  </si>
  <si>
    <t>台羅入聲</t>
  </si>
  <si>
    <t>閩拼舒聲</t>
    <phoneticPr fontId="1" type="noConversion"/>
  </si>
  <si>
    <t>閩拼入聲</t>
    <phoneticPr fontId="1" type="noConversion"/>
  </si>
  <si>
    <t>方音舒聲</t>
  </si>
  <si>
    <t>方音入聲</t>
  </si>
  <si>
    <t>麥思都舒聲</t>
    <phoneticPr fontId="1" type="noConversion"/>
  </si>
  <si>
    <t>麥思都入聲</t>
    <phoneticPr fontId="1" type="noConversion"/>
  </si>
  <si>
    <t>歸</t>
    <phoneticPr fontId="1" type="noConversion"/>
  </si>
  <si>
    <t>家</t>
    <phoneticPr fontId="1" type="noConversion"/>
  </si>
  <si>
    <t>ɛ</t>
  </si>
  <si>
    <t>彙音【嘉】韻母為：e</t>
  </si>
  <si>
    <t>光</t>
    <phoneticPr fontId="1" type="noConversion"/>
  </si>
  <si>
    <t>ㄨㄥ</t>
    <phoneticPr fontId="1" type="noConversion"/>
  </si>
  <si>
    <t>ㄨㄞ</t>
    <phoneticPr fontId="1" type="noConversion"/>
  </si>
  <si>
    <t>京</t>
    <phoneticPr fontId="1" type="noConversion"/>
  </si>
  <si>
    <t>ㄧㄥ</t>
    <phoneticPr fontId="1" type="noConversion"/>
  </si>
  <si>
    <t>姑</t>
    <phoneticPr fontId="1" type="noConversion"/>
  </si>
  <si>
    <t>ɔ</t>
  </si>
  <si>
    <t>ɔu?</t>
    <phoneticPr fontId="1" type="noConversion"/>
  </si>
  <si>
    <t>iaʊ</t>
  </si>
  <si>
    <t>稽</t>
    <phoneticPr fontId="1" type="noConversion"/>
  </si>
  <si>
    <t>伽</t>
    <phoneticPr fontId="1" type="noConversion"/>
  </si>
  <si>
    <t>宮</t>
    <phoneticPr fontId="1" type="noConversion"/>
  </si>
  <si>
    <t>ə?</t>
  </si>
  <si>
    <t>根</t>
    <phoneticPr fontId="1" type="noConversion"/>
  </si>
  <si>
    <t>姜</t>
    <phoneticPr fontId="1" type="noConversion"/>
  </si>
  <si>
    <t>iap̚</t>
  </si>
  <si>
    <t>葵</t>
    <phoneticPr fontId="1" type="noConversion"/>
  </si>
  <si>
    <t>葩</t>
    <phoneticPr fontId="1" type="noConversion"/>
  </si>
  <si>
    <t>龜</t>
    <phoneticPr fontId="1" type="noConversion"/>
  </si>
  <si>
    <t>葴</t>
    <phoneticPr fontId="1" type="noConversion"/>
  </si>
  <si>
    <t>箴</t>
    <phoneticPr fontId="1" type="noConversion"/>
  </si>
  <si>
    <t>璣</t>
    <phoneticPr fontId="1" type="noConversion"/>
  </si>
  <si>
    <t>京。</t>
    <phoneticPr fontId="1" type="noConversion"/>
  </si>
  <si>
    <t>ẽ</t>
  </si>
  <si>
    <t>ẽ?</t>
  </si>
  <si>
    <t>官。</t>
    <phoneticPr fontId="1" type="noConversion"/>
  </si>
  <si>
    <t>ũĩ</t>
  </si>
  <si>
    <t>ũĩ?</t>
    <phoneticPr fontId="1" type="noConversion"/>
  </si>
  <si>
    <t>天。</t>
    <phoneticPr fontId="1" type="noConversion"/>
  </si>
  <si>
    <t>iə?</t>
  </si>
  <si>
    <t>光。</t>
    <phoneticPr fontId="1" type="noConversion"/>
  </si>
  <si>
    <t>皆。</t>
    <phoneticPr fontId="1" type="noConversion"/>
  </si>
  <si>
    <t>ĩɔ̃</t>
  </si>
  <si>
    <t>ĩɔ̃?</t>
    <phoneticPr fontId="1" type="noConversion"/>
  </si>
  <si>
    <t>薑。</t>
    <phoneticPr fontId="1" type="noConversion"/>
  </si>
  <si>
    <t>牛</t>
    <phoneticPr fontId="1" type="noConversion"/>
  </si>
  <si>
    <t>ĩã</t>
  </si>
  <si>
    <t>iãh</t>
    <phoneticPr fontId="1" type="noConversion"/>
  </si>
  <si>
    <t>么。</t>
    <phoneticPr fontId="1" type="noConversion"/>
  </si>
  <si>
    <t>ũã</t>
  </si>
  <si>
    <t>ũã?</t>
    <phoneticPr fontId="1" type="noConversion"/>
  </si>
  <si>
    <t>姆。</t>
    <phoneticPr fontId="1" type="noConversion"/>
  </si>
  <si>
    <t>ŋ̍</t>
  </si>
  <si>
    <t>ŋ̍h</t>
    <phoneticPr fontId="1" type="noConversion"/>
  </si>
  <si>
    <t>監。</t>
    <phoneticPr fontId="1" type="noConversion"/>
  </si>
  <si>
    <t>關。</t>
    <phoneticPr fontId="1" type="noConversion"/>
  </si>
  <si>
    <t>ãĩ</t>
  </si>
  <si>
    <t>ãĩ?</t>
    <phoneticPr fontId="1" type="noConversion"/>
  </si>
  <si>
    <t>更。</t>
    <phoneticPr fontId="1" type="noConversion"/>
  </si>
  <si>
    <t>ɔ̃</t>
  </si>
  <si>
    <t>ɔ̃?</t>
    <phoneticPr fontId="1" type="noConversion"/>
  </si>
  <si>
    <t>毛。</t>
    <phoneticPr fontId="1" type="noConversion"/>
  </si>
  <si>
    <t>m̩</t>
  </si>
  <si>
    <t>m̩h</t>
    <phoneticPr fontId="1" type="noConversion"/>
  </si>
  <si>
    <t>交。</t>
    <phoneticPr fontId="1" type="noConversion"/>
  </si>
  <si>
    <t>嬌。</t>
    <phoneticPr fontId="1" type="noConversion"/>
  </si>
  <si>
    <t>嘄</t>
    <phoneticPr fontId="1" type="noConversion"/>
  </si>
  <si>
    <t>ũãĩ</t>
  </si>
  <si>
    <t>uãĩ?</t>
  </si>
  <si>
    <t>ũẽ</t>
  </si>
  <si>
    <t>ũẽ?</t>
    <phoneticPr fontId="1" type="noConversion"/>
  </si>
  <si>
    <t>ĩãũ</t>
  </si>
  <si>
    <t>ĩãũ?</t>
  </si>
  <si>
    <t>ãũ</t>
  </si>
  <si>
    <t>ãũ?</t>
    <phoneticPr fontId="1" type="noConversion"/>
  </si>
  <si>
    <t>õ</t>
  </si>
  <si>
    <t>õh</t>
  </si>
  <si>
    <t>ĩũ</t>
  </si>
  <si>
    <t>ㄚㆻ</t>
  </si>
  <si>
    <t>ㄧㆻ</t>
  </si>
  <si>
    <t>iãh</t>
  </si>
  <si>
    <t>niah</t>
  </si>
  <si>
    <t>iũh</t>
  </si>
  <si>
    <t>niuh</t>
  </si>
  <si>
    <t>m̩h</t>
  </si>
  <si>
    <t>ŋ̍h</t>
  </si>
  <si>
    <t>o͘</t>
  </si>
  <si>
    <t>ㄨㆤ</t>
  </si>
  <si>
    <t>ㄨㆤㆷ</t>
  </si>
  <si>
    <t>ɔ̃?</t>
  </si>
  <si>
    <t>nooh</t>
  </si>
  <si>
    <t>【 聲母 】</t>
    <phoneticPr fontId="1" type="noConversion"/>
  </si>
  <si>
    <t>閩拼聲母</t>
    <phoneticPr fontId="1" type="noConversion"/>
  </si>
  <si>
    <t>台羅拼音聲母</t>
    <phoneticPr fontId="1" type="noConversion"/>
  </si>
  <si>
    <t>台羅聲母序號</t>
    <phoneticPr fontId="1" type="noConversion"/>
  </si>
  <si>
    <t>方音符號聲母</t>
    <phoneticPr fontId="1" type="noConversion"/>
  </si>
  <si>
    <t>b / m</t>
    <phoneticPr fontId="1" type="noConversion"/>
  </si>
  <si>
    <t>dd</t>
  </si>
  <si>
    <t>l / n</t>
    <phoneticPr fontId="1" type="noConversion"/>
  </si>
  <si>
    <t>g / ng</t>
    <phoneticPr fontId="1" type="noConversion"/>
  </si>
  <si>
    <t>zzi</t>
  </si>
  <si>
    <r>
      <rPr>
        <sz val="18"/>
        <color theme="1"/>
        <rFont val="蘋方-繁 中黑體"/>
        <charset val="136"/>
      </rPr>
      <t>【 閩拼韻母 】</t>
    </r>
    <phoneticPr fontId="1" type="noConversion"/>
  </si>
  <si>
    <t>台羅拼音韻母</t>
    <phoneticPr fontId="1" type="noConversion"/>
  </si>
  <si>
    <t>台羅舒聲韻母序號</t>
    <phoneticPr fontId="1" type="noConversion"/>
  </si>
  <si>
    <t>台羅入聲韻母序號</t>
    <phoneticPr fontId="1" type="noConversion"/>
  </si>
  <si>
    <t>台羅韻母序號</t>
    <phoneticPr fontId="1" type="noConversion"/>
  </si>
  <si>
    <t>方音符號韻母</t>
    <phoneticPr fontId="1" type="noConversion"/>
  </si>
  <si>
    <t>IPA序號</t>
    <phoneticPr fontId="1" type="noConversion"/>
  </si>
  <si>
    <t>IPA音標</t>
    <phoneticPr fontId="1" type="noConversion"/>
  </si>
  <si>
    <t>漢字</t>
    <phoneticPr fontId="1" type="noConversion"/>
  </si>
  <si>
    <t>欲</t>
    <phoneticPr fontId="1" type="noConversion"/>
  </si>
  <si>
    <t>be7</t>
    <phoneticPr fontId="1" type="noConversion"/>
  </si>
  <si>
    <t>䆀</t>
    <phoneticPr fontId="1" type="noConversion"/>
  </si>
  <si>
    <t>bai3</t>
    <phoneticPr fontId="1" type="noConversion"/>
  </si>
  <si>
    <t>na</t>
    <phoneticPr fontId="1" type="noConversion"/>
  </si>
  <si>
    <t>bue7</t>
    <phoneticPr fontId="1" type="noConversion"/>
  </si>
  <si>
    <t>ah</t>
    <phoneticPr fontId="1" type="noConversion"/>
  </si>
  <si>
    <t>莫</t>
    <phoneticPr fontId="1" type="noConversion"/>
  </si>
  <si>
    <t>mai3</t>
    <phoneticPr fontId="1" type="noConversion"/>
  </si>
  <si>
    <t>nah</t>
    <phoneticPr fontId="1" type="noConversion"/>
  </si>
  <si>
    <t>oo</t>
    <phoneticPr fontId="42" type="noConversion"/>
  </si>
  <si>
    <t>noo</t>
    <phoneticPr fontId="1" type="noConversion"/>
  </si>
  <si>
    <t>oh</t>
    <phoneticPr fontId="1" type="noConversion"/>
  </si>
  <si>
    <t>ne</t>
    <phoneticPr fontId="1" type="noConversion"/>
  </si>
  <si>
    <t>neh</t>
    <phoneticPr fontId="1" type="noConversion"/>
  </si>
  <si>
    <t>ai</t>
    <phoneticPr fontId="42" type="noConversion"/>
  </si>
  <si>
    <t>nai</t>
    <phoneticPr fontId="1" type="noConversion"/>
  </si>
  <si>
    <t>ainnh</t>
    <phoneticPr fontId="1" type="noConversion"/>
  </si>
  <si>
    <t>ao</t>
    <phoneticPr fontId="1" type="noConversion"/>
  </si>
  <si>
    <t>aoh</t>
    <phoneticPr fontId="42" type="noConversion"/>
  </si>
  <si>
    <t>nao</t>
    <phoneticPr fontId="1" type="noConversion"/>
  </si>
  <si>
    <t>aunnh</t>
    <phoneticPr fontId="1" type="noConversion"/>
  </si>
  <si>
    <t>ak</t>
    <phoneticPr fontId="1" type="noConversion"/>
  </si>
  <si>
    <t>ok</t>
    <phoneticPr fontId="1" type="noConversion"/>
  </si>
  <si>
    <t>ni</t>
    <phoneticPr fontId="1" type="noConversion"/>
  </si>
  <si>
    <t>ih</t>
    <phoneticPr fontId="1" type="noConversion"/>
  </si>
  <si>
    <t>nih</t>
    <phoneticPr fontId="1" type="noConversion"/>
  </si>
  <si>
    <t>innh</t>
    <phoneticPr fontId="1" type="noConversion"/>
  </si>
  <si>
    <t>nia</t>
    <phoneticPr fontId="1" type="noConversion"/>
  </si>
  <si>
    <t>iah</t>
    <phoneticPr fontId="1" type="noConversion"/>
  </si>
  <si>
    <t>nioo</t>
    <phoneticPr fontId="1" type="noConversion"/>
  </si>
  <si>
    <t>ionnh</t>
    <phoneticPr fontId="1" type="noConversion"/>
  </si>
  <si>
    <t>ioh</t>
    <phoneticPr fontId="1" type="noConversion"/>
  </si>
  <si>
    <t>niu</t>
    <phoneticPr fontId="1" type="noConversion"/>
  </si>
  <si>
    <t>iao</t>
    <phoneticPr fontId="1" type="noConversion"/>
  </si>
  <si>
    <t>niao</t>
    <phoneticPr fontId="1" type="noConversion"/>
  </si>
  <si>
    <t>niaoh</t>
    <phoneticPr fontId="1" type="noConversion"/>
  </si>
  <si>
    <t>iaunnh</t>
    <phoneticPr fontId="1" type="noConversion"/>
  </si>
  <si>
    <t>iap</t>
    <phoneticPr fontId="1" type="noConversion"/>
  </si>
  <si>
    <t>ip</t>
    <phoneticPr fontId="1" type="noConversion"/>
  </si>
  <si>
    <t>it</t>
    <phoneticPr fontId="1" type="noConversion"/>
  </si>
  <si>
    <t>iat</t>
    <phoneticPr fontId="1" type="noConversion"/>
  </si>
  <si>
    <t>ik</t>
    <phoneticPr fontId="1" type="noConversion"/>
  </si>
  <si>
    <t>iak</t>
    <phoneticPr fontId="1" type="noConversion"/>
  </si>
  <si>
    <t>iok</t>
    <phoneticPr fontId="1" type="noConversion"/>
  </si>
  <si>
    <t>nu</t>
    <phoneticPr fontId="1" type="noConversion"/>
  </si>
  <si>
    <t>unn</t>
    <phoneticPr fontId="1" type="noConversion"/>
  </si>
  <si>
    <t>uh</t>
    <phoneticPr fontId="1" type="noConversion"/>
  </si>
  <si>
    <t>nua</t>
    <phoneticPr fontId="1" type="noConversion"/>
  </si>
  <si>
    <t>uah</t>
    <phoneticPr fontId="1" type="noConversion"/>
  </si>
  <si>
    <t>nue</t>
    <phoneticPr fontId="1" type="noConversion"/>
  </si>
  <si>
    <t>uenn</t>
    <phoneticPr fontId="1" type="noConversion"/>
  </si>
  <si>
    <t>ueh</t>
    <phoneticPr fontId="1" type="noConversion"/>
  </si>
  <si>
    <t>uennh</t>
    <phoneticPr fontId="1" type="noConversion"/>
  </si>
  <si>
    <t>nui</t>
    <phoneticPr fontId="1" type="noConversion"/>
  </si>
  <si>
    <t>nuai</t>
    <phoneticPr fontId="1" type="noConversion"/>
  </si>
  <si>
    <t>ut</t>
    <phoneticPr fontId="1" type="noConversion"/>
  </si>
  <si>
    <t>uat</t>
    <phoneticPr fontId="1" type="noConversion"/>
  </si>
  <si>
    <t>uang</t>
    <phoneticPr fontId="1" type="noConversion"/>
  </si>
  <si>
    <t>傳統八聲調</t>
    <phoneticPr fontId="1" type="noConversion"/>
  </si>
  <si>
    <t>調名</t>
    <phoneticPr fontId="1" type="noConversion"/>
  </si>
  <si>
    <t>閩拼七聲調</t>
    <phoneticPr fontId="1" type="noConversion"/>
  </si>
  <si>
    <t>五標</t>
    <phoneticPr fontId="1" type="noConversion"/>
  </si>
  <si>
    <t>調值</t>
    <phoneticPr fontId="1" type="noConversion"/>
  </si>
  <si>
    <t>上（陰）平</t>
    <phoneticPr fontId="1" type="noConversion"/>
  </si>
  <si>
    <t>˦˦</t>
  </si>
  <si>
    <t>上（陰）上</t>
    <phoneticPr fontId="1" type="noConversion"/>
  </si>
  <si>
    <t>˥˧</t>
    <phoneticPr fontId="1" type="noConversion"/>
  </si>
  <si>
    <t>上（陰）去</t>
    <phoneticPr fontId="1" type="noConversion"/>
  </si>
  <si>
    <t>˨˩</t>
    <phoneticPr fontId="1" type="noConversion"/>
  </si>
  <si>
    <t>上（陰）入</t>
    <phoneticPr fontId="1" type="noConversion"/>
  </si>
  <si>
    <t>˧ʔ</t>
    <phoneticPr fontId="1" type="noConversion"/>
  </si>
  <si>
    <t>3?</t>
    <phoneticPr fontId="1" type="noConversion"/>
  </si>
  <si>
    <t>下（陽）平</t>
    <phoneticPr fontId="1" type="noConversion"/>
  </si>
  <si>
    <t>下（陽）上</t>
    <phoneticPr fontId="1" type="noConversion"/>
  </si>
  <si>
    <t>下（陽）去</t>
    <phoneticPr fontId="1" type="noConversion"/>
  </si>
  <si>
    <t>˧˧</t>
    <phoneticPr fontId="1" type="noConversion"/>
  </si>
  <si>
    <t>下（陽）入</t>
    <phoneticPr fontId="1" type="noConversion"/>
  </si>
  <si>
    <t>˦ʔ</t>
  </si>
  <si>
    <t>4ʔ</t>
  </si>
  <si>
    <t>聲調[編輯]</t>
  </si>
  <si>
    <r>
      <t>聲調符號大致上為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之擴充，陰平、陽平、上聲、陰去沿用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之符號，另外新增陽去及兩個入聲。但注意部分聲調名稱與普通話相同但</t>
    </r>
    <r>
      <rPr>
        <sz val="15"/>
        <color rgb="FF0645AD"/>
        <rFont val="蘋方-繁 標準體"/>
        <charset val="136"/>
      </rPr>
      <t>調值</t>
    </r>
    <r>
      <rPr>
        <sz val="15"/>
        <color rgb="FF202122"/>
        <rFont val="蘋方-繁 標準體"/>
        <charset val="136"/>
      </rPr>
      <t>不同。陽上調僅在</t>
    </r>
    <r>
      <rPr>
        <sz val="15"/>
        <color rgb="FF0645AD"/>
        <rFont val="蘋方-繁 標準體"/>
        <charset val="136"/>
      </rPr>
      <t>泉州話</t>
    </r>
    <r>
      <rPr>
        <sz val="15"/>
        <color rgb="FF202122"/>
        <rFont val="蘋方-繁 標準體"/>
        <charset val="136"/>
      </rPr>
      <t>中存在，其他閩南語方言皆已併入陰上（上聲）。高升調僅在</t>
    </r>
    <r>
      <rPr>
        <sz val="15"/>
        <color rgb="FF0645AD"/>
        <rFont val="蘋方-繁 標準體"/>
        <charset val="136"/>
      </rPr>
      <t>連讀變調</t>
    </r>
    <r>
      <rPr>
        <sz val="15"/>
        <color rgb="FF202122"/>
        <rFont val="蘋方-繁 標準體"/>
        <charset val="136"/>
      </rPr>
      <t>中存在。在聲調排列上有部分文獻順序為：1 陰平、2 陰上、3 陰去、4 陰入、5 陽平、6 陽上、7 陽去、8 陽入與本方案不同。①→⑧為BP所使用的"調號"(調序)。</t>
    </r>
  </si>
  <si>
    <t>基本閩南語廈門話七聲</t>
  </si>
  <si>
    <t>方言及特殊音調</t>
  </si>
  <si>
    <t>調序</t>
  </si>
  <si>
    <t>①</t>
  </si>
  <si>
    <t>②</t>
  </si>
  <si>
    <t>③</t>
  </si>
  <si>
    <t>⑤</t>
  </si>
  <si>
    <t>⑥</t>
  </si>
  <si>
    <t>⑦</t>
  </si>
  <si>
    <t>⑧</t>
  </si>
  <si>
    <t>－</t>
  </si>
  <si>
    <t>調名</t>
  </si>
  <si>
    <t>上聲</t>
  </si>
  <si>
    <t>鼻化</t>
  </si>
  <si>
    <t>五標</t>
  </si>
  <si>
    <t>˧ʔ</t>
  </si>
  <si>
    <t>˥˥</t>
  </si>
  <si>
    <t>調值</t>
  </si>
  <si>
    <t>3ʔ</t>
  </si>
  <si>
    <t>調號標示規則[編輯]</t>
  </si>
  <si>
    <r>
      <t xml:space="preserve"> 當一個</t>
    </r>
    <r>
      <rPr>
        <sz val="15"/>
        <color rgb="FF0645AD"/>
        <rFont val="蘋方-繁 標準體"/>
        <charset val="136"/>
      </rPr>
      <t>音節</t>
    </r>
    <r>
      <rPr>
        <sz val="15"/>
        <color rgb="FF202122"/>
        <rFont val="蘋方-繁 標準體"/>
        <charset val="136"/>
      </rPr>
      <t>有多個</t>
    </r>
    <r>
      <rPr>
        <sz val="15"/>
        <color rgb="FF0645AD"/>
        <rFont val="蘋方-繁 標準體"/>
        <charset val="136"/>
      </rPr>
      <t>字母</t>
    </r>
    <r>
      <rPr>
        <sz val="15"/>
        <color rgb="FF202122"/>
        <rFont val="蘋方-繁 標準體"/>
        <charset val="136"/>
      </rPr>
      <t>時，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得標示在</t>
    </r>
    <r>
      <rPr>
        <sz val="15"/>
        <color rgb="FF0645AD"/>
        <rFont val="蘋方-繁 標準體"/>
        <charset val="136"/>
      </rPr>
      <t>響度</t>
    </r>
    <r>
      <rPr>
        <sz val="15"/>
        <color rgb="FF202122"/>
        <rFont val="蘋方-繁 標準體"/>
        <charset val="136"/>
      </rPr>
      <t>最大的字母上面（通常在</t>
    </r>
    <r>
      <rPr>
        <sz val="15"/>
        <color rgb="FF0645AD"/>
        <rFont val="蘋方-繁 標準體"/>
        <charset val="136"/>
      </rPr>
      <t>韻腹</t>
    </r>
    <r>
      <rPr>
        <sz val="15"/>
        <color rgb="FF202122"/>
        <rFont val="蘋方-繁 標準體"/>
        <charset val="136"/>
      </rPr>
      <t>）。由規則可以判定確切的字母：</t>
    </r>
    <phoneticPr fontId="1" type="noConversion"/>
  </si>
  <si>
    <r>
      <t xml:space="preserve"> * 響度優先順序： a &gt; </t>
    </r>
    <r>
      <rPr>
        <sz val="15"/>
        <color rgb="FF0645AD"/>
        <rFont val="蘋方-繁 標準體"/>
        <charset val="136"/>
      </rPr>
      <t>oo</t>
    </r>
    <r>
      <rPr>
        <sz val="15"/>
        <color rgb="FF202122"/>
        <rFont val="蘋方-繁 標準體"/>
        <charset val="136"/>
      </rPr>
      <t> &gt; (e = </t>
    </r>
    <r>
      <rPr>
        <sz val="15"/>
        <color rgb="FF0645AD"/>
        <rFont val="蘋方-繁 標準體"/>
        <charset val="136"/>
      </rPr>
      <t>o</t>
    </r>
    <r>
      <rPr>
        <sz val="15"/>
        <color rgb="FF202122"/>
        <rFont val="蘋方-繁 標準體"/>
        <charset val="136"/>
      </rPr>
      <t>) &gt; (i = u)〈</t>
    </r>
    <r>
      <rPr>
        <sz val="15"/>
        <color rgb="FF0645AD"/>
        <rFont val="蘋方-繁 標準體"/>
        <charset val="136"/>
      </rPr>
      <t>低元音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高元音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無擦通音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擦音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塞音</t>
    </r>
    <r>
      <rPr>
        <sz val="15"/>
        <color rgb="FF202122"/>
        <rFont val="蘋方-繁 標準體"/>
        <charset val="136"/>
      </rPr>
      <t>〉</t>
    </r>
    <phoneticPr fontId="1" type="noConversion"/>
  </si>
  <si>
    <r>
      <t xml:space="preserve"> *二合字母</t>
    </r>
    <r>
      <rPr>
        <sz val="15"/>
        <color rgb="FF202122"/>
        <rFont val="蘋方-繁 標準體"/>
        <charset val="136"/>
      </rPr>
      <t> iu 及 ui 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都標在後一個字母上；因為前一個字母是</t>
    </r>
    <r>
      <rPr>
        <sz val="15"/>
        <color rgb="FF0645AD"/>
        <rFont val="蘋方-繁 標準體"/>
        <charset val="136"/>
      </rPr>
      <t>介音</t>
    </r>
    <r>
      <rPr>
        <sz val="15"/>
        <color rgb="FF202122"/>
        <rFont val="蘋方-繁 標準體"/>
        <charset val="136"/>
      </rPr>
      <t>。</t>
    </r>
    <phoneticPr fontId="1" type="noConversion"/>
  </si>
  <si>
    <t xml:space="preserve"> * m 作韻腹時則標於字母 m 上。</t>
    <phoneticPr fontId="1" type="noConversion"/>
  </si>
  <si>
    <t xml:space="preserve"> * 二合字母 oo 及 ng，標於前一個字母上；比如 ng 標示在字母 n 上。</t>
    <phoneticPr fontId="1" type="noConversion"/>
  </si>
  <si>
    <t xml:space="preserve"> * 三合字母 ere，標於最後的字母 e 上。</t>
    <phoneticPr fontId="1" type="noConversion"/>
  </si>
  <si>
    <t>元音與鼻音字母表</t>
    <phoneticPr fontId="1" type="noConversion"/>
  </si>
  <si>
    <t>閩拼</t>
    <phoneticPr fontId="1" type="noConversion"/>
  </si>
  <si>
    <t>韻母</t>
    <phoneticPr fontId="44" type="noConversion"/>
  </si>
  <si>
    <t>陽平</t>
    <phoneticPr fontId="1" type="noConversion"/>
  </si>
  <si>
    <t>上声</t>
    <phoneticPr fontId="1" type="noConversion"/>
  </si>
  <si>
    <t>陽上</t>
    <phoneticPr fontId="1" type="noConversion"/>
  </si>
  <si>
    <t>陰去</t>
    <phoneticPr fontId="1" type="noConversion"/>
  </si>
  <si>
    <t>陽去</t>
    <phoneticPr fontId="1" type="noConversion"/>
  </si>
  <si>
    <t>陰入</t>
    <phoneticPr fontId="1" type="noConversion"/>
  </si>
  <si>
    <t>音調字母</t>
  </si>
  <si>
    <t>標音調字母的字串索引</t>
  </si>
  <si>
    <t>音調字母表所在序次</t>
  </si>
  <si>
    <t>ē</t>
  </si>
  <si>
    <t>é</t>
  </si>
  <si>
    <t>ě</t>
  </si>
  <si>
    <t>è</t>
  </si>
  <si>
    <t>ê</t>
  </si>
  <si>
    <t>ī</t>
  </si>
  <si>
    <t>í</t>
  </si>
  <si>
    <t>ǐ</t>
  </si>
  <si>
    <t>ì</t>
  </si>
  <si>
    <t>î</t>
  </si>
  <si>
    <t>ō</t>
  </si>
  <si>
    <t>ó</t>
  </si>
  <si>
    <t>ǒ</t>
  </si>
  <si>
    <t>ò</t>
  </si>
  <si>
    <t>ô</t>
  </si>
  <si>
    <t>ōo</t>
  </si>
  <si>
    <t>óo</t>
  </si>
  <si>
    <t>ǒo</t>
  </si>
  <si>
    <t>òo</t>
  </si>
  <si>
    <t>ôo</t>
  </si>
  <si>
    <t>ū</t>
  </si>
  <si>
    <t>ú</t>
  </si>
  <si>
    <t>ǔ</t>
  </si>
  <si>
    <t>ù</t>
  </si>
  <si>
    <t>û</t>
  </si>
  <si>
    <t>m̄</t>
  </si>
  <si>
    <t>ḿ</t>
  </si>
  <si>
    <t>m̌</t>
  </si>
  <si>
    <t>m̀</t>
  </si>
  <si>
    <t>m̂</t>
  </si>
  <si>
    <t>n̄g</t>
    <phoneticPr fontId="1" type="noConversion"/>
  </si>
  <si>
    <t>ńg</t>
    <phoneticPr fontId="1" type="noConversion"/>
  </si>
  <si>
    <t>ňg</t>
    <phoneticPr fontId="1" type="noConversion"/>
  </si>
  <si>
    <t>ň</t>
  </si>
  <si>
    <t>ǹg</t>
    <phoneticPr fontId="1" type="noConversion"/>
  </si>
  <si>
    <t>n̂g</t>
    <phoneticPr fontId="1" type="noConversion"/>
  </si>
  <si>
    <r>
      <rPr>
        <sz val="18"/>
        <color rgb="FF000000"/>
        <rFont val="PingFang TC"/>
        <family val="2"/>
        <charset val="136"/>
      </rPr>
      <t>白話字</t>
    </r>
    <r>
      <rPr>
        <sz val="18"/>
        <color rgb="FF000000"/>
        <rFont val="蘋方-繁 標準體"/>
        <charset val="136"/>
      </rPr>
      <t>聲母</t>
    </r>
    <phoneticPr fontId="42" type="noConversion"/>
  </si>
  <si>
    <t>ㄗ</t>
  </si>
  <si>
    <t>ㄘ</t>
  </si>
  <si>
    <t>ㄑ</t>
  </si>
  <si>
    <t>ㄙ</t>
  </si>
  <si>
    <t>ㄒ</t>
  </si>
  <si>
    <t>ㆡ</t>
  </si>
  <si>
    <t>ㆢ</t>
  </si>
  <si>
    <t>方音序號</t>
    <phoneticPr fontId="42" type="noConversion"/>
  </si>
  <si>
    <t>十五音韻母</t>
    <phoneticPr fontId="42" type="noConversion"/>
  </si>
  <si>
    <r>
      <rPr>
        <b/>
        <sz val="18"/>
        <color rgb="FF202122"/>
        <rFont val="PMingLiU"/>
        <family val="1"/>
        <charset val="136"/>
      </rPr>
      <t>ㄚ</t>
    </r>
    <r>
      <rPr>
        <b/>
        <sz val="18"/>
        <color rgb="FF202122"/>
        <rFont val="PingFang TC Semibold"/>
        <family val="1"/>
      </rPr>
      <t>ㆻ</t>
    </r>
    <phoneticPr fontId="1" type="noConversion"/>
  </si>
  <si>
    <t>ㄅ</t>
    <phoneticPr fontId="1" type="noConversion"/>
  </si>
  <si>
    <t>!</t>
    <phoneticPr fontId="1" type="noConversion"/>
  </si>
  <si>
    <t>ㆠ</t>
    <phoneticPr fontId="1" type="noConversion"/>
  </si>
  <si>
    <t>Q</t>
    <phoneticPr fontId="1" type="noConversion"/>
  </si>
  <si>
    <t>ㄇ</t>
    <phoneticPr fontId="1" type="noConversion"/>
  </si>
  <si>
    <t>A</t>
    <phoneticPr fontId="1" type="noConversion"/>
  </si>
  <si>
    <t>z</t>
    <phoneticPr fontId="1" type="noConversion"/>
  </si>
  <si>
    <t>ㆷ</t>
    <phoneticPr fontId="1" type="noConversion"/>
  </si>
  <si>
    <t>Z</t>
    <phoneticPr fontId="1" type="noConversion"/>
  </si>
  <si>
    <t>@</t>
    <phoneticPr fontId="1" type="noConversion"/>
  </si>
  <si>
    <t>w</t>
    <phoneticPr fontId="1" type="noConversion"/>
  </si>
  <si>
    <t>W</t>
    <phoneticPr fontId="1" type="noConversion"/>
  </si>
  <si>
    <t>S</t>
    <phoneticPr fontId="1" type="noConversion"/>
  </si>
  <si>
    <t>x</t>
    <phoneticPr fontId="1" type="noConversion"/>
  </si>
  <si>
    <t>X</t>
    <phoneticPr fontId="1" type="noConversion"/>
  </si>
  <si>
    <t>˪</t>
  </si>
  <si>
    <t>#</t>
    <phoneticPr fontId="1" type="noConversion"/>
  </si>
  <si>
    <t>E</t>
    <phoneticPr fontId="1" type="noConversion"/>
  </si>
  <si>
    <t>d</t>
    <phoneticPr fontId="1" type="noConversion"/>
  </si>
  <si>
    <t>D</t>
    <phoneticPr fontId="1" type="noConversion"/>
  </si>
  <si>
    <t>c</t>
    <phoneticPr fontId="1" type="noConversion"/>
  </si>
  <si>
    <t>C</t>
    <phoneticPr fontId="1" type="noConversion"/>
  </si>
  <si>
    <t>$</t>
    <phoneticPr fontId="1" type="noConversion"/>
  </si>
  <si>
    <t>r</t>
    <phoneticPr fontId="1" type="noConversion"/>
  </si>
  <si>
    <t>ㄐ</t>
    <phoneticPr fontId="1" type="noConversion"/>
  </si>
  <si>
    <t>R</t>
    <phoneticPr fontId="1" type="noConversion"/>
  </si>
  <si>
    <t>ㆢ</t>
    <phoneticPr fontId="1" type="noConversion"/>
  </si>
  <si>
    <t>f</t>
    <phoneticPr fontId="1" type="noConversion"/>
  </si>
  <si>
    <t>F</t>
    <phoneticPr fontId="1" type="noConversion"/>
  </si>
  <si>
    <t>v</t>
    <phoneticPr fontId="1" type="noConversion"/>
  </si>
  <si>
    <t>V</t>
    <phoneticPr fontId="1" type="noConversion"/>
  </si>
  <si>
    <t>%</t>
    <phoneticPr fontId="1" type="noConversion"/>
  </si>
  <si>
    <t>ㆵ</t>
  </si>
  <si>
    <t>T</t>
    <phoneticPr fontId="1" type="noConversion"/>
  </si>
  <si>
    <t>ㆻ</t>
    <phoneticPr fontId="1" type="noConversion"/>
  </si>
  <si>
    <t>G</t>
    <phoneticPr fontId="1" type="noConversion"/>
  </si>
  <si>
    <t>ㆴ</t>
    <phoneticPr fontId="1" type="noConversion"/>
  </si>
  <si>
    <t>B</t>
    <phoneticPr fontId="1" type="noConversion"/>
  </si>
  <si>
    <t>^</t>
    <phoneticPr fontId="1" type="noConversion"/>
  </si>
  <si>
    <t>Y</t>
    <phoneticPr fontId="1" type="noConversion"/>
  </si>
  <si>
    <t>H</t>
    <phoneticPr fontId="1" type="noConversion"/>
  </si>
  <si>
    <t>N</t>
    <phoneticPr fontId="1" type="noConversion"/>
  </si>
  <si>
    <t>．</t>
    <phoneticPr fontId="1" type="noConversion"/>
  </si>
  <si>
    <t>&amp;</t>
    <phoneticPr fontId="1" type="noConversion"/>
  </si>
  <si>
    <t>U</t>
    <phoneticPr fontId="1" type="noConversion"/>
  </si>
  <si>
    <t>J</t>
    <phoneticPr fontId="1" type="noConversion"/>
  </si>
  <si>
    <t>ㆫ</t>
  </si>
  <si>
    <t>M</t>
    <phoneticPr fontId="1" type="noConversion"/>
  </si>
  <si>
    <t>ㄚ</t>
    <phoneticPr fontId="1" type="noConversion"/>
  </si>
  <si>
    <t>*</t>
    <phoneticPr fontId="1" type="noConversion"/>
  </si>
  <si>
    <t>ㆩ</t>
    <phoneticPr fontId="1" type="noConversion"/>
  </si>
  <si>
    <t>I</t>
    <phoneticPr fontId="1" type="noConversion"/>
  </si>
  <si>
    <t>K</t>
    <phoneticPr fontId="1" type="noConversion"/>
  </si>
  <si>
    <t>,</t>
    <phoneticPr fontId="1" type="noConversion"/>
  </si>
  <si>
    <t>&lt;</t>
    <phoneticPr fontId="1" type="noConversion"/>
  </si>
  <si>
    <t>(</t>
    <phoneticPr fontId="1" type="noConversion"/>
  </si>
  <si>
    <t>ㆤ</t>
    <phoneticPr fontId="1" type="noConversion"/>
  </si>
  <si>
    <t>O</t>
    <phoneticPr fontId="1" type="noConversion"/>
  </si>
  <si>
    <t>ㆥ</t>
    <phoneticPr fontId="1" type="noConversion"/>
  </si>
  <si>
    <t>L</t>
    <phoneticPr fontId="1" type="noConversion"/>
  </si>
  <si>
    <t>.</t>
    <phoneticPr fontId="1" type="noConversion"/>
  </si>
  <si>
    <t>&gt;</t>
    <phoneticPr fontId="1" type="noConversion"/>
  </si>
  <si>
    <t>ㄢ</t>
    <phoneticPr fontId="1" type="noConversion"/>
  </si>
  <si>
    <t>)</t>
    <phoneticPr fontId="1" type="noConversion"/>
  </si>
  <si>
    <t>ㄣ</t>
  </si>
  <si>
    <t>P</t>
    <phoneticPr fontId="1" type="noConversion"/>
  </si>
  <si>
    <t>;</t>
    <phoneticPr fontId="1" type="noConversion"/>
  </si>
  <si>
    <t>:</t>
    <phoneticPr fontId="1" type="noConversion"/>
  </si>
  <si>
    <t>/</t>
    <phoneticPr fontId="1" type="noConversion"/>
  </si>
  <si>
    <t>ㄥ</t>
    <phoneticPr fontId="1" type="noConversion"/>
  </si>
  <si>
    <t>?</t>
    <phoneticPr fontId="1" type="noConversion"/>
  </si>
  <si>
    <t>-</t>
    <phoneticPr fontId="1" type="noConversion"/>
  </si>
  <si>
    <t>ch</t>
  </si>
  <si>
    <t>chh</t>
  </si>
  <si>
    <t>ba</t>
  </si>
  <si>
    <t>cha</t>
  </si>
  <si>
    <t>chha</t>
  </si>
  <si>
    <t>ga</t>
  </si>
  <si>
    <t>ha</t>
  </si>
  <si>
    <t>ka</t>
  </si>
  <si>
    <t>kha</t>
  </si>
  <si>
    <t>la</t>
  </si>
  <si>
    <t>ma</t>
  </si>
  <si>
    <t>nga</t>
  </si>
  <si>
    <t>pa</t>
  </si>
  <si>
    <t>pha</t>
  </si>
  <si>
    <t>sa</t>
  </si>
  <si>
    <t>ta</t>
  </si>
  <si>
    <t>tha</t>
  </si>
  <si>
    <r>
      <t>a</t>
    </r>
    <r>
      <rPr>
        <b/>
        <sz val="16"/>
        <color rgb="FF202122"/>
        <rFont val="Arial"/>
        <family val="2"/>
      </rPr>
      <t>ⁿ</t>
    </r>
  </si>
  <si>
    <r>
      <t>a</t>
    </r>
    <r>
      <rPr>
        <sz val="16"/>
        <color rgb="FF202122"/>
        <rFont val="Arial"/>
        <family val="2"/>
      </rPr>
      <t>ⁿ</t>
    </r>
  </si>
  <si>
    <r>
      <t>cha</t>
    </r>
    <r>
      <rPr>
        <sz val="16"/>
        <color rgb="FF202122"/>
        <rFont val="Arial"/>
        <family val="2"/>
      </rPr>
      <t>ⁿ</t>
    </r>
  </si>
  <si>
    <r>
      <t>chha</t>
    </r>
    <r>
      <rPr>
        <sz val="16"/>
        <color rgb="FF202122"/>
        <rFont val="Arial"/>
        <family val="2"/>
      </rPr>
      <t>ⁿ</t>
    </r>
  </si>
  <si>
    <r>
      <t>ha</t>
    </r>
    <r>
      <rPr>
        <sz val="16"/>
        <color rgb="FF202122"/>
        <rFont val="Arial"/>
        <family val="2"/>
      </rPr>
      <t>ⁿ</t>
    </r>
  </si>
  <si>
    <r>
      <t>ka</t>
    </r>
    <r>
      <rPr>
        <sz val="16"/>
        <color rgb="FF202122"/>
        <rFont val="Arial"/>
        <family val="2"/>
      </rPr>
      <t>ⁿ</t>
    </r>
  </si>
  <si>
    <r>
      <t>kha</t>
    </r>
    <r>
      <rPr>
        <sz val="16"/>
        <color rgb="FF202122"/>
        <rFont val="Arial"/>
        <family val="2"/>
      </rPr>
      <t>ⁿ</t>
    </r>
  </si>
  <si>
    <r>
      <t>pha</t>
    </r>
    <r>
      <rPr>
        <sz val="16"/>
        <color rgb="FF202122"/>
        <rFont val="Arial"/>
        <family val="2"/>
      </rPr>
      <t>ⁿ</t>
    </r>
  </si>
  <si>
    <r>
      <t>sa</t>
    </r>
    <r>
      <rPr>
        <sz val="16"/>
        <color rgb="FF202122"/>
        <rFont val="Arial"/>
        <family val="2"/>
      </rPr>
      <t>ⁿ</t>
    </r>
  </si>
  <si>
    <r>
      <t>ta</t>
    </r>
    <r>
      <rPr>
        <sz val="16"/>
        <color rgb="FF202122"/>
        <rFont val="Arial"/>
        <family val="2"/>
      </rPr>
      <t>ⁿ</t>
    </r>
  </si>
  <si>
    <r>
      <t>tha</t>
    </r>
    <r>
      <rPr>
        <sz val="16"/>
        <color rgb="FF202122"/>
        <rFont val="Arial"/>
        <family val="2"/>
      </rPr>
      <t>ⁿ</t>
    </r>
  </si>
  <si>
    <t>bah</t>
  </si>
  <si>
    <t>chah</t>
  </si>
  <si>
    <t>chhah</t>
  </si>
  <si>
    <t>hah</t>
  </si>
  <si>
    <t>kah</t>
  </si>
  <si>
    <t>khah</t>
  </si>
  <si>
    <t>lah</t>
  </si>
  <si>
    <t>pah</t>
  </si>
  <si>
    <t>phah</t>
  </si>
  <si>
    <t>sah</t>
  </si>
  <si>
    <t>tah</t>
  </si>
  <si>
    <t>thah</t>
  </si>
  <si>
    <r>
      <t>ah</t>
    </r>
    <r>
      <rPr>
        <b/>
        <sz val="16"/>
        <color rgb="FF202122"/>
        <rFont val="Arial"/>
        <family val="2"/>
      </rPr>
      <t>ⁿ</t>
    </r>
  </si>
  <si>
    <r>
      <t>hah</t>
    </r>
    <r>
      <rPr>
        <sz val="16"/>
        <color rgb="FF202122"/>
        <rFont val="Arial"/>
        <family val="2"/>
      </rPr>
      <t>ⁿ</t>
    </r>
  </si>
  <si>
    <r>
      <t>sah</t>
    </r>
    <r>
      <rPr>
        <sz val="16"/>
        <color rgb="FF202122"/>
        <rFont val="Arial"/>
        <family val="2"/>
      </rPr>
      <t>ⁿ</t>
    </r>
  </si>
  <si>
    <t>bai</t>
  </si>
  <si>
    <t>chai</t>
  </si>
  <si>
    <t>chhai</t>
  </si>
  <si>
    <t>gai</t>
  </si>
  <si>
    <t>hai</t>
  </si>
  <si>
    <t>kai</t>
  </si>
  <si>
    <t>khai</t>
  </si>
  <si>
    <t>lai</t>
  </si>
  <si>
    <t>mai</t>
  </si>
  <si>
    <t>ngai</t>
  </si>
  <si>
    <t>pai</t>
  </si>
  <si>
    <t>phai</t>
  </si>
  <si>
    <t>sai</t>
  </si>
  <si>
    <t>tai</t>
  </si>
  <si>
    <t>thai</t>
  </si>
  <si>
    <r>
      <t>ai</t>
    </r>
    <r>
      <rPr>
        <b/>
        <sz val="16"/>
        <color rgb="FF202122"/>
        <rFont val="Arial"/>
        <family val="2"/>
      </rPr>
      <t>ⁿ</t>
    </r>
  </si>
  <si>
    <r>
      <t>ai</t>
    </r>
    <r>
      <rPr>
        <sz val="16"/>
        <color rgb="FF202122"/>
        <rFont val="Arial"/>
        <family val="2"/>
      </rPr>
      <t>ⁿ</t>
    </r>
  </si>
  <si>
    <r>
      <t>chai</t>
    </r>
    <r>
      <rPr>
        <sz val="16"/>
        <color rgb="FF202122"/>
        <rFont val="Arial"/>
        <family val="2"/>
      </rPr>
      <t>ⁿ</t>
    </r>
  </si>
  <si>
    <r>
      <t>hai</t>
    </r>
    <r>
      <rPr>
        <sz val="16"/>
        <color rgb="FF202122"/>
        <rFont val="Arial"/>
        <family val="2"/>
      </rPr>
      <t>ⁿ</t>
    </r>
  </si>
  <si>
    <r>
      <t>kai</t>
    </r>
    <r>
      <rPr>
        <sz val="16"/>
        <color rgb="FF202122"/>
        <rFont val="Arial"/>
        <family val="2"/>
      </rPr>
      <t>ⁿ</t>
    </r>
  </si>
  <si>
    <r>
      <t>khai</t>
    </r>
    <r>
      <rPr>
        <sz val="16"/>
        <color rgb="FF202122"/>
        <rFont val="Arial"/>
        <family val="2"/>
      </rPr>
      <t>ⁿ</t>
    </r>
  </si>
  <si>
    <r>
      <t>phai</t>
    </r>
    <r>
      <rPr>
        <sz val="16"/>
        <color rgb="FF202122"/>
        <rFont val="Arial"/>
        <family val="2"/>
      </rPr>
      <t>ⁿ</t>
    </r>
  </si>
  <si>
    <r>
      <t>tai</t>
    </r>
    <r>
      <rPr>
        <sz val="16"/>
        <color rgb="FF202122"/>
        <rFont val="Arial"/>
        <family val="2"/>
      </rPr>
      <t>ⁿ</t>
    </r>
  </si>
  <si>
    <t>bak</t>
  </si>
  <si>
    <t>chak</t>
  </si>
  <si>
    <t>chhak</t>
  </si>
  <si>
    <t>gak</t>
  </si>
  <si>
    <t>hak</t>
  </si>
  <si>
    <t>kak</t>
  </si>
  <si>
    <t>khak</t>
  </si>
  <si>
    <t>lak</t>
  </si>
  <si>
    <t>pak</t>
  </si>
  <si>
    <t>phak</t>
  </si>
  <si>
    <t>sak</t>
  </si>
  <si>
    <t>tak</t>
  </si>
  <si>
    <t>thak</t>
  </si>
  <si>
    <t>cham</t>
  </si>
  <si>
    <t>chham</t>
  </si>
  <si>
    <t>gam</t>
  </si>
  <si>
    <t>ham</t>
  </si>
  <si>
    <t>kam</t>
  </si>
  <si>
    <t>kham</t>
  </si>
  <si>
    <t>lam</t>
  </si>
  <si>
    <t>sam</t>
  </si>
  <si>
    <t>tam</t>
  </si>
  <si>
    <t>tham</t>
  </si>
  <si>
    <t>ban</t>
  </si>
  <si>
    <t>chan</t>
  </si>
  <si>
    <t>chhan</t>
  </si>
  <si>
    <t>gan</t>
  </si>
  <si>
    <t>han</t>
  </si>
  <si>
    <t>kan</t>
  </si>
  <si>
    <t>khan</t>
  </si>
  <si>
    <t>lan</t>
  </si>
  <si>
    <t>pan</t>
  </si>
  <si>
    <t>phan</t>
  </si>
  <si>
    <t>san</t>
  </si>
  <si>
    <t>tan</t>
  </si>
  <si>
    <t>than</t>
  </si>
  <si>
    <t>bang</t>
  </si>
  <si>
    <t>chang</t>
  </si>
  <si>
    <t>chhang</t>
  </si>
  <si>
    <t>gang</t>
  </si>
  <si>
    <t>hang</t>
  </si>
  <si>
    <t>kang</t>
  </si>
  <si>
    <t>khang</t>
  </si>
  <si>
    <t>lang</t>
  </si>
  <si>
    <t>pang</t>
  </si>
  <si>
    <t>phang</t>
  </si>
  <si>
    <t>sang</t>
  </si>
  <si>
    <t>tang</t>
  </si>
  <si>
    <t>thang</t>
  </si>
  <si>
    <t>chap</t>
  </si>
  <si>
    <t>chhap</t>
  </si>
  <si>
    <t>hap</t>
  </si>
  <si>
    <t>kap</t>
  </si>
  <si>
    <t>khap</t>
  </si>
  <si>
    <t>lap</t>
  </si>
  <si>
    <t>sap</t>
  </si>
  <si>
    <t>tap</t>
  </si>
  <si>
    <t>thap</t>
  </si>
  <si>
    <t>bat</t>
  </si>
  <si>
    <t>chat</t>
  </si>
  <si>
    <t>chhat</t>
  </si>
  <si>
    <t>hat</t>
  </si>
  <si>
    <t>kat</t>
  </si>
  <si>
    <t>khat</t>
  </si>
  <si>
    <t>lat</t>
  </si>
  <si>
    <t>pat</t>
  </si>
  <si>
    <t>sat</t>
  </si>
  <si>
    <t>tat</t>
  </si>
  <si>
    <t>that</t>
  </si>
  <si>
    <t>bau</t>
  </si>
  <si>
    <t>chau</t>
  </si>
  <si>
    <t>chhau</t>
  </si>
  <si>
    <t>gau</t>
  </si>
  <si>
    <t>hau</t>
  </si>
  <si>
    <t>kau</t>
  </si>
  <si>
    <t>khau</t>
  </si>
  <si>
    <t>lau</t>
  </si>
  <si>
    <t>mau</t>
  </si>
  <si>
    <t>nau</t>
  </si>
  <si>
    <t>ngau</t>
  </si>
  <si>
    <t>pau</t>
  </si>
  <si>
    <t>phau</t>
  </si>
  <si>
    <t>sau</t>
  </si>
  <si>
    <t>tau</t>
  </si>
  <si>
    <t>thau</t>
  </si>
  <si>
    <t>chhauh</t>
  </si>
  <si>
    <t>kauh</t>
  </si>
  <si>
    <t>lauh</t>
  </si>
  <si>
    <t>mauh</t>
  </si>
  <si>
    <t>nauh</t>
  </si>
  <si>
    <t>phauh</t>
  </si>
  <si>
    <t>tauh</t>
  </si>
  <si>
    <t>be</t>
  </si>
  <si>
    <t>che</t>
  </si>
  <si>
    <t>chhe</t>
  </si>
  <si>
    <t>ge</t>
  </si>
  <si>
    <t>he</t>
  </si>
  <si>
    <t>ke</t>
  </si>
  <si>
    <t>khe</t>
  </si>
  <si>
    <t>le</t>
  </si>
  <si>
    <t>me</t>
  </si>
  <si>
    <t>nge</t>
  </si>
  <si>
    <t>pe</t>
  </si>
  <si>
    <t>phe</t>
  </si>
  <si>
    <t>se</t>
  </si>
  <si>
    <t>te</t>
  </si>
  <si>
    <t>the</t>
  </si>
  <si>
    <r>
      <t>e</t>
    </r>
    <r>
      <rPr>
        <b/>
        <sz val="16"/>
        <color rgb="FF202122"/>
        <rFont val="Arial"/>
        <family val="2"/>
      </rPr>
      <t>ⁿ</t>
    </r>
  </si>
  <si>
    <r>
      <t>e</t>
    </r>
    <r>
      <rPr>
        <sz val="16"/>
        <color rgb="FF202122"/>
        <rFont val="Arial"/>
        <family val="2"/>
      </rPr>
      <t>ⁿ</t>
    </r>
  </si>
  <si>
    <r>
      <t>che</t>
    </r>
    <r>
      <rPr>
        <sz val="16"/>
        <color rgb="FF202122"/>
        <rFont val="Arial"/>
        <family val="2"/>
      </rPr>
      <t>ⁿ</t>
    </r>
  </si>
  <si>
    <r>
      <t>chhe</t>
    </r>
    <r>
      <rPr>
        <sz val="16"/>
        <color rgb="FF202122"/>
        <rFont val="Arial"/>
        <family val="2"/>
      </rPr>
      <t>ⁿ</t>
    </r>
  </si>
  <si>
    <r>
      <t>he</t>
    </r>
    <r>
      <rPr>
        <sz val="16"/>
        <color rgb="FF202122"/>
        <rFont val="Arial"/>
        <family val="2"/>
      </rPr>
      <t>ⁿ</t>
    </r>
  </si>
  <si>
    <r>
      <t>ke</t>
    </r>
    <r>
      <rPr>
        <sz val="16"/>
        <color rgb="FF202122"/>
        <rFont val="Arial"/>
        <family val="2"/>
      </rPr>
      <t>ⁿ</t>
    </r>
  </si>
  <si>
    <r>
      <t>khe</t>
    </r>
    <r>
      <rPr>
        <sz val="16"/>
        <color rgb="FF202122"/>
        <rFont val="Arial"/>
        <family val="2"/>
      </rPr>
      <t>ⁿ</t>
    </r>
  </si>
  <si>
    <r>
      <t>pe</t>
    </r>
    <r>
      <rPr>
        <sz val="16"/>
        <color rgb="FF202122"/>
        <rFont val="Arial"/>
        <family val="2"/>
      </rPr>
      <t>ⁿ</t>
    </r>
  </si>
  <si>
    <r>
      <t>phe</t>
    </r>
    <r>
      <rPr>
        <sz val="16"/>
        <color rgb="FF202122"/>
        <rFont val="Arial"/>
        <family val="2"/>
      </rPr>
      <t>ⁿ</t>
    </r>
  </si>
  <si>
    <r>
      <t>se</t>
    </r>
    <r>
      <rPr>
        <sz val="16"/>
        <color rgb="FF202122"/>
        <rFont val="Arial"/>
        <family val="2"/>
      </rPr>
      <t>ⁿ</t>
    </r>
  </si>
  <si>
    <r>
      <t>te</t>
    </r>
    <r>
      <rPr>
        <sz val="16"/>
        <color rgb="FF202122"/>
        <rFont val="Arial"/>
        <family val="2"/>
      </rPr>
      <t>ⁿ</t>
    </r>
  </si>
  <si>
    <r>
      <t>the</t>
    </r>
    <r>
      <rPr>
        <sz val="16"/>
        <color rgb="FF202122"/>
        <rFont val="Arial"/>
        <family val="2"/>
      </rPr>
      <t>ⁿ</t>
    </r>
  </si>
  <si>
    <t>beh</t>
  </si>
  <si>
    <t>cheh</t>
  </si>
  <si>
    <t>chheh</t>
  </si>
  <si>
    <t>heh</t>
  </si>
  <si>
    <t>keh</t>
  </si>
  <si>
    <t>kheh</t>
  </si>
  <si>
    <t>leh</t>
  </si>
  <si>
    <t>meh</t>
  </si>
  <si>
    <t>ngeh</t>
  </si>
  <si>
    <t>peh</t>
  </si>
  <si>
    <t>seh</t>
  </si>
  <si>
    <t>teh</t>
  </si>
  <si>
    <t>theh</t>
  </si>
  <si>
    <r>
      <t>eh</t>
    </r>
    <r>
      <rPr>
        <b/>
        <sz val="16"/>
        <color rgb="FF202122"/>
        <rFont val="Arial"/>
        <family val="2"/>
      </rPr>
      <t>ⁿ</t>
    </r>
  </si>
  <si>
    <r>
      <t>heh</t>
    </r>
    <r>
      <rPr>
        <sz val="16"/>
        <color rgb="FF202122"/>
        <rFont val="Arial"/>
        <family val="2"/>
      </rPr>
      <t>ⁿ</t>
    </r>
  </si>
  <si>
    <r>
      <t>kheh</t>
    </r>
    <r>
      <rPr>
        <sz val="16"/>
        <color rgb="FF202122"/>
        <rFont val="Arial"/>
        <family val="2"/>
      </rPr>
      <t>ⁿ</t>
    </r>
  </si>
  <si>
    <t>bek</t>
  </si>
  <si>
    <t>chek</t>
  </si>
  <si>
    <t>chhek</t>
  </si>
  <si>
    <t>gek</t>
  </si>
  <si>
    <t>hek</t>
  </si>
  <si>
    <t>kek</t>
  </si>
  <si>
    <t>lek</t>
  </si>
  <si>
    <t>pek</t>
  </si>
  <si>
    <t>phek</t>
  </si>
  <si>
    <t>sek</t>
  </si>
  <si>
    <t>tek</t>
  </si>
  <si>
    <t>thek</t>
  </si>
  <si>
    <t>beng</t>
  </si>
  <si>
    <t>cheng</t>
  </si>
  <si>
    <t>chheng</t>
  </si>
  <si>
    <t>geng</t>
  </si>
  <si>
    <t>heng</t>
  </si>
  <si>
    <t>keng</t>
  </si>
  <si>
    <t>kheng</t>
  </si>
  <si>
    <t>leng</t>
  </si>
  <si>
    <t>peng</t>
  </si>
  <si>
    <t>pheng</t>
  </si>
  <si>
    <t>seng</t>
  </si>
  <si>
    <t>teng</t>
  </si>
  <si>
    <t>theng</t>
  </si>
  <si>
    <t>bi</t>
  </si>
  <si>
    <t>chi</t>
  </si>
  <si>
    <t>chhi</t>
  </si>
  <si>
    <t>gi</t>
  </si>
  <si>
    <t>hi</t>
  </si>
  <si>
    <t>ki</t>
  </si>
  <si>
    <t>khi</t>
  </si>
  <si>
    <t>li</t>
  </si>
  <si>
    <t>mi</t>
  </si>
  <si>
    <t>pi</t>
  </si>
  <si>
    <t>phi</t>
  </si>
  <si>
    <t>ti</t>
  </si>
  <si>
    <t>thi</t>
  </si>
  <si>
    <r>
      <t>i</t>
    </r>
    <r>
      <rPr>
        <b/>
        <sz val="16"/>
        <color rgb="FF202122"/>
        <rFont val="Arial"/>
        <family val="2"/>
      </rPr>
      <t>ⁿ</t>
    </r>
  </si>
  <si>
    <r>
      <t>i</t>
    </r>
    <r>
      <rPr>
        <sz val="16"/>
        <color rgb="FF202122"/>
        <rFont val="Arial"/>
        <family val="2"/>
      </rPr>
      <t>ⁿ</t>
    </r>
  </si>
  <si>
    <r>
      <t>chi</t>
    </r>
    <r>
      <rPr>
        <sz val="16"/>
        <color rgb="FF202122"/>
        <rFont val="Arial"/>
        <family val="2"/>
      </rPr>
      <t>ⁿ</t>
    </r>
  </si>
  <si>
    <r>
      <t>chhi</t>
    </r>
    <r>
      <rPr>
        <sz val="16"/>
        <color rgb="FF202122"/>
        <rFont val="Arial"/>
        <family val="2"/>
      </rPr>
      <t>ⁿ</t>
    </r>
  </si>
  <si>
    <r>
      <t>hi</t>
    </r>
    <r>
      <rPr>
        <sz val="16"/>
        <color rgb="FF202122"/>
        <rFont val="Arial"/>
        <family val="2"/>
      </rPr>
      <t>ⁿ</t>
    </r>
  </si>
  <si>
    <r>
      <t>ki</t>
    </r>
    <r>
      <rPr>
        <sz val="16"/>
        <color rgb="FF202122"/>
        <rFont val="Arial"/>
        <family val="2"/>
      </rPr>
      <t>ⁿ</t>
    </r>
  </si>
  <si>
    <r>
      <t>khi</t>
    </r>
    <r>
      <rPr>
        <sz val="16"/>
        <color rgb="FF202122"/>
        <rFont val="Arial"/>
        <family val="2"/>
      </rPr>
      <t>ⁿ</t>
    </r>
  </si>
  <si>
    <r>
      <t>si</t>
    </r>
    <r>
      <rPr>
        <sz val="16"/>
        <color rgb="FF202122"/>
        <rFont val="Arial"/>
        <family val="2"/>
      </rPr>
      <t>ⁿ</t>
    </r>
  </si>
  <si>
    <r>
      <t>ti</t>
    </r>
    <r>
      <rPr>
        <sz val="16"/>
        <color rgb="FF202122"/>
        <rFont val="Arial"/>
        <family val="2"/>
      </rPr>
      <t>ⁿ</t>
    </r>
  </si>
  <si>
    <r>
      <t>thi</t>
    </r>
    <r>
      <rPr>
        <sz val="16"/>
        <color rgb="FF202122"/>
        <rFont val="Arial"/>
        <family val="2"/>
      </rPr>
      <t>ⁿ</t>
    </r>
  </si>
  <si>
    <t>chia</t>
  </si>
  <si>
    <t>chhia</t>
  </si>
  <si>
    <t>gia</t>
  </si>
  <si>
    <t>hia</t>
  </si>
  <si>
    <t>jia</t>
  </si>
  <si>
    <t>kia</t>
  </si>
  <si>
    <t>khia</t>
  </si>
  <si>
    <t>mia</t>
  </si>
  <si>
    <t>ngia</t>
  </si>
  <si>
    <t>sia</t>
  </si>
  <si>
    <t>tia</t>
  </si>
  <si>
    <r>
      <t>ia</t>
    </r>
    <r>
      <rPr>
        <b/>
        <sz val="16"/>
        <color rgb="FF202122"/>
        <rFont val="Arial"/>
        <family val="2"/>
      </rPr>
      <t>ⁿ</t>
    </r>
  </si>
  <si>
    <r>
      <t>ia</t>
    </r>
    <r>
      <rPr>
        <sz val="16"/>
        <color rgb="FF202122"/>
        <rFont val="Arial"/>
        <family val="2"/>
      </rPr>
      <t>ⁿ</t>
    </r>
  </si>
  <si>
    <r>
      <t>chia</t>
    </r>
    <r>
      <rPr>
        <sz val="16"/>
        <color rgb="FF202122"/>
        <rFont val="Arial"/>
        <family val="2"/>
      </rPr>
      <t>ⁿ</t>
    </r>
  </si>
  <si>
    <r>
      <t>chhia</t>
    </r>
    <r>
      <rPr>
        <sz val="16"/>
        <color rgb="FF202122"/>
        <rFont val="Arial"/>
        <family val="2"/>
      </rPr>
      <t>ⁿ</t>
    </r>
  </si>
  <si>
    <r>
      <t>hia</t>
    </r>
    <r>
      <rPr>
        <sz val="16"/>
        <color rgb="FF202122"/>
        <rFont val="Arial"/>
        <family val="2"/>
      </rPr>
      <t>ⁿ</t>
    </r>
  </si>
  <si>
    <r>
      <t>kia</t>
    </r>
    <r>
      <rPr>
        <sz val="16"/>
        <color rgb="FF202122"/>
        <rFont val="Arial"/>
        <family val="2"/>
      </rPr>
      <t>ⁿ</t>
    </r>
  </si>
  <si>
    <r>
      <t>pia</t>
    </r>
    <r>
      <rPr>
        <sz val="16"/>
        <color rgb="FF202122"/>
        <rFont val="Arial"/>
        <family val="2"/>
      </rPr>
      <t>ⁿ</t>
    </r>
  </si>
  <si>
    <r>
      <t>sia</t>
    </r>
    <r>
      <rPr>
        <sz val="16"/>
        <color rgb="FF202122"/>
        <rFont val="Arial"/>
        <family val="2"/>
      </rPr>
      <t>ⁿ</t>
    </r>
  </si>
  <si>
    <r>
      <t>tia</t>
    </r>
    <r>
      <rPr>
        <sz val="16"/>
        <color rgb="FF202122"/>
        <rFont val="Arial"/>
        <family val="2"/>
      </rPr>
      <t>ⁿ</t>
    </r>
  </si>
  <si>
    <r>
      <t>thia</t>
    </r>
    <r>
      <rPr>
        <sz val="16"/>
        <color rgb="FF202122"/>
        <rFont val="Arial"/>
        <family val="2"/>
      </rPr>
      <t>ⁿ</t>
    </r>
  </si>
  <si>
    <t>chiah</t>
  </si>
  <si>
    <t>chhiah</t>
  </si>
  <si>
    <t>giah</t>
  </si>
  <si>
    <t>hiah</t>
  </si>
  <si>
    <t>kiah</t>
  </si>
  <si>
    <t>khiah</t>
  </si>
  <si>
    <t>liah</t>
  </si>
  <si>
    <t>piah</t>
  </si>
  <si>
    <t>phiah</t>
  </si>
  <si>
    <t>siah</t>
  </si>
  <si>
    <t>tiah</t>
  </si>
  <si>
    <t>thiah</t>
  </si>
  <si>
    <r>
      <t>iah</t>
    </r>
    <r>
      <rPr>
        <b/>
        <sz val="16"/>
        <color rgb="FF202122"/>
        <rFont val="Arial"/>
        <family val="2"/>
      </rPr>
      <t>ⁿ</t>
    </r>
  </si>
  <si>
    <r>
      <t>hiah</t>
    </r>
    <r>
      <rPr>
        <sz val="16"/>
        <color rgb="FF202122"/>
        <rFont val="Arial"/>
        <family val="2"/>
      </rPr>
      <t>ⁿ</t>
    </r>
  </si>
  <si>
    <t>chhiak</t>
  </si>
  <si>
    <t>khiak</t>
  </si>
  <si>
    <t>piak</t>
  </si>
  <si>
    <t>phiak</t>
  </si>
  <si>
    <t>siak</t>
  </si>
  <si>
    <t>tiak</t>
  </si>
  <si>
    <t>chiam</t>
  </si>
  <si>
    <t>chhiam</t>
  </si>
  <si>
    <t>giam</t>
  </si>
  <si>
    <t>hiam</t>
  </si>
  <si>
    <t>jiam</t>
  </si>
  <si>
    <t>kiam</t>
  </si>
  <si>
    <t>khiam</t>
  </si>
  <si>
    <t>liam</t>
  </si>
  <si>
    <t>siam</t>
  </si>
  <si>
    <t>tiam</t>
  </si>
  <si>
    <t>thiam</t>
  </si>
  <si>
    <t>bian</t>
  </si>
  <si>
    <t>chian</t>
  </si>
  <si>
    <t>chhian</t>
  </si>
  <si>
    <t>gian</t>
  </si>
  <si>
    <t>hian</t>
  </si>
  <si>
    <t>jian</t>
  </si>
  <si>
    <t>kian</t>
  </si>
  <si>
    <t>khian</t>
  </si>
  <si>
    <t>lian</t>
  </si>
  <si>
    <t>pian</t>
  </si>
  <si>
    <t>phian</t>
  </si>
  <si>
    <t>sian</t>
  </si>
  <si>
    <t>tian</t>
  </si>
  <si>
    <t>thian</t>
  </si>
  <si>
    <t>chiang</t>
  </si>
  <si>
    <t>chhiang</t>
  </si>
  <si>
    <t>giang</t>
  </si>
  <si>
    <t>hiang</t>
  </si>
  <si>
    <t>jiang</t>
  </si>
  <si>
    <t>khiang</t>
  </si>
  <si>
    <t>liang</t>
  </si>
  <si>
    <t>piang</t>
  </si>
  <si>
    <t>phiang</t>
  </si>
  <si>
    <t>siang</t>
  </si>
  <si>
    <t>chiap</t>
  </si>
  <si>
    <t>chhiap</t>
  </si>
  <si>
    <t>giap</t>
  </si>
  <si>
    <t>hiap</t>
  </si>
  <si>
    <t>jiap</t>
  </si>
  <si>
    <t>kiap</t>
  </si>
  <si>
    <t>khiap</t>
  </si>
  <si>
    <t>liap</t>
  </si>
  <si>
    <t>siap</t>
  </si>
  <si>
    <t>tiap</t>
  </si>
  <si>
    <t>thiap</t>
  </si>
  <si>
    <t>biat</t>
  </si>
  <si>
    <t>chiat</t>
  </si>
  <si>
    <t>chhiat</t>
  </si>
  <si>
    <t>giat</t>
  </si>
  <si>
    <t>hiat</t>
  </si>
  <si>
    <t>jiat</t>
  </si>
  <si>
    <t>kiat</t>
  </si>
  <si>
    <t>khiat</t>
  </si>
  <si>
    <t>liat</t>
  </si>
  <si>
    <t>piat</t>
  </si>
  <si>
    <t>phiat</t>
  </si>
  <si>
    <t>siat</t>
  </si>
  <si>
    <t>tiat</t>
  </si>
  <si>
    <t>thiat</t>
  </si>
  <si>
    <t>biau</t>
  </si>
  <si>
    <t>chiau</t>
  </si>
  <si>
    <t>chhiau</t>
  </si>
  <si>
    <t>giau</t>
  </si>
  <si>
    <t>hiau</t>
  </si>
  <si>
    <t>jiau</t>
  </si>
  <si>
    <t>kiau</t>
  </si>
  <si>
    <t>khiau</t>
  </si>
  <si>
    <t>liau</t>
  </si>
  <si>
    <t>miau</t>
  </si>
  <si>
    <t>niau</t>
  </si>
  <si>
    <t>ngiau</t>
  </si>
  <si>
    <t>piau</t>
  </si>
  <si>
    <t>phiau</t>
  </si>
  <si>
    <t>siau</t>
  </si>
  <si>
    <t>tiau</t>
  </si>
  <si>
    <t>thiau</t>
  </si>
  <si>
    <r>
      <t>iau</t>
    </r>
    <r>
      <rPr>
        <b/>
        <sz val="16"/>
        <color rgb="FF202122"/>
        <rFont val="Arial"/>
        <family val="2"/>
      </rPr>
      <t>ⁿ</t>
    </r>
  </si>
  <si>
    <r>
      <t>iau</t>
    </r>
    <r>
      <rPr>
        <sz val="16"/>
        <color rgb="FF202122"/>
        <rFont val="Arial"/>
        <family val="2"/>
      </rPr>
      <t>ⁿ</t>
    </r>
  </si>
  <si>
    <t>hiauh</t>
  </si>
  <si>
    <t>khiauh</t>
  </si>
  <si>
    <t>ngiauh</t>
  </si>
  <si>
    <t>bih</t>
  </si>
  <si>
    <t>chih</t>
  </si>
  <si>
    <t>chhih</t>
  </si>
  <si>
    <t>khih</t>
  </si>
  <si>
    <t>mih</t>
  </si>
  <si>
    <t>pih</t>
  </si>
  <si>
    <t>phih</t>
  </si>
  <si>
    <t>sih</t>
  </si>
  <si>
    <t>tih</t>
  </si>
  <si>
    <t>thih</t>
  </si>
  <si>
    <t>chim</t>
  </si>
  <si>
    <t>chhim</t>
  </si>
  <si>
    <t>gim</t>
  </si>
  <si>
    <t>him</t>
  </si>
  <si>
    <t>jim</t>
  </si>
  <si>
    <t>kim</t>
  </si>
  <si>
    <t>khim</t>
  </si>
  <si>
    <t>lim</t>
  </si>
  <si>
    <t>sim</t>
  </si>
  <si>
    <t>tim</t>
  </si>
  <si>
    <t>thim</t>
  </si>
  <si>
    <t>bin</t>
  </si>
  <si>
    <t>chin</t>
  </si>
  <si>
    <t>chhin</t>
  </si>
  <si>
    <t>gin</t>
  </si>
  <si>
    <t>hin</t>
  </si>
  <si>
    <t>jin</t>
  </si>
  <si>
    <t>kin</t>
  </si>
  <si>
    <t>khin</t>
  </si>
  <si>
    <t>lin</t>
  </si>
  <si>
    <t>pin</t>
  </si>
  <si>
    <t>phin</t>
  </si>
  <si>
    <t>sin</t>
  </si>
  <si>
    <t>tin</t>
  </si>
  <si>
    <t>thin</t>
  </si>
  <si>
    <t>bio</t>
  </si>
  <si>
    <t>chio</t>
  </si>
  <si>
    <t>chhio</t>
  </si>
  <si>
    <t>gio</t>
  </si>
  <si>
    <t>hio</t>
  </si>
  <si>
    <t>jio</t>
  </si>
  <si>
    <t>kio</t>
  </si>
  <si>
    <t>khio</t>
  </si>
  <si>
    <t>lio</t>
  </si>
  <si>
    <t>pio</t>
  </si>
  <si>
    <t>phio</t>
  </si>
  <si>
    <t>sio</t>
  </si>
  <si>
    <t>tio</t>
  </si>
  <si>
    <t>thio</t>
  </si>
  <si>
    <t>chioh</t>
  </si>
  <si>
    <t>chhioh</t>
  </si>
  <si>
    <t>gioh</t>
  </si>
  <si>
    <t>hioh</t>
  </si>
  <si>
    <t>kioh</t>
  </si>
  <si>
    <t>khioh</t>
  </si>
  <si>
    <t>lioh</t>
  </si>
  <si>
    <t>sioh</t>
  </si>
  <si>
    <t>tioh</t>
  </si>
  <si>
    <t>chiok</t>
  </si>
  <si>
    <t>chhiok</t>
  </si>
  <si>
    <t>giok</t>
  </si>
  <si>
    <t>hiok</t>
  </si>
  <si>
    <t>jiok</t>
  </si>
  <si>
    <t>kiok</t>
  </si>
  <si>
    <t>khiok</t>
  </si>
  <si>
    <t>liok</t>
  </si>
  <si>
    <t>siok</t>
  </si>
  <si>
    <t>tiok</t>
  </si>
  <si>
    <t>thiok</t>
  </si>
  <si>
    <t>chiong</t>
  </si>
  <si>
    <t>chhiong</t>
  </si>
  <si>
    <t>giong</t>
  </si>
  <si>
    <t>hiong</t>
  </si>
  <si>
    <t>jiong</t>
  </si>
  <si>
    <t>kiong</t>
  </si>
  <si>
    <t>khiong</t>
  </si>
  <si>
    <t>liong</t>
  </si>
  <si>
    <t>siong</t>
  </si>
  <si>
    <t>tiong</t>
  </si>
  <si>
    <t>thiong</t>
  </si>
  <si>
    <t>chip</t>
  </si>
  <si>
    <t>chhip</t>
  </si>
  <si>
    <t>hip</t>
  </si>
  <si>
    <t>jip</t>
  </si>
  <si>
    <t>kip</t>
  </si>
  <si>
    <t>khip</t>
  </si>
  <si>
    <t>lip</t>
  </si>
  <si>
    <t>sip</t>
  </si>
  <si>
    <t>bit</t>
  </si>
  <si>
    <t>chit</t>
  </si>
  <si>
    <t>chhit</t>
  </si>
  <si>
    <t>hit</t>
  </si>
  <si>
    <t>jit</t>
  </si>
  <si>
    <t>kit</t>
  </si>
  <si>
    <t>khit</t>
  </si>
  <si>
    <t>pit</t>
  </si>
  <si>
    <t>phit</t>
  </si>
  <si>
    <t>sit</t>
  </si>
  <si>
    <t>tit</t>
  </si>
  <si>
    <t>biu</t>
  </si>
  <si>
    <t>chiu</t>
  </si>
  <si>
    <t>chhiu</t>
  </si>
  <si>
    <t>giu</t>
  </si>
  <si>
    <t>hiu</t>
  </si>
  <si>
    <t>jiu</t>
  </si>
  <si>
    <t>kiu</t>
  </si>
  <si>
    <t>khiu</t>
  </si>
  <si>
    <t>liu</t>
  </si>
  <si>
    <t>piu</t>
  </si>
  <si>
    <t>siu</t>
  </si>
  <si>
    <t>tiu</t>
  </si>
  <si>
    <t>thiu</t>
  </si>
  <si>
    <r>
      <t>iu</t>
    </r>
    <r>
      <rPr>
        <b/>
        <sz val="16"/>
        <color rgb="FF202122"/>
        <rFont val="Arial"/>
        <family val="2"/>
      </rPr>
      <t>ⁿ</t>
    </r>
  </si>
  <si>
    <r>
      <t>iu</t>
    </r>
    <r>
      <rPr>
        <sz val="16"/>
        <color rgb="FF202122"/>
        <rFont val="Arial"/>
        <family val="2"/>
      </rPr>
      <t>ⁿ</t>
    </r>
  </si>
  <si>
    <r>
      <t>chiu</t>
    </r>
    <r>
      <rPr>
        <sz val="16"/>
        <color rgb="FF202122"/>
        <rFont val="Arial"/>
        <family val="2"/>
      </rPr>
      <t>ⁿ</t>
    </r>
  </si>
  <si>
    <r>
      <t>chhiu</t>
    </r>
    <r>
      <rPr>
        <sz val="16"/>
        <color rgb="FF202122"/>
        <rFont val="Arial"/>
        <family val="2"/>
      </rPr>
      <t>ⁿ</t>
    </r>
  </si>
  <si>
    <r>
      <t>hiu</t>
    </r>
    <r>
      <rPr>
        <sz val="16"/>
        <color rgb="FF202122"/>
        <rFont val="Arial"/>
        <family val="2"/>
      </rPr>
      <t>ⁿ</t>
    </r>
  </si>
  <si>
    <r>
      <t>kiu</t>
    </r>
    <r>
      <rPr>
        <sz val="16"/>
        <color rgb="FF202122"/>
        <rFont val="Arial"/>
        <family val="2"/>
      </rPr>
      <t>ⁿ</t>
    </r>
  </si>
  <si>
    <r>
      <t>khiu</t>
    </r>
    <r>
      <rPr>
        <sz val="16"/>
        <color rgb="FF202122"/>
        <rFont val="Arial"/>
        <family val="2"/>
      </rPr>
      <t>ⁿ</t>
    </r>
  </si>
  <si>
    <r>
      <t>siu</t>
    </r>
    <r>
      <rPr>
        <sz val="16"/>
        <color rgb="FF202122"/>
        <rFont val="Arial"/>
        <family val="2"/>
      </rPr>
      <t>ⁿ</t>
    </r>
  </si>
  <si>
    <r>
      <t>tiu</t>
    </r>
    <r>
      <rPr>
        <sz val="16"/>
        <color rgb="FF202122"/>
        <rFont val="Arial"/>
        <family val="2"/>
      </rPr>
      <t>ⁿ</t>
    </r>
  </si>
  <si>
    <r>
      <t>iuh</t>
    </r>
    <r>
      <rPr>
        <b/>
        <sz val="16"/>
        <color rgb="FF202122"/>
        <rFont val="Arial"/>
        <family val="2"/>
      </rPr>
      <t>ⁿ</t>
    </r>
  </si>
  <si>
    <r>
      <t>iuh</t>
    </r>
    <r>
      <rPr>
        <sz val="16"/>
        <color rgb="FF202122"/>
        <rFont val="Arial"/>
        <family val="2"/>
      </rPr>
      <t>ⁿ</t>
    </r>
  </si>
  <si>
    <r>
      <t>hiuh</t>
    </r>
    <r>
      <rPr>
        <sz val="16"/>
        <color rgb="FF202122"/>
        <rFont val="Arial"/>
        <family val="2"/>
      </rPr>
      <t>ⁿ</t>
    </r>
  </si>
  <si>
    <t>hm</t>
  </si>
  <si>
    <t>hmh</t>
  </si>
  <si>
    <t>chng</t>
  </si>
  <si>
    <t>chhng</t>
  </si>
  <si>
    <t>hng</t>
  </si>
  <si>
    <t>kng</t>
  </si>
  <si>
    <t>khng</t>
  </si>
  <si>
    <t>mng</t>
  </si>
  <si>
    <t>nng</t>
  </si>
  <si>
    <t>png</t>
  </si>
  <si>
    <t>sng</t>
  </si>
  <si>
    <t>tng</t>
  </si>
  <si>
    <t>thng</t>
  </si>
  <si>
    <t>chhngh</t>
  </si>
  <si>
    <t>hngh</t>
  </si>
  <si>
    <t>phngh</t>
  </si>
  <si>
    <t>sngh</t>
  </si>
  <si>
    <t>bo</t>
  </si>
  <si>
    <t>cho</t>
  </si>
  <si>
    <t>chho</t>
  </si>
  <si>
    <t>go</t>
  </si>
  <si>
    <t>ho</t>
  </si>
  <si>
    <t>ko</t>
  </si>
  <si>
    <t>kho</t>
  </si>
  <si>
    <t>lo</t>
  </si>
  <si>
    <t>po</t>
  </si>
  <si>
    <t>pho</t>
  </si>
  <si>
    <t>so</t>
  </si>
  <si>
    <t>to</t>
  </si>
  <si>
    <t>tho</t>
  </si>
  <si>
    <r>
      <t>o</t>
    </r>
    <r>
      <rPr>
        <b/>
        <sz val="16"/>
        <color rgb="FF202122"/>
        <rFont val="Arial"/>
        <family val="2"/>
      </rPr>
      <t>ⁿ</t>
    </r>
  </si>
  <si>
    <r>
      <t>o</t>
    </r>
    <r>
      <rPr>
        <sz val="16"/>
        <color rgb="FF202122"/>
        <rFont val="Arial"/>
        <family val="2"/>
      </rPr>
      <t>ⁿ</t>
    </r>
  </si>
  <si>
    <r>
      <t>ho</t>
    </r>
    <r>
      <rPr>
        <sz val="16"/>
        <color rgb="FF202122"/>
        <rFont val="Arial"/>
        <family val="2"/>
      </rPr>
      <t>ⁿ</t>
    </r>
  </si>
  <si>
    <r>
      <t>ko</t>
    </r>
    <r>
      <rPr>
        <sz val="16"/>
        <color rgb="FF202122"/>
        <rFont val="Arial"/>
        <family val="2"/>
      </rPr>
      <t>ⁿ</t>
    </r>
  </si>
  <si>
    <t>bo͘</t>
  </si>
  <si>
    <t>cho͘</t>
  </si>
  <si>
    <t>chho͘</t>
  </si>
  <si>
    <t>go͘</t>
  </si>
  <si>
    <t>ho͘</t>
  </si>
  <si>
    <t>ko͘</t>
  </si>
  <si>
    <t>kho͘</t>
  </si>
  <si>
    <t>lo͘</t>
  </si>
  <si>
    <t>mo͘</t>
  </si>
  <si>
    <t>no͘</t>
  </si>
  <si>
    <t>ngo͘</t>
  </si>
  <si>
    <t>po͘</t>
  </si>
  <si>
    <t>pho͘</t>
  </si>
  <si>
    <t>so͘</t>
  </si>
  <si>
    <t>to͘</t>
  </si>
  <si>
    <t>tho͘</t>
  </si>
  <si>
    <t>boa</t>
  </si>
  <si>
    <t>choa</t>
  </si>
  <si>
    <t>chhoa</t>
  </si>
  <si>
    <t>goa</t>
  </si>
  <si>
    <t>hoa</t>
  </si>
  <si>
    <t>koa</t>
  </si>
  <si>
    <t>khoa</t>
  </si>
  <si>
    <t>loa</t>
  </si>
  <si>
    <t>moa</t>
  </si>
  <si>
    <t>noa</t>
  </si>
  <si>
    <t>poa</t>
  </si>
  <si>
    <t>phoa</t>
  </si>
  <si>
    <t>soa</t>
  </si>
  <si>
    <t>toa</t>
  </si>
  <si>
    <t>thoa</t>
  </si>
  <si>
    <r>
      <t>oa</t>
    </r>
    <r>
      <rPr>
        <b/>
        <sz val="16"/>
        <color rgb="FF202122"/>
        <rFont val="Arial"/>
        <family val="2"/>
      </rPr>
      <t>ⁿ</t>
    </r>
  </si>
  <si>
    <r>
      <t>oa</t>
    </r>
    <r>
      <rPr>
        <sz val="16"/>
        <color rgb="FF202122"/>
        <rFont val="Arial"/>
        <family val="2"/>
      </rPr>
      <t>ⁿ</t>
    </r>
  </si>
  <si>
    <r>
      <t>chhoa</t>
    </r>
    <r>
      <rPr>
        <sz val="16"/>
        <color rgb="FF202122"/>
        <rFont val="Arial"/>
        <family val="2"/>
      </rPr>
      <t>ⁿ</t>
    </r>
  </si>
  <si>
    <r>
      <t>hoa</t>
    </r>
    <r>
      <rPr>
        <sz val="16"/>
        <color rgb="FF202122"/>
        <rFont val="Arial"/>
        <family val="2"/>
      </rPr>
      <t>ⁿ</t>
    </r>
  </si>
  <si>
    <r>
      <t>koa</t>
    </r>
    <r>
      <rPr>
        <sz val="16"/>
        <color rgb="FF202122"/>
        <rFont val="Arial"/>
        <family val="2"/>
      </rPr>
      <t>ⁿ</t>
    </r>
  </si>
  <si>
    <r>
      <t>khoa</t>
    </r>
    <r>
      <rPr>
        <sz val="16"/>
        <color rgb="FF202122"/>
        <rFont val="Arial"/>
        <family val="2"/>
      </rPr>
      <t>ⁿ</t>
    </r>
  </si>
  <si>
    <r>
      <t>poa</t>
    </r>
    <r>
      <rPr>
        <sz val="16"/>
        <color rgb="FF202122"/>
        <rFont val="Arial"/>
        <family val="2"/>
      </rPr>
      <t>ⁿ</t>
    </r>
  </si>
  <si>
    <r>
      <t>phoa</t>
    </r>
    <r>
      <rPr>
        <sz val="16"/>
        <color rgb="FF202122"/>
        <rFont val="Arial"/>
        <family val="2"/>
      </rPr>
      <t>ⁿ</t>
    </r>
  </si>
  <si>
    <r>
      <t>soa</t>
    </r>
    <r>
      <rPr>
        <sz val="16"/>
        <color rgb="FF202122"/>
        <rFont val="Arial"/>
        <family val="2"/>
      </rPr>
      <t>ⁿ</t>
    </r>
  </si>
  <si>
    <r>
      <t>toa</t>
    </r>
    <r>
      <rPr>
        <sz val="16"/>
        <color rgb="FF202122"/>
        <rFont val="Arial"/>
        <family val="2"/>
      </rPr>
      <t>ⁿ</t>
    </r>
  </si>
  <si>
    <r>
      <t>thoa</t>
    </r>
    <r>
      <rPr>
        <sz val="16"/>
        <color rgb="FF202122"/>
        <rFont val="Arial"/>
        <family val="2"/>
      </rPr>
      <t>ⁿ</t>
    </r>
  </si>
  <si>
    <t>boah</t>
  </si>
  <si>
    <t>choah</t>
  </si>
  <si>
    <t>chhoah</t>
  </si>
  <si>
    <t>hoah</t>
  </si>
  <si>
    <t>joah</t>
  </si>
  <si>
    <t>koah</t>
  </si>
  <si>
    <t>khoah</t>
  </si>
  <si>
    <t>loah</t>
  </si>
  <si>
    <t>poah</t>
  </si>
  <si>
    <t>phoah</t>
  </si>
  <si>
    <t>soah</t>
  </si>
  <si>
    <t>thoah</t>
  </si>
  <si>
    <t>hoai</t>
  </si>
  <si>
    <t>koai</t>
  </si>
  <si>
    <t>khoai</t>
  </si>
  <si>
    <t>soai</t>
  </si>
  <si>
    <r>
      <t>oai</t>
    </r>
    <r>
      <rPr>
        <b/>
        <sz val="16"/>
        <color rgb="FF202122"/>
        <rFont val="Arial"/>
        <family val="2"/>
      </rPr>
      <t>ⁿ</t>
    </r>
  </si>
  <si>
    <r>
      <t>oai</t>
    </r>
    <r>
      <rPr>
        <sz val="16"/>
        <color rgb="FF202122"/>
        <rFont val="Arial"/>
        <family val="2"/>
      </rPr>
      <t>ⁿ</t>
    </r>
  </si>
  <si>
    <r>
      <t>choai</t>
    </r>
    <r>
      <rPr>
        <sz val="16"/>
        <color rgb="FF202122"/>
        <rFont val="Arial"/>
        <family val="2"/>
      </rPr>
      <t>ⁿ</t>
    </r>
  </si>
  <si>
    <r>
      <t>hoai</t>
    </r>
    <r>
      <rPr>
        <sz val="16"/>
        <color rgb="FF202122"/>
        <rFont val="Arial"/>
        <family val="2"/>
      </rPr>
      <t>ⁿ</t>
    </r>
  </si>
  <si>
    <r>
      <t>koai</t>
    </r>
    <r>
      <rPr>
        <sz val="16"/>
        <color rgb="FF202122"/>
        <rFont val="Arial"/>
        <family val="2"/>
      </rPr>
      <t>ⁿ</t>
    </r>
  </si>
  <si>
    <r>
      <t>soai</t>
    </r>
    <r>
      <rPr>
        <sz val="16"/>
        <color rgb="FF202122"/>
        <rFont val="Arial"/>
        <family val="2"/>
      </rPr>
      <t>ⁿ</t>
    </r>
  </si>
  <si>
    <t>boan</t>
  </si>
  <si>
    <t>choan</t>
  </si>
  <si>
    <t>chhoan</t>
  </si>
  <si>
    <t>goan</t>
  </si>
  <si>
    <t>hoan</t>
  </si>
  <si>
    <t>koan</t>
  </si>
  <si>
    <t>khoan</t>
  </si>
  <si>
    <t>loan</t>
  </si>
  <si>
    <t>poan</t>
  </si>
  <si>
    <t>phoan</t>
  </si>
  <si>
    <t>soan</t>
  </si>
  <si>
    <t>toan</t>
  </si>
  <si>
    <t>thoan</t>
  </si>
  <si>
    <t>chhoang</t>
  </si>
  <si>
    <t>boat</t>
  </si>
  <si>
    <t>choat</t>
  </si>
  <si>
    <t>goat</t>
  </si>
  <si>
    <t>hoat</t>
  </si>
  <si>
    <t>koat</t>
  </si>
  <si>
    <t>khoat</t>
  </si>
  <si>
    <t>loat</t>
  </si>
  <si>
    <t>poat</t>
  </si>
  <si>
    <t>phoat</t>
  </si>
  <si>
    <t>soat</t>
  </si>
  <si>
    <t>toat</t>
  </si>
  <si>
    <t>thoat</t>
  </si>
  <si>
    <t>boe</t>
  </si>
  <si>
    <t>choe</t>
  </si>
  <si>
    <t>chhoe</t>
  </si>
  <si>
    <t>goe</t>
  </si>
  <si>
    <t>hoe</t>
  </si>
  <si>
    <t>joe</t>
  </si>
  <si>
    <t>koe</t>
  </si>
  <si>
    <t>khoe</t>
  </si>
  <si>
    <t>loe</t>
  </si>
  <si>
    <t>poe</t>
  </si>
  <si>
    <t>phoe</t>
  </si>
  <si>
    <t>soe</t>
  </si>
  <si>
    <t>toe</t>
  </si>
  <si>
    <t>boeh</t>
  </si>
  <si>
    <t>goeh</t>
  </si>
  <si>
    <t>hoeh</t>
  </si>
  <si>
    <t>koeh</t>
  </si>
  <si>
    <t>khoeh</t>
  </si>
  <si>
    <t>poeh</t>
  </si>
  <si>
    <t>phoeh</t>
  </si>
  <si>
    <t>soeh</t>
  </si>
  <si>
    <t>choh</t>
  </si>
  <si>
    <t>chhoh</t>
  </si>
  <si>
    <t>hoh</t>
  </si>
  <si>
    <t>koh</t>
  </si>
  <si>
    <t>loh</t>
  </si>
  <si>
    <t>poh</t>
  </si>
  <si>
    <t>phoh</t>
  </si>
  <si>
    <t>soh</t>
  </si>
  <si>
    <t>toh</t>
  </si>
  <si>
    <t>thoh</t>
  </si>
  <si>
    <t>o͘h</t>
  </si>
  <si>
    <t>mo͘h</t>
  </si>
  <si>
    <r>
      <t>oh</t>
    </r>
    <r>
      <rPr>
        <b/>
        <sz val="16"/>
        <color rgb="FF202122"/>
        <rFont val="Arial"/>
        <family val="2"/>
      </rPr>
      <t>ⁿ</t>
    </r>
  </si>
  <si>
    <r>
      <t>oh</t>
    </r>
    <r>
      <rPr>
        <sz val="16"/>
        <color rgb="FF202122"/>
        <rFont val="Arial"/>
        <family val="2"/>
      </rPr>
      <t>ⁿ</t>
    </r>
  </si>
  <si>
    <r>
      <t>hoh</t>
    </r>
    <r>
      <rPr>
        <sz val="16"/>
        <color rgb="FF202122"/>
        <rFont val="Arial"/>
        <family val="2"/>
      </rPr>
      <t>ⁿ</t>
    </r>
  </si>
  <si>
    <t>bok</t>
  </si>
  <si>
    <t>chok</t>
  </si>
  <si>
    <t>chhok</t>
  </si>
  <si>
    <t>gok</t>
  </si>
  <si>
    <t>hok</t>
  </si>
  <si>
    <t>kok</t>
  </si>
  <si>
    <t>khok</t>
  </si>
  <si>
    <t>lok</t>
  </si>
  <si>
    <t>pok</t>
  </si>
  <si>
    <t>phok</t>
  </si>
  <si>
    <t>sok</t>
  </si>
  <si>
    <t>tok</t>
  </si>
  <si>
    <t>thok</t>
  </si>
  <si>
    <t>som</t>
  </si>
  <si>
    <t>tom</t>
  </si>
  <si>
    <t>bong</t>
  </si>
  <si>
    <t>chong</t>
  </si>
  <si>
    <t>chhong</t>
  </si>
  <si>
    <t>gong</t>
  </si>
  <si>
    <t>hong</t>
  </si>
  <si>
    <t>kong</t>
  </si>
  <si>
    <t>khong</t>
  </si>
  <si>
    <t>long</t>
  </si>
  <si>
    <t>pong</t>
  </si>
  <si>
    <t>phong</t>
  </si>
  <si>
    <t>song</t>
  </si>
  <si>
    <t>tong</t>
  </si>
  <si>
    <t>thong</t>
  </si>
  <si>
    <t>bu</t>
  </si>
  <si>
    <t>chu</t>
  </si>
  <si>
    <t>chhu</t>
  </si>
  <si>
    <t>gu</t>
  </si>
  <si>
    <t>hu</t>
  </si>
  <si>
    <t>ju</t>
  </si>
  <si>
    <t>ku</t>
  </si>
  <si>
    <t>khu</t>
  </si>
  <si>
    <t>lu</t>
  </si>
  <si>
    <t>pu</t>
  </si>
  <si>
    <t>phu</t>
  </si>
  <si>
    <t>su</t>
  </si>
  <si>
    <t>tu</t>
  </si>
  <si>
    <t>thu</t>
  </si>
  <si>
    <t>chuh</t>
  </si>
  <si>
    <t>chhuh</t>
  </si>
  <si>
    <t>khuh</t>
  </si>
  <si>
    <t>puh</t>
  </si>
  <si>
    <t>phuh</t>
  </si>
  <si>
    <t>tuh</t>
  </si>
  <si>
    <t>thuh</t>
  </si>
  <si>
    <t>bui</t>
  </si>
  <si>
    <t>chui</t>
  </si>
  <si>
    <t>chhui</t>
  </si>
  <si>
    <t>gui</t>
  </si>
  <si>
    <t>hui</t>
  </si>
  <si>
    <t>kui</t>
  </si>
  <si>
    <t>khui</t>
  </si>
  <si>
    <t>lui</t>
  </si>
  <si>
    <t>mui</t>
  </si>
  <si>
    <t>pui</t>
  </si>
  <si>
    <t>phui</t>
  </si>
  <si>
    <t>sui</t>
  </si>
  <si>
    <t>tui</t>
  </si>
  <si>
    <t>thui</t>
  </si>
  <si>
    <t>bun</t>
  </si>
  <si>
    <t>chun</t>
  </si>
  <si>
    <t>chhun</t>
  </si>
  <si>
    <t>gun</t>
  </si>
  <si>
    <t>hun</t>
  </si>
  <si>
    <t>jun</t>
  </si>
  <si>
    <t>kun</t>
  </si>
  <si>
    <t>khun</t>
  </si>
  <si>
    <t>lun</t>
  </si>
  <si>
    <t>pun</t>
  </si>
  <si>
    <t>phun</t>
  </si>
  <si>
    <t>sun</t>
  </si>
  <si>
    <t>tun</t>
  </si>
  <si>
    <t>thun</t>
  </si>
  <si>
    <t>but</t>
  </si>
  <si>
    <t>chut</t>
  </si>
  <si>
    <t>chhut</t>
  </si>
  <si>
    <t>hut</t>
  </si>
  <si>
    <t>kut</t>
  </si>
  <si>
    <t>khut</t>
  </si>
  <si>
    <t>lut</t>
  </si>
  <si>
    <t>put</t>
  </si>
  <si>
    <t>phut</t>
  </si>
  <si>
    <t>sut</t>
  </si>
  <si>
    <t>tut</t>
  </si>
  <si>
    <t>thut</t>
  </si>
  <si>
    <t>數量</t>
  </si>
  <si>
    <t>共716</t>
  </si>
  <si>
    <t>ʦ/ʨ</t>
  </si>
  <si>
    <t>ʦʰ/ʨʰ</t>
  </si>
  <si>
    <t>ʣ/ʥ</t>
  </si>
  <si>
    <t>s/ɕ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</si>
  <si>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</si>
  <si>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</si>
  <si>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</si>
  <si>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</si>
  <si>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</si>
  <si>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</si>
  <si>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</si>
  <si>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</si>
  <si>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</si>
  <si>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</si>
  <si>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</si>
  <si>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</si>
  <si>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</si>
  <si>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</si>
  <si>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</si>
  <si>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</si>
  <si>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</si>
  <si>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</si>
  <si>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</si>
  <si>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</si>
  <si>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</si>
  <si>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</si>
  <si>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</si>
  <si>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</si>
  <si>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</si>
  <si>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</si>
  <si>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</si>
  <si>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</si>
  <si>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</si>
  <si>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</si>
  <si>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</si>
  <si>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</si>
  <si>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</si>
  <si>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</si>
  <si>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</si>
  <si>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</si>
  <si>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</si>
  <si>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</si>
  <si>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</si>
  <si>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</si>
  <si>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</si>
  <si>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ㄏㆩㆷ</t>
  </si>
  <si>
    <t>ㄙㆩㆷ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</si>
  <si>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</si>
  <si>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</si>
  <si>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</si>
  <si>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</si>
  <si>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</si>
  <si>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</si>
  <si>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</si>
  <si>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</si>
  <si>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</si>
  <si>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</si>
  <si>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</si>
  <si>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</si>
  <si>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</si>
  <si>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</si>
  <si>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</si>
  <si>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</si>
  <si>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</si>
  <si>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</si>
  <si>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</si>
  <si>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</si>
  <si>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</si>
  <si>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</si>
  <si>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</si>
  <si>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</si>
  <si>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</si>
  <si>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</si>
  <si>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</si>
  <si>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</si>
  <si>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</si>
  <si>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</si>
  <si>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</si>
  <si>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</si>
  <si>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</si>
  <si>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</si>
  <si>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</si>
  <si>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</si>
  <si>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</si>
  <si>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</si>
  <si>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</si>
  <si>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</si>
  <si>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</si>
  <si>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</si>
  <si>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</si>
  <si>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</si>
  <si>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</si>
  <si>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</si>
  <si>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</si>
  <si>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</si>
  <si>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</si>
  <si>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</si>
  <si>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</si>
  <si>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</si>
  <si>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</si>
  <si>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</si>
  <si>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</si>
  <si>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</si>
  <si>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</si>
  <si>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</si>
  <si>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</si>
  <si>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</si>
  <si>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</si>
  <si>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</si>
  <si>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</si>
  <si>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</si>
  <si>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</si>
  <si>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</si>
  <si>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</si>
  <si>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</si>
  <si>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</si>
  <si>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</si>
  <si>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</si>
  <si>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</si>
  <si>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</si>
  <si>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</si>
  <si>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</si>
  <si>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</si>
  <si>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</si>
  <si>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</si>
  <si>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</si>
  <si>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</si>
  <si>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</si>
  <si>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</si>
  <si>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</si>
  <si>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</si>
  <si>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</si>
  <si>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</si>
  <si>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</si>
  <si>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</si>
  <si>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ㄏㆮ</t>
  </si>
  <si>
    <t>ㄆㆮ</t>
  </si>
  <si>
    <t>ㄉㆮ</t>
  </si>
  <si>
    <t>ㄗㆮ</t>
  </si>
  <si>
    <t>ㄍㆮ</t>
  </si>
  <si>
    <t>ㄎㆮ</t>
  </si>
  <si>
    <t>aɪʔ</t>
  </si>
  <si>
    <t>ㄏㄞㆷ</t>
  </si>
  <si>
    <t>ㄌㄞㆷ</t>
  </si>
  <si>
    <t>ㄙㄞㆷ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</si>
  <si>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</si>
  <si>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</si>
  <si>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</si>
  <si>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</si>
  <si>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</si>
  <si>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</si>
  <si>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</si>
  <si>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</si>
  <si>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</si>
  <si>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</si>
  <si>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</si>
  <si>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</si>
  <si>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</si>
  <si>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</si>
  <si>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</si>
  <si>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</si>
  <si>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</si>
  <si>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</si>
  <si>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</si>
  <si>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</si>
  <si>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</si>
  <si>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</si>
  <si>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</si>
  <si>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</si>
  <si>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</si>
  <si>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</si>
  <si>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</si>
  <si>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</si>
  <si>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</si>
  <si>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</si>
  <si>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</si>
  <si>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</si>
  <si>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</si>
  <si>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</si>
  <si>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</si>
  <si>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</si>
  <si>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</si>
  <si>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</si>
  <si>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</si>
  <si>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</si>
  <si>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</si>
  <si>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</si>
  <si>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</si>
  <si>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</si>
  <si>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</si>
  <si>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</si>
  <si>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</si>
  <si>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</si>
  <si>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</si>
  <si>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</si>
  <si>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</si>
  <si>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</si>
  <si>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</si>
  <si>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</si>
  <si>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</si>
  <si>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</si>
  <si>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</si>
  <si>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</si>
  <si>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</si>
  <si>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</si>
  <si>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</si>
  <si>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</si>
  <si>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</si>
  <si>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</si>
  <si>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</si>
  <si>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</si>
  <si>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</si>
  <si>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</si>
  <si>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</si>
  <si>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ㄏㆥㆷ</t>
  </si>
  <si>
    <t>ㄎㆥㆷ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</si>
  <si>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</si>
  <si>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</si>
  <si>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</si>
  <si>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</si>
  <si>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</si>
  <si>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</si>
  <si>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</si>
  <si>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</si>
  <si>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</si>
  <si>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</si>
  <si>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</si>
  <si>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</si>
  <si>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</si>
  <si>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</si>
  <si>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</si>
  <si>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</si>
  <si>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</si>
  <si>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</si>
  <si>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</si>
  <si>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</si>
  <si>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</si>
  <si>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</si>
  <si>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</si>
  <si>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</si>
  <si>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</si>
  <si>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</si>
  <si>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</si>
  <si>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</si>
  <si>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</si>
  <si>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</si>
  <si>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</si>
  <si>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</si>
  <si>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</si>
  <si>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</si>
  <si>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</si>
  <si>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</si>
  <si>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</si>
  <si>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</si>
  <si>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</si>
  <si>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</si>
  <si>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</si>
  <si>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</si>
  <si>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</si>
  <si>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</si>
  <si>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</si>
  <si>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</si>
  <si>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</si>
  <si>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</si>
  <si>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</si>
  <si>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</si>
  <si>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</si>
  <si>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</si>
  <si>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</si>
  <si>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</si>
  <si>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</si>
  <si>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</si>
  <si>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</si>
  <si>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</si>
  <si>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</si>
  <si>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</si>
  <si>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</si>
  <si>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</si>
  <si>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</si>
  <si>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</si>
  <si>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</si>
  <si>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</si>
  <si>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</si>
  <si>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</si>
  <si>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</si>
  <si>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</si>
  <si>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</si>
  <si>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</si>
  <si>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</si>
  <si>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</si>
  <si>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</si>
  <si>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</si>
  <si>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</si>
  <si>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</si>
  <si>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</si>
  <si>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</si>
  <si>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</si>
  <si>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</si>
  <si>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</si>
  <si>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</si>
  <si>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</si>
  <si>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</si>
  <si>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</si>
  <si>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</si>
  <si>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</si>
  <si>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</si>
  <si>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</si>
  <si>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</si>
  <si>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</si>
  <si>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</si>
  <si>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</si>
  <si>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</si>
  <si>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</si>
  <si>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</si>
  <si>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</si>
  <si>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</si>
  <si>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</si>
  <si>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</si>
  <si>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</si>
  <si>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</si>
  <si>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</si>
  <si>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</si>
  <si>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</si>
  <si>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</si>
  <si>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</si>
  <si>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</si>
  <si>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</si>
  <si>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</si>
  <si>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</si>
  <si>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</si>
  <si>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</si>
  <si>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</si>
  <si>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</si>
  <si>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</si>
  <si>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</si>
  <si>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</si>
  <si>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</si>
  <si>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</si>
  <si>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</si>
  <si>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</si>
  <si>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</si>
  <si>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</si>
  <si>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</si>
  <si>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</si>
  <si>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</si>
  <si>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</si>
  <si>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</si>
  <si>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</si>
  <si>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</si>
  <si>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</si>
  <si>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</si>
  <si>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</si>
  <si>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</si>
  <si>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</si>
  <si>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</si>
  <si>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</si>
  <si>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</si>
  <si>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</si>
  <si>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</si>
  <si>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</si>
  <si>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</si>
  <si>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</si>
  <si>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</si>
  <si>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</si>
  <si>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</si>
  <si>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</si>
  <si>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</si>
  <si>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</si>
  <si>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</si>
  <si>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</si>
  <si>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</si>
  <si>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</si>
  <si>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ㄏㄧㆩㆷ</t>
  </si>
  <si>
    <t>ㄒㄧㆩㆷ</t>
  </si>
  <si>
    <t>ɪam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</si>
  <si>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</si>
  <si>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</si>
  <si>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</si>
  <si>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</si>
  <si>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</si>
  <si>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</si>
  <si>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</si>
  <si>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</si>
  <si>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</si>
  <si>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</si>
  <si>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</si>
  <si>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</si>
  <si>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</si>
  <si>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</si>
  <si>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</si>
  <si>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</si>
  <si>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</si>
  <si>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</si>
  <si>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</si>
  <si>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</si>
  <si>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</si>
  <si>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</si>
  <si>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</si>
  <si>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</si>
  <si>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</si>
  <si>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</si>
  <si>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</si>
  <si>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</si>
  <si>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</si>
  <si>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</si>
  <si>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</si>
  <si>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</si>
  <si>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</si>
  <si>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</si>
  <si>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</si>
  <si>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</si>
  <si>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</si>
  <si>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</si>
  <si>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</si>
  <si>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</si>
  <si>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</si>
  <si>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</si>
  <si>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</si>
  <si>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</si>
  <si>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</si>
  <si>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</si>
  <si>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</si>
  <si>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</si>
  <si>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</si>
  <si>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</si>
  <si>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</si>
  <si>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</si>
  <si>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</si>
  <si>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</si>
  <si>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</si>
  <si>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</si>
  <si>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</si>
  <si>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</si>
  <si>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</si>
  <si>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</si>
  <si>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</si>
  <si>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</si>
  <si>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</si>
  <si>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</si>
  <si>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</si>
  <si>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</si>
  <si>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</si>
  <si>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</si>
  <si>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</si>
  <si>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</si>
  <si>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</si>
  <si>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</si>
  <si>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</si>
  <si>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</si>
  <si>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</si>
  <si>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</si>
  <si>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</si>
  <si>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</si>
  <si>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</si>
  <si>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</si>
  <si>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</si>
  <si>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</si>
  <si>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</si>
  <si>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</si>
  <si>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</si>
  <si>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</si>
  <si>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</si>
  <si>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</si>
  <si>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</si>
  <si>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</si>
  <si>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</si>
  <si>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ɪauʔ</t>
  </si>
  <si>
    <t>ㄏㄧㄠㆷ</t>
  </si>
  <si>
    <t>ㄎㄧㄠㆷ</t>
  </si>
  <si>
    <t>ㄫㄧㄠㆷ</t>
  </si>
  <si>
    <t>ɪə/ɪo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</si>
  <si>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</si>
  <si>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</si>
  <si>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</si>
  <si>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</si>
  <si>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</si>
  <si>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</si>
  <si>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</si>
  <si>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</si>
  <si>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</si>
  <si>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</si>
  <si>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</si>
  <si>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</si>
  <si>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</si>
  <si>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</si>
  <si>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</si>
  <si>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</si>
  <si>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</si>
  <si>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</si>
  <si>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</si>
  <si>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</si>
  <si>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</si>
  <si>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</si>
  <si>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</si>
  <si>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</si>
  <si>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</si>
  <si>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</si>
  <si>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</si>
  <si>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</si>
  <si>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</si>
  <si>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</si>
  <si>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</si>
  <si>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</si>
  <si>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</si>
  <si>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</si>
  <si>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</si>
  <si>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</si>
  <si>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</si>
  <si>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</si>
  <si>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</si>
  <si>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</si>
  <si>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</si>
  <si>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</si>
  <si>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</si>
  <si>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</si>
  <si>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</si>
  <si>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</si>
  <si>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</si>
  <si>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</si>
  <si>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</si>
  <si>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</si>
  <si>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</si>
  <si>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</si>
  <si>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</si>
  <si>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</si>
  <si>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</si>
  <si>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</si>
  <si>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</si>
  <si>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</si>
  <si>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</si>
  <si>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</si>
  <si>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</si>
  <si>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</si>
  <si>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</si>
  <si>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</si>
  <si>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</si>
  <si>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</si>
  <si>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</si>
  <si>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</si>
  <si>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</si>
  <si>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</si>
  <si>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</si>
  <si>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</si>
  <si>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</si>
  <si>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</si>
  <si>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</si>
  <si>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</si>
  <si>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</si>
  <si>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</si>
  <si>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</si>
  <si>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</si>
  <si>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ㄏㄧㆫㆷ</t>
  </si>
  <si>
    <t>ə/o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</si>
  <si>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</si>
  <si>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</si>
  <si>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</si>
  <si>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</si>
  <si>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</si>
  <si>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</si>
  <si>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</si>
  <si>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</si>
  <si>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</si>
  <si>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</si>
  <si>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</si>
  <si>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</si>
  <si>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</si>
  <si>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</si>
  <si>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</si>
  <si>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</si>
  <si>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</si>
  <si>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</si>
  <si>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</si>
  <si>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</si>
  <si>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</si>
  <si>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</si>
  <si>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</si>
  <si>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</si>
  <si>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</si>
  <si>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</si>
  <si>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</si>
  <si>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</si>
  <si>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</si>
  <si>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ㄏㆧ</t>
  </si>
  <si>
    <t>ㄍㆧ</t>
  </si>
  <si>
    <t>əʔ/oʔ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</si>
  <si>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</si>
  <si>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</si>
  <si>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</si>
  <si>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</si>
  <si>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</si>
  <si>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</si>
  <si>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</si>
  <si>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</si>
  <si>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</si>
  <si>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</si>
  <si>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</si>
  <si>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</si>
  <si>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ㄏㆦㆷ</t>
  </si>
  <si>
    <t>ㄇㆦㆷ</t>
  </si>
  <si>
    <t>ㄉㆦㆷ</t>
  </si>
  <si>
    <t>ㄌㆦㆷ</t>
  </si>
  <si>
    <t>ㄍㆦㆷ</t>
  </si>
  <si>
    <t>ɔ̃ʔ</t>
  </si>
  <si>
    <t>ㄏㆧㆷ</t>
  </si>
  <si>
    <t>ㄉㆱ</t>
  </si>
  <si>
    <t>ㄙㆱ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</si>
  <si>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</si>
  <si>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</si>
  <si>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</si>
  <si>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</si>
  <si>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</si>
  <si>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</si>
  <si>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</si>
  <si>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</si>
  <si>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</si>
  <si>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</si>
  <si>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</si>
  <si>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</si>
  <si>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</si>
  <si>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ㄏㆦㆴ</t>
  </si>
  <si>
    <t>ㄌㆦㆴ</t>
  </si>
  <si>
    <t>ㄍㆦㆴ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</si>
  <si>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</si>
  <si>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</si>
  <si>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</si>
  <si>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</si>
  <si>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</si>
  <si>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</si>
  <si>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</si>
  <si>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</si>
  <si>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</si>
  <si>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</si>
  <si>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</si>
  <si>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</si>
  <si>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</si>
  <si>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</si>
  <si>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</si>
  <si>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</si>
  <si>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</si>
  <si>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</si>
  <si>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</si>
  <si>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</si>
  <si>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</si>
  <si>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</si>
  <si>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</si>
  <si>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</si>
  <si>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</si>
  <si>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</si>
  <si>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</si>
  <si>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</si>
  <si>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</si>
  <si>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</si>
  <si>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</si>
  <si>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</si>
  <si>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</si>
  <si>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</si>
  <si>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</si>
  <si>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</si>
  <si>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</si>
  <si>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</si>
  <si>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</si>
  <si>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</si>
  <si>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</si>
  <si>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</si>
  <si>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</si>
  <si>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</si>
  <si>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</si>
  <si>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</si>
  <si>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</si>
  <si>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</si>
  <si>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</si>
  <si>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</si>
  <si>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</si>
  <si>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</si>
  <si>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</si>
  <si>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</si>
  <si>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</si>
  <si>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</si>
  <si>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</si>
  <si>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</si>
  <si>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</si>
  <si>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</si>
  <si>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</si>
  <si>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</si>
  <si>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</si>
  <si>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</si>
  <si>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</si>
  <si>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</si>
  <si>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</si>
  <si>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</si>
  <si>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</si>
  <si>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</si>
  <si>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</si>
  <si>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</si>
  <si>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</si>
  <si>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</si>
  <si>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</si>
  <si>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</si>
  <si>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</si>
  <si>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</si>
  <si>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</si>
  <si>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</si>
  <si>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</si>
  <si>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</si>
  <si>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</si>
  <si>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</si>
  <si>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</si>
  <si>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</si>
  <si>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</si>
  <si>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</si>
  <si>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</si>
  <si>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</si>
  <si>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</si>
  <si>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</si>
  <si>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</si>
  <si>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</si>
  <si>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</si>
  <si>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</si>
  <si>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</si>
  <si>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</si>
  <si>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</si>
  <si>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</si>
  <si>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</si>
  <si>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</si>
  <si>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</si>
  <si>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</si>
  <si>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</si>
  <si>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</si>
  <si>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</si>
  <si>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</si>
  <si>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</si>
  <si>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</si>
  <si>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</si>
  <si>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</si>
  <si>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</si>
  <si>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</si>
  <si>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</si>
  <si>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</si>
  <si>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</si>
  <si>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</si>
  <si>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ㄏㄨㄤ</t>
  </si>
  <si>
    <t>ㄘㄨㄤ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</si>
  <si>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</si>
  <si>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</si>
  <si>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</si>
  <si>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</si>
  <si>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</si>
  <si>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</si>
  <si>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</si>
  <si>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</si>
  <si>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</si>
  <si>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</si>
  <si>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</si>
  <si>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</si>
  <si>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ㄏㄨㄞ</t>
  </si>
  <si>
    <t>ㄙㄨㄞ</t>
  </si>
  <si>
    <t>ㄍㄨㄞ</t>
  </si>
  <si>
    <t>ㄎㄨㄞ</t>
  </si>
  <si>
    <t>uãi</t>
  </si>
  <si>
    <t>ㄏㄨㆮ</t>
  </si>
  <si>
    <t>ㄗㄨㆮ</t>
  </si>
  <si>
    <t>ㄙㄨㆮ</t>
  </si>
  <si>
    <t>ㄍㄨㆮ</t>
  </si>
  <si>
    <t>uaiʔ</t>
  </si>
  <si>
    <t>ㆠㄨㄞㆷ</t>
  </si>
  <si>
    <t>ㄌㄨㄞㆷ</t>
  </si>
  <si>
    <t>ㄘㄨㄞㆷ</t>
  </si>
  <si>
    <t>ㄍㄨㄞㆷ</t>
  </si>
  <si>
    <t>uãiʔ</t>
  </si>
  <si>
    <t>ㄍㄨㆮㆷ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</si>
  <si>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</si>
  <si>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</si>
  <si>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</si>
  <si>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</si>
  <si>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</si>
  <si>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</si>
  <si>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</si>
  <si>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</si>
  <si>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</si>
  <si>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</si>
  <si>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</si>
  <si>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</si>
  <si>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</si>
  <si>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</si>
  <si>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</si>
  <si>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</si>
  <si>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</si>
  <si>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</si>
  <si>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</si>
  <si>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</si>
  <si>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</si>
  <si>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</si>
  <si>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</si>
  <si>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</si>
  <si>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</si>
  <si>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</si>
  <si>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</si>
  <si>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</si>
  <si>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</si>
  <si>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</si>
  <si>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</si>
  <si>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</si>
  <si>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</si>
  <si>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</si>
  <si>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</si>
  <si>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</si>
  <si>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</si>
  <si>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</si>
  <si>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</si>
  <si>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</si>
  <si>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</si>
  <si>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</si>
  <si>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</si>
  <si>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</si>
  <si>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ㄏㄨㆪ</t>
  </si>
  <si>
    <t>ㄅㄨㆪ</t>
  </si>
  <si>
    <t>ㄗㄨㆪ</t>
  </si>
  <si>
    <t>ㄘㄨㆪ</t>
  </si>
  <si>
    <t>ㄙㄨㆪ</t>
  </si>
  <si>
    <t>ㄍㄨㆪ</t>
  </si>
  <si>
    <t>uiʔ</t>
  </si>
  <si>
    <t>ㄏㄨㄧㆷ</t>
  </si>
  <si>
    <t>ㄍㄨㄧㆷ</t>
  </si>
  <si>
    <t>ㄏㆬ</t>
  </si>
  <si>
    <t>m̩ʔ</t>
  </si>
  <si>
    <t>ㄏㆬㆷ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</si>
  <si>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</si>
  <si>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</si>
  <si>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</si>
  <si>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</si>
  <si>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</si>
  <si>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</si>
  <si>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</si>
  <si>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</si>
  <si>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</si>
  <si>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</si>
  <si>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</si>
  <si>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</si>
  <si>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ㄏㆭㆷ</t>
  </si>
  <si>
    <t>ㄆㆭㆷ</t>
  </si>
  <si>
    <t>ㄇㆭㆷ</t>
  </si>
  <si>
    <t>ㄘㆭㆷ</t>
  </si>
  <si>
    <t>ㄙㆭㆷ</t>
  </si>
  <si>
    <t>ㄎㆭㆷ</t>
  </si>
  <si>
    <r>
      <t>方音</t>
    </r>
    <r>
      <rPr>
        <sz val="18"/>
        <color rgb="FF000000"/>
        <rFont val="PingFang TC Semibold"/>
        <family val="1"/>
      </rPr>
      <t>聲母</t>
    </r>
    <phoneticPr fontId="42" type="noConversion"/>
  </si>
  <si>
    <t>DaiGgi</t>
    <phoneticPr fontId="42" type="noConversion"/>
  </si>
  <si>
    <r>
      <rPr>
        <sz val="18"/>
        <color rgb="FF000000"/>
        <rFont val="Cambria"/>
        <family val="1"/>
      </rPr>
      <t>台語</t>
    </r>
    <r>
      <rPr>
        <sz val="18"/>
        <color rgb="FF000000"/>
        <rFont val="PingFang TC Semibold"/>
        <family val="1"/>
      </rPr>
      <t>ㄅㄆㄇ</t>
    </r>
    <phoneticPr fontId="42" type="noConversion"/>
  </si>
  <si>
    <r>
      <rPr>
        <sz val="18"/>
        <color rgb="FF000000"/>
        <rFont val="PingFang TC Semibold"/>
        <family val="1"/>
      </rPr>
      <t>台語</t>
    </r>
    <r>
      <rPr>
        <sz val="18"/>
        <color rgb="FF000000"/>
        <rFont val="Cambria"/>
        <family val="1"/>
      </rPr>
      <t>ABC</t>
    </r>
    <phoneticPr fontId="1" type="noConversion"/>
  </si>
  <si>
    <t>ㄆ</t>
    <phoneticPr fontId="1" type="noConversion"/>
  </si>
  <si>
    <t>chi</t>
    <phoneticPr fontId="1" type="noConversion"/>
  </si>
  <si>
    <t>ㄑ</t>
    <phoneticPr fontId="1" type="noConversion"/>
  </si>
  <si>
    <t>chhi</t>
    <phoneticPr fontId="1" type="noConversion"/>
  </si>
  <si>
    <t>ㄒ</t>
    <phoneticPr fontId="1" type="noConversion"/>
  </si>
  <si>
    <t>x</t>
  </si>
  <si>
    <t>si</t>
    <phoneticPr fontId="1" type="noConversion"/>
  </si>
  <si>
    <t>jj</t>
  </si>
  <si>
    <t>ji</t>
    <phoneticPr fontId="1" type="noConversion"/>
  </si>
  <si>
    <t>ㄣ</t>
    <phoneticPr fontId="1" type="noConversion"/>
  </si>
  <si>
    <t>ㄧ</t>
    <phoneticPr fontId="1" type="noConversion"/>
  </si>
  <si>
    <t>ㄨ</t>
    <phoneticPr fontId="1" type="noConversion"/>
  </si>
  <si>
    <t>ㄛ</t>
    <phoneticPr fontId="1" type="noConversion"/>
  </si>
  <si>
    <t>ㄜ</t>
    <phoneticPr fontId="1" type="noConversion"/>
  </si>
  <si>
    <t>r</t>
  </si>
  <si>
    <t>儿</t>
    <phoneticPr fontId="1" type="noConversion"/>
  </si>
  <si>
    <t>y</t>
  </si>
  <si>
    <t>ii</t>
  </si>
  <si>
    <t>uu</t>
  </si>
  <si>
    <t>台語ㄅㄆㄇ</t>
    <phoneticPr fontId="1" type="noConversion"/>
  </si>
  <si>
    <t>白話字韻母</t>
    <phoneticPr fontId="1" type="noConversion"/>
  </si>
  <si>
    <t>對照表序號</t>
    <phoneticPr fontId="1" type="noConversion"/>
  </si>
  <si>
    <t>十五音韻母序</t>
    <phoneticPr fontId="1" type="noConversion"/>
  </si>
  <si>
    <t>方音韻母</t>
    <phoneticPr fontId="1" type="noConversion"/>
  </si>
  <si>
    <t>舒／入聲韻</t>
    <phoneticPr fontId="1" type="noConversion"/>
  </si>
  <si>
    <t>ㄛㄍ</t>
  </si>
  <si>
    <t>ㄛㄥ</t>
    <phoneticPr fontId="1" type="noConversion"/>
  </si>
  <si>
    <t>ㆤㄣ</t>
    <phoneticPr fontId="1" type="noConversion"/>
  </si>
  <si>
    <t>ㄧㄛㄍ</t>
  </si>
  <si>
    <t>ㄧㆤㄉ</t>
  </si>
  <si>
    <t>ㄧㆤㄍ</t>
    <phoneticPr fontId="1" type="noConversion"/>
  </si>
  <si>
    <t>ek</t>
    <phoneticPr fontId="1" type="noConversion"/>
  </si>
  <si>
    <t>ㄧㆤㄥ</t>
    <phoneticPr fontId="1" type="noConversion"/>
  </si>
  <si>
    <t>eng</t>
    <phoneticPr fontId="1" type="noConversion"/>
  </si>
  <si>
    <t>ㄨㄚㄉ</t>
  </si>
  <si>
    <t>oe</t>
    <phoneticPr fontId="1" type="noConversion"/>
  </si>
  <si>
    <t>台羅拼音序號</t>
    <phoneticPr fontId="42" type="noConversion"/>
  </si>
  <si>
    <t>彙集雅俗通</t>
    <phoneticPr fontId="42" type="noConversion"/>
  </si>
  <si>
    <t>彙音寶鑑</t>
    <phoneticPr fontId="1" type="noConversion"/>
  </si>
  <si>
    <t>台語拼音</t>
    <phoneticPr fontId="1" type="noConversion"/>
  </si>
  <si>
    <t>舒聲碼
（白話字）</t>
    <phoneticPr fontId="1" type="noConversion"/>
  </si>
  <si>
    <t>入聲碼
（白話字）</t>
    <phoneticPr fontId="1" type="noConversion"/>
  </si>
  <si>
    <t>方音舒聲</t>
    <phoneticPr fontId="1" type="noConversion"/>
  </si>
  <si>
    <t>方音入聲</t>
    <phoneticPr fontId="1" type="noConversion"/>
  </si>
  <si>
    <t>彙音寶鑑45音</t>
    <phoneticPr fontId="42" type="noConversion"/>
  </si>
  <si>
    <t>舒聲碼</t>
  </si>
  <si>
    <t>查到行號</t>
    <phoneticPr fontId="42" type="noConversion"/>
  </si>
  <si>
    <t>位置不同</t>
    <phoneticPr fontId="42" type="noConversion"/>
  </si>
  <si>
    <t>台語音標</t>
    <phoneticPr fontId="42" type="noConversion"/>
  </si>
  <si>
    <t>oai</t>
    <phoneticPr fontId="1" type="noConversion"/>
  </si>
  <si>
    <t>梔</t>
    <phoneticPr fontId="42" type="noConversion"/>
  </si>
  <si>
    <t>稽</t>
    <phoneticPr fontId="42" type="noConversion"/>
  </si>
  <si>
    <t>龜</t>
    <phoneticPr fontId="42" type="noConversion"/>
  </si>
  <si>
    <t>請 (chhiann)</t>
    <phoneticPr fontId="1" type="noConversion"/>
  </si>
  <si>
    <t>聖 (siann)</t>
    <phoneticPr fontId="1" type="noConversion"/>
  </si>
  <si>
    <t>oann</t>
    <phoneticPr fontId="1" type="noConversion"/>
  </si>
  <si>
    <t>肝 (koann)</t>
    <phoneticPr fontId="1" type="noConversion"/>
  </si>
  <si>
    <t>歡 (hoann)</t>
    <phoneticPr fontId="1" type="noConversion"/>
  </si>
  <si>
    <t>精 (chinn)</t>
    <phoneticPr fontId="1" type="noConversion"/>
  </si>
  <si>
    <t>生 (chhinn)</t>
    <phoneticPr fontId="1" type="noConversion"/>
  </si>
  <si>
    <t>穿 (chhng)</t>
    <phoneticPr fontId="1" type="noConversion"/>
  </si>
  <si>
    <t>掩 (ng)</t>
    <phoneticPr fontId="1" type="noConversion"/>
  </si>
  <si>
    <t>捲 (kng2)</t>
    <phoneticPr fontId="1" type="noConversion"/>
  </si>
  <si>
    <t>方 (png)</t>
    <phoneticPr fontId="1" type="noConversion"/>
  </si>
  <si>
    <t>官</t>
    <phoneticPr fontId="42" type="noConversion"/>
  </si>
  <si>
    <t>皆。</t>
    <phoneticPr fontId="42" type="noConversion"/>
  </si>
  <si>
    <t>唉 (hainn)</t>
    <phoneticPr fontId="1" type="noConversion"/>
  </si>
  <si>
    <t>邁</t>
    <phoneticPr fontId="1" type="noConversion"/>
  </si>
  <si>
    <t>腔 (khiunn)</t>
    <phoneticPr fontId="1" type="noConversion"/>
  </si>
  <si>
    <t>張 (tiunn)</t>
    <phoneticPr fontId="1" type="noConversion"/>
  </si>
  <si>
    <t>oang</t>
    <phoneticPr fontId="1" type="noConversion"/>
  </si>
  <si>
    <t>育 (io)</t>
    <phoneticPr fontId="1" type="noConversion"/>
  </si>
  <si>
    <t>鏢 (phio)</t>
    <phoneticPr fontId="1" type="noConversion"/>
  </si>
  <si>
    <t>歇 (hioh)</t>
    <phoneticPr fontId="1" type="noConversion"/>
  </si>
  <si>
    <t>借 (chioh)</t>
    <phoneticPr fontId="1" type="noConversion"/>
  </si>
  <si>
    <t>茅 (hm5)</t>
    <phoneticPr fontId="1" type="noConversion"/>
  </si>
  <si>
    <t>媒 (hm5)</t>
    <phoneticPr fontId="1" type="noConversion"/>
  </si>
  <si>
    <t>oainn</t>
    <phoneticPr fontId="1" type="noConversion"/>
  </si>
  <si>
    <t>擔 (tann)</t>
    <phoneticPr fontId="1" type="noConversion"/>
  </si>
  <si>
    <t>三 (sann)</t>
    <phoneticPr fontId="1" type="noConversion"/>
  </si>
  <si>
    <t>關 (koainn)</t>
    <phoneticPr fontId="1" type="noConversion"/>
  </si>
  <si>
    <t>爭 (chenn)</t>
    <phoneticPr fontId="1" type="noConversion"/>
  </si>
  <si>
    <t>醒 (chhenn2)</t>
    <phoneticPr fontId="1" type="noConversion"/>
  </si>
  <si>
    <t>冒 (monn)</t>
    <phoneticPr fontId="1" type="noConversion"/>
  </si>
  <si>
    <t>好 (honn3)</t>
    <phoneticPr fontId="1" type="noConversion"/>
  </si>
  <si>
    <t>哮 (aunn)</t>
    <phoneticPr fontId="1" type="noConversion"/>
  </si>
  <si>
    <t>喵 (iaunn)</t>
    <phoneticPr fontId="1" type="noConversion"/>
  </si>
  <si>
    <t>鳥</t>
    <phoneticPr fontId="1" type="noConversion"/>
  </si>
  <si>
    <t>關</t>
    <phoneticPr fontId="42" type="noConversion"/>
  </si>
  <si>
    <t xml:space="preserve">伽 (e) = 嘉 (ee) = 稽 (ei) </t>
    <phoneticPr fontId="42" type="noConversion"/>
  </si>
  <si>
    <t>薑 (ionn) = 牛 (iunn)</t>
    <phoneticPr fontId="42" type="noConversion"/>
  </si>
  <si>
    <t>閂 (oainn) = 糜 (oenn)</t>
    <phoneticPr fontId="42" type="noConversion"/>
  </si>
  <si>
    <t>方音聲母</t>
    <phoneticPr fontId="1" type="noConversion"/>
  </si>
  <si>
    <t>台羅聲母</t>
    <phoneticPr fontId="1" type="noConversion"/>
  </si>
  <si>
    <t>十五音聲母</t>
  </si>
  <si>
    <t>ㄛ</t>
  </si>
  <si>
    <t>ㆨ</t>
  </si>
  <si>
    <r>
      <t>入聲韻尾應爲「</t>
    </r>
    <r>
      <rPr>
        <sz val="18"/>
        <color rgb="FFFF0000"/>
        <rFont val="PingFang TC"/>
        <family val="2"/>
        <charset val="136"/>
      </rPr>
      <t>ㆴ、ㆵ、ㆻ、ㆷ</t>
    </r>
    <r>
      <rPr>
        <sz val="18"/>
        <color theme="1"/>
        <rFont val="PingFang TC"/>
        <family val="2"/>
        <charset val="136"/>
      </rPr>
      <t>」</t>
    </r>
    <phoneticPr fontId="1" type="noConversion"/>
  </si>
  <si>
    <t>元/介音</t>
    <phoneticPr fontId="1" type="noConversion"/>
  </si>
  <si>
    <t>元音</t>
    <phoneticPr fontId="1" type="noConversion"/>
  </si>
  <si>
    <t>ɨ</t>
    <phoneticPr fontId="1" type="noConversion"/>
  </si>
  <si>
    <t>ir</t>
    <phoneticPr fontId="1" type="noConversion"/>
  </si>
  <si>
    <t>ũ</t>
    <phoneticPr fontId="1" type="noConversion"/>
  </si>
  <si>
    <t>-n</t>
    <phoneticPr fontId="1" type="noConversion"/>
  </si>
  <si>
    <t>əŋ</t>
    <phoneticPr fontId="1" type="noConversion"/>
  </si>
  <si>
    <t>-ng</t>
    <phoneticPr fontId="1" type="noConversion"/>
  </si>
  <si>
    <r>
      <rPr>
        <sz val="14"/>
        <color theme="1"/>
        <rFont val="PingFang TC"/>
        <family val="2"/>
        <charset val="136"/>
      </rPr>
      <t>ㄧ</t>
    </r>
    <r>
      <rPr>
        <sz val="14"/>
        <color theme="1"/>
        <rFont val="Cambria"/>
        <family val="1"/>
      </rPr>
      <t>(</t>
    </r>
    <r>
      <rPr>
        <sz val="14"/>
        <color theme="1"/>
        <rFont val="PingFang TC"/>
        <family val="2"/>
        <charset val="136"/>
      </rPr>
      <t>ㆪ</t>
    </r>
    <r>
      <rPr>
        <sz val="14"/>
        <color theme="1"/>
        <rFont val="Cambria"/>
        <family val="1"/>
      </rPr>
      <t>)</t>
    </r>
    <phoneticPr fontId="1" type="noConversion"/>
  </si>
  <si>
    <t>ㄧㄛ</t>
  </si>
  <si>
    <r>
      <rPr>
        <sz val="14"/>
        <color rgb="FFFF0000"/>
        <rFont val="PingFang TC"/>
        <family val="2"/>
        <charset val="136"/>
      </rPr>
      <t>ㄧ</t>
    </r>
    <r>
      <rPr>
        <sz val="14"/>
        <color rgb="FFFF0000"/>
        <rFont val="Cambria"/>
        <family val="1"/>
      </rPr>
      <t>(</t>
    </r>
    <r>
      <rPr>
        <sz val="14"/>
        <color rgb="FFFF0000"/>
        <rFont val="PingFang TC"/>
        <family val="2"/>
        <charset val="136"/>
      </rPr>
      <t>ㆪ</t>
    </r>
    <r>
      <rPr>
        <sz val="14"/>
        <color rgb="FFFF0000"/>
        <rFont val="Cambria"/>
        <family val="1"/>
      </rPr>
      <t>)</t>
    </r>
    <phoneticPr fontId="1" type="noConversion"/>
  </si>
  <si>
    <t>入聲</t>
    <phoneticPr fontId="1" type="noConversion"/>
  </si>
  <si>
    <t>ㄧㄛㆷ</t>
  </si>
  <si>
    <t>ㆪㆷ</t>
  </si>
  <si>
    <t>ㄨ(ㆫ)(ㄜ)</t>
    <phoneticPr fontId="1" type="noConversion"/>
  </si>
  <si>
    <t>ㄨㄝ</t>
  </si>
  <si>
    <t>舒聲</t>
    <phoneticPr fontId="1" type="noConversion"/>
  </si>
  <si>
    <t>ㆫㆬ</t>
  </si>
  <si>
    <t>ㆫㄣ</t>
  </si>
  <si>
    <t>ㆫㄥ</t>
  </si>
  <si>
    <t>ㆫㆪ</t>
  </si>
  <si>
    <t>ㄨㄧㆷ</t>
    <phoneticPr fontId="1" type="noConversion"/>
  </si>
  <si>
    <t>ㄨㆪㆷ</t>
    <phoneticPr fontId="1" type="noConversion"/>
  </si>
  <si>
    <t>ㆫㆴ</t>
  </si>
  <si>
    <t>ㆫㆵ</t>
  </si>
  <si>
    <t>ㆫㆻ</t>
  </si>
  <si>
    <t>ㄜㆤㆷ</t>
  </si>
  <si>
    <r>
      <t>【</t>
    </r>
    <r>
      <rPr>
        <sz val="18"/>
        <color theme="1"/>
        <rFont val="Cambria"/>
        <family val="1"/>
      </rPr>
      <t xml:space="preserve"> 韻</t>
    </r>
    <r>
      <rPr>
        <sz val="18"/>
        <color theme="1"/>
        <rFont val="Heiti TC Light"/>
        <family val="1"/>
      </rPr>
      <t>母</t>
    </r>
    <r>
      <rPr>
        <sz val="18"/>
        <color theme="1"/>
        <rFont val="Cambria"/>
        <family val="1"/>
      </rPr>
      <t xml:space="preserve"> </t>
    </r>
    <r>
      <rPr>
        <sz val="18"/>
        <color theme="1"/>
        <rFont val="Heiti TC Light"/>
        <family val="1"/>
      </rPr>
      <t>】</t>
    </r>
    <phoneticPr fontId="1" type="noConversion"/>
  </si>
  <si>
    <t>聲母注音</t>
    <phoneticPr fontId="1" type="noConversion"/>
  </si>
  <si>
    <t>ㆦ</t>
    <phoneticPr fontId="42" type="noConversion"/>
  </si>
  <si>
    <t>ㆪ</t>
    <phoneticPr fontId="42" type="noConversion"/>
  </si>
  <si>
    <t>ㆮ</t>
    <phoneticPr fontId="42" type="noConversion"/>
  </si>
  <si>
    <t>ㄥ</t>
  </si>
  <si>
    <t>聲母十五音</t>
  </si>
  <si>
    <t>閩南拼音</t>
  </si>
  <si>
    <t>白話字</t>
  </si>
  <si>
    <t>zi</t>
  </si>
  <si>
    <r>
      <t>zz</t>
    </r>
    <r>
      <rPr>
        <sz val="36"/>
        <color rgb="FFFF0000"/>
        <rFont val="Arial"/>
        <family val="2"/>
      </rPr>
      <t>i</t>
    </r>
  </si>
  <si>
    <r>
      <t>j</t>
    </r>
    <r>
      <rPr>
        <sz val="36"/>
        <color rgb="FFFF0000"/>
        <rFont val="Arial"/>
        <family val="2"/>
      </rPr>
      <t>i</t>
    </r>
  </si>
  <si>
    <r>
      <t>s</t>
    </r>
    <r>
      <rPr>
        <sz val="36"/>
        <color rgb="FFFF0000"/>
        <rFont val="Arial"/>
        <family val="2"/>
      </rPr>
      <t>i</t>
    </r>
  </si>
  <si>
    <r>
      <t>c</t>
    </r>
    <r>
      <rPr>
        <sz val="36"/>
        <color rgb="FFFF0000"/>
        <rFont val="Arial"/>
        <family val="2"/>
      </rPr>
      <t>i</t>
    </r>
  </si>
  <si>
    <r>
      <t>chh</t>
    </r>
    <r>
      <rPr>
        <sz val="36"/>
        <color rgb="FFFF0000"/>
        <rFont val="Arial"/>
        <family val="2"/>
      </rPr>
      <t>i</t>
    </r>
  </si>
  <si>
    <r>
      <t>tsh</t>
    </r>
    <r>
      <rPr>
        <sz val="36"/>
        <color rgb="FFFF0000"/>
        <rFont val="Arial"/>
        <family val="2"/>
      </rPr>
      <t>i</t>
    </r>
  </si>
  <si>
    <t>耐</t>
  </si>
  <si>
    <t>雅</t>
  </si>
  <si>
    <t>十五音序</t>
  </si>
  <si>
    <t>台羅</t>
  </si>
  <si>
    <t>閩拼</t>
  </si>
  <si>
    <t>方音</t>
  </si>
  <si>
    <t>a̍</t>
  </si>
  <si>
    <t>e̍</t>
  </si>
  <si>
    <t>i̍</t>
  </si>
  <si>
    <t>o̍</t>
  </si>
  <si>
    <t>ó͘</t>
  </si>
  <si>
    <t>ò͘</t>
  </si>
  <si>
    <t>ô͘</t>
  </si>
  <si>
    <t xml:space="preserve"> ò͘</t>
  </si>
  <si>
    <t>ō͘</t>
  </si>
  <si>
    <t>o̍͘</t>
  </si>
  <si>
    <t>u̍</t>
  </si>
  <si>
    <t xml:space="preserve"> ḿ</t>
  </si>
  <si>
    <r>
      <t>m</t>
    </r>
    <r>
      <rPr>
        <sz val="18"/>
        <color theme="1"/>
        <rFont val="Arial"/>
        <family val="2"/>
      </rPr>
      <t>̀</t>
    </r>
  </si>
  <si>
    <t>m̍h</t>
    <phoneticPr fontId="44" type="noConversion"/>
  </si>
  <si>
    <t>ng</t>
    <phoneticPr fontId="44" type="noConversion"/>
  </si>
  <si>
    <t>ńg</t>
    <phoneticPr fontId="44" type="noConversion"/>
  </si>
  <si>
    <t xml:space="preserve">ǹ </t>
  </si>
  <si>
    <t>n̂g</t>
    <phoneticPr fontId="44" type="noConversion"/>
  </si>
  <si>
    <t>n̄g</t>
    <phoneticPr fontId="44" type="noConversion"/>
  </si>
  <si>
    <t>n̍g</t>
    <phoneticPr fontId="44" type="noConversion"/>
  </si>
  <si>
    <t>tsa</t>
  </si>
  <si>
    <t>tsha</t>
  </si>
  <si>
    <t>tsah</t>
  </si>
  <si>
    <t>tshah</t>
  </si>
  <si>
    <t>tsai</t>
  </si>
  <si>
    <t>tshai</t>
  </si>
  <si>
    <t>hainn</t>
  </si>
  <si>
    <t>kainn</t>
  </si>
  <si>
    <t>khainn</t>
  </si>
  <si>
    <t>phainn</t>
  </si>
  <si>
    <t>tainn</t>
  </si>
  <si>
    <t>tsainn</t>
  </si>
  <si>
    <t>tsak</t>
  </si>
  <si>
    <t>tshak</t>
  </si>
  <si>
    <t>tsam</t>
  </si>
  <si>
    <t>tsham</t>
  </si>
  <si>
    <t>tsan</t>
  </si>
  <si>
    <t>tshan</t>
  </si>
  <si>
    <t>tsang</t>
  </si>
  <si>
    <t>tshang</t>
  </si>
  <si>
    <t>hann</t>
  </si>
  <si>
    <t>kann</t>
  </si>
  <si>
    <t>khann</t>
  </si>
  <si>
    <t>phann</t>
  </si>
  <si>
    <t>sann</t>
  </si>
  <si>
    <t>tann</t>
  </si>
  <si>
    <t>thann</t>
  </si>
  <si>
    <t>tsann</t>
  </si>
  <si>
    <t>tshann</t>
  </si>
  <si>
    <t>hannh</t>
  </si>
  <si>
    <t>sannh</t>
  </si>
  <si>
    <t>tsap</t>
  </si>
  <si>
    <t>tshap</t>
  </si>
  <si>
    <t>tsat</t>
  </si>
  <si>
    <t>tshat</t>
  </si>
  <si>
    <t>tsau</t>
  </si>
  <si>
    <t>tshau</t>
  </si>
  <si>
    <t>tshauh</t>
  </si>
  <si>
    <t>tse</t>
  </si>
  <si>
    <t>tshe</t>
  </si>
  <si>
    <t>tseh</t>
  </si>
  <si>
    <t>tsheh</t>
  </si>
  <si>
    <t>henn</t>
  </si>
  <si>
    <t>kenn</t>
  </si>
  <si>
    <t>khenn</t>
  </si>
  <si>
    <t>penn</t>
  </si>
  <si>
    <t>phenn</t>
  </si>
  <si>
    <t>senn</t>
  </si>
  <si>
    <t>tenn</t>
  </si>
  <si>
    <t>thenn</t>
  </si>
  <si>
    <t>tsenn</t>
  </si>
  <si>
    <t>tshenn</t>
  </si>
  <si>
    <t>hennh</t>
  </si>
  <si>
    <t>khennh</t>
  </si>
  <si>
    <t>tsia</t>
  </si>
  <si>
    <t>tshia</t>
  </si>
  <si>
    <t>tsiah</t>
  </si>
  <si>
    <t>tshiah</t>
  </si>
  <si>
    <t>tshiak</t>
  </si>
  <si>
    <t>tsiam</t>
  </si>
  <si>
    <t>tshiam</t>
  </si>
  <si>
    <t>tsian</t>
  </si>
  <si>
    <t>tshian</t>
  </si>
  <si>
    <t>tsiang</t>
  </si>
  <si>
    <t>tshiang</t>
  </si>
  <si>
    <t>hiann</t>
  </si>
  <si>
    <t>kiann</t>
  </si>
  <si>
    <t>piann</t>
  </si>
  <si>
    <t>siann</t>
  </si>
  <si>
    <t>tiann</t>
  </si>
  <si>
    <t>thiann</t>
  </si>
  <si>
    <t>tsiann</t>
  </si>
  <si>
    <t>tshiann</t>
  </si>
  <si>
    <t>hiannh</t>
  </si>
  <si>
    <t>tsiap</t>
  </si>
  <si>
    <t>tshiap</t>
  </si>
  <si>
    <t>tsiat</t>
  </si>
  <si>
    <t>tshiat</t>
  </si>
  <si>
    <t>tsiau</t>
  </si>
  <si>
    <t>tshiau</t>
  </si>
  <si>
    <t>tsih</t>
  </si>
  <si>
    <t>tshih</t>
  </si>
  <si>
    <t>bik</t>
  </si>
  <si>
    <t>gik</t>
  </si>
  <si>
    <t>hik</t>
  </si>
  <si>
    <t>kik</t>
  </si>
  <si>
    <t>lik</t>
  </si>
  <si>
    <t>pik</t>
  </si>
  <si>
    <t>phik</t>
  </si>
  <si>
    <t>sik</t>
  </si>
  <si>
    <t>tik</t>
  </si>
  <si>
    <t>thik</t>
  </si>
  <si>
    <t>tsik</t>
  </si>
  <si>
    <t>tshik</t>
  </si>
  <si>
    <t>tsim</t>
  </si>
  <si>
    <t>tshim</t>
  </si>
  <si>
    <t>tsin</t>
  </si>
  <si>
    <t>tshin</t>
  </si>
  <si>
    <t>bing</t>
  </si>
  <si>
    <t>ging</t>
  </si>
  <si>
    <t>hing</t>
  </si>
  <si>
    <t>king</t>
  </si>
  <si>
    <t>khing</t>
  </si>
  <si>
    <t>ling</t>
  </si>
  <si>
    <t>ping</t>
  </si>
  <si>
    <t>phing</t>
  </si>
  <si>
    <t>sing</t>
  </si>
  <si>
    <t>ting</t>
  </si>
  <si>
    <t>thing</t>
  </si>
  <si>
    <t>tsing</t>
  </si>
  <si>
    <t>tshing</t>
  </si>
  <si>
    <t>hinn</t>
  </si>
  <si>
    <t>kinn</t>
  </si>
  <si>
    <t>khinn</t>
  </si>
  <si>
    <t>sinn</t>
  </si>
  <si>
    <t>tinn</t>
  </si>
  <si>
    <t>thinn</t>
  </si>
  <si>
    <t>tsinn</t>
  </si>
  <si>
    <t>tshinn</t>
  </si>
  <si>
    <t>tsio</t>
  </si>
  <si>
    <t>tshio</t>
  </si>
  <si>
    <t>tsioh</t>
  </si>
  <si>
    <t>tshioh</t>
  </si>
  <si>
    <t>tsiok</t>
  </si>
  <si>
    <t>tshiok</t>
  </si>
  <si>
    <t>tsiong</t>
  </si>
  <si>
    <t>tshiong</t>
  </si>
  <si>
    <t>tsip</t>
  </si>
  <si>
    <t>tship</t>
  </si>
  <si>
    <t>tsit</t>
  </si>
  <si>
    <t>tshit</t>
  </si>
  <si>
    <t>tsiu</t>
  </si>
  <si>
    <t>tshiu</t>
  </si>
  <si>
    <t>hiunn</t>
  </si>
  <si>
    <t>kiunn</t>
  </si>
  <si>
    <t>khiunn</t>
  </si>
  <si>
    <t>siunn</t>
  </si>
  <si>
    <t>tiunn</t>
  </si>
  <si>
    <t>tsiunn</t>
  </si>
  <si>
    <t>tshiunn</t>
  </si>
  <si>
    <t>hiunnh</t>
  </si>
  <si>
    <t>tsng</t>
  </si>
  <si>
    <t>tshng</t>
  </si>
  <si>
    <t>tshngh</t>
  </si>
  <si>
    <t>tso</t>
  </si>
  <si>
    <t>tsho</t>
  </si>
  <si>
    <t>tsoh</t>
  </si>
  <si>
    <t>tshoh</t>
  </si>
  <si>
    <t>tsok</t>
  </si>
  <si>
    <t>tshok</t>
  </si>
  <si>
    <t>tsong</t>
  </si>
  <si>
    <t>tshong</t>
  </si>
  <si>
    <t>honn</t>
  </si>
  <si>
    <t>konn</t>
  </si>
  <si>
    <t>honnh</t>
  </si>
  <si>
    <t>boo</t>
  </si>
  <si>
    <t>goo</t>
  </si>
  <si>
    <t>hoo</t>
  </si>
  <si>
    <t>koo</t>
  </si>
  <si>
    <t>khoo</t>
  </si>
  <si>
    <t>loo</t>
  </si>
  <si>
    <t>moo</t>
  </si>
  <si>
    <t>ngoo</t>
  </si>
  <si>
    <t>poo</t>
  </si>
  <si>
    <t>phoo</t>
  </si>
  <si>
    <t>soo</t>
  </si>
  <si>
    <t>too</t>
  </si>
  <si>
    <t>thoo</t>
  </si>
  <si>
    <t>tsoo</t>
  </si>
  <si>
    <t>tshoo</t>
  </si>
  <si>
    <t>mooh</t>
  </si>
  <si>
    <t>tsu</t>
  </si>
  <si>
    <t>tshu</t>
  </si>
  <si>
    <t>bua</t>
  </si>
  <si>
    <t>gua</t>
  </si>
  <si>
    <t>hua</t>
  </si>
  <si>
    <t>kua</t>
  </si>
  <si>
    <t>khua</t>
  </si>
  <si>
    <t>lua</t>
  </si>
  <si>
    <t>mua</t>
  </si>
  <si>
    <t>pua</t>
  </si>
  <si>
    <t>phua</t>
  </si>
  <si>
    <t>sua</t>
  </si>
  <si>
    <t>tua</t>
  </si>
  <si>
    <t>thua</t>
  </si>
  <si>
    <t>tsua</t>
  </si>
  <si>
    <t>tshua</t>
  </si>
  <si>
    <t>buah</t>
  </si>
  <si>
    <t>huah</t>
  </si>
  <si>
    <t>juah</t>
  </si>
  <si>
    <t>kuah</t>
  </si>
  <si>
    <t>khuah</t>
  </si>
  <si>
    <t>luah</t>
  </si>
  <si>
    <t>puah</t>
  </si>
  <si>
    <t>phuah</t>
  </si>
  <si>
    <t>suah</t>
  </si>
  <si>
    <t>thuah</t>
  </si>
  <si>
    <t>tsuah</t>
  </si>
  <si>
    <t>tshuah</t>
  </si>
  <si>
    <t>huai</t>
  </si>
  <si>
    <t>kuai</t>
  </si>
  <si>
    <t>khuai</t>
  </si>
  <si>
    <t>suai</t>
  </si>
  <si>
    <t>huainn</t>
  </si>
  <si>
    <t>kuainn</t>
  </si>
  <si>
    <t>suainn</t>
  </si>
  <si>
    <t>tsuainn</t>
  </si>
  <si>
    <t>buan</t>
  </si>
  <si>
    <t>guan</t>
  </si>
  <si>
    <t>huan</t>
  </si>
  <si>
    <t>kuan</t>
  </si>
  <si>
    <t>khuan</t>
  </si>
  <si>
    <t>luan</t>
  </si>
  <si>
    <t>puan</t>
  </si>
  <si>
    <t>phuan</t>
  </si>
  <si>
    <t>suan</t>
  </si>
  <si>
    <t>tuan</t>
  </si>
  <si>
    <t>thuan</t>
  </si>
  <si>
    <t>tsuan</t>
  </si>
  <si>
    <t>tshuan</t>
  </si>
  <si>
    <t>tshuang</t>
  </si>
  <si>
    <t>huann</t>
  </si>
  <si>
    <t>kuann</t>
  </si>
  <si>
    <t>khuann</t>
  </si>
  <si>
    <t>puann</t>
  </si>
  <si>
    <t>phuann</t>
  </si>
  <si>
    <t>suann</t>
  </si>
  <si>
    <t>tuann</t>
  </si>
  <si>
    <t>thuann</t>
  </si>
  <si>
    <t>tshuann</t>
  </si>
  <si>
    <t>buat</t>
  </si>
  <si>
    <t>guat</t>
  </si>
  <si>
    <t>huat</t>
  </si>
  <si>
    <t>kuat</t>
  </si>
  <si>
    <t>khuat</t>
  </si>
  <si>
    <t>luat</t>
  </si>
  <si>
    <t>puat</t>
  </si>
  <si>
    <t>phuat</t>
  </si>
  <si>
    <t>suat</t>
  </si>
  <si>
    <t>tuat</t>
  </si>
  <si>
    <t>thuat</t>
  </si>
  <si>
    <t>tsuat</t>
  </si>
  <si>
    <t>bue</t>
  </si>
  <si>
    <t>gue</t>
  </si>
  <si>
    <t>hue</t>
  </si>
  <si>
    <t>jue</t>
  </si>
  <si>
    <t>kue</t>
  </si>
  <si>
    <t>khue</t>
  </si>
  <si>
    <t>lue</t>
  </si>
  <si>
    <t>pue</t>
  </si>
  <si>
    <t>phue</t>
  </si>
  <si>
    <t>sue</t>
  </si>
  <si>
    <t>tue</t>
  </si>
  <si>
    <t>tsue</t>
  </si>
  <si>
    <t>tshue</t>
  </si>
  <si>
    <t>bueh</t>
  </si>
  <si>
    <t>gueh</t>
  </si>
  <si>
    <t>hueh</t>
  </si>
  <si>
    <t>kueh</t>
  </si>
  <si>
    <t>khueh</t>
  </si>
  <si>
    <t>pueh</t>
  </si>
  <si>
    <t>phueh</t>
  </si>
  <si>
    <t>sueh</t>
  </si>
  <si>
    <t>tsuh</t>
  </si>
  <si>
    <t>tshuh</t>
  </si>
  <si>
    <t>tsui</t>
  </si>
  <si>
    <t>tshui</t>
  </si>
  <si>
    <t>tsun</t>
  </si>
  <si>
    <t>tshun</t>
  </si>
  <si>
    <t>tsut</t>
  </si>
  <si>
    <t>tshut</t>
  </si>
  <si>
    <t>台羅</t>
    <phoneticPr fontId="1" type="noConversion"/>
  </si>
  <si>
    <t>a̍</t>
    <phoneticPr fontId="1" type="noConversion"/>
  </si>
  <si>
    <t>e̍</t>
    <phoneticPr fontId="1" type="noConversion"/>
  </si>
  <si>
    <t>i̍</t>
    <phoneticPr fontId="1" type="noConversion"/>
  </si>
  <si>
    <t>o̍</t>
    <phoneticPr fontId="1" type="noConversion"/>
  </si>
  <si>
    <t>o̍o</t>
    <phoneticPr fontId="1" type="noConversion"/>
  </si>
  <si>
    <t>u̍</t>
    <phoneticPr fontId="1" type="noConversion"/>
  </si>
  <si>
    <t>m̍</t>
    <phoneticPr fontId="44" type="noConversion"/>
  </si>
  <si>
    <t>n̂gh</t>
    <phoneticPr fontId="44" type="noConversion"/>
  </si>
  <si>
    <t>聲：</t>
    <phoneticPr fontId="1" type="noConversion"/>
  </si>
  <si>
    <t>柳l、邊p、求k、去kh、地t、頗ph、他th、曾ts、入dz、時s、鶯y、門m、語g、出tsh、喜h</t>
    <phoneticPr fontId="1" type="noConversion"/>
  </si>
  <si>
    <t>韻：</t>
    <phoneticPr fontId="1" type="noConversion"/>
  </si>
  <si>
    <r>
      <rPr>
        <sz val="18"/>
        <color rgb="FF00B0F0"/>
        <rFont val="Heiti TC Light"/>
        <family val="1"/>
      </rPr>
      <t>君</t>
    </r>
    <r>
      <rPr>
        <sz val="18"/>
        <color rgb="FF00B0F0"/>
        <rFont val="Cambria"/>
        <family val="1"/>
      </rPr>
      <t>un</t>
    </r>
    <r>
      <rPr>
        <sz val="18"/>
        <color rgb="FF00B0F0"/>
        <rFont val="Heiti TC Light"/>
        <family val="1"/>
      </rPr>
      <t>、堅</t>
    </r>
    <r>
      <rPr>
        <sz val="18"/>
        <color rgb="FF00B0F0"/>
        <rFont val="Cambria"/>
        <family val="1"/>
      </rPr>
      <t>ian</t>
    </r>
    <r>
      <rPr>
        <sz val="18"/>
        <color rgb="FF00B0F0"/>
        <rFont val="Heiti TC Light"/>
        <family val="1"/>
      </rPr>
      <t>、金</t>
    </r>
    <r>
      <rPr>
        <sz val="18"/>
        <color rgb="FF00B0F0"/>
        <rFont val="Cambria"/>
        <family val="1"/>
      </rPr>
      <t>im</t>
    </r>
    <r>
      <rPr>
        <sz val="18"/>
        <color rgb="FF00B0F0"/>
        <rFont val="Heiti TC Light"/>
        <family val="1"/>
      </rPr>
      <t>、歸</t>
    </r>
    <r>
      <rPr>
        <sz val="18"/>
        <color rgb="FF00B0F0"/>
        <rFont val="Cambria"/>
        <family val="1"/>
      </rPr>
      <t>ui</t>
    </r>
    <r>
      <rPr>
        <sz val="18"/>
        <color rgb="FF00B0F0"/>
        <rFont val="Heiti TC Light"/>
        <family val="1"/>
      </rPr>
      <t>、家</t>
    </r>
    <r>
      <rPr>
        <sz val="18"/>
        <color rgb="FFFF0000"/>
        <rFont val="Heiti TC Light"/>
        <family val="1"/>
      </rPr>
      <t>a</t>
    </r>
    <r>
      <rPr>
        <sz val="18"/>
        <color rgb="FF00B0F0"/>
        <rFont val="Heiti TC Light"/>
        <family val="1"/>
      </rPr>
      <t>、干</t>
    </r>
    <r>
      <rPr>
        <sz val="18"/>
        <color rgb="FF00B0F0"/>
        <rFont val="Cambria"/>
        <family val="1"/>
      </rPr>
      <t>an</t>
    </r>
    <r>
      <rPr>
        <sz val="18"/>
        <color rgb="FF00B0F0"/>
        <rFont val="Heiti TC Light"/>
        <family val="1"/>
      </rPr>
      <t>、光</t>
    </r>
    <r>
      <rPr>
        <sz val="18"/>
        <color rgb="FF00B0F0"/>
        <rFont val="Cambria"/>
        <family val="1"/>
      </rPr>
      <t>ong</t>
    </r>
    <r>
      <rPr>
        <sz val="18"/>
        <color rgb="FF00B0F0"/>
        <rFont val="Heiti TC Light"/>
        <family val="1"/>
      </rPr>
      <t>、乖</t>
    </r>
    <r>
      <rPr>
        <sz val="18"/>
        <color rgb="FFFF0000"/>
        <rFont val="Cambria"/>
        <family val="1"/>
      </rPr>
      <t>o</t>
    </r>
    <r>
      <rPr>
        <sz val="18"/>
        <color rgb="FF00B0F0"/>
        <rFont val="Cambria"/>
        <family val="1"/>
      </rPr>
      <t>ai</t>
    </r>
    <r>
      <rPr>
        <sz val="18"/>
        <color rgb="FF00B0F0"/>
        <rFont val="Heiti TC Light"/>
        <family val="1"/>
      </rPr>
      <t>、京</t>
    </r>
    <r>
      <rPr>
        <sz val="18"/>
        <color rgb="FF00B0F0"/>
        <rFont val="Cambria"/>
        <family val="1"/>
      </rPr>
      <t>eng</t>
    </r>
    <r>
      <rPr>
        <sz val="18"/>
        <color rgb="FF00B0F0"/>
        <rFont val="Heiti TC Light"/>
        <family val="1"/>
      </rPr>
      <t>、官</t>
    </r>
    <r>
      <rPr>
        <sz val="18"/>
        <color rgb="FFFF0000"/>
        <rFont val="Cambria"/>
        <family val="1"/>
      </rPr>
      <t>o</t>
    </r>
    <r>
      <rPr>
        <sz val="18"/>
        <color rgb="FF00B0F0"/>
        <rFont val="Cambria"/>
        <family val="1"/>
      </rPr>
      <t>an</t>
    </r>
    <r>
      <rPr>
        <sz val="18"/>
        <color rgb="FF00B0F0"/>
        <rFont val="Heiti TC Light"/>
        <family val="1"/>
      </rPr>
      <t>、姑</t>
    </r>
    <r>
      <rPr>
        <sz val="18"/>
        <color rgb="FF00B0F0"/>
        <rFont val="Cambria"/>
        <family val="1"/>
      </rPr>
      <t>oo</t>
    </r>
    <r>
      <rPr>
        <sz val="18"/>
        <color rgb="FF00B0F0"/>
        <rFont val="Heiti TC Light"/>
        <family val="1"/>
      </rPr>
      <t>、嬌</t>
    </r>
    <r>
      <rPr>
        <sz val="18"/>
        <color rgb="FF00B0F0"/>
        <rFont val="Cambria"/>
        <family val="1"/>
      </rPr>
      <t>iau</t>
    </r>
    <r>
      <rPr>
        <sz val="18"/>
        <color rgb="FF00B0F0"/>
        <rFont val="Heiti TC Light"/>
        <family val="1"/>
      </rPr>
      <t>、稽</t>
    </r>
    <r>
      <rPr>
        <sz val="18"/>
        <color rgb="FF00B0F0"/>
        <rFont val="Cambria"/>
        <family val="1"/>
      </rPr>
      <t>e</t>
    </r>
    <r>
      <rPr>
        <sz val="18"/>
        <color rgb="FF00B0F0"/>
        <rFont val="Heiti TC Light"/>
        <family val="1"/>
      </rPr>
      <t>、宮</t>
    </r>
    <r>
      <rPr>
        <sz val="18"/>
        <color rgb="FF00B0F0"/>
        <rFont val="Cambria"/>
        <family val="1"/>
      </rPr>
      <t>iong</t>
    </r>
    <r>
      <rPr>
        <sz val="18"/>
        <color rgb="FF00B0F0"/>
        <rFont val="Heiti TC Light"/>
        <family val="1"/>
      </rPr>
      <t>、高</t>
    </r>
    <r>
      <rPr>
        <sz val="18"/>
        <color rgb="FF00B0F0"/>
        <rFont val="Cambria"/>
        <family val="1"/>
      </rPr>
      <t>o</t>
    </r>
    <r>
      <rPr>
        <sz val="18"/>
        <color rgb="FF00B0F0"/>
        <rFont val="Heiti TC Light"/>
        <family val="1"/>
      </rPr>
      <t>、皆</t>
    </r>
    <r>
      <rPr>
        <sz val="18"/>
        <color rgb="FF00B0F0"/>
        <rFont val="Cambria"/>
        <family val="1"/>
      </rPr>
      <t>ai</t>
    </r>
    <r>
      <rPr>
        <sz val="18"/>
        <color rgb="FF00B0F0"/>
        <rFont val="Heiti TC Light"/>
        <family val="1"/>
      </rPr>
      <t>、根</t>
    </r>
    <r>
      <rPr>
        <sz val="18"/>
        <color rgb="FF00B0F0"/>
        <rFont val="Cambria"/>
        <family val="1"/>
      </rPr>
      <t>in</t>
    </r>
    <r>
      <rPr>
        <sz val="18"/>
        <color rgb="FF00B0F0"/>
        <rFont val="Heiti TC Light"/>
        <family val="1"/>
      </rPr>
      <t>、姜</t>
    </r>
    <r>
      <rPr>
        <sz val="18"/>
        <color rgb="FF00B0F0"/>
        <rFont val="Cambria"/>
        <family val="1"/>
      </rPr>
      <t>iang</t>
    </r>
    <r>
      <rPr>
        <sz val="18"/>
        <color rgb="FF00B0F0"/>
        <rFont val="Heiti TC Light"/>
        <family val="1"/>
      </rPr>
      <t>、甘</t>
    </r>
    <r>
      <rPr>
        <sz val="18"/>
        <color rgb="FF00B0F0"/>
        <rFont val="Cambria"/>
        <family val="1"/>
      </rPr>
      <t>am</t>
    </r>
    <r>
      <rPr>
        <sz val="18"/>
        <color rgb="FF00B0F0"/>
        <rFont val="Heiti TC Light"/>
        <family val="1"/>
      </rPr>
      <t>、瓜</t>
    </r>
    <r>
      <rPr>
        <sz val="18"/>
        <color rgb="FF00B0F0"/>
        <rFont val="Cambria"/>
        <family val="1"/>
      </rPr>
      <t>oa</t>
    </r>
    <r>
      <rPr>
        <sz val="18"/>
        <color rgb="FF00B0F0"/>
        <rFont val="Heiti TC Light"/>
        <family val="1"/>
      </rPr>
      <t>、江</t>
    </r>
    <r>
      <rPr>
        <sz val="18"/>
        <color rgb="FF00B0F0"/>
        <rFont val="Cambria"/>
        <family val="1"/>
      </rPr>
      <t>ang</t>
    </r>
    <r>
      <rPr>
        <sz val="18"/>
        <color rgb="FF00B0F0"/>
        <rFont val="Heiti TC Light"/>
        <family val="1"/>
      </rPr>
      <t>、兼</t>
    </r>
    <r>
      <rPr>
        <sz val="18"/>
        <color rgb="FF00B0F0"/>
        <rFont val="Cambria"/>
        <family val="1"/>
      </rPr>
      <t>iam</t>
    </r>
    <r>
      <rPr>
        <sz val="18"/>
        <color rgb="FF00B0F0"/>
        <rFont val="Heiti TC Light"/>
        <family val="1"/>
      </rPr>
      <t>、交</t>
    </r>
    <r>
      <rPr>
        <sz val="18"/>
        <color rgb="FF00B0F0"/>
        <rFont val="Cambria"/>
        <family val="1"/>
      </rPr>
      <t>au</t>
    </r>
    <r>
      <rPr>
        <sz val="18"/>
        <color rgb="FF00B0F0"/>
        <rFont val="Heiti TC Light"/>
        <family val="1"/>
      </rPr>
      <t>、伽</t>
    </r>
    <r>
      <rPr>
        <sz val="18"/>
        <color rgb="FF00B0F0"/>
        <rFont val="Cambria"/>
        <family val="1"/>
      </rPr>
      <t>ia</t>
    </r>
    <r>
      <rPr>
        <sz val="18"/>
        <color rgb="FF00B0F0"/>
        <rFont val="Heiti TC Light"/>
        <family val="1"/>
      </rPr>
      <t>、</t>
    </r>
    <r>
      <rPr>
        <sz val="18"/>
        <color rgb="FFFF0000"/>
        <rFont val="Heiti TC Light"/>
        <family val="1"/>
      </rPr>
      <t>檜</t>
    </r>
    <r>
      <rPr>
        <sz val="18"/>
        <color rgb="FF00B0F0"/>
        <rFont val="Cambria"/>
        <family val="1"/>
      </rPr>
      <t>oe</t>
    </r>
    <r>
      <rPr>
        <sz val="18"/>
        <color rgb="FF00B0F0"/>
        <rFont val="Heiti TC Light"/>
        <family val="1"/>
      </rPr>
      <t>、葩</t>
    </r>
    <r>
      <rPr>
        <sz val="18"/>
        <color rgb="FF00B0F0"/>
        <rFont val="Cambria"/>
        <family val="1"/>
      </rPr>
      <t>a</t>
    </r>
    <r>
      <rPr>
        <sz val="18"/>
        <color rgb="FF00B0F0"/>
        <rFont val="Heiti TC Light"/>
        <family val="1"/>
      </rPr>
      <t>、龜</t>
    </r>
    <r>
      <rPr>
        <sz val="18"/>
        <color rgb="FF00B0F0"/>
        <rFont val="Cambria"/>
        <family val="1"/>
      </rPr>
      <t>u</t>
    </r>
    <r>
      <rPr>
        <sz val="18"/>
        <color rgb="FF00B0F0"/>
        <rFont val="Heiti TC Light"/>
        <family val="1"/>
      </rPr>
      <t>、箴</t>
    </r>
    <r>
      <rPr>
        <sz val="18"/>
        <color rgb="FFFF0000"/>
        <rFont val="Cambria"/>
        <family val="1"/>
      </rPr>
      <t>om</t>
    </r>
    <r>
      <rPr>
        <sz val="18"/>
        <color rgb="FF00B0F0"/>
        <rFont val="Heiti TC Light"/>
        <family val="1"/>
      </rPr>
      <t>、璣</t>
    </r>
    <r>
      <rPr>
        <sz val="18"/>
        <color rgb="FF00B0F0"/>
        <rFont val="Cambria"/>
        <family val="1"/>
      </rPr>
      <t>i</t>
    </r>
    <r>
      <rPr>
        <sz val="18"/>
        <color rgb="FF00B0F0"/>
        <rFont val="Heiti TC Light"/>
        <family val="1"/>
      </rPr>
      <t>、</t>
    </r>
    <r>
      <rPr>
        <sz val="18"/>
        <color rgb="FFFF0000"/>
        <rFont val="Heiti TC Light"/>
        <family val="1"/>
      </rPr>
      <t>丩</t>
    </r>
    <r>
      <rPr>
        <sz val="18"/>
        <color rgb="FF00B0F0"/>
        <rFont val="Cambria"/>
        <family val="1"/>
      </rPr>
      <t>iu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</si>
</sst>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General;;"/>
    <numFmt numFmtId="178" formatCode="General;;&quot;&quot;"/>
  </numFmts>
  <fonts count="25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b/>
      <sz val="18"/>
      <color rgb="FF000000"/>
      <name val="蘋方-繁 標準體"/>
      <charset val="136"/>
    </font>
    <font>
      <sz val="18"/>
      <color rgb="FF000000"/>
      <name val="蘋方-繁 標準體"/>
      <charset val="136"/>
    </font>
    <font>
      <sz val="18"/>
      <color rgb="FF000000"/>
      <name val="Arial"/>
      <family val="2"/>
    </font>
    <font>
      <sz val="18"/>
      <color rgb="FF000000"/>
      <name val="蘋方-繁"/>
      <family val="2"/>
      <charset val="136"/>
    </font>
    <font>
      <sz val="36"/>
      <color rgb="FF000000"/>
      <name val="蘋方-繁 標準體"/>
      <charset val="136"/>
    </font>
    <font>
      <sz val="36"/>
      <color rgb="FF000000"/>
      <name val="蘋方-繁"/>
      <family val="2"/>
      <charset val="136"/>
    </font>
    <font>
      <sz val="10"/>
      <color rgb="FF000000"/>
      <name val="蘋方-繁 標準體"/>
      <charset val="136"/>
    </font>
    <font>
      <sz val="24"/>
      <color theme="1"/>
      <name val="蘋方-繁 標準體"/>
      <charset val="136"/>
    </font>
    <font>
      <b/>
      <sz val="18"/>
      <color theme="1"/>
      <name val="蘋方-繁 標準體"/>
      <charset val="136"/>
    </font>
    <font>
      <sz val="36"/>
      <color rgb="FF000000"/>
      <name val="Arial"/>
      <family val="2"/>
    </font>
    <font>
      <sz val="36"/>
      <color rgb="FFFF0000"/>
      <name val="Arial"/>
      <family val="2"/>
    </font>
    <font>
      <sz val="36"/>
      <color rgb="FF9BC2E6"/>
      <name val="蘋方-繁"/>
      <family val="2"/>
      <charset val="136"/>
    </font>
    <font>
      <sz val="36"/>
      <color rgb="FF9BC2E6"/>
      <name val="Arial"/>
      <family val="2"/>
    </font>
    <font>
      <sz val="36"/>
      <color rgb="FF9BC2E6"/>
      <name val="蘋方-繁 標準體"/>
      <charset val="136"/>
    </font>
    <font>
      <b/>
      <sz val="18"/>
      <color rgb="FF000000"/>
      <name val="蘋方-繁"/>
      <family val="2"/>
      <charset val="136"/>
    </font>
    <font>
      <sz val="18"/>
      <color rgb="FF000000"/>
      <name val="Linux Libertine G"/>
      <family val="2"/>
    </font>
    <font>
      <sz val="23"/>
      <color rgb="FF202122"/>
      <name val="Arial"/>
      <family val="2"/>
    </font>
    <font>
      <sz val="24"/>
      <color rgb="FF000000"/>
      <name val="Arial"/>
      <family val="2"/>
    </font>
    <font>
      <sz val="18"/>
      <color rgb="FF202122"/>
      <name val="蘋方-繁 標準體"/>
      <charset val="136"/>
    </font>
    <font>
      <sz val="14"/>
      <color rgb="FF000000"/>
      <name val="Arial"/>
      <family val="2"/>
    </font>
    <font>
      <sz val="24"/>
      <color rgb="FF0000FF"/>
      <name val="Arial"/>
      <family val="2"/>
    </font>
    <font>
      <sz val="24"/>
      <color rgb="FF202122"/>
      <name val="Arial"/>
      <family val="2"/>
    </font>
    <font>
      <sz val="24"/>
      <color rgb="FFB7B7B7"/>
      <name val="Arial"/>
      <family val="2"/>
    </font>
    <font>
      <sz val="24"/>
      <color rgb="FFEA4335"/>
      <name val="Arial"/>
      <family val="2"/>
    </font>
    <font>
      <sz val="14"/>
      <color rgb="FF000000"/>
      <name val="蘋方-繁 標準體"/>
      <charset val="136"/>
    </font>
    <font>
      <sz val="24"/>
      <color rgb="FF000000"/>
      <name val="-apple-system"/>
    </font>
    <font>
      <sz val="24"/>
      <color rgb="FF305496"/>
      <name val="Arial"/>
      <family val="2"/>
    </font>
    <font>
      <sz val="14"/>
      <color rgb="FFEA7500"/>
      <name val="蘋方-繁 標準體"/>
      <charset val="136"/>
    </font>
    <font>
      <sz val="24"/>
      <color rgb="FFFF0000"/>
      <name val="Arial"/>
      <family val="2"/>
    </font>
    <font>
      <sz val="24"/>
      <color rgb="FFC9211E"/>
      <name val="Arial"/>
      <family val="2"/>
    </font>
    <font>
      <b/>
      <sz val="16"/>
      <color rgb="FFFFFFFF"/>
      <name val="Arial"/>
      <family val="2"/>
    </font>
    <font>
      <b/>
      <sz val="18"/>
      <color rgb="FF000000"/>
      <name val="PingFang TC Semibold"/>
      <family val="1"/>
    </font>
    <font>
      <sz val="28"/>
      <color rgb="FF000000"/>
      <name val="蘋方-繁"/>
      <family val="2"/>
      <charset val="136"/>
    </font>
    <font>
      <sz val="18"/>
      <color theme="8"/>
      <name val="黒体-繁"/>
      <family val="2"/>
      <charset val="136"/>
    </font>
    <font>
      <sz val="18"/>
      <color rgb="FFFF0000"/>
      <name val="黒体-繁"/>
      <family val="2"/>
      <charset val="136"/>
    </font>
    <font>
      <sz val="18"/>
      <color theme="0"/>
      <name val="黒体-繁"/>
      <family val="2"/>
      <charset val="136"/>
    </font>
    <font>
      <sz val="10"/>
      <color rgb="FF000000"/>
      <name val="Linux Libertine G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6"/>
      <color rgb="FF000000"/>
      <name val="Linux Libertine G"/>
      <family val="2"/>
    </font>
    <font>
      <sz val="9"/>
      <name val="cwTeX 仿宋體"/>
      <family val="3"/>
      <charset val="136"/>
    </font>
    <font>
      <sz val="24"/>
      <color theme="1"/>
      <name val="Arial"/>
      <family val="2"/>
    </font>
    <font>
      <sz val="9"/>
      <name val="新細明體"/>
      <family val="3"/>
      <charset val="136"/>
      <scheme val="minor"/>
    </font>
    <font>
      <sz val="14"/>
      <color rgb="FF000000"/>
      <name val="新細明體"/>
      <family val="1"/>
      <charset val="136"/>
    </font>
    <font>
      <sz val="14"/>
      <color theme="1"/>
      <name val="新細明體"/>
      <family val="2"/>
      <scheme val="minor"/>
    </font>
    <font>
      <b/>
      <sz val="14"/>
      <color rgb="FF4A86E8"/>
      <name val="新細明體"/>
      <family val="1"/>
      <charset val="136"/>
    </font>
    <font>
      <b/>
      <sz val="14"/>
      <color rgb="FF4A86E8"/>
      <name val="新細明體"/>
      <family val="2"/>
      <scheme val="minor"/>
    </font>
    <font>
      <b/>
      <sz val="16"/>
      <color rgb="FF4A86E8"/>
      <name val="新細明體"/>
      <family val="1"/>
      <charset val="136"/>
    </font>
    <font>
      <sz val="18"/>
      <color rgb="FF000000"/>
      <name val="PingFang TC"/>
      <family val="2"/>
      <charset val="136"/>
    </font>
    <font>
      <sz val="36"/>
      <color theme="8" tint="0.39997558519241921"/>
      <name val="蘋方-繁"/>
      <family val="2"/>
      <charset val="136"/>
    </font>
    <font>
      <sz val="36"/>
      <color theme="8" tint="0.39997558519241921"/>
      <name val="Arial"/>
      <family val="2"/>
    </font>
    <font>
      <sz val="10"/>
      <color rgb="FF000000"/>
      <name val="Arial"/>
      <family val="2"/>
    </font>
    <font>
      <sz val="14"/>
      <color theme="1"/>
      <name val="Arial"/>
      <family val="2"/>
    </font>
    <font>
      <b/>
      <sz val="13"/>
      <color rgb="FF202122"/>
      <name val="Arial"/>
      <family val="2"/>
    </font>
    <font>
      <sz val="13"/>
      <color rgb="FF202122"/>
      <name val="Arial"/>
      <family val="2"/>
    </font>
    <font>
      <sz val="18"/>
      <color rgb="FF202122"/>
      <name val="Cambria"/>
      <family val="1"/>
    </font>
    <font>
      <sz val="18"/>
      <color rgb="FF202122"/>
      <name val="PingFang TC"/>
      <family val="2"/>
      <charset val="136"/>
    </font>
    <font>
      <sz val="16"/>
      <color rgb="FF00B0F0"/>
      <name val="Arial"/>
      <family val="2"/>
    </font>
    <font>
      <sz val="18"/>
      <color rgb="FF000000"/>
      <name val="蘋方-繁 標準體"/>
      <family val="2"/>
      <charset val="136"/>
    </font>
    <font>
      <sz val="23"/>
      <color rgb="FFFF0000"/>
      <name val="Arial"/>
      <family val="2"/>
    </font>
    <font>
      <sz val="18"/>
      <color rgb="FFFF0000"/>
      <name val="蘋方-繁 標準體"/>
      <charset val="136"/>
    </font>
    <font>
      <sz val="18"/>
      <color rgb="FFFF0000"/>
      <name val="Arial"/>
      <family val="2"/>
    </font>
    <font>
      <b/>
      <sz val="14"/>
      <name val="蘋方-繁 標準體"/>
      <charset val="136"/>
    </font>
    <font>
      <sz val="16"/>
      <color rgb="FF0070C0"/>
      <name val="Arial"/>
      <family val="2"/>
    </font>
    <font>
      <sz val="34"/>
      <color rgb="FF202122"/>
      <name val="Arial"/>
      <family val="2"/>
    </font>
    <font>
      <sz val="18"/>
      <color theme="1"/>
      <name val="Heiti TC Light"/>
      <family val="1"/>
    </font>
    <font>
      <sz val="18"/>
      <color theme="1"/>
      <name val="Cambria"/>
      <family val="1"/>
    </font>
    <font>
      <b/>
      <sz val="14"/>
      <name val="PingFang TC Semibold"/>
      <family val="1"/>
    </font>
    <font>
      <sz val="10"/>
      <color rgb="FF000000"/>
      <name val="新細明體"/>
      <family val="2"/>
      <scheme val="minor"/>
    </font>
    <font>
      <vertAlign val="superscript"/>
      <sz val="18"/>
      <color rgb="FF202122"/>
      <name val="蘋方-繁 標準體"/>
      <charset val="136"/>
    </font>
    <font>
      <b/>
      <sz val="28"/>
      <color rgb="FF202122"/>
      <name val="蘋方-繁 標準體"/>
      <charset val="136"/>
    </font>
    <font>
      <sz val="28"/>
      <color rgb="FF202122"/>
      <name val="蘋方-繁 標準體"/>
      <charset val="136"/>
    </font>
    <font>
      <sz val="28"/>
      <color rgb="FF202122"/>
      <name val="Arial"/>
      <family val="2"/>
    </font>
    <font>
      <sz val="28"/>
      <color rgb="FF000000"/>
      <name val="蘋方-繁 標準體"/>
      <charset val="136"/>
    </font>
    <font>
      <sz val="28"/>
      <color rgb="FF202122"/>
      <name val="Lucida Sans Unicode"/>
      <family val="2"/>
    </font>
    <font>
      <sz val="28"/>
      <color rgb="FF0645AD"/>
      <name val="蘋方-繁 標準體"/>
      <charset val="136"/>
    </font>
    <font>
      <vertAlign val="superscript"/>
      <sz val="28"/>
      <color rgb="FF202122"/>
      <name val="蘋方-繁 標準體"/>
      <charset val="136"/>
    </font>
    <font>
      <sz val="28"/>
      <color theme="1"/>
      <name val="黒体-繁"/>
      <family val="2"/>
      <charset val="136"/>
    </font>
    <font>
      <sz val="18"/>
      <color rgb="FF000000"/>
      <name val="PingFang TC Semibold"/>
      <family val="1"/>
    </font>
    <font>
      <sz val="34"/>
      <color rgb="FFFF0000"/>
      <name val="Arial"/>
      <family val="2"/>
    </font>
    <font>
      <b/>
      <sz val="16"/>
      <color rgb="FFFFFF00"/>
      <name val="Arial"/>
      <family val="2"/>
    </font>
    <font>
      <b/>
      <sz val="16"/>
      <color theme="0"/>
      <name val="Arial"/>
      <family val="2"/>
    </font>
    <font>
      <b/>
      <sz val="16"/>
      <color rgb="FFFFFFFF"/>
      <name val="蘋方-繁 標準體"/>
      <charset val="136"/>
    </font>
    <font>
      <sz val="16"/>
      <color theme="1"/>
      <name val="黒体-繁"/>
      <family val="2"/>
      <charset val="136"/>
    </font>
    <font>
      <b/>
      <sz val="18"/>
      <color rgb="FF202122"/>
      <name val="Sans-serif"/>
    </font>
    <font>
      <sz val="16"/>
      <color theme="1"/>
      <name val="蘋方-繁 標準體"/>
      <charset val="136"/>
    </font>
    <font>
      <b/>
      <sz val="16"/>
      <color rgb="FF202122"/>
      <name val="蘋方-繁 標準體"/>
      <charset val="136"/>
    </font>
    <font>
      <sz val="16"/>
      <color rgb="FF202122"/>
      <name val="蘋方-繁 標準體"/>
      <charset val="136"/>
    </font>
    <font>
      <b/>
      <sz val="16"/>
      <color rgb="FF202122"/>
      <name val="Arial"/>
      <family val="2"/>
    </font>
    <font>
      <sz val="16"/>
      <color rgb="FF202122"/>
      <name val="Arial"/>
      <family val="2"/>
    </font>
    <font>
      <b/>
      <sz val="16"/>
      <color theme="0"/>
      <name val="蘋方-繁 標準體"/>
      <charset val="136"/>
    </font>
    <font>
      <sz val="16"/>
      <color theme="4" tint="0.39997558519241921"/>
      <name val="黒体-繁"/>
      <family val="2"/>
      <charset val="136"/>
    </font>
    <font>
      <sz val="18"/>
      <color rgb="FFFF0000"/>
      <name val="Linux Libertine G"/>
      <family val="2"/>
    </font>
    <font>
      <sz val="18"/>
      <color rgb="FFFF0000"/>
      <name val="蘋方-繁"/>
      <family val="2"/>
      <charset val="136"/>
    </font>
    <font>
      <sz val="28"/>
      <color rgb="FF000000"/>
      <name val="Linux Libertine G"/>
      <family val="2"/>
    </font>
    <font>
      <sz val="28"/>
      <color rgb="FF000000"/>
      <name val="Arial"/>
      <family val="2"/>
    </font>
    <font>
      <sz val="24"/>
      <name val="Arial"/>
      <family val="2"/>
    </font>
    <font>
      <sz val="28"/>
      <color rgb="FF000000"/>
      <name val="黒体-繁"/>
      <family val="2"/>
      <charset val="136"/>
    </font>
    <font>
      <sz val="18"/>
      <color rgb="FF000000"/>
      <name val="Cambria"/>
      <family val="1"/>
    </font>
    <font>
      <sz val="18"/>
      <color rgb="FF000000"/>
      <name val="PingFang TC Semibold"/>
      <family val="1"/>
      <charset val="136"/>
    </font>
    <font>
      <b/>
      <sz val="18"/>
      <color theme="0"/>
      <name val="黒体-繁"/>
      <family val="2"/>
      <charset val="136"/>
    </font>
    <font>
      <sz val="18"/>
      <color theme="0"/>
      <name val="Heiti TC Light"/>
      <family val="1"/>
    </font>
    <font>
      <sz val="15"/>
      <color rgb="FF202122"/>
      <name val="Arial"/>
      <family val="2"/>
    </font>
    <font>
      <sz val="18"/>
      <color theme="1"/>
      <name val="蘋方-繁 標準體"/>
      <charset val="136"/>
    </font>
    <font>
      <sz val="18"/>
      <color theme="1"/>
      <name val="PingFang TC"/>
      <family val="2"/>
      <charset val="136"/>
    </font>
    <font>
      <sz val="18"/>
      <color rgb="FFFF0000"/>
      <name val="PingFang TC"/>
      <family val="2"/>
      <charset val="136"/>
    </font>
    <font>
      <sz val="18"/>
      <color theme="1"/>
      <name val="蘋方-繁 標準體"/>
      <family val="2"/>
      <charset val="136"/>
    </font>
    <font>
      <b/>
      <sz val="18"/>
      <color rgb="FF202122"/>
      <name val="Arial"/>
      <family val="2"/>
    </font>
    <font>
      <sz val="18"/>
      <color theme="0"/>
      <name val="蘋方-繁 標準體"/>
      <charset val="136"/>
    </font>
    <font>
      <sz val="14"/>
      <color theme="1"/>
      <name val="蘋方-繁 標準體"/>
      <charset val="136"/>
    </font>
    <font>
      <sz val="14"/>
      <color theme="0"/>
      <name val="黒体-繁"/>
      <family val="2"/>
      <charset val="136"/>
    </font>
    <font>
      <sz val="14"/>
      <color theme="0"/>
      <name val="Heiti TC Light"/>
      <family val="1"/>
    </font>
    <font>
      <b/>
      <sz val="18"/>
      <color rgb="FFFF0000"/>
      <name val="Arial"/>
      <family val="2"/>
    </font>
    <font>
      <sz val="14"/>
      <color theme="0"/>
      <name val="蘋方-繁 標準體"/>
      <charset val="136"/>
    </font>
    <font>
      <sz val="14"/>
      <color rgb="FFFF0000"/>
      <name val="蘋方-繁 標準體"/>
      <charset val="136"/>
    </font>
    <font>
      <sz val="14"/>
      <color theme="1"/>
      <name val="蘋方-繁 標準體"/>
      <family val="2"/>
      <charset val="136"/>
    </font>
    <font>
      <sz val="14"/>
      <color theme="1"/>
      <name val="PingFang TC"/>
      <family val="2"/>
      <charset val="136"/>
    </font>
    <font>
      <sz val="14"/>
      <color theme="1"/>
      <name val="Cambria"/>
      <family val="1"/>
    </font>
    <font>
      <sz val="14"/>
      <color rgb="FFFF0000"/>
      <name val="蘋方-繁 標準體"/>
      <family val="2"/>
      <charset val="136"/>
    </font>
    <font>
      <sz val="14"/>
      <color rgb="FFFF0000"/>
      <name val="PingFang TC"/>
      <family val="2"/>
      <charset val="136"/>
    </font>
    <font>
      <sz val="14"/>
      <color rgb="FFFF0000"/>
      <name val="Cambria"/>
      <family val="1"/>
    </font>
    <font>
      <b/>
      <sz val="14"/>
      <color rgb="FF202122"/>
      <name val="Arial"/>
      <family val="2"/>
    </font>
    <font>
      <sz val="18"/>
      <color theme="1"/>
      <name val="Times New Roman"/>
      <family val="1"/>
    </font>
    <font>
      <sz val="18"/>
      <color rgb="FFFF0000"/>
      <name val="Heiti TC Light"/>
      <family val="1"/>
    </font>
    <font>
      <sz val="18"/>
      <color theme="1"/>
      <name val="Heiti TC Light"/>
      <family val="1"/>
    </font>
    <font>
      <sz val="36"/>
      <color rgb="FF000000"/>
      <name val="PingFang TC"/>
      <family val="2"/>
      <charset val="136"/>
    </font>
    <font>
      <sz val="36"/>
      <color theme="8" tint="0.39997558519241921"/>
      <name val="PingFang TC"/>
      <family val="2"/>
      <charset val="136"/>
    </font>
    <font>
      <sz val="16"/>
      <color rgb="FFFF0000"/>
      <name val="Helvetica"/>
      <family val="2"/>
    </font>
    <font>
      <sz val="18"/>
      <color rgb="FFFF0000"/>
      <name val="Cambria"/>
      <family val="1"/>
    </font>
    <font>
      <sz val="18"/>
      <color rgb="FF00B0F0"/>
      <name val="Heiti TC Light"/>
      <family val="1"/>
    </font>
    <font>
      <sz val="18"/>
      <color rgb="FF00B0F0"/>
      <name val="Cambria"/>
      <family val="1"/>
    </font>
    <font>
      <sz val="24"/>
      <color rgb="FF000000"/>
      <name val="Linux Libertine G"/>
      <family val="2"/>
    </font>
    <font>
      <sz val="18"/>
      <color rgb="FF00B0F0"/>
      <name val="黒体-繁"/>
      <family val="2"/>
      <charset val="136"/>
    </font>
    <font>
      <sz val="24"/>
      <color theme="4"/>
      <name val="Arial"/>
      <family val="2"/>
    </font>
    <font>
      <sz val="22"/>
      <color rgb="FF000000"/>
      <name val="Arial"/>
      <family val="2"/>
    </font>
    <font>
      <b/>
      <sz val="22"/>
      <color rgb="FF4A86E8"/>
      <name val="Arial"/>
      <family val="2"/>
    </font>
    <font>
      <sz val="22"/>
      <name val="Arial"/>
      <family val="2"/>
    </font>
    <font>
      <sz val="16"/>
      <name val="Linux Libertine G"/>
      <family val="2"/>
    </font>
    <font>
      <sz val="14"/>
      <name val="Arial"/>
      <family val="2"/>
    </font>
    <font>
      <b/>
      <sz val="18"/>
      <color rgb="FF0C0301"/>
      <name val="Helvetica"/>
      <family val="2"/>
    </font>
    <font>
      <sz val="18"/>
      <color rgb="FF0C0301"/>
      <name val="Helvetica"/>
      <family val="2"/>
    </font>
    <font>
      <b/>
      <sz val="18"/>
      <color rgb="FF202122"/>
      <name val="蘋方-繁 標準體"/>
      <charset val="136"/>
    </font>
    <font>
      <b/>
      <sz val="16"/>
      <color rgb="FFFFFFFF"/>
      <name val="蘋方-繁 標準體"/>
      <family val="1"/>
      <charset val="136"/>
    </font>
    <font>
      <b/>
      <sz val="18"/>
      <color rgb="FF202122"/>
      <name val="PMingLiU"/>
      <family val="1"/>
      <charset val="136"/>
    </font>
    <font>
      <b/>
      <sz val="18"/>
      <color rgb="FF202122"/>
      <name val="PingFang TC Semibold"/>
      <family val="1"/>
    </font>
    <font>
      <sz val="24"/>
      <color rgb="FF000000"/>
      <name val="PMingLiU"/>
      <family val="1"/>
      <charset val="136"/>
    </font>
    <font>
      <sz val="24"/>
      <color rgb="FF0000FF"/>
      <name val="PMingLiU"/>
      <family val="1"/>
      <charset val="136"/>
    </font>
    <font>
      <sz val="24"/>
      <color rgb="FF0000FF"/>
      <name val="Arial"/>
      <family val="1"/>
      <charset val="136"/>
    </font>
    <font>
      <b/>
      <sz val="18"/>
      <color rgb="FF202122"/>
      <name val="蘋方-繁 標準體"/>
      <family val="1"/>
      <charset val="136"/>
    </font>
    <font>
      <sz val="28"/>
      <color rgb="FF202122"/>
      <name val="Times New Roman"/>
      <family val="1"/>
    </font>
    <font>
      <sz val="28"/>
      <color rgb="FF202122"/>
      <name val="蘋方-繁 標準體"/>
      <family val="1"/>
      <charset val="136"/>
    </font>
    <font>
      <sz val="10"/>
      <name val="Linux Libertine G"/>
      <family val="2"/>
    </font>
    <font>
      <sz val="11"/>
      <name val="Arial"/>
      <family val="2"/>
    </font>
    <font>
      <sz val="14"/>
      <name val="新細明體"/>
      <family val="1"/>
      <charset val="136"/>
    </font>
    <font>
      <strike/>
      <sz val="24"/>
      <color rgb="FFFF0000"/>
      <name val="Arial"/>
      <family val="2"/>
    </font>
    <font>
      <sz val="24"/>
      <color rgb="FFFF0000"/>
      <name val="Linux Libertine G"/>
      <family val="2"/>
    </font>
    <font>
      <sz val="18"/>
      <color rgb="FFFF0000"/>
      <name val="新細明體"/>
      <family val="1"/>
      <charset val="136"/>
    </font>
    <font>
      <sz val="18"/>
      <color theme="1"/>
      <name val="PMingLiU"/>
      <family val="1"/>
      <charset val="136"/>
    </font>
    <font>
      <b/>
      <sz val="14"/>
      <name val="PMingLiU"/>
      <family val="1"/>
      <charset val="136"/>
    </font>
    <font>
      <b/>
      <sz val="14"/>
      <name val="PingFang TC Semibold"/>
      <family val="1"/>
      <charset val="136"/>
    </font>
    <font>
      <sz val="15"/>
      <color rgb="FF202122"/>
      <name val="蘋方-繁 標準體"/>
      <charset val="136"/>
    </font>
    <font>
      <sz val="15"/>
      <color rgb="FF0645AD"/>
      <name val="蘋方-繁 標準體"/>
      <charset val="136"/>
    </font>
    <font>
      <b/>
      <sz val="15"/>
      <color rgb="FF202122"/>
      <name val="蘋方-繁 標準體"/>
      <charset val="136"/>
    </font>
    <font>
      <sz val="15"/>
      <color rgb="FF202122"/>
      <name val="Times New Roman"/>
      <family val="1"/>
    </font>
    <font>
      <sz val="10"/>
      <color rgb="FF000000"/>
      <name val="源樣黑體 L"/>
      <family val="3"/>
      <charset val="136"/>
    </font>
    <font>
      <sz val="11"/>
      <color rgb="FF1155CC"/>
      <name val="源樣黑體 L"/>
      <family val="3"/>
      <charset val="136"/>
    </font>
    <font>
      <sz val="14"/>
      <color rgb="FFFFFFFF"/>
      <name val="源樣黑體 L"/>
      <family val="3"/>
      <charset val="136"/>
    </font>
    <font>
      <sz val="11"/>
      <color rgb="FFFFFFFF"/>
      <name val="源樣黑體 L"/>
      <family val="3"/>
      <charset val="136"/>
    </font>
    <font>
      <sz val="14"/>
      <color rgb="FF000000"/>
      <name val="源樣黑體 L"/>
      <family val="3"/>
      <charset val="136"/>
    </font>
    <font>
      <sz val="24"/>
      <color rgb="FFFF6D01"/>
      <name val="源樣黑體 L"/>
      <family val="3"/>
      <charset val="136"/>
    </font>
    <font>
      <sz val="24"/>
      <color rgb="FF000000"/>
      <name val="源樣黑體 L"/>
      <family val="3"/>
      <charset val="136"/>
    </font>
    <font>
      <sz val="24"/>
      <color rgb="FFB4C7DC"/>
      <name val="源樣黑體 L"/>
      <family val="3"/>
      <charset val="136"/>
    </font>
    <font>
      <sz val="24"/>
      <color rgb="FFFF0000"/>
      <name val="源樣黑體 L"/>
      <family val="3"/>
      <charset val="136"/>
    </font>
    <font>
      <sz val="24"/>
      <color rgb="FFFF9900"/>
      <name val="源樣黑體 L"/>
      <family val="3"/>
      <charset val="136"/>
    </font>
    <font>
      <b/>
      <sz val="14"/>
      <color theme="4"/>
      <name val="源樣黑體 L"/>
      <family val="3"/>
      <charset val="136"/>
    </font>
    <font>
      <b/>
      <sz val="14"/>
      <color theme="4"/>
      <name val="黒体-繁"/>
      <family val="2"/>
      <charset val="136"/>
    </font>
    <font>
      <sz val="10"/>
      <color theme="1"/>
      <name val="源樣黑體 L"/>
      <family val="3"/>
      <charset val="136"/>
    </font>
    <font>
      <sz val="18"/>
      <color theme="1"/>
      <name val="源樣黑體 L"/>
      <family val="3"/>
      <charset val="136"/>
    </font>
    <font>
      <sz val="10"/>
      <name val="源樣黑體 L"/>
      <family val="3"/>
      <charset val="136"/>
    </font>
    <font>
      <sz val="14"/>
      <color theme="1"/>
      <name val="源樣黑體 L"/>
      <family val="3"/>
      <charset val="136"/>
    </font>
    <font>
      <sz val="18"/>
      <color rgb="FF134F5C"/>
      <name val="源樣黑體 L"/>
      <family val="3"/>
      <charset val="136"/>
    </font>
    <font>
      <sz val="18"/>
      <color rgb="FFB7B7B7"/>
      <name val="源樣黑體 L"/>
      <family val="3"/>
      <charset val="136"/>
    </font>
    <font>
      <sz val="18"/>
      <color theme="1"/>
      <name val="Arial"/>
      <family val="2"/>
    </font>
    <font>
      <sz val="18"/>
      <color rgb="FFEA4335"/>
      <name val="源樣黑體 L"/>
      <family val="3"/>
      <charset val="136"/>
    </font>
    <font>
      <sz val="24"/>
      <color theme="1"/>
      <name val="源樣黑體 L"/>
      <family val="3"/>
      <charset val="136"/>
    </font>
    <font>
      <sz val="18"/>
      <color theme="4"/>
      <name val="源樣黑體 L"/>
      <family val="3"/>
      <charset val="136"/>
    </font>
    <font>
      <sz val="18"/>
      <name val="源樣黑體 L"/>
      <family val="3"/>
      <charset val="136"/>
    </font>
    <font>
      <sz val="16"/>
      <color rgb="FF0C0301"/>
      <name val="Arial"/>
      <family val="2"/>
    </font>
    <font>
      <sz val="18"/>
      <color rgb="FF9C0006"/>
      <name val="黒体-繁"/>
      <family val="2"/>
      <charset val="136"/>
    </font>
    <font>
      <b/>
      <sz val="18"/>
      <color rgb="FF000000"/>
      <name val="PMingLiU"/>
      <family val="1"/>
      <charset val="136"/>
    </font>
    <font>
      <b/>
      <sz val="16"/>
      <color rgb="FFFFFFFF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20"/>
      <color theme="7" tint="-0.249977111117893"/>
      <name val="Arial"/>
      <family val="2"/>
    </font>
    <font>
      <sz val="28"/>
      <color rgb="FF9C0006"/>
      <name val="黒体-繁"/>
      <family val="2"/>
      <charset val="136"/>
    </font>
    <font>
      <sz val="28"/>
      <color rgb="FF9C0006"/>
      <name val="Cambria"/>
      <family val="1"/>
    </font>
    <font>
      <sz val="20"/>
      <color theme="4"/>
      <name val="Arial"/>
      <family val="2"/>
    </font>
    <font>
      <sz val="24"/>
      <color theme="1"/>
      <name val="黒体-繁"/>
      <family val="2"/>
      <charset val="136"/>
    </font>
    <font>
      <sz val="24"/>
      <color theme="1"/>
      <name val="微軟正黑體"/>
      <family val="2"/>
      <charset val="136"/>
    </font>
    <font>
      <sz val="20"/>
      <color theme="1"/>
      <name val="黒体-繁"/>
      <family val="2"/>
      <charset val="136"/>
    </font>
    <font>
      <sz val="20"/>
      <color theme="1"/>
      <name val="Cambria"/>
      <family val="1"/>
    </font>
    <font>
      <sz val="20"/>
      <color rgb="FF000000"/>
      <name val="Arial"/>
      <family val="2"/>
    </font>
    <font>
      <sz val="24"/>
      <color theme="1"/>
      <name val="Cambria"/>
      <family val="1"/>
    </font>
    <font>
      <sz val="24"/>
      <color rgb="FF000000"/>
      <name val="Arial"/>
      <family val="1"/>
    </font>
    <font>
      <sz val="24"/>
      <color rgb="FFFF0000"/>
      <name val="PMingLiU"/>
      <family val="1"/>
      <charset val="136"/>
    </font>
    <font>
      <sz val="24"/>
      <color rgb="FFEA4335"/>
      <name val="PMingLiU"/>
      <family val="1"/>
      <charset val="136"/>
    </font>
    <font>
      <sz val="24"/>
      <name val="PMingLiU"/>
      <family val="1"/>
      <charset val="136"/>
    </font>
    <font>
      <b/>
      <sz val="12"/>
      <color rgb="FFFFFFFF"/>
      <name val="Arial"/>
      <family val="2"/>
    </font>
    <font>
      <b/>
      <sz val="12"/>
      <color rgb="FFFFFFFF"/>
      <name val="PMingLiU"/>
      <family val="1"/>
      <charset val="136"/>
    </font>
    <font>
      <b/>
      <sz val="12"/>
      <color rgb="FFFFFF00"/>
      <name val="Arial"/>
      <family val="2"/>
    </font>
    <font>
      <sz val="12"/>
      <color theme="1"/>
      <name val="黒体-繁"/>
      <family val="2"/>
      <charset val="136"/>
    </font>
    <font>
      <b/>
      <sz val="12"/>
      <color theme="0"/>
      <name val="Arial"/>
      <family val="2"/>
    </font>
    <font>
      <b/>
      <sz val="12"/>
      <color rgb="FFFFFFFF"/>
      <name val="蘋方-繁 標準體"/>
      <charset val="136"/>
    </font>
    <font>
      <sz val="36"/>
      <color rgb="FFFF0000"/>
      <name val="蘋方-繁"/>
      <family val="2"/>
      <charset val="136"/>
    </font>
    <font>
      <sz val="18"/>
      <color theme="1"/>
      <name val="蘋方-繁 中黑體"/>
      <family val="3"/>
      <charset val="136"/>
    </font>
    <font>
      <sz val="18"/>
      <color theme="1"/>
      <name val="蘋方-繁 中黑體"/>
      <charset val="136"/>
    </font>
    <font>
      <sz val="28"/>
      <color rgb="FFFF0000"/>
      <name val="LXGW WenKai Mono TC"/>
      <family val="3"/>
      <charset val="136"/>
    </font>
    <font>
      <sz val="26"/>
      <color theme="1"/>
      <name val="LXGW WenKai Mono TC Bold"/>
    </font>
    <font>
      <sz val="24"/>
      <color rgb="FFFF0000"/>
      <name val="LXGW WenKai Mono TC Bold"/>
    </font>
    <font>
      <b/>
      <sz val="16"/>
      <color theme="0"/>
      <name val="PMingLiU"/>
      <family val="1"/>
      <charset val="136"/>
    </font>
    <font>
      <b/>
      <sz val="18"/>
      <color rgb="FF000000"/>
      <name val="PingFang TC Semibold"/>
      <family val="1"/>
    </font>
    <font>
      <sz val="18"/>
      <color theme="1"/>
      <name val="黒体-繁"/>
      <family val="1"/>
      <charset val="136"/>
    </font>
    <font>
      <sz val="24"/>
      <color rgb="FF000000"/>
      <name val="LXGW WenKai TC Bold"/>
    </font>
    <font>
      <sz val="24"/>
      <color rgb="FF202122"/>
      <name val="LXGW WenKai TC Bold"/>
    </font>
    <font>
      <sz val="24"/>
      <color rgb="FFFF0000"/>
      <name val="LXGW WenKai TC Bold"/>
    </font>
    <font>
      <sz val="24"/>
      <name val="LXGW WenKai TC Bold"/>
    </font>
    <font>
      <sz val="24"/>
      <color theme="4"/>
      <name val="LXGW WenKai TC"/>
      <family val="1"/>
      <charset val="136"/>
    </font>
    <font>
      <sz val="24"/>
      <color rgb="FFFF0000"/>
      <name val="KangXiZiDian.com 康熙字典體常用版"/>
      <family val="3"/>
      <charset val="136"/>
    </font>
    <font>
      <sz val="18"/>
      <color rgb="FFFF0000"/>
      <name val="Arial Bold"/>
    </font>
    <font>
      <sz val="28"/>
      <color theme="8"/>
      <name val="KangXiZiDian.com 康熙字典體常用版"/>
      <charset val="136"/>
    </font>
    <font>
      <sz val="22"/>
      <name val="KangXiZiDian.com 康熙字典體常用版"/>
      <charset val="136"/>
    </font>
    <font>
      <sz val="22"/>
      <color theme="1"/>
      <name val="KangXiZiDian.com 康熙字典體常用版"/>
      <charset val="136"/>
    </font>
    <font>
      <sz val="22"/>
      <color rgb="FFFF0000"/>
      <name val="Arial"/>
      <family val="2"/>
    </font>
    <font>
      <sz val="24"/>
      <color rgb="FFFF0000"/>
      <name val="LXGW WenKai TC"/>
      <family val="1"/>
      <charset val="136"/>
    </font>
    <font>
      <sz val="14"/>
      <color rgb="FF000000"/>
      <name val="PingFang TC"/>
      <family val="2"/>
      <charset val="136"/>
    </font>
    <font>
      <sz val="14"/>
      <color rgb="FF000000"/>
      <name val="Cambria"/>
      <family val="1"/>
    </font>
    <font>
      <sz val="14"/>
      <color rgb="FF000000"/>
      <name val="蘋方-繁 標準體"/>
      <family val="2"/>
      <charset val="136"/>
    </font>
    <font>
      <sz val="28"/>
      <color theme="4"/>
      <name val="蘋方-繁 標準體"/>
      <charset val="136"/>
    </font>
    <font>
      <sz val="28"/>
      <color rgb="FFFF0000"/>
      <name val="蘋方-繁 標準體"/>
      <charset val="136"/>
    </font>
    <font>
      <sz val="24"/>
      <color rgb="FF202122"/>
      <name val="蘋方-繁 標準體"/>
      <charset val="136"/>
    </font>
    <font>
      <sz val="24"/>
      <color rgb="FF202122"/>
      <name val="細明體"/>
      <family val="1"/>
      <charset val="136"/>
    </font>
    <font>
      <sz val="28"/>
      <color rgb="FF202122"/>
      <name val="PingFang TC"/>
      <family val="2"/>
      <charset val="136"/>
    </font>
    <font>
      <sz val="16"/>
      <color rgb="FF000000"/>
      <name val="蘋方-繁 標準體"/>
      <charset val="136"/>
    </font>
    <font>
      <sz val="16"/>
      <color rgb="FF000000"/>
      <name val="PingFang TC Semibold"/>
      <family val="1"/>
    </font>
    <font>
      <sz val="16"/>
      <color rgb="FF000000"/>
      <name val="蘋方-繁 標準體"/>
      <family val="2"/>
      <charset val="136"/>
    </font>
    <font>
      <sz val="16"/>
      <color rgb="FF000000"/>
      <name val="PingFang TC"/>
      <family val="2"/>
      <charset val="136"/>
    </font>
    <font>
      <sz val="18"/>
      <color rgb="FFFF0000"/>
      <name val="新細明體"/>
      <scheme val="minor"/>
    </font>
    <font>
      <sz val="18"/>
      <color theme="0"/>
      <name val="新細明體"/>
      <scheme val="minor"/>
    </font>
    <font>
      <sz val="10"/>
      <color rgb="FF000000"/>
      <name val="新細明體"/>
      <scheme val="minor"/>
    </font>
    <font>
      <b/>
      <sz val="16"/>
      <color rgb="FFFFFFFF"/>
      <name val="新細明體"/>
      <scheme val="minor"/>
    </font>
    <font>
      <sz val="18"/>
      <color rgb="FF000000"/>
      <name val="新細明體"/>
      <family val="1"/>
      <scheme val="minor"/>
    </font>
    <font>
      <sz val="18"/>
      <color rgb="FFFF0000"/>
      <name val="新細明體"/>
      <family val="1"/>
      <scheme val="minor"/>
    </font>
    <font>
      <sz val="18"/>
      <color theme="1"/>
      <name val="新細明體"/>
      <family val="1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C9DAF8"/>
        <bgColor rgb="FFCFE2F3"/>
      </patternFill>
    </fill>
    <fill>
      <patternFill patternType="solid">
        <fgColor rgb="FFD6DCE4"/>
        <bgColor rgb="FF000000"/>
      </patternFill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5B9BD5"/>
        <bgColor rgb="FFB7B7B7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CCCC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AECF0"/>
        <bgColor rgb="FFEAECF0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29FCF"/>
        <bgColor rgb="FF729FCF"/>
      </patternFill>
    </fill>
    <fill>
      <patternFill patternType="solid">
        <fgColor rgb="FFB7E1CD"/>
        <bgColor rgb="FFB7E1CD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3366BB"/>
      </left>
      <right style="thin">
        <color rgb="FF3366BB"/>
      </right>
      <top style="thin">
        <color rgb="FF3366BB"/>
      </top>
      <bottom style="thin">
        <color rgb="FF3366BB"/>
      </bottom>
      <diagonal/>
    </border>
    <border>
      <left/>
      <right style="thin">
        <color rgb="FF3366BB"/>
      </right>
      <top style="thin">
        <color rgb="FF3366BB"/>
      </top>
      <bottom style="thin">
        <color rgb="FF3366BB"/>
      </bottom>
      <diagonal/>
    </border>
    <border>
      <left/>
      <right/>
      <top/>
      <bottom style="thin">
        <color rgb="FF000000"/>
      </bottom>
      <diagonal/>
    </border>
    <border>
      <left style="thin">
        <color rgb="FF3366BB"/>
      </left>
      <right style="thin">
        <color rgb="FF3366BB"/>
      </right>
      <top/>
      <bottom style="thin">
        <color rgb="FF3366BB"/>
      </bottom>
      <diagonal/>
    </border>
    <border>
      <left/>
      <right style="thin">
        <color rgb="FF3366BB"/>
      </right>
      <top/>
      <bottom style="thin">
        <color rgb="FF3366B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38" fillId="0" borderId="0"/>
    <xf numFmtId="0" fontId="70" fillId="0" borderId="0"/>
    <xf numFmtId="0" fontId="190" fillId="30" borderId="0" applyNumberFormat="0" applyBorder="0" applyAlignment="0" applyProtection="0">
      <alignment vertical="center"/>
    </xf>
  </cellStyleXfs>
  <cellXfs count="48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8" fillId="0" borderId="0" xfId="0" applyFont="1" applyAlignment="1">
      <alignment horizontal="left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>
      <alignment vertical="center"/>
    </xf>
    <xf numFmtId="0" fontId="2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23" fillId="5" borderId="2" xfId="0" applyFont="1" applyFill="1" applyBorder="1" applyAlignment="1">
      <alignment horizontal="center" vertical="center"/>
    </xf>
    <xf numFmtId="0" fontId="24" fillId="6" borderId="2" xfId="0" applyFont="1" applyFill="1" applyBorder="1">
      <alignment vertical="center"/>
    </xf>
    <xf numFmtId="0" fontId="19" fillId="5" borderId="2" xfId="0" applyFont="1" applyFill="1" applyBorder="1">
      <alignment vertical="center"/>
    </xf>
    <xf numFmtId="0" fontId="25" fillId="7" borderId="2" xfId="0" applyFont="1" applyFill="1" applyBorder="1" applyAlignment="1">
      <alignment horizontal="center" vertical="center"/>
    </xf>
    <xf numFmtId="0" fontId="26" fillId="0" borderId="2" xfId="0" applyFont="1" applyBorder="1">
      <alignment vertical="center"/>
    </xf>
    <xf numFmtId="0" fontId="27" fillId="5" borderId="2" xfId="0" applyFont="1" applyFill="1" applyBorder="1">
      <alignment vertical="center"/>
    </xf>
    <xf numFmtId="0" fontId="19" fillId="9" borderId="2" xfId="0" applyFont="1" applyFill="1" applyBorder="1">
      <alignment vertical="center"/>
    </xf>
    <xf numFmtId="0" fontId="19" fillId="0" borderId="3" xfId="0" applyFont="1" applyBorder="1">
      <alignment vertical="center"/>
    </xf>
    <xf numFmtId="0" fontId="19" fillId="0" borderId="4" xfId="0" applyFont="1" applyBorder="1">
      <alignment vertical="center"/>
    </xf>
    <xf numFmtId="0" fontId="22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22" fillId="5" borderId="2" xfId="0" applyFont="1" applyFill="1" applyBorder="1">
      <alignment vertical="center"/>
    </xf>
    <xf numFmtId="0" fontId="28" fillId="0" borderId="2" xfId="0" applyFont="1" applyBorder="1">
      <alignment vertical="center"/>
    </xf>
    <xf numFmtId="0" fontId="29" fillId="0" borderId="2" xfId="0" applyFont="1" applyBorder="1">
      <alignment vertical="center"/>
    </xf>
    <xf numFmtId="0" fontId="30" fillId="5" borderId="2" xfId="0" applyFont="1" applyFill="1" applyBorder="1">
      <alignment vertical="center"/>
    </xf>
    <xf numFmtId="0" fontId="31" fillId="0" borderId="2" xfId="0" applyFont="1" applyBorder="1">
      <alignment vertical="center"/>
    </xf>
    <xf numFmtId="0" fontId="31" fillId="5" borderId="2" xfId="0" applyFont="1" applyFill="1" applyBorder="1">
      <alignment vertical="center"/>
    </xf>
    <xf numFmtId="0" fontId="24" fillId="10" borderId="2" xfId="0" applyFont="1" applyFill="1" applyBorder="1">
      <alignment vertical="center"/>
    </xf>
    <xf numFmtId="0" fontId="21" fillId="0" borderId="2" xfId="0" applyFont="1" applyBorder="1" applyAlignment="1">
      <alignment horizontal="center" vertical="center"/>
    </xf>
    <xf numFmtId="0" fontId="32" fillId="4" borderId="2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35" fillId="0" borderId="0" xfId="0" applyFont="1">
      <alignment vertical="center"/>
    </xf>
    <xf numFmtId="176" fontId="35" fillId="0" borderId="0" xfId="0" applyNumberFormat="1" applyFont="1" applyAlignment="1">
      <alignment horizontal="center" vertical="center"/>
    </xf>
    <xf numFmtId="0" fontId="39" fillId="0" borderId="0" xfId="1" applyFont="1" applyAlignment="1">
      <alignment horizontal="center" vertical="center"/>
    </xf>
    <xf numFmtId="0" fontId="40" fillId="0" borderId="0" xfId="1" applyFont="1" applyAlignment="1">
      <alignment horizontal="center" vertical="center"/>
    </xf>
    <xf numFmtId="0" fontId="40" fillId="0" borderId="0" xfId="1" applyFont="1" applyAlignment="1">
      <alignment horizontal="left" vertical="center" indent="1"/>
    </xf>
    <xf numFmtId="0" fontId="41" fillId="0" borderId="0" xfId="1" applyFont="1" applyAlignment="1">
      <alignment horizontal="left" vertical="center"/>
    </xf>
    <xf numFmtId="0" fontId="38" fillId="0" borderId="0" xfId="1"/>
    <xf numFmtId="0" fontId="45" fillId="0" borderId="0" xfId="1" applyFont="1" applyAlignment="1">
      <alignment vertical="center"/>
    </xf>
    <xf numFmtId="0" fontId="46" fillId="0" borderId="0" xfId="1" applyFont="1" applyAlignment="1">
      <alignment vertical="center"/>
    </xf>
    <xf numFmtId="0" fontId="46" fillId="0" borderId="0" xfId="1" applyFont="1" applyAlignment="1">
      <alignment horizontal="left" vertical="center" indent="1"/>
    </xf>
    <xf numFmtId="0" fontId="47" fillId="0" borderId="0" xfId="1" applyFont="1" applyAlignment="1">
      <alignment vertical="center"/>
    </xf>
    <xf numFmtId="0" fontId="48" fillId="0" borderId="0" xfId="1" applyFont="1" applyAlignment="1">
      <alignment vertical="center"/>
    </xf>
    <xf numFmtId="0" fontId="48" fillId="0" borderId="0" xfId="1" applyFont="1" applyAlignment="1">
      <alignment horizontal="left" vertical="center" indent="1"/>
    </xf>
    <xf numFmtId="0" fontId="49" fillId="0" borderId="0" xfId="1" applyFont="1" applyAlignment="1">
      <alignment horizontal="left" vertical="center"/>
    </xf>
    <xf numFmtId="0" fontId="38" fillId="0" borderId="0" xfId="1" applyAlignment="1">
      <alignment horizontal="left" indent="1"/>
    </xf>
    <xf numFmtId="0" fontId="45" fillId="0" borderId="0" xfId="1" applyFont="1" applyAlignment="1">
      <alignment horizontal="center" vertical="center"/>
    </xf>
    <xf numFmtId="0" fontId="47" fillId="0" borderId="0" xfId="1" applyFont="1" applyAlignment="1">
      <alignment horizontal="center" vertical="center"/>
    </xf>
    <xf numFmtId="0" fontId="38" fillId="0" borderId="0" xfId="1" applyAlignment="1">
      <alignment horizontal="center"/>
    </xf>
    <xf numFmtId="0" fontId="17" fillId="0" borderId="0" xfId="1" applyFont="1"/>
    <xf numFmtId="0" fontId="5" fillId="0" borderId="0" xfId="1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0" fillId="2" borderId="1" xfId="1" applyFont="1" applyFill="1" applyBorder="1" applyAlignment="1">
      <alignment horizontal="center" vertical="center" wrapText="1"/>
    </xf>
    <xf numFmtId="0" fontId="3" fillId="0" borderId="0" xfId="1" applyFont="1"/>
    <xf numFmtId="0" fontId="4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6" fillId="11" borderId="1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 vertical="center"/>
    </xf>
    <xf numFmtId="0" fontId="51" fillId="0" borderId="1" xfId="1" applyFont="1" applyBorder="1" applyAlignment="1">
      <alignment horizontal="center" vertical="center" wrapText="1"/>
    </xf>
    <xf numFmtId="0" fontId="52" fillId="0" borderId="1" xfId="1" applyFont="1" applyBorder="1" applyAlignment="1">
      <alignment horizontal="center" vertical="center" wrapText="1"/>
    </xf>
    <xf numFmtId="0" fontId="53" fillId="0" borderId="0" xfId="1" applyFont="1" applyAlignment="1">
      <alignment horizontal="center" vertical="center"/>
    </xf>
    <xf numFmtId="0" fontId="32" fillId="4" borderId="2" xfId="1" applyFont="1" applyFill="1" applyBorder="1" applyAlignment="1">
      <alignment horizontal="center" vertical="center"/>
    </xf>
    <xf numFmtId="0" fontId="41" fillId="0" borderId="0" xfId="1" applyFont="1"/>
    <xf numFmtId="0" fontId="54" fillId="0" borderId="2" xfId="1" applyFont="1" applyBorder="1" applyAlignment="1">
      <alignment horizontal="center" vertical="center"/>
    </xf>
    <xf numFmtId="0" fontId="43" fillId="0" borderId="2" xfId="1" applyFont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55" fillId="13" borderId="1" xfId="0" applyFont="1" applyFill="1" applyBorder="1" applyAlignment="1">
      <alignment horizontal="center" vertical="center"/>
    </xf>
    <xf numFmtId="0" fontId="55" fillId="12" borderId="1" xfId="0" applyFont="1" applyFill="1" applyBorder="1" applyAlignment="1">
      <alignment horizontal="center" vertical="center"/>
    </xf>
    <xf numFmtId="0" fontId="56" fillId="0" borderId="1" xfId="0" applyFont="1" applyBorder="1" applyAlignment="1">
      <alignment horizontal="center" vertical="center"/>
    </xf>
    <xf numFmtId="0" fontId="59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2" fillId="4" borderId="2" xfId="1" applyFont="1" applyFill="1" applyBorder="1" applyAlignment="1">
      <alignment horizontal="left" vertical="center" indent="1"/>
    </xf>
    <xf numFmtId="0" fontId="53" fillId="0" borderId="0" xfId="1" applyFont="1" applyAlignment="1">
      <alignment horizontal="left" vertical="center" indent="1"/>
    </xf>
    <xf numFmtId="0" fontId="61" fillId="14" borderId="0" xfId="0" applyFont="1" applyFill="1" applyAlignment="1">
      <alignment horizontal="left" indent="1"/>
    </xf>
    <xf numFmtId="0" fontId="62" fillId="14" borderId="0" xfId="0" applyFont="1" applyFill="1" applyAlignment="1">
      <alignment horizontal="center" vertical="center"/>
    </xf>
    <xf numFmtId="0" fontId="62" fillId="14" borderId="0" xfId="0" applyFont="1" applyFill="1" applyAlignment="1">
      <alignment horizontal="left" vertical="center" indent="1"/>
    </xf>
    <xf numFmtId="176" fontId="37" fillId="15" borderId="0" xfId="0" applyNumberFormat="1" applyFont="1" applyFill="1" applyAlignment="1">
      <alignment horizontal="center" vertical="center"/>
    </xf>
    <xf numFmtId="176" fontId="63" fillId="14" borderId="0" xfId="0" applyNumberFormat="1" applyFont="1" applyFill="1" applyAlignment="1">
      <alignment horizontal="center" vertical="center"/>
    </xf>
    <xf numFmtId="177" fontId="43" fillId="0" borderId="2" xfId="1" applyNumberFormat="1" applyFont="1" applyBorder="1" applyAlignment="1">
      <alignment horizontal="left" vertical="center" indent="1"/>
    </xf>
    <xf numFmtId="0" fontId="11" fillId="0" borderId="0" xfId="0" applyFont="1" applyAlignment="1">
      <alignment horizontal="center" vertical="center"/>
    </xf>
    <xf numFmtId="0" fontId="64" fillId="13" borderId="1" xfId="0" applyFont="1" applyFill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67" fillId="0" borderId="0" xfId="0" applyFont="1">
      <alignment vertical="center"/>
    </xf>
    <xf numFmtId="0" fontId="69" fillId="13" borderId="1" xfId="0" applyFont="1" applyFill="1" applyBorder="1" applyAlignment="1">
      <alignment horizontal="center" vertical="center"/>
    </xf>
    <xf numFmtId="0" fontId="24" fillId="0" borderId="2" xfId="0" applyFont="1" applyBorder="1">
      <alignment vertical="center"/>
    </xf>
    <xf numFmtId="0" fontId="20" fillId="12" borderId="1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73" fillId="0" borderId="1" xfId="2" applyFont="1" applyBorder="1" applyAlignment="1">
      <alignment horizontal="center" vertical="center"/>
    </xf>
    <xf numFmtId="0" fontId="75" fillId="0" borderId="1" xfId="2" applyFont="1" applyBorder="1"/>
    <xf numFmtId="0" fontId="77" fillId="0" borderId="1" xfId="2" applyFont="1" applyBorder="1" applyAlignment="1">
      <alignment horizontal="center" vertical="center"/>
    </xf>
    <xf numFmtId="0" fontId="72" fillId="0" borderId="1" xfId="2" applyFont="1" applyBorder="1" applyAlignment="1">
      <alignment horizontal="center" vertical="center"/>
    </xf>
    <xf numFmtId="0" fontId="78" fillId="0" borderId="1" xfId="2" applyFont="1" applyBorder="1" applyAlignment="1">
      <alignment horizontal="center" vertical="center"/>
    </xf>
    <xf numFmtId="0" fontId="73" fillId="0" borderId="1" xfId="2" applyFont="1" applyBorder="1" applyAlignment="1">
      <alignment horizontal="left" vertical="center" indent="1"/>
    </xf>
    <xf numFmtId="0" fontId="36" fillId="14" borderId="0" xfId="0" applyFont="1" applyFill="1" applyAlignment="1">
      <alignment horizontal="center" vertical="center"/>
    </xf>
    <xf numFmtId="0" fontId="74" fillId="0" borderId="1" xfId="0" applyFont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79" fillId="0" borderId="1" xfId="0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80" fillId="2" borderId="1" xfId="1" applyFont="1" applyFill="1" applyBorder="1" applyAlignment="1">
      <alignment horizontal="center" vertical="center" wrapText="1"/>
    </xf>
    <xf numFmtId="0" fontId="60" fillId="2" borderId="1" xfId="1" applyFont="1" applyFill="1" applyBorder="1" applyAlignment="1">
      <alignment horizontal="center" vertical="center" wrapText="1"/>
    </xf>
    <xf numFmtId="176" fontId="37" fillId="0" borderId="0" xfId="0" applyNumberFormat="1" applyFont="1" applyAlignment="1">
      <alignment horizontal="center" vertical="center"/>
    </xf>
    <xf numFmtId="0" fontId="24" fillId="6" borderId="5" xfId="0" applyFont="1" applyFill="1" applyBorder="1">
      <alignment vertical="center"/>
    </xf>
    <xf numFmtId="0" fontId="82" fillId="4" borderId="2" xfId="0" applyFont="1" applyFill="1" applyBorder="1" applyAlignment="1">
      <alignment horizontal="center" vertical="center"/>
    </xf>
    <xf numFmtId="0" fontId="83" fillId="4" borderId="2" xfId="0" applyFont="1" applyFill="1" applyBorder="1" applyAlignment="1">
      <alignment horizontal="center" vertical="center"/>
    </xf>
    <xf numFmtId="0" fontId="84" fillId="4" borderId="2" xfId="0" applyFont="1" applyFill="1" applyBorder="1" applyAlignment="1">
      <alignment horizontal="center" vertical="center"/>
    </xf>
    <xf numFmtId="0" fontId="85" fillId="0" borderId="0" xfId="0" applyFont="1">
      <alignment vertical="center"/>
    </xf>
    <xf numFmtId="0" fontId="66" fillId="0" borderId="1" xfId="0" applyFont="1" applyBorder="1" applyAlignment="1">
      <alignment horizontal="left" vertical="center" indent="1"/>
    </xf>
    <xf numFmtId="0" fontId="81" fillId="14" borderId="1" xfId="0" applyFont="1" applyFill="1" applyBorder="1" applyAlignment="1">
      <alignment horizontal="left" vertical="center" indent="1"/>
    </xf>
    <xf numFmtId="0" fontId="86" fillId="17" borderId="0" xfId="0" applyFont="1" applyFill="1" applyAlignment="1">
      <alignment horizontal="center"/>
    </xf>
    <xf numFmtId="0" fontId="87" fillId="0" borderId="0" xfId="0" applyFont="1">
      <alignment vertical="center"/>
    </xf>
    <xf numFmtId="0" fontId="92" fillId="15" borderId="1" xfId="0" applyFont="1" applyFill="1" applyBorder="1" applyAlignment="1">
      <alignment horizontal="center" vertical="center"/>
    </xf>
    <xf numFmtId="0" fontId="88" fillId="12" borderId="1" xfId="0" applyFont="1" applyFill="1" applyBorder="1">
      <alignment vertical="center"/>
    </xf>
    <xf numFmtId="0" fontId="89" fillId="0" borderId="1" xfId="0" applyFont="1" applyBorder="1">
      <alignment vertical="center"/>
    </xf>
    <xf numFmtId="0" fontId="88" fillId="0" borderId="1" xfId="0" applyFont="1" applyBorder="1">
      <alignment vertical="center"/>
    </xf>
    <xf numFmtId="0" fontId="93" fillId="0" borderId="0" xfId="0" applyFont="1" applyAlignment="1">
      <alignment horizontal="center" vertical="center"/>
    </xf>
    <xf numFmtId="0" fontId="94" fillId="14" borderId="0" xfId="1" applyFont="1" applyFill="1" applyAlignment="1">
      <alignment horizontal="center" vertical="center"/>
    </xf>
    <xf numFmtId="0" fontId="95" fillId="14" borderId="0" xfId="1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96" fillId="0" borderId="0" xfId="1" applyFont="1"/>
    <xf numFmtId="0" fontId="97" fillId="0" borderId="1" xfId="1" applyFont="1" applyBorder="1" applyAlignment="1">
      <alignment horizontal="center" vertical="center"/>
    </xf>
    <xf numFmtId="0" fontId="97" fillId="0" borderId="1" xfId="1" applyFont="1" applyBorder="1" applyAlignment="1">
      <alignment horizontal="center" vertical="center" wrapText="1"/>
    </xf>
    <xf numFmtId="0" fontId="79" fillId="0" borderId="0" xfId="0" applyFont="1">
      <alignment vertical="center"/>
    </xf>
    <xf numFmtId="0" fontId="98" fillId="0" borderId="2" xfId="0" applyFont="1" applyBorder="1">
      <alignment vertical="center"/>
    </xf>
    <xf numFmtId="0" fontId="98" fillId="5" borderId="2" xfId="0" applyFont="1" applyFill="1" applyBorder="1">
      <alignment vertical="center"/>
    </xf>
    <xf numFmtId="0" fontId="98" fillId="0" borderId="4" xfId="0" applyFont="1" applyBorder="1">
      <alignment vertical="center"/>
    </xf>
    <xf numFmtId="0" fontId="98" fillId="6" borderId="2" xfId="0" applyFont="1" applyFill="1" applyBorder="1">
      <alignment vertical="center"/>
    </xf>
    <xf numFmtId="0" fontId="97" fillId="18" borderId="1" xfId="1" applyFont="1" applyFill="1" applyBorder="1" applyAlignment="1">
      <alignment horizontal="center" vertical="center" wrapText="1"/>
    </xf>
    <xf numFmtId="0" fontId="79" fillId="0" borderId="6" xfId="0" applyFont="1" applyBorder="1" applyAlignment="1">
      <alignment horizontal="center" vertical="center"/>
    </xf>
    <xf numFmtId="0" fontId="79" fillId="0" borderId="7" xfId="0" applyFont="1" applyBorder="1" applyAlignment="1">
      <alignment horizontal="center" vertical="center"/>
    </xf>
    <xf numFmtId="0" fontId="101" fillId="2" borderId="1" xfId="1" applyFont="1" applyFill="1" applyBorder="1" applyAlignment="1">
      <alignment horizontal="center" vertical="center" wrapText="1"/>
    </xf>
    <xf numFmtId="0" fontId="100" fillId="2" borderId="1" xfId="1" applyFont="1" applyFill="1" applyBorder="1" applyAlignment="1">
      <alignment horizontal="center" vertical="center" wrapText="1"/>
    </xf>
    <xf numFmtId="0" fontId="97" fillId="0" borderId="1" xfId="1" applyFont="1" applyBorder="1" applyAlignment="1">
      <alignment horizontal="left" vertical="center" wrapText="1" indent="3"/>
    </xf>
    <xf numFmtId="0" fontId="97" fillId="18" borderId="1" xfId="1" applyFont="1" applyFill="1" applyBorder="1" applyAlignment="1">
      <alignment horizontal="left" vertical="center" wrapText="1" indent="3"/>
    </xf>
    <xf numFmtId="0" fontId="99" fillId="18" borderId="1" xfId="1" applyFont="1" applyFill="1" applyBorder="1" applyAlignment="1">
      <alignment horizontal="center" vertical="center" wrapText="1"/>
    </xf>
    <xf numFmtId="0" fontId="102" fillId="19" borderId="0" xfId="0" applyFont="1" applyFill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15" borderId="1" xfId="0" applyFont="1" applyFill="1" applyBorder="1" applyAlignment="1">
      <alignment horizontal="center" vertical="center"/>
    </xf>
    <xf numFmtId="0" fontId="103" fillId="1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6" fillId="14" borderId="0" xfId="0" applyFont="1" applyFill="1" applyAlignment="1">
      <alignment horizontal="left" vertical="center" indent="1"/>
    </xf>
    <xf numFmtId="0" fontId="102" fillId="19" borderId="0" xfId="0" applyFont="1" applyFill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104" fillId="0" borderId="0" xfId="0" applyFont="1">
      <alignment vertical="center"/>
    </xf>
    <xf numFmtId="0" fontId="105" fillId="0" borderId="0" xfId="0" applyFont="1" applyAlignment="1">
      <alignment horizontal="center" vertical="center"/>
    </xf>
    <xf numFmtId="0" fontId="105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06" fillId="0" borderId="0" xfId="0" applyFont="1" applyAlignment="1">
      <alignment horizontal="left" vertical="center"/>
    </xf>
    <xf numFmtId="0" fontId="109" fillId="0" borderId="1" xfId="0" applyFont="1" applyBorder="1" applyAlignment="1">
      <alignment horizontal="center" vertical="center"/>
    </xf>
    <xf numFmtId="0" fontId="110" fillId="19" borderId="0" xfId="0" applyFont="1" applyFill="1" applyAlignment="1">
      <alignment horizontal="center" vertical="center"/>
    </xf>
    <xf numFmtId="0" fontId="111" fillId="0" borderId="1" xfId="0" applyFont="1" applyBorder="1" applyAlignment="1">
      <alignment horizontal="center" vertical="center"/>
    </xf>
    <xf numFmtId="0" fontId="112" fillId="15" borderId="1" xfId="0" applyFont="1" applyFill="1" applyBorder="1" applyAlignment="1">
      <alignment horizontal="center" vertical="center"/>
    </xf>
    <xf numFmtId="0" fontId="113" fillId="15" borderId="1" xfId="0" applyFont="1" applyFill="1" applyBorder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62" fillId="0" borderId="1" xfId="0" applyFont="1" applyBorder="1" applyAlignment="1">
      <alignment horizontal="center" vertical="center"/>
    </xf>
    <xf numFmtId="0" fontId="114" fillId="0" borderId="1" xfId="0" applyFont="1" applyBorder="1" applyAlignment="1">
      <alignment horizontal="center" vertical="center"/>
    </xf>
    <xf numFmtId="0" fontId="115" fillId="19" borderId="0" xfId="0" applyFont="1" applyFill="1" applyAlignment="1">
      <alignment horizontal="center" vertical="center"/>
    </xf>
    <xf numFmtId="0" fontId="116" fillId="0" borderId="1" xfId="0" applyFont="1" applyBorder="1" applyAlignment="1">
      <alignment horizontal="center" vertical="center"/>
    </xf>
    <xf numFmtId="0" fontId="117" fillId="0" borderId="1" xfId="0" applyFont="1" applyBorder="1" applyAlignment="1">
      <alignment horizontal="center" vertical="center" wrapText="1"/>
    </xf>
    <xf numFmtId="0" fontId="120" fillId="0" borderId="1" xfId="0" applyFont="1" applyBorder="1" applyAlignment="1">
      <alignment horizontal="center" vertical="center" wrapText="1"/>
    </xf>
    <xf numFmtId="0" fontId="123" fillId="0" borderId="1" xfId="0" applyFont="1" applyBorder="1">
      <alignment vertical="center"/>
    </xf>
    <xf numFmtId="0" fontId="105" fillId="0" borderId="0" xfId="0" quotePrefix="1" applyFont="1" applyAlignment="1">
      <alignment horizontal="center" vertical="center"/>
    </xf>
    <xf numFmtId="0" fontId="124" fillId="0" borderId="0" xfId="0" applyFont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105" fillId="16" borderId="0" xfId="0" applyFont="1" applyFill="1" applyAlignment="1">
      <alignment horizontal="center" vertical="center"/>
    </xf>
    <xf numFmtId="0" fontId="106" fillId="0" borderId="1" xfId="0" applyFont="1" applyBorder="1" applyAlignment="1">
      <alignment horizontal="center" vertical="center"/>
    </xf>
    <xf numFmtId="0" fontId="107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/>
    </xf>
    <xf numFmtId="0" fontId="105" fillId="13" borderId="1" xfId="0" applyFont="1" applyFill="1" applyBorder="1" applyAlignment="1">
      <alignment horizontal="center" vertical="center"/>
    </xf>
    <xf numFmtId="0" fontId="127" fillId="0" borderId="1" xfId="1" applyFont="1" applyBorder="1" applyAlignment="1">
      <alignment horizontal="center" vertical="center" wrapText="1"/>
    </xf>
    <xf numFmtId="0" fontId="128" fillId="0" borderId="1" xfId="1" applyFont="1" applyBorder="1" applyAlignment="1">
      <alignment horizontal="center" vertical="center" wrapText="1"/>
    </xf>
    <xf numFmtId="0" fontId="127" fillId="11" borderId="1" xfId="1" applyFont="1" applyFill="1" applyBorder="1" applyAlignment="1">
      <alignment horizontal="center" vertical="center" wrapText="1"/>
    </xf>
    <xf numFmtId="0" fontId="37" fillId="20" borderId="0" xfId="0" applyFont="1" applyFill="1">
      <alignment vertical="center"/>
    </xf>
    <xf numFmtId="0" fontId="129" fillId="14" borderId="0" xfId="0" applyFont="1" applyFill="1">
      <alignment vertical="center"/>
    </xf>
    <xf numFmtId="0" fontId="129" fillId="14" borderId="0" xfId="0" applyFont="1" applyFill="1" applyAlignment="1">
      <alignment horizontal="left" vertical="center"/>
    </xf>
    <xf numFmtId="0" fontId="133" fillId="0" borderId="0" xfId="1" applyFont="1" applyAlignment="1">
      <alignment horizontal="center" vertical="center"/>
    </xf>
    <xf numFmtId="0" fontId="133" fillId="0" borderId="0" xfId="1" applyFont="1" applyAlignment="1">
      <alignment horizontal="left" vertical="center" indent="1"/>
    </xf>
    <xf numFmtId="0" fontId="19" fillId="0" borderId="0" xfId="1" applyFont="1" applyAlignment="1">
      <alignment horizontal="left" vertical="center"/>
    </xf>
    <xf numFmtId="0" fontId="134" fillId="0" borderId="0" xfId="0" applyFont="1" applyAlignment="1">
      <alignment horizontal="left" vertical="center"/>
    </xf>
    <xf numFmtId="0" fontId="134" fillId="0" borderId="0" xfId="0" applyFont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1" borderId="0" xfId="0" applyFill="1" applyAlignment="1">
      <alignment horizontal="left" vertical="center" indent="1"/>
    </xf>
    <xf numFmtId="0" fontId="32" fillId="4" borderId="1" xfId="1" applyFont="1" applyFill="1" applyBorder="1" applyAlignment="1">
      <alignment horizontal="center" vertical="center"/>
    </xf>
    <xf numFmtId="0" fontId="82" fillId="4" borderId="1" xfId="1" applyFont="1" applyFill="1" applyBorder="1" applyAlignment="1">
      <alignment horizontal="center" vertical="center"/>
    </xf>
    <xf numFmtId="0" fontId="82" fillId="4" borderId="1" xfId="1" applyFont="1" applyFill="1" applyBorder="1" applyAlignment="1">
      <alignment horizontal="left" vertical="center" indent="1"/>
    </xf>
    <xf numFmtId="0" fontId="63" fillId="14" borderId="0" xfId="1" applyFont="1" applyFill="1" applyAlignment="1">
      <alignment horizontal="center" vertical="center"/>
    </xf>
    <xf numFmtId="0" fontId="21" fillId="0" borderId="1" xfId="1" applyFont="1" applyBorder="1" applyAlignment="1">
      <alignment horizontal="center" vertical="center"/>
    </xf>
    <xf numFmtId="0" fontId="19" fillId="0" borderId="1" xfId="1" applyFont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5" fillId="0" borderId="1" xfId="1" applyFont="1" applyBorder="1" applyAlignment="1">
      <alignment horizontal="center" vertical="center"/>
    </xf>
    <xf numFmtId="178" fontId="19" fillId="0" borderId="1" xfId="1" applyNumberFormat="1" applyFont="1" applyBorder="1" applyAlignment="1">
      <alignment vertical="center"/>
    </xf>
    <xf numFmtId="0" fontId="41" fillId="0" borderId="0" xfId="1" applyFont="1" applyAlignment="1">
      <alignment horizontal="center" vertical="center"/>
    </xf>
    <xf numFmtId="0" fontId="49" fillId="0" borderId="0" xfId="1" applyFont="1" applyAlignment="1">
      <alignment horizontal="center" vertical="center"/>
    </xf>
    <xf numFmtId="0" fontId="136" fillId="0" borderId="0" xfId="1" applyFont="1" applyAlignment="1">
      <alignment horizontal="center" vertical="center"/>
    </xf>
    <xf numFmtId="0" fontId="137" fillId="0" borderId="0" xfId="1" applyFont="1" applyAlignment="1">
      <alignment horizontal="center" vertical="center"/>
    </xf>
    <xf numFmtId="0" fontId="98" fillId="0" borderId="1" xfId="1" applyFont="1" applyBorder="1" applyAlignment="1">
      <alignment horizontal="center" vertical="center"/>
    </xf>
    <xf numFmtId="0" fontId="138" fillId="0" borderId="1" xfId="1" applyFont="1" applyBorder="1" applyAlignment="1">
      <alignment horizontal="center" vertical="center"/>
    </xf>
    <xf numFmtId="0" fontId="139" fillId="0" borderId="1" xfId="1" applyFont="1" applyBorder="1" applyAlignment="1">
      <alignment horizontal="center" vertical="center"/>
    </xf>
    <xf numFmtId="0" fontId="140" fillId="0" borderId="1" xfId="1" applyFont="1" applyBorder="1" applyAlignment="1">
      <alignment horizontal="right" vertical="center"/>
    </xf>
    <xf numFmtId="0" fontId="30" fillId="0" borderId="1" xfId="1" applyFont="1" applyBorder="1" applyAlignment="1">
      <alignment horizontal="center" vertical="center"/>
    </xf>
    <xf numFmtId="0" fontId="32" fillId="4" borderId="1" xfId="1" applyFont="1" applyFill="1" applyBorder="1" applyAlignment="1">
      <alignment horizontal="center" vertical="center" wrapText="1"/>
    </xf>
    <xf numFmtId="0" fontId="82" fillId="4" borderId="1" xfId="1" applyFont="1" applyFill="1" applyBorder="1" applyAlignment="1">
      <alignment horizontal="center" vertical="center" wrapText="1"/>
    </xf>
    <xf numFmtId="0" fontId="141" fillId="12" borderId="1" xfId="0" applyFont="1" applyFill="1" applyBorder="1">
      <alignment vertical="center"/>
    </xf>
    <xf numFmtId="0" fontId="141" fillId="0" borderId="1" xfId="0" applyFont="1" applyBorder="1">
      <alignment vertical="center"/>
    </xf>
    <xf numFmtId="0" fontId="142" fillId="0" borderId="1" xfId="0" applyFont="1" applyBorder="1">
      <alignment vertical="center"/>
    </xf>
    <xf numFmtId="0" fontId="141" fillId="22" borderId="1" xfId="0" applyFont="1" applyFill="1" applyBorder="1">
      <alignment vertical="center"/>
    </xf>
    <xf numFmtId="0" fontId="142" fillId="22" borderId="1" xfId="0" applyFont="1" applyFill="1" applyBorder="1">
      <alignment vertical="center"/>
    </xf>
    <xf numFmtId="176" fontId="110" fillId="15" borderId="0" xfId="0" applyNumberFormat="1" applyFont="1" applyFill="1" applyAlignment="1">
      <alignment horizontal="center" vertical="center"/>
    </xf>
    <xf numFmtId="0" fontId="105" fillId="0" borderId="0" xfId="0" applyFont="1" applyAlignment="1">
      <alignment horizontal="left" vertical="center"/>
    </xf>
    <xf numFmtId="176" fontId="62" fillId="14" borderId="0" xfId="0" applyNumberFormat="1" applyFont="1" applyFill="1" applyAlignment="1">
      <alignment horizontal="center" vertical="center"/>
    </xf>
    <xf numFmtId="0" fontId="105" fillId="0" borderId="0" xfId="0" applyFont="1" applyAlignment="1">
      <alignment horizontal="left" vertical="center" indent="1"/>
    </xf>
    <xf numFmtId="0" fontId="8" fillId="0" borderId="0" xfId="1" applyFont="1" applyAlignment="1">
      <alignment horizontal="center" vertical="center"/>
    </xf>
    <xf numFmtId="0" fontId="8" fillId="0" borderId="0" xfId="1" applyFont="1"/>
    <xf numFmtId="0" fontId="84" fillId="4" borderId="2" xfId="1" applyFont="1" applyFill="1" applyBorder="1" applyAlignment="1">
      <alignment horizontal="center" vertical="center"/>
    </xf>
    <xf numFmtId="176" fontId="110" fillId="15" borderId="0" xfId="0" applyNumberFormat="1" applyFont="1" applyFill="1" applyAlignment="1">
      <alignment horizontal="left" vertical="center"/>
    </xf>
    <xf numFmtId="0" fontId="143" fillId="17" borderId="0" xfId="0" applyFont="1" applyFill="1" applyAlignment="1">
      <alignment horizontal="left"/>
    </xf>
    <xf numFmtId="0" fontId="144" fillId="4" borderId="2" xfId="1" applyFont="1" applyFill="1" applyBorder="1" applyAlignment="1">
      <alignment horizontal="center" vertical="center"/>
    </xf>
    <xf numFmtId="0" fontId="147" fillId="5" borderId="2" xfId="0" applyFont="1" applyFill="1" applyBorder="1">
      <alignment vertical="center"/>
    </xf>
    <xf numFmtId="0" fontId="149" fillId="5" borderId="2" xfId="0" applyFont="1" applyFill="1" applyBorder="1">
      <alignment vertical="center"/>
    </xf>
    <xf numFmtId="0" fontId="150" fillId="17" borderId="0" xfId="0" applyFont="1" applyFill="1" applyAlignment="1">
      <alignment horizontal="left"/>
    </xf>
    <xf numFmtId="0" fontId="148" fillId="0" borderId="2" xfId="0" applyFont="1" applyBorder="1">
      <alignment vertical="center"/>
    </xf>
    <xf numFmtId="0" fontId="149" fillId="0" borderId="2" xfId="0" applyFont="1" applyBorder="1">
      <alignment vertical="center"/>
    </xf>
    <xf numFmtId="0" fontId="149" fillId="0" borderId="4" xfId="0" applyFont="1" applyBorder="1">
      <alignment vertical="center"/>
    </xf>
    <xf numFmtId="0" fontId="144" fillId="4" borderId="2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8" fillId="12" borderId="1" xfId="2" applyFont="1" applyFill="1" applyBorder="1" applyAlignment="1">
      <alignment horizontal="center" vertical="center"/>
    </xf>
    <xf numFmtId="0" fontId="152" fillId="0" borderId="1" xfId="2" applyFont="1" applyBorder="1" applyAlignment="1">
      <alignment horizontal="left" vertical="center" indent="1"/>
    </xf>
    <xf numFmtId="0" fontId="4" fillId="0" borderId="0" xfId="1" applyFont="1" applyAlignment="1">
      <alignment horizontal="left" vertical="center"/>
    </xf>
    <xf numFmtId="0" fontId="135" fillId="0" borderId="0" xfId="1" applyFont="1" applyAlignment="1">
      <alignment horizontal="left" vertical="center"/>
    </xf>
    <xf numFmtId="178" fontId="19" fillId="0" borderId="1" xfId="1" applyNumberFormat="1" applyFont="1" applyBorder="1" applyAlignment="1">
      <alignment horizontal="center" vertical="center"/>
    </xf>
    <xf numFmtId="0" fontId="153" fillId="0" borderId="0" xfId="1" applyFont="1"/>
    <xf numFmtId="0" fontId="154" fillId="0" borderId="0" xfId="1" applyFont="1" applyAlignment="1">
      <alignment horizontal="center" vertical="center"/>
    </xf>
    <xf numFmtId="0" fontId="155" fillId="0" borderId="0" xfId="1" applyFont="1" applyAlignment="1">
      <alignment vertical="center"/>
    </xf>
    <xf numFmtId="0" fontId="83" fillId="4" borderId="1" xfId="1" applyFont="1" applyFill="1" applyBorder="1" applyAlignment="1">
      <alignment horizontal="center" vertical="center"/>
    </xf>
    <xf numFmtId="0" fontId="156" fillId="0" borderId="2" xfId="0" applyFont="1" applyBorder="1">
      <alignment vertical="center"/>
    </xf>
    <xf numFmtId="0" fontId="157" fillId="0" borderId="0" xfId="1" applyFont="1" applyAlignment="1">
      <alignment horizontal="center" vertical="center"/>
    </xf>
    <xf numFmtId="178" fontId="30" fillId="0" borderId="1" xfId="1" applyNumberFormat="1" applyFont="1" applyBorder="1" applyAlignment="1">
      <alignment vertical="center"/>
    </xf>
    <xf numFmtId="0" fontId="30" fillId="14" borderId="1" xfId="1" applyFont="1" applyFill="1" applyBorder="1" applyAlignment="1">
      <alignment horizontal="center" vertical="center"/>
    </xf>
    <xf numFmtId="0" fontId="158" fillId="0" borderId="0" xfId="1" applyFont="1" applyAlignment="1">
      <alignment vertical="center"/>
    </xf>
    <xf numFmtId="0" fontId="159" fillId="0" borderId="1" xfId="0" applyFont="1" applyBorder="1" applyAlignment="1">
      <alignment horizontal="center" vertical="center"/>
    </xf>
    <xf numFmtId="0" fontId="161" fillId="13" borderId="1" xfId="0" applyFont="1" applyFill="1" applyBorder="1" applyAlignment="1">
      <alignment horizontal="center" vertical="center"/>
    </xf>
    <xf numFmtId="0" fontId="160" fillId="13" borderId="1" xfId="0" applyFont="1" applyFill="1" applyBorder="1" applyAlignment="1">
      <alignment horizontal="center" vertical="center"/>
    </xf>
    <xf numFmtId="0" fontId="124" fillId="0" borderId="1" xfId="0" applyFont="1" applyBorder="1" applyAlignment="1">
      <alignment horizontal="center" vertical="center"/>
    </xf>
    <xf numFmtId="0" fontId="105" fillId="0" borderId="0" xfId="0" applyFont="1">
      <alignment vertical="center"/>
    </xf>
    <xf numFmtId="0" fontId="162" fillId="0" borderId="0" xfId="0" applyFont="1">
      <alignment vertical="center"/>
    </xf>
    <xf numFmtId="0" fontId="162" fillId="0" borderId="0" xfId="0" applyFont="1" applyAlignment="1">
      <alignment horizontal="center" vertical="center"/>
    </xf>
    <xf numFmtId="0" fontId="105" fillId="24" borderId="1" xfId="0" applyFont="1" applyFill="1" applyBorder="1" applyAlignment="1">
      <alignment horizontal="center" vertical="center"/>
    </xf>
    <xf numFmtId="0" fontId="164" fillId="0" borderId="1" xfId="0" applyFont="1" applyBorder="1" applyAlignment="1">
      <alignment horizontal="center" vertical="center"/>
    </xf>
    <xf numFmtId="0" fontId="162" fillId="0" borderId="1" xfId="0" applyFont="1" applyBorder="1" applyAlignment="1">
      <alignment horizontal="center" vertical="center"/>
    </xf>
    <xf numFmtId="0" fontId="162" fillId="0" borderId="1" xfId="0" applyFont="1" applyBorder="1">
      <alignment vertical="center"/>
    </xf>
    <xf numFmtId="0" fontId="105" fillId="0" borderId="1" xfId="0" applyFont="1" applyBorder="1">
      <alignment vertical="center"/>
    </xf>
    <xf numFmtId="0" fontId="163" fillId="0" borderId="1" xfId="0" applyFont="1" applyBorder="1">
      <alignment vertical="center"/>
    </xf>
    <xf numFmtId="0" fontId="163" fillId="0" borderId="0" xfId="0" applyFont="1">
      <alignment vertical="center"/>
    </xf>
    <xf numFmtId="0" fontId="165" fillId="0" borderId="0" xfId="0" applyFont="1" applyAlignment="1">
      <alignment horizontal="center" vertical="center"/>
    </xf>
    <xf numFmtId="0" fontId="105" fillId="25" borderId="1" xfId="0" applyFont="1" applyFill="1" applyBorder="1" applyAlignment="1">
      <alignment horizontal="center" vertical="center"/>
    </xf>
    <xf numFmtId="0" fontId="166" fillId="0" borderId="0" xfId="0" applyFont="1">
      <alignment vertical="center"/>
    </xf>
    <xf numFmtId="0" fontId="167" fillId="5" borderId="0" xfId="0" applyFont="1" applyFill="1" applyAlignment="1">
      <alignment horizontal="center" vertical="center"/>
    </xf>
    <xf numFmtId="0" fontId="169" fillId="4" borderId="0" xfId="0" applyFont="1" applyFill="1" applyAlignment="1">
      <alignment horizontal="center" vertical="center"/>
    </xf>
    <xf numFmtId="0" fontId="169" fillId="4" borderId="13" xfId="0" applyFont="1" applyFill="1" applyBorder="1" applyAlignment="1">
      <alignment horizontal="center" vertical="center"/>
    </xf>
    <xf numFmtId="0" fontId="169" fillId="4" borderId="14" xfId="0" applyFont="1" applyFill="1" applyBorder="1" applyAlignment="1">
      <alignment horizontal="center" vertical="center"/>
    </xf>
    <xf numFmtId="0" fontId="170" fillId="0" borderId="4" xfId="0" applyFont="1" applyBorder="1" applyAlignment="1">
      <alignment horizontal="center" vertical="center"/>
    </xf>
    <xf numFmtId="0" fontId="171" fillId="7" borderId="15" xfId="0" applyFont="1" applyFill="1" applyBorder="1" applyAlignment="1">
      <alignment horizontal="center" vertical="center"/>
    </xf>
    <xf numFmtId="0" fontId="172" fillId="0" borderId="16" xfId="0" applyFont="1" applyBorder="1" applyAlignment="1">
      <alignment horizontal="center" vertical="center"/>
    </xf>
    <xf numFmtId="0" fontId="172" fillId="0" borderId="17" xfId="0" applyFont="1" applyBorder="1" applyAlignment="1">
      <alignment horizontal="center" vertical="center"/>
    </xf>
    <xf numFmtId="0" fontId="173" fillId="26" borderId="17" xfId="0" applyFont="1" applyFill="1" applyBorder="1" applyAlignment="1">
      <alignment horizontal="center" vertical="center"/>
    </xf>
    <xf numFmtId="0" fontId="174" fillId="0" borderId="17" xfId="0" applyFont="1" applyBorder="1" applyAlignment="1">
      <alignment horizontal="center" vertical="center"/>
    </xf>
    <xf numFmtId="0" fontId="172" fillId="5" borderId="16" xfId="0" applyFont="1" applyFill="1" applyBorder="1" applyAlignment="1">
      <alignment horizontal="center" vertical="center"/>
    </xf>
    <xf numFmtId="0" fontId="166" fillId="0" borderId="0" xfId="0" applyFont="1" applyAlignment="1">
      <alignment horizontal="center" vertical="center"/>
    </xf>
    <xf numFmtId="0" fontId="176" fillId="0" borderId="0" xfId="0" applyFont="1" applyAlignment="1">
      <alignment horizontal="center" vertical="center"/>
    </xf>
    <xf numFmtId="0" fontId="177" fillId="0" borderId="0" xfId="0" applyFont="1">
      <alignment vertical="center"/>
    </xf>
    <xf numFmtId="0" fontId="178" fillId="0" borderId="0" xfId="0" applyFont="1" applyAlignment="1">
      <alignment horizontal="center" vertical="center"/>
    </xf>
    <xf numFmtId="0" fontId="178" fillId="0" borderId="0" xfId="0" applyFont="1" applyAlignment="1">
      <alignment horizontal="left" vertical="center"/>
    </xf>
    <xf numFmtId="0" fontId="166" fillId="0" borderId="0" xfId="0" applyFont="1" applyAlignment="1"/>
    <xf numFmtId="0" fontId="179" fillId="0" borderId="0" xfId="0" applyFont="1" applyAlignment="1">
      <alignment horizontal="center" vertical="center"/>
    </xf>
    <xf numFmtId="0" fontId="178" fillId="0" borderId="0" xfId="0" applyFont="1">
      <alignment vertical="center"/>
    </xf>
    <xf numFmtId="0" fontId="169" fillId="4" borderId="2" xfId="0" applyFont="1" applyFill="1" applyBorder="1" applyAlignment="1">
      <alignment horizontal="center" vertical="center"/>
    </xf>
    <xf numFmtId="0" fontId="181" fillId="0" borderId="2" xfId="0" applyFont="1" applyBorder="1" applyAlignment="1">
      <alignment horizontal="center" vertical="center"/>
    </xf>
    <xf numFmtId="0" fontId="179" fillId="0" borderId="2" xfId="0" applyFont="1" applyBorder="1" applyAlignment="1">
      <alignment horizontal="center" vertical="center"/>
    </xf>
    <xf numFmtId="0" fontId="182" fillId="27" borderId="2" xfId="0" applyFont="1" applyFill="1" applyBorder="1" applyAlignment="1">
      <alignment horizontal="center" vertical="center"/>
    </xf>
    <xf numFmtId="0" fontId="183" fillId="28" borderId="2" xfId="0" applyFont="1" applyFill="1" applyBorder="1" applyAlignment="1">
      <alignment horizontal="center" vertical="center"/>
    </xf>
    <xf numFmtId="0" fontId="171" fillId="7" borderId="2" xfId="0" applyFont="1" applyFill="1" applyBorder="1" applyAlignment="1">
      <alignment horizontal="center"/>
    </xf>
    <xf numFmtId="0" fontId="185" fillId="29" borderId="2" xfId="0" applyFont="1" applyFill="1" applyBorder="1" applyAlignment="1">
      <alignment horizontal="center" vertical="center"/>
    </xf>
    <xf numFmtId="0" fontId="185" fillId="27" borderId="2" xfId="0" applyFont="1" applyFill="1" applyBorder="1" applyAlignment="1">
      <alignment horizontal="center" vertical="center"/>
    </xf>
    <xf numFmtId="0" fontId="186" fillId="0" borderId="0" xfId="0" applyFont="1">
      <alignment vertical="center"/>
    </xf>
    <xf numFmtId="0" fontId="171" fillId="7" borderId="2" xfId="0" applyFont="1" applyFill="1" applyBorder="1" applyAlignment="1">
      <alignment horizontal="left" indent="1"/>
    </xf>
    <xf numFmtId="0" fontId="179" fillId="0" borderId="2" xfId="0" applyFont="1" applyBorder="1" applyAlignment="1">
      <alignment horizontal="left" vertical="center"/>
    </xf>
    <xf numFmtId="0" fontId="187" fillId="23" borderId="2" xfId="0" applyFont="1" applyFill="1" applyBorder="1" applyAlignment="1">
      <alignment horizontal="left" vertical="center"/>
    </xf>
    <xf numFmtId="0" fontId="188" fillId="0" borderId="2" xfId="0" applyFont="1" applyBorder="1" applyAlignment="1">
      <alignment horizontal="center" vertical="center"/>
    </xf>
    <xf numFmtId="0" fontId="188" fillId="27" borderId="2" xfId="0" applyFont="1" applyFill="1" applyBorder="1" applyAlignment="1">
      <alignment horizontal="center" vertical="center"/>
    </xf>
    <xf numFmtId="0" fontId="30" fillId="8" borderId="2" xfId="0" applyFont="1" applyFill="1" applyBorder="1">
      <alignment vertical="center"/>
    </xf>
    <xf numFmtId="0" fontId="189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191" fillId="2" borderId="1" xfId="0" applyFont="1" applyFill="1" applyBorder="1" applyAlignment="1">
      <alignment horizontal="center" vertical="center" wrapText="1"/>
    </xf>
    <xf numFmtId="0" fontId="192" fillId="4" borderId="2" xfId="1" applyFont="1" applyFill="1" applyBorder="1" applyAlignment="1">
      <alignment horizontal="center" vertical="center"/>
    </xf>
    <xf numFmtId="0" fontId="68" fillId="0" borderId="1" xfId="0" applyFont="1" applyBorder="1" applyAlignment="1">
      <alignment horizontal="left" vertical="center" indent="1"/>
    </xf>
    <xf numFmtId="0" fontId="193" fillId="0" borderId="1" xfId="0" applyFont="1" applyBorder="1" applyAlignment="1">
      <alignment horizontal="left" vertical="center" indent="2"/>
    </xf>
    <xf numFmtId="0" fontId="192" fillId="4" borderId="1" xfId="1" applyFont="1" applyFill="1" applyBorder="1" applyAlignment="1">
      <alignment horizontal="center" vertical="center"/>
    </xf>
    <xf numFmtId="0" fontId="62" fillId="14" borderId="1" xfId="0" applyFont="1" applyFill="1" applyBorder="1" applyAlignment="1">
      <alignment horizontal="left" vertical="center" indent="1"/>
    </xf>
    <xf numFmtId="0" fontId="62" fillId="14" borderId="1" xfId="0" applyFont="1" applyFill="1" applyBorder="1" applyAlignment="1">
      <alignment horizontal="center" vertical="center"/>
    </xf>
    <xf numFmtId="0" fontId="194" fillId="0" borderId="1" xfId="1" applyFont="1" applyBorder="1" applyAlignment="1">
      <alignment horizontal="center" vertical="center"/>
    </xf>
    <xf numFmtId="0" fontId="195" fillId="30" borderId="1" xfId="3" applyFont="1" applyBorder="1" applyAlignment="1">
      <alignment horizontal="left" vertical="center" indent="1"/>
    </xf>
    <xf numFmtId="0" fontId="195" fillId="30" borderId="1" xfId="3" applyFont="1" applyBorder="1" applyAlignment="1">
      <alignment horizontal="left" vertical="center" wrapText="1" indent="1"/>
    </xf>
    <xf numFmtId="0" fontId="196" fillId="30" borderId="1" xfId="3" applyFont="1" applyBorder="1" applyAlignment="1">
      <alignment horizontal="left" vertical="center" indent="1"/>
    </xf>
    <xf numFmtId="0" fontId="197" fillId="0" borderId="1" xfId="1" applyFont="1" applyBorder="1" applyAlignment="1">
      <alignment horizontal="center" vertical="center"/>
    </xf>
    <xf numFmtId="0" fontId="198" fillId="0" borderId="1" xfId="0" applyFont="1" applyBorder="1" applyAlignment="1">
      <alignment horizontal="left" vertical="center" indent="2"/>
    </xf>
    <xf numFmtId="0" fontId="199" fillId="0" borderId="1" xfId="0" applyFont="1" applyBorder="1" applyAlignment="1">
      <alignment horizontal="left" vertical="center" indent="2"/>
    </xf>
    <xf numFmtId="0" fontId="198" fillId="0" borderId="1" xfId="0" applyFont="1" applyBorder="1" applyAlignment="1">
      <alignment horizontal="center" vertical="center"/>
    </xf>
    <xf numFmtId="0" fontId="200" fillId="0" borderId="1" xfId="0" applyFont="1" applyBorder="1" applyAlignment="1">
      <alignment horizontal="left" vertical="center" indent="1"/>
    </xf>
    <xf numFmtId="0" fontId="201" fillId="0" borderId="1" xfId="0" applyFont="1" applyBorder="1" applyAlignment="1">
      <alignment horizontal="left" vertical="center" indent="1"/>
    </xf>
    <xf numFmtId="0" fontId="202" fillId="0" borderId="0" xfId="1" applyFont="1" applyAlignment="1">
      <alignment horizontal="center" vertical="center"/>
    </xf>
    <xf numFmtId="0" fontId="202" fillId="0" borderId="1" xfId="1" applyFont="1" applyBorder="1" applyAlignment="1">
      <alignment horizontal="center" vertical="center"/>
    </xf>
    <xf numFmtId="0" fontId="203" fillId="0" borderId="1" xfId="0" applyFont="1" applyBorder="1" applyAlignment="1">
      <alignment horizontal="left" vertical="center" indent="2"/>
    </xf>
    <xf numFmtId="0" fontId="19" fillId="0" borderId="2" xfId="0" applyFont="1" applyBorder="1" applyAlignment="1">
      <alignment horizontal="left" vertical="center" indent="1"/>
    </xf>
    <xf numFmtId="0" fontId="204" fillId="0" borderId="2" xfId="0" applyFont="1" applyBorder="1">
      <alignment vertical="center"/>
    </xf>
    <xf numFmtId="0" fontId="147" fillId="0" borderId="2" xfId="0" applyFont="1" applyBorder="1">
      <alignment vertical="center"/>
    </xf>
    <xf numFmtId="0" fontId="205" fillId="0" borderId="2" xfId="0" applyFont="1" applyBorder="1">
      <alignment vertical="center"/>
    </xf>
    <xf numFmtId="0" fontId="147" fillId="0" borderId="2" xfId="0" applyFont="1" applyBorder="1" applyAlignment="1">
      <alignment horizontal="center" vertical="center"/>
    </xf>
    <xf numFmtId="0" fontId="98" fillId="0" borderId="2" xfId="0" applyFont="1" applyBorder="1" applyAlignment="1">
      <alignment horizontal="left" vertical="center" indent="2"/>
    </xf>
    <xf numFmtId="0" fontId="98" fillId="5" borderId="2" xfId="0" applyFont="1" applyFill="1" applyBorder="1" applyAlignment="1">
      <alignment horizontal="left" vertical="center" indent="2"/>
    </xf>
    <xf numFmtId="0" fontId="98" fillId="7" borderId="2" xfId="0" applyFont="1" applyFill="1" applyBorder="1" applyAlignment="1">
      <alignment horizontal="left" vertical="center" indent="2"/>
    </xf>
    <xf numFmtId="0" fontId="207" fillId="0" borderId="2" xfId="0" applyFont="1" applyBorder="1" applyAlignment="1">
      <alignment horizontal="left" vertical="center" indent="2"/>
    </xf>
    <xf numFmtId="0" fontId="98" fillId="5" borderId="2" xfId="0" applyFont="1" applyFill="1" applyBorder="1" applyAlignment="1">
      <alignment horizontal="center" vertical="center"/>
    </xf>
    <xf numFmtId="0" fontId="98" fillId="0" borderId="2" xfId="0" applyFont="1" applyBorder="1" applyAlignment="1">
      <alignment horizontal="center" vertical="center"/>
    </xf>
    <xf numFmtId="0" fontId="30" fillId="0" borderId="2" xfId="0" applyFont="1" applyBorder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left" vertical="center" indent="4"/>
    </xf>
    <xf numFmtId="176" fontId="37" fillId="15" borderId="0" xfId="0" applyNumberFormat="1" applyFont="1" applyFill="1" applyAlignment="1">
      <alignment horizontal="left" vertical="center" indent="4"/>
    </xf>
    <xf numFmtId="0" fontId="19" fillId="0" borderId="18" xfId="0" applyFont="1" applyBorder="1" applyAlignment="1">
      <alignment horizontal="left" vertical="center" indent="4"/>
    </xf>
    <xf numFmtId="0" fontId="19" fillId="0" borderId="2" xfId="0" applyFont="1" applyBorder="1" applyAlignment="1">
      <alignment horizontal="left" vertical="center" indent="4"/>
    </xf>
    <xf numFmtId="0" fontId="23" fillId="5" borderId="2" xfId="0" applyFont="1" applyFill="1" applyBorder="1" applyAlignment="1">
      <alignment horizontal="left" vertical="center" indent="4"/>
    </xf>
    <xf numFmtId="0" fontId="25" fillId="7" borderId="2" xfId="0" applyFont="1" applyFill="1" applyBorder="1" applyAlignment="1">
      <alignment horizontal="left" vertical="center" indent="4"/>
    </xf>
    <xf numFmtId="0" fontId="206" fillId="7" borderId="2" xfId="0" applyFont="1" applyFill="1" applyBorder="1" applyAlignment="1">
      <alignment horizontal="left" vertical="center" indent="4"/>
    </xf>
    <xf numFmtId="0" fontId="147" fillId="0" borderId="2" xfId="0" applyFont="1" applyBorder="1" applyAlignment="1">
      <alignment horizontal="left" vertical="center" indent="4"/>
    </xf>
    <xf numFmtId="0" fontId="208" fillId="4" borderId="2" xfId="0" applyFont="1" applyFill="1" applyBorder="1" applyAlignment="1">
      <alignment horizontal="center" vertical="center"/>
    </xf>
    <xf numFmtId="0" fontId="209" fillId="4" borderId="2" xfId="0" applyFont="1" applyFill="1" applyBorder="1" applyAlignment="1">
      <alignment horizontal="center" vertical="center"/>
    </xf>
    <xf numFmtId="0" fontId="210" fillId="4" borderId="2" xfId="0" applyFont="1" applyFill="1" applyBorder="1" applyAlignment="1">
      <alignment horizontal="center" vertical="center"/>
    </xf>
    <xf numFmtId="0" fontId="210" fillId="0" borderId="0" xfId="0" applyFont="1" applyAlignment="1">
      <alignment horizontal="center" vertical="center"/>
    </xf>
    <xf numFmtId="0" fontId="210" fillId="4" borderId="0" xfId="0" applyFont="1" applyFill="1" applyAlignment="1">
      <alignment horizontal="center" vertical="center"/>
    </xf>
    <xf numFmtId="0" fontId="211" fillId="0" borderId="0" xfId="0" applyFont="1">
      <alignment vertical="center"/>
    </xf>
    <xf numFmtId="0" fontId="212" fillId="4" borderId="2" xfId="0" applyFont="1" applyFill="1" applyBorder="1" applyAlignment="1">
      <alignment horizontal="center" vertical="center"/>
    </xf>
    <xf numFmtId="0" fontId="213" fillId="4" borderId="2" xfId="0" applyFont="1" applyFill="1" applyBorder="1" applyAlignment="1">
      <alignment horizontal="center" vertical="center"/>
    </xf>
    <xf numFmtId="0" fontId="98" fillId="0" borderId="18" xfId="0" applyFont="1" applyBorder="1" applyAlignment="1">
      <alignment horizontal="left" vertical="center" indent="1"/>
    </xf>
    <xf numFmtId="0" fontId="207" fillId="0" borderId="18" xfId="0" applyFont="1" applyBorder="1" applyAlignment="1">
      <alignment horizontal="left" vertical="center" indent="1"/>
    </xf>
    <xf numFmtId="0" fontId="19" fillId="0" borderId="1" xfId="0" applyFont="1" applyBorder="1" applyAlignment="1">
      <alignment horizontal="left" vertical="center" indent="1"/>
    </xf>
    <xf numFmtId="0" fontId="5" fillId="0" borderId="0" xfId="1" applyFont="1" applyAlignment="1">
      <alignment horizontal="left" vertical="center" indent="2"/>
    </xf>
    <xf numFmtId="0" fontId="11" fillId="0" borderId="1" xfId="1" applyFont="1" applyBorder="1" applyAlignment="1">
      <alignment horizontal="left" vertical="center" wrapText="1" indent="2"/>
    </xf>
    <xf numFmtId="0" fontId="11" fillId="11" borderId="1" xfId="1" applyFont="1" applyFill="1" applyBorder="1" applyAlignment="1">
      <alignment horizontal="left" vertical="center" wrapText="1" indent="2"/>
    </xf>
    <xf numFmtId="0" fontId="52" fillId="0" borderId="1" xfId="1" applyFont="1" applyBorder="1" applyAlignment="1">
      <alignment horizontal="left" vertical="center" wrapText="1" indent="2"/>
    </xf>
    <xf numFmtId="0" fontId="12" fillId="0" borderId="1" xfId="1" applyFont="1" applyBorder="1" applyAlignment="1">
      <alignment horizontal="left" vertical="center" indent="2"/>
    </xf>
    <xf numFmtId="0" fontId="12" fillId="0" borderId="1" xfId="1" applyFont="1" applyBorder="1" applyAlignment="1">
      <alignment horizontal="center" vertical="center"/>
    </xf>
    <xf numFmtId="0" fontId="214" fillId="0" borderId="1" xfId="1" applyFont="1" applyBorder="1" applyAlignment="1">
      <alignment horizontal="center" vertical="center" wrapText="1"/>
    </xf>
    <xf numFmtId="0" fontId="74" fillId="0" borderId="1" xfId="0" applyFont="1" applyBorder="1" applyAlignment="1">
      <alignment horizontal="left" vertical="center" indent="2"/>
    </xf>
    <xf numFmtId="0" fontId="79" fillId="0" borderId="1" xfId="0" applyFont="1" applyBorder="1" applyAlignment="1">
      <alignment horizontal="left" vertical="center"/>
    </xf>
    <xf numFmtId="0" fontId="36" fillId="14" borderId="0" xfId="0" applyFont="1" applyFill="1" applyAlignment="1">
      <alignment horizontal="left" vertical="center"/>
    </xf>
    <xf numFmtId="0" fontId="215" fillId="0" borderId="0" xfId="0" applyFont="1" applyAlignment="1">
      <alignment horizontal="left" vertical="center"/>
    </xf>
    <xf numFmtId="0" fontId="79" fillId="0" borderId="1" xfId="0" applyFont="1" applyBorder="1" applyAlignment="1">
      <alignment horizontal="left" vertical="center" indent="1"/>
    </xf>
    <xf numFmtId="0" fontId="79" fillId="0" borderId="1" xfId="0" applyFont="1" applyBorder="1" applyAlignment="1">
      <alignment horizontal="left" vertical="center" indent="3"/>
    </xf>
    <xf numFmtId="0" fontId="126" fillId="0" borderId="0" xfId="0" applyFont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6" fillId="0" borderId="1" xfId="0" applyFont="1" applyBorder="1" applyAlignment="1">
      <alignment horizontal="left" vertical="center" indent="1"/>
    </xf>
    <xf numFmtId="0" fontId="17" fillId="0" borderId="0" xfId="1" applyFont="1" applyAlignment="1">
      <alignment horizontal="center"/>
    </xf>
    <xf numFmtId="0" fontId="217" fillId="0" borderId="0" xfId="0" applyFont="1">
      <alignment vertical="center"/>
    </xf>
    <xf numFmtId="0" fontId="218" fillId="0" borderId="1" xfId="0" applyFont="1" applyBorder="1" applyAlignment="1">
      <alignment horizontal="center" vertical="center"/>
    </xf>
    <xf numFmtId="0" fontId="21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2"/>
    </xf>
    <xf numFmtId="0" fontId="17" fillId="0" borderId="1" xfId="0" applyFont="1" applyBorder="1" applyAlignment="1">
      <alignment horizontal="left" vertical="center" indent="2"/>
    </xf>
    <xf numFmtId="0" fontId="220" fillId="4" borderId="2" xfId="0" applyFont="1" applyFill="1" applyBorder="1" applyAlignment="1">
      <alignment horizontal="center" vertical="center"/>
    </xf>
    <xf numFmtId="0" fontId="221" fillId="2" borderId="1" xfId="0" applyFont="1" applyFill="1" applyBorder="1" applyAlignment="1">
      <alignment horizontal="center" vertical="center" wrapText="1"/>
    </xf>
    <xf numFmtId="0" fontId="222" fillId="0" borderId="1" xfId="0" applyFont="1" applyBorder="1" applyAlignment="1">
      <alignment horizontal="left" vertical="center" indent="2"/>
    </xf>
    <xf numFmtId="0" fontId="97" fillId="14" borderId="1" xfId="1" applyFont="1" applyFill="1" applyBorder="1" applyAlignment="1">
      <alignment horizontal="center" vertical="center"/>
    </xf>
    <xf numFmtId="0" fontId="218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68" fillId="14" borderId="1" xfId="0" applyFont="1" applyFill="1" applyBorder="1" applyAlignment="1">
      <alignment horizontal="center" vertical="center"/>
    </xf>
    <xf numFmtId="0" fontId="193" fillId="14" borderId="1" xfId="0" applyFont="1" applyFill="1" applyBorder="1" applyAlignment="1">
      <alignment horizontal="center" vertical="center"/>
    </xf>
    <xf numFmtId="0" fontId="36" fillId="14" borderId="1" xfId="0" applyFont="1" applyFill="1" applyBorder="1" applyAlignment="1">
      <alignment horizontal="center" vertical="center"/>
    </xf>
    <xf numFmtId="0" fontId="79" fillId="0" borderId="1" xfId="0" applyFont="1" applyBorder="1">
      <alignment vertical="center"/>
    </xf>
    <xf numFmtId="0" fontId="223" fillId="0" borderId="2" xfId="0" applyFont="1" applyBorder="1" applyAlignment="1">
      <alignment horizontal="center" vertical="center"/>
    </xf>
    <xf numFmtId="0" fontId="23" fillId="5" borderId="2" xfId="0" applyFont="1" applyFill="1" applyBorder="1" applyAlignment="1">
      <alignment horizontal="left" vertical="center" indent="1"/>
    </xf>
    <xf numFmtId="0" fontId="225" fillId="14" borderId="2" xfId="0" applyFont="1" applyFill="1" applyBorder="1" applyAlignment="1">
      <alignment horizontal="center" vertical="center"/>
    </xf>
    <xf numFmtId="0" fontId="30" fillId="14" borderId="2" xfId="0" applyFont="1" applyFill="1" applyBorder="1" applyAlignment="1">
      <alignment horizontal="left" vertical="center" indent="1"/>
    </xf>
    <xf numFmtId="0" fontId="224" fillId="0" borderId="2" xfId="0" applyFont="1" applyBorder="1" applyAlignment="1">
      <alignment horizontal="center" vertical="center"/>
    </xf>
    <xf numFmtId="0" fontId="226" fillId="0" borderId="2" xfId="0" applyFont="1" applyBorder="1" applyAlignment="1">
      <alignment horizontal="center" vertical="center"/>
    </xf>
    <xf numFmtId="0" fontId="98" fillId="0" borderId="2" xfId="0" applyFont="1" applyBorder="1" applyAlignment="1">
      <alignment horizontal="left" vertical="center" indent="1"/>
    </xf>
    <xf numFmtId="0" fontId="227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176" fontId="98" fillId="0" borderId="2" xfId="0" applyNumberFormat="1" applyFont="1" applyBorder="1" applyAlignment="1">
      <alignment horizontal="right" vertical="center"/>
    </xf>
    <xf numFmtId="0" fontId="98" fillId="0" borderId="0" xfId="0" applyFont="1" applyAlignment="1">
      <alignment horizontal="left" vertical="center" indent="1"/>
    </xf>
    <xf numFmtId="0" fontId="98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228" fillId="0" borderId="0" xfId="0" applyFont="1" applyAlignment="1">
      <alignment horizontal="left" vertical="center"/>
    </xf>
    <xf numFmtId="0" fontId="229" fillId="0" borderId="0" xfId="0" applyFont="1" applyAlignment="1">
      <alignment horizontal="left" vertical="center"/>
    </xf>
    <xf numFmtId="0" fontId="230" fillId="0" borderId="0" xfId="0" applyFont="1">
      <alignment vertical="center"/>
    </xf>
    <xf numFmtId="0" fontId="19" fillId="0" borderId="2" xfId="0" applyFont="1" applyBorder="1" applyAlignment="1">
      <alignment horizontal="right" vertical="center" indent="2"/>
    </xf>
    <xf numFmtId="0" fontId="32" fillId="4" borderId="5" xfId="0" applyFont="1" applyFill="1" applyBorder="1" applyAlignment="1">
      <alignment horizontal="center" vertical="center"/>
    </xf>
    <xf numFmtId="0" fontId="98" fillId="0" borderId="0" xfId="0" applyFont="1" applyAlignment="1">
      <alignment horizontal="right" vertical="center" indent="1"/>
    </xf>
    <xf numFmtId="0" fontId="231" fillId="0" borderId="0" xfId="0" applyFont="1" applyAlignment="1">
      <alignment horizontal="right" vertical="center"/>
    </xf>
    <xf numFmtId="0" fontId="232" fillId="0" borderId="0" xfId="0" applyFont="1" applyAlignment="1">
      <alignment horizontal="right" vertical="center"/>
    </xf>
    <xf numFmtId="0" fontId="98" fillId="0" borderId="2" xfId="0" applyFont="1" applyBorder="1" applyAlignment="1">
      <alignment horizontal="right" vertical="center" indent="1"/>
    </xf>
    <xf numFmtId="0" fontId="4" fillId="0" borderId="2" xfId="0" applyFont="1" applyBorder="1" applyAlignment="1">
      <alignment horizontal="right" vertical="center" indent="1"/>
    </xf>
    <xf numFmtId="0" fontId="136" fillId="0" borderId="2" xfId="0" applyFont="1" applyBorder="1" applyAlignment="1">
      <alignment horizontal="center" vertical="center"/>
    </xf>
    <xf numFmtId="0" fontId="233" fillId="14" borderId="2" xfId="0" applyFont="1" applyFill="1" applyBorder="1" applyAlignment="1">
      <alignment horizontal="center" vertical="center"/>
    </xf>
    <xf numFmtId="0" fontId="234" fillId="14" borderId="2" xfId="0" applyFont="1" applyFill="1" applyBorder="1" applyAlignment="1">
      <alignment horizontal="center" vertical="center"/>
    </xf>
    <xf numFmtId="0" fontId="30" fillId="14" borderId="2" xfId="0" applyFont="1" applyFill="1" applyBorder="1">
      <alignment vertical="center"/>
    </xf>
    <xf numFmtId="0" fontId="19" fillId="14" borderId="2" xfId="0" applyFont="1" applyFill="1" applyBorder="1">
      <alignment vertical="center"/>
    </xf>
    <xf numFmtId="0" fontId="237" fillId="0" borderId="2" xfId="0" applyFont="1" applyBorder="1">
      <alignment vertical="center"/>
    </xf>
    <xf numFmtId="0" fontId="73" fillId="0" borderId="1" xfId="2" applyFont="1" applyBorder="1" applyAlignment="1">
      <alignment horizontal="center" vertical="center" indent="1"/>
    </xf>
    <xf numFmtId="0" fontId="238" fillId="0" borderId="1" xfId="2" applyFont="1" applyBorder="1" applyAlignment="1">
      <alignment horizontal="center" vertical="center" indent="1"/>
    </xf>
    <xf numFmtId="0" fontId="239" fillId="0" borderId="1" xfId="2" applyFont="1" applyBorder="1" applyAlignment="1">
      <alignment horizontal="center" vertical="center" indent="1"/>
    </xf>
    <xf numFmtId="0" fontId="151" fillId="0" borderId="1" xfId="2" applyFont="1" applyBorder="1" applyAlignment="1">
      <alignment horizontal="center" vertical="center" indent="1"/>
    </xf>
    <xf numFmtId="0" fontId="20" fillId="12" borderId="1" xfId="2" applyFont="1" applyFill="1" applyBorder="1" applyAlignment="1">
      <alignment horizontal="center" vertical="center" wrapText="1"/>
    </xf>
    <xf numFmtId="0" fontId="75" fillId="0" borderId="1" xfId="2" applyFont="1" applyBorder="1" applyAlignment="1">
      <alignment horizontal="center" vertical="center"/>
    </xf>
    <xf numFmtId="0" fontId="241" fillId="0" borderId="1" xfId="2" applyFont="1" applyBorder="1" applyAlignment="1">
      <alignment horizontal="left" vertical="center"/>
    </xf>
    <xf numFmtId="0" fontId="73" fillId="0" borderId="19" xfId="2" applyFont="1" applyBorder="1" applyAlignment="1">
      <alignment horizontal="left" vertical="center" indent="1"/>
    </xf>
    <xf numFmtId="0" fontId="73" fillId="0" borderId="7" xfId="2" applyFont="1" applyBorder="1" applyAlignment="1">
      <alignment horizontal="left" vertical="center" indent="1"/>
    </xf>
    <xf numFmtId="0" fontId="73" fillId="0" borderId="19" xfId="2" applyFont="1" applyBorder="1" applyAlignment="1">
      <alignment horizontal="center" vertical="center"/>
    </xf>
    <xf numFmtId="0" fontId="73" fillId="0" borderId="7" xfId="2" applyFont="1" applyBorder="1" applyAlignment="1">
      <alignment horizontal="center" vertical="center"/>
    </xf>
    <xf numFmtId="0" fontId="73" fillId="0" borderId="2" xfId="2" applyFont="1" applyBorder="1" applyAlignment="1">
      <alignment horizontal="center" vertical="center"/>
    </xf>
    <xf numFmtId="0" fontId="75" fillId="0" borderId="2" xfId="2" applyFont="1" applyBorder="1" applyAlignment="1">
      <alignment horizontal="center" vertical="center"/>
    </xf>
    <xf numFmtId="0" fontId="73" fillId="0" borderId="18" xfId="2" applyFont="1" applyBorder="1" applyAlignment="1">
      <alignment vertical="center" indent="1"/>
    </xf>
    <xf numFmtId="0" fontId="75" fillId="0" borderId="19" xfId="2" applyFont="1" applyBorder="1" applyAlignment="1">
      <alignment horizontal="center" vertical="center"/>
    </xf>
    <xf numFmtId="0" fontId="75" fillId="0" borderId="7" xfId="2" applyFont="1" applyBorder="1" applyAlignment="1">
      <alignment horizontal="center" vertical="center"/>
    </xf>
    <xf numFmtId="0" fontId="73" fillId="0" borderId="22" xfId="2" applyFont="1" applyBorder="1" applyAlignment="1">
      <alignment horizontal="center" vertical="center"/>
    </xf>
    <xf numFmtId="0" fontId="240" fillId="0" borderId="1" xfId="2" applyFont="1" applyBorder="1" applyAlignment="1">
      <alignment horizontal="left" vertical="center" indent="1"/>
    </xf>
    <xf numFmtId="0" fontId="243" fillId="2" borderId="1" xfId="1" applyFont="1" applyFill="1" applyBorder="1" applyAlignment="1">
      <alignment horizontal="center" vertical="center" wrapText="1"/>
    </xf>
    <xf numFmtId="0" fontId="244" fillId="2" borderId="1" xfId="1" applyFont="1" applyFill="1" applyBorder="1" applyAlignment="1">
      <alignment horizontal="center" vertical="center" wrapText="1"/>
    </xf>
    <xf numFmtId="0" fontId="245" fillId="2" borderId="1" xfId="1" applyFont="1" applyFill="1" applyBorder="1" applyAlignment="1">
      <alignment horizontal="center" vertical="center" wrapText="1"/>
    </xf>
    <xf numFmtId="0" fontId="246" fillId="2" borderId="1" xfId="1" applyFont="1" applyFill="1" applyBorder="1" applyAlignment="1">
      <alignment horizontal="center" vertical="center" wrapText="1"/>
    </xf>
    <xf numFmtId="0" fontId="73" fillId="0" borderId="19" xfId="2" applyFont="1" applyBorder="1" applyAlignment="1">
      <alignment horizontal="center" vertical="center" indent="1"/>
    </xf>
    <xf numFmtId="0" fontId="73" fillId="0" borderId="7" xfId="2" applyFont="1" applyBorder="1" applyAlignment="1">
      <alignment horizontal="center" vertical="center" indent="1"/>
    </xf>
    <xf numFmtId="0" fontId="241" fillId="0" borderId="19" xfId="2" applyFont="1" applyBorder="1" applyAlignment="1">
      <alignment horizontal="left" vertical="center"/>
    </xf>
    <xf numFmtId="0" fontId="241" fillId="0" borderId="7" xfId="2" applyFont="1" applyBorder="1" applyAlignment="1">
      <alignment horizontal="left" vertical="center"/>
    </xf>
    <xf numFmtId="0" fontId="151" fillId="0" borderId="19" xfId="2" applyFont="1" applyBorder="1" applyAlignment="1">
      <alignment horizontal="center" vertical="center" indent="1"/>
    </xf>
    <xf numFmtId="0" fontId="151" fillId="0" borderId="7" xfId="2" applyFont="1" applyBorder="1" applyAlignment="1">
      <alignment horizontal="center" vertical="center" indent="1"/>
    </xf>
    <xf numFmtId="0" fontId="73" fillId="0" borderId="20" xfId="2" applyFont="1" applyBorder="1" applyAlignment="1">
      <alignment horizontal="left" vertical="center" indent="1"/>
    </xf>
    <xf numFmtId="0" fontId="73" fillId="0" borderId="21" xfId="2" applyFont="1" applyBorder="1" applyAlignment="1">
      <alignment horizontal="left" vertical="center" indent="1"/>
    </xf>
    <xf numFmtId="0" fontId="20" fillId="12" borderId="8" xfId="2" applyFont="1" applyFill="1" applyBorder="1" applyAlignment="1">
      <alignment horizontal="center" vertical="center"/>
    </xf>
    <xf numFmtId="0" fontId="20" fillId="12" borderId="10" xfId="2" applyFont="1" applyFill="1" applyBorder="1" applyAlignment="1">
      <alignment horizontal="center" vertical="center"/>
    </xf>
    <xf numFmtId="0" fontId="168" fillId="4" borderId="5" xfId="0" applyFont="1" applyFill="1" applyBorder="1" applyAlignment="1">
      <alignment horizontal="center" vertical="center"/>
    </xf>
    <xf numFmtId="0" fontId="168" fillId="4" borderId="4" xfId="0" applyFont="1" applyFill="1" applyBorder="1" applyAlignment="1">
      <alignment horizontal="center" vertical="center"/>
    </xf>
    <xf numFmtId="0" fontId="168" fillId="4" borderId="11" xfId="0" applyFont="1" applyFill="1" applyBorder="1" applyAlignment="1">
      <alignment horizontal="center" vertical="center"/>
    </xf>
    <xf numFmtId="0" fontId="168" fillId="4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05" fillId="0" borderId="1" xfId="0" applyFont="1" applyBorder="1" applyAlignment="1">
      <alignment horizontal="center" vertical="center"/>
    </xf>
    <xf numFmtId="0" fontId="164" fillId="0" borderId="8" xfId="0" applyFont="1" applyBorder="1" applyAlignment="1">
      <alignment horizontal="center" vertical="center"/>
    </xf>
    <xf numFmtId="0" fontId="164" fillId="0" borderId="9" xfId="0" applyFont="1" applyBorder="1" applyAlignment="1">
      <alignment horizontal="center" vertical="center"/>
    </xf>
    <xf numFmtId="0" fontId="164" fillId="0" borderId="10" xfId="0" applyFont="1" applyBorder="1" applyAlignment="1">
      <alignment horizontal="center" vertical="center"/>
    </xf>
    <xf numFmtId="0" fontId="162" fillId="0" borderId="0" xfId="0" applyFont="1" applyAlignment="1">
      <alignment horizontal="left" vertical="center" wrapText="1"/>
    </xf>
    <xf numFmtId="0" fontId="180" fillId="0" borderId="4" xfId="0" applyFont="1" applyBorder="1" applyAlignment="1"/>
    <xf numFmtId="0" fontId="168" fillId="4" borderId="5" xfId="0" applyFont="1" applyFill="1" applyBorder="1" applyAlignment="1">
      <alignment horizontal="center" vertical="center" wrapText="1"/>
    </xf>
    <xf numFmtId="0" fontId="168" fillId="4" borderId="0" xfId="0" applyFont="1" applyFill="1" applyAlignment="1">
      <alignment horizontal="center" vertical="center"/>
    </xf>
    <xf numFmtId="0" fontId="166" fillId="0" borderId="0" xfId="0" applyFont="1" applyAlignment="1"/>
    <xf numFmtId="176" fontId="247" fillId="14" borderId="0" xfId="0" applyNumberFormat="1" applyFont="1" applyFill="1" applyAlignment="1">
      <alignment horizontal="center" vertical="center"/>
    </xf>
    <xf numFmtId="176" fontId="248" fillId="15" borderId="0" xfId="0" applyNumberFormat="1" applyFont="1" applyFill="1" applyAlignment="1">
      <alignment horizontal="center" vertical="center"/>
    </xf>
    <xf numFmtId="0" fontId="249" fillId="0" borderId="0" xfId="1" applyFont="1"/>
    <xf numFmtId="0" fontId="250" fillId="4" borderId="2" xfId="1" applyFont="1" applyFill="1" applyBorder="1" applyAlignment="1">
      <alignment horizontal="center" vertical="center"/>
    </xf>
    <xf numFmtId="0" fontId="251" fillId="0" borderId="0" xfId="0" applyFont="1" applyAlignment="1">
      <alignment horizontal="left" vertical="center" indent="1"/>
    </xf>
    <xf numFmtId="0" fontId="252" fillId="14" borderId="0" xfId="0" applyFont="1" applyFill="1" applyAlignment="1">
      <alignment horizontal="left" vertical="center" indent="1"/>
    </xf>
    <xf numFmtId="0" fontId="253" fillId="0" borderId="0" xfId="0" applyFont="1" applyAlignment="1">
      <alignment horizontal="left" vertical="center" indent="1"/>
    </xf>
  </cellXfs>
  <cellStyles count="4">
    <cellStyle name="一般" xfId="0" builtinId="0"/>
    <cellStyle name="一般 2" xfId="1" xr:uid="{DE8FD42F-79EA-3A4F-AB90-DF8FC3774AA3}"/>
    <cellStyle name="一般 3" xfId="2" xr:uid="{2D3D8F7B-917A-BE4D-8D9A-7BBFAD05A116}"/>
    <cellStyle name="壞" xfId="3" builtinId="27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File:Tilde_(diacritic).svg" TargetMode="External"/><Relationship Id="rId2" Type="http://schemas.openxmlformats.org/officeDocument/2006/relationships/image" Target="../media/image3.png"/><Relationship Id="rId1" Type="http://schemas.openxmlformats.org/officeDocument/2006/relationships/hyperlink" Target="https://zh.wikipedia.org/wiki/File:Ring_above.svg" TargetMode="Externa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342900</xdr:colOff>
      <xdr:row>19</xdr:row>
      <xdr:rowOff>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17191ED2-17BA-91ED-E193-AD98EACDE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42875"/>
          <a:ext cx="5829300" cy="58293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15</xdr:col>
      <xdr:colOff>342900</xdr:colOff>
      <xdr:row>19</xdr:row>
      <xdr:rowOff>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F9CEB2A-1B5D-7678-CF3C-9F70AC296993}"/>
            </a:ext>
            <a:ext uri="{147F2762-F138-4A5C-976F-8EAC2B608ADB}">
              <a16:predDERef xmlns:a16="http://schemas.microsoft.com/office/drawing/2014/main" pred="{17191ED2-17BA-91ED-E193-AD98EACDE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0" y="142875"/>
          <a:ext cx="5829300" cy="5829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</xdr:row>
      <xdr:rowOff>0</xdr:rowOff>
    </xdr:from>
    <xdr:to>
      <xdr:col>12</xdr:col>
      <xdr:colOff>101600</xdr:colOff>
      <xdr:row>17</xdr:row>
      <xdr:rowOff>152400</xdr:rowOff>
    </xdr:to>
    <xdr:pic>
      <xdr:nvPicPr>
        <xdr:cNvPr id="2" name="圖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933CA7-FE07-2D2A-6AD2-744B7F6E3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19558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101600</xdr:colOff>
      <xdr:row>17</xdr:row>
      <xdr:rowOff>139700</xdr:rowOff>
    </xdr:to>
    <xdr:pic>
      <xdr:nvPicPr>
        <xdr:cNvPr id="3" name="圖片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4897A6-EAF1-F0EA-BFCA-CCBADDAF5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0" y="19558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Relationship Id="rId6" Type="http://schemas.openxmlformats.org/officeDocument/2006/relationships/hyperlink" Target="https://zh.wikipedia.org/wiki/&#33274;&#28771;&#38313;&#21335;&#35486;&#32645;&#39340;&#23383;&#25340;&#38899;&#26041;&#26696;" TargetMode="External"/><Relationship Id="rId5" Type="http://schemas.openxmlformats.org/officeDocument/2006/relationships/hyperlink" Target="https://zh.wikipedia.org/wiki/&#38313;&#21335;&#26041;&#35328;&#25340;&#38899;&#26041;&#26696;" TargetMode="External"/><Relationship Id="rId4" Type="http://schemas.openxmlformats.org/officeDocument/2006/relationships/hyperlink" Target="https://zh.wikipedia.org/wiki/&#22283;&#38555;&#38899;&#27161;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Relationship Id="rId6" Type="http://schemas.openxmlformats.org/officeDocument/2006/relationships/hyperlink" Target="https://zh.wikipedia.org/wiki/&#33274;&#28771;&#38313;&#21335;&#35486;&#32645;&#39340;&#23383;&#25340;&#38899;&#26041;&#26696;" TargetMode="External"/><Relationship Id="rId5" Type="http://schemas.openxmlformats.org/officeDocument/2006/relationships/hyperlink" Target="https://zh.wikipedia.org/wiki/&#38313;&#21335;&#26041;&#35328;&#25340;&#38899;&#26041;&#26696;" TargetMode="External"/><Relationship Id="rId4" Type="http://schemas.openxmlformats.org/officeDocument/2006/relationships/hyperlink" Target="https://zh.wikipedia.org/wiki/&#22283;&#38555;&#38899;&#27161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&#28165;&#21897;&#25830;&#38899;" TargetMode="External"/><Relationship Id="rId3" Type="http://schemas.openxmlformats.org/officeDocument/2006/relationships/hyperlink" Target="https://zh.wikipedia.org/wiki/&#28165;&#36575;&#38990;&#22622;&#38899;" TargetMode="External"/><Relationship Id="rId7" Type="http://schemas.openxmlformats.org/officeDocument/2006/relationships/hyperlink" Target="https://zh.wikipedia.org/wiki/&#32882;&#38272;&#22622;&#38899;" TargetMode="External"/><Relationship Id="rId2" Type="http://schemas.openxmlformats.org/officeDocument/2006/relationships/hyperlink" Target="https://zh.wikipedia.org/wiki/&#28165;&#36575;&#38990;&#22622;&#38899;" TargetMode="External"/><Relationship Id="rId1" Type="http://schemas.openxmlformats.org/officeDocument/2006/relationships/hyperlink" Target="https://zh.wikipedia.org/wiki/&#28165;&#38617;&#21767;&#22622;&#38899;" TargetMode="External"/><Relationship Id="rId6" Type="http://schemas.openxmlformats.org/officeDocument/2006/relationships/hyperlink" Target="https://zh.wikipedia.org/wiki/&#28165;&#40786;&#40806;&#22622;&#38899;" TargetMode="External"/><Relationship Id="rId5" Type="http://schemas.openxmlformats.org/officeDocument/2006/relationships/hyperlink" Target="https://zh.wikipedia.org/wiki/&#28165;&#38617;&#21767;&#22622;&#38899;" TargetMode="External"/><Relationship Id="rId4" Type="http://schemas.openxmlformats.org/officeDocument/2006/relationships/hyperlink" Target="https://zh.wikipedia.org/wiki/&#28165;&#40786;&#40806;&#22622;&#38899;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7073-5CFF-D44F-859A-0D0441DD5727}">
  <sheetPr>
    <tabColor rgb="FFFF0000"/>
  </sheetPr>
  <dimension ref="A1:Z24"/>
  <sheetViews>
    <sheetView showGridLines="0" topLeftCell="C4" workbookViewId="0">
      <selection activeCell="F13" sqref="F13"/>
    </sheetView>
  </sheetViews>
  <sheetFormatPr defaultColWidth="10.90625" defaultRowHeight="25.5" outlineLevelRow="1" outlineLevelCol="1"/>
  <cols>
    <col min="1" max="1" width="4" hidden="1" customWidth="1" outlineLevel="1"/>
    <col min="2" max="2" width="0" style="6" hidden="1" customWidth="1" outlineLevel="1"/>
    <col min="3" max="3" width="2.7265625" style="68" customWidth="1" collapsed="1"/>
    <col min="4" max="4" width="6.81640625" style="68" customWidth="1"/>
    <col min="5" max="5" width="10.453125" style="69" customWidth="1"/>
    <col min="6" max="9" width="12.453125" style="70" customWidth="1"/>
    <col min="10" max="10" width="12.453125" style="69" customWidth="1"/>
    <col min="11" max="11" width="12.453125" style="70" customWidth="1"/>
    <col min="12" max="12" width="10.90625" style="388"/>
    <col min="13" max="13" width="0" style="68" hidden="1" customWidth="1" outlineLevel="1"/>
    <col min="14" max="16" width="0" hidden="1" customWidth="1" outlineLevel="1"/>
    <col min="17" max="18" width="12.1796875" hidden="1" customWidth="1" outlineLevel="1"/>
    <col min="19" max="21" width="0" hidden="1" customWidth="1" outlineLevel="1"/>
    <col min="22" max="22" width="10.90625" collapsed="1"/>
    <col min="24" max="24" width="0" hidden="1" customWidth="1" outlineLevel="1"/>
    <col min="25" max="25" width="10.90625" collapsed="1"/>
  </cols>
  <sheetData>
    <row r="1" spans="2:26" ht="12" hidden="1" customHeight="1" outlineLevel="1"/>
    <row r="2" spans="2:26" ht="27" hidden="1" customHeight="1" outlineLevel="1">
      <c r="F2" s="141">
        <v>5</v>
      </c>
      <c r="G2" s="141">
        <v>6</v>
      </c>
      <c r="H2" s="141">
        <v>7</v>
      </c>
      <c r="I2" s="141">
        <v>6</v>
      </c>
      <c r="J2" s="142">
        <v>4</v>
      </c>
      <c r="K2" s="141">
        <v>3</v>
      </c>
      <c r="Y2" s="141">
        <v>8</v>
      </c>
      <c r="Z2" s="141">
        <v>4</v>
      </c>
    </row>
    <row r="3" spans="2:26" hidden="1" outlineLevel="1">
      <c r="D3" s="101" cm="1">
        <f t="array" ref="D3">COLUMN()-COLUMN(($C:$C))</f>
        <v>1</v>
      </c>
      <c r="E3" s="101" cm="1">
        <f t="array" ref="E3">COLUMN()-COLUMN(($C:$C))</f>
        <v>2</v>
      </c>
      <c r="F3" s="101" cm="1">
        <f t="array" ref="F3">COLUMN()-COLUMN(($C:$C))</f>
        <v>3</v>
      </c>
      <c r="G3" s="101" cm="1">
        <f t="array" ref="G3">COLUMN()-COLUMN(($C:$C))</f>
        <v>4</v>
      </c>
      <c r="H3" s="101" cm="1">
        <f t="array" ref="H3">COLUMN()-COLUMN(($C:$C))</f>
        <v>5</v>
      </c>
      <c r="I3" s="101" cm="1">
        <f t="array" ref="I3">COLUMN()-COLUMN(($C:$C))</f>
        <v>6</v>
      </c>
      <c r="J3" s="101" cm="1">
        <f t="array" ref="J3">COLUMN()-COLUMN(($C:$C))</f>
        <v>7</v>
      </c>
      <c r="K3" s="101" cm="1">
        <f t="array" ref="K3">COLUMN()-COLUMN(($C:$C))</f>
        <v>8</v>
      </c>
    </row>
    <row r="4" spans="2:26" ht="9.9499999999999993" customHeight="1" collapsed="1"/>
    <row r="5" spans="2:26" ht="51">
      <c r="B5" s="125" t="s">
        <v>0</v>
      </c>
      <c r="C5" s="73"/>
      <c r="D5" s="19" t="s">
        <v>1</v>
      </c>
      <c r="E5" s="19" t="s">
        <v>2</v>
      </c>
      <c r="F5" s="19" t="s">
        <v>3</v>
      </c>
      <c r="G5" s="19" t="s">
        <v>4</v>
      </c>
      <c r="H5" s="19" t="s">
        <v>5</v>
      </c>
      <c r="I5" s="19" t="s">
        <v>6</v>
      </c>
      <c r="J5" s="19" t="s">
        <v>7</v>
      </c>
      <c r="K5" s="19" t="s">
        <v>8</v>
      </c>
      <c r="M5"/>
      <c r="V5" s="19" t="s">
        <v>1</v>
      </c>
      <c r="W5" s="395" t="s">
        <v>9</v>
      </c>
      <c r="X5" s="165" t="s">
        <v>10</v>
      </c>
      <c r="Y5" s="19" t="s">
        <v>8</v>
      </c>
      <c r="Z5" s="19" t="s">
        <v>4</v>
      </c>
    </row>
    <row r="6" spans="2:26" s="147" customFormat="1" ht="39.950000000000003" customHeight="1">
      <c r="B6" s="143" t="e">
        <f xml:space="preserve"> MATCH(E6, 十五音聲母清單!$C$5:$C$26,0)</f>
        <v>#N/A</v>
      </c>
      <c r="C6" s="144"/>
      <c r="D6" s="145">
        <v>1</v>
      </c>
      <c r="E6" s="319" t="s">
        <v>11</v>
      </c>
      <c r="F6" s="322" t="s">
        <v>12</v>
      </c>
      <c r="G6" s="390" t="s">
        <v>13</v>
      </c>
      <c r="H6" s="166" t="s">
        <v>12</v>
      </c>
      <c r="I6" s="166" t="s">
        <v>14</v>
      </c>
      <c r="J6" s="166" t="s">
        <v>14</v>
      </c>
      <c r="K6" s="323" t="s">
        <v>12</v>
      </c>
      <c r="L6" s="143"/>
      <c r="V6" s="145">
        <v>1</v>
      </c>
      <c r="W6" s="319" t="s">
        <v>15</v>
      </c>
      <c r="X6" s="403">
        <f t="shared" ref="X6" si="0" xml:space="preserve"> MATCH(W6, 聲母碼,0)</f>
        <v>2</v>
      </c>
      <c r="Y6" s="383" t="str" cm="1">
        <f t="array" ref="Y6">INDEX(聲母碼表,$X6,Y$2)</f>
        <v>ㄅ</v>
      </c>
      <c r="Z6" s="383" t="str" cm="1">
        <f t="array" ref="Z6">INDEX(聲母碼表,$X6,Z$2)</f>
        <v>邊</v>
      </c>
    </row>
    <row r="7" spans="2:26" s="147" customFormat="1" ht="39.950000000000003" customHeight="1">
      <c r="B7" s="143">
        <f xml:space="preserve"> MATCH(E7, 十五音聲母清單!$C$5:$C$26,0)</f>
        <v>2</v>
      </c>
      <c r="C7" s="144"/>
      <c r="D7" s="145">
        <v>2</v>
      </c>
      <c r="E7" s="319" t="s">
        <v>16</v>
      </c>
      <c r="F7" s="166" t="s">
        <v>17</v>
      </c>
      <c r="G7" s="390" t="s">
        <v>18</v>
      </c>
      <c r="H7" s="166" t="s">
        <v>16</v>
      </c>
      <c r="I7" s="166" t="s">
        <v>16</v>
      </c>
      <c r="J7" s="387" t="s">
        <v>19</v>
      </c>
      <c r="K7" s="323" t="s">
        <v>20</v>
      </c>
      <c r="L7" s="143"/>
      <c r="V7" s="145">
        <v>2</v>
      </c>
      <c r="W7" s="319" t="s">
        <v>21</v>
      </c>
      <c r="X7" s="403">
        <f t="shared" ref="X7" si="1" xml:space="preserve"> MATCH(W7, 聲母碼,0)</f>
        <v>3</v>
      </c>
      <c r="Y7" s="383" t="str" cm="1">
        <f t="array" ref="Y7">INDEX(聲母碼表,$X7,Y$2)</f>
        <v>ㄆ</v>
      </c>
      <c r="Z7" s="383" t="str" cm="1">
        <f t="array" ref="Z7">INDEX(聲母碼表,$X7,Z$2)</f>
        <v>頗</v>
      </c>
    </row>
    <row r="8" spans="2:26" s="147" customFormat="1" ht="39.950000000000003" customHeight="1">
      <c r="B8" s="143">
        <f xml:space="preserve"> MATCH(E8, 十五音聲母清單!$C$5:$C$26,0)</f>
        <v>6</v>
      </c>
      <c r="C8" s="144"/>
      <c r="D8" s="145">
        <v>3</v>
      </c>
      <c r="E8" s="319" t="s">
        <v>22</v>
      </c>
      <c r="F8" s="166" t="s">
        <v>23</v>
      </c>
      <c r="G8" s="390" t="s">
        <v>24</v>
      </c>
      <c r="H8" s="166" t="s">
        <v>22</v>
      </c>
      <c r="I8" s="166" t="s">
        <v>22</v>
      </c>
      <c r="J8" s="387" t="s">
        <v>16</v>
      </c>
      <c r="K8" s="323" t="s">
        <v>25</v>
      </c>
      <c r="L8" s="143"/>
      <c r="V8" s="145">
        <v>4</v>
      </c>
      <c r="W8" s="319" t="s">
        <v>26</v>
      </c>
      <c r="X8" s="403">
        <f xml:space="preserve"> MATCH(W8, 聲母碼,0)</f>
        <v>5</v>
      </c>
      <c r="Y8" s="383" t="str" cm="1">
        <f t="array" ref="Y8">INDEX(聲母碼表,$X8,Y$2)</f>
        <v>ㆠ</v>
      </c>
      <c r="Z8" s="383" t="str" cm="1">
        <f t="array" ref="Z8">INDEX(聲母碼表,$X8,Z$2)</f>
        <v>門</v>
      </c>
    </row>
    <row r="9" spans="2:26" s="147" customFormat="1" ht="39.950000000000003" customHeight="1">
      <c r="B9" s="143">
        <f xml:space="preserve"> MATCH(E9, 十五音聲母清單!$C$5:$C$26,0)</f>
        <v>20</v>
      </c>
      <c r="C9" s="144"/>
      <c r="D9" s="145">
        <v>4</v>
      </c>
      <c r="E9" s="319" t="s">
        <v>27</v>
      </c>
      <c r="F9" s="166" t="s">
        <v>28</v>
      </c>
      <c r="G9" s="390" t="s">
        <v>29</v>
      </c>
      <c r="H9" s="166" t="s">
        <v>27</v>
      </c>
      <c r="I9" s="166" t="s">
        <v>27</v>
      </c>
      <c r="J9" s="387" t="s">
        <v>30</v>
      </c>
      <c r="K9" s="323" t="s">
        <v>31</v>
      </c>
      <c r="L9" s="143"/>
      <c r="V9" s="145">
        <v>5</v>
      </c>
      <c r="W9" s="319" t="s">
        <v>32</v>
      </c>
      <c r="X9" s="403">
        <f xml:space="preserve"> MATCH(W9, 聲母碼,0)</f>
        <v>6</v>
      </c>
      <c r="Y9" s="383" t="str" cm="1">
        <f t="array" ref="Y9">INDEX(聲母碼表,$X9,Y$2)</f>
        <v>ㄍ</v>
      </c>
      <c r="Z9" s="383" t="str" cm="1">
        <f t="array" ref="Z9">INDEX(聲母碼表,$X9,Z$2)</f>
        <v>求</v>
      </c>
    </row>
    <row r="10" spans="2:26" s="147" customFormat="1" ht="39.950000000000003" customHeight="1">
      <c r="B10" s="143">
        <f xml:space="preserve"> MATCH(E10, 十五音聲母清單!$C$5:$C$26,0)</f>
        <v>15</v>
      </c>
      <c r="C10" s="144"/>
      <c r="D10" s="145">
        <v>5</v>
      </c>
      <c r="E10" s="319" t="s">
        <v>19</v>
      </c>
      <c r="F10" s="166" t="s">
        <v>33</v>
      </c>
      <c r="G10" s="390" t="s">
        <v>29</v>
      </c>
      <c r="H10" s="166" t="s">
        <v>19</v>
      </c>
      <c r="I10" s="166" t="s">
        <v>19</v>
      </c>
      <c r="J10" s="387" t="s">
        <v>34</v>
      </c>
      <c r="K10" s="323" t="s">
        <v>35</v>
      </c>
      <c r="L10" s="143"/>
      <c r="V10" s="145">
        <v>3</v>
      </c>
      <c r="W10" s="319" t="s">
        <v>36</v>
      </c>
      <c r="X10" s="403">
        <f t="shared" ref="X10" si="2" xml:space="preserve"> MATCH(W10, 聲母碼,0)</f>
        <v>4</v>
      </c>
      <c r="Y10" s="383" t="str" cm="1">
        <f t="array" ref="Y10">INDEX(聲母碼表,$X10,Y$2)</f>
        <v>ㄇ</v>
      </c>
      <c r="Z10" s="383" t="str" cm="1">
        <f t="array" ref="Z10">INDEX(聲母碼表,$X10,Z$2)</f>
        <v>門</v>
      </c>
    </row>
    <row r="11" spans="2:26" s="147" customFormat="1" ht="39.950000000000003" customHeight="1">
      <c r="B11" s="143">
        <f xml:space="preserve"> MATCH(E18, 十五音聲母清單!$C$5:$C$26,0)</f>
        <v>1</v>
      </c>
      <c r="C11" s="144"/>
      <c r="D11" s="145">
        <v>6</v>
      </c>
      <c r="E11" s="319" t="s">
        <v>37</v>
      </c>
      <c r="F11" s="166" t="s">
        <v>38</v>
      </c>
      <c r="G11" s="390" t="s">
        <v>39</v>
      </c>
      <c r="H11" s="166" t="s">
        <v>37</v>
      </c>
      <c r="I11" s="166" t="s">
        <v>37</v>
      </c>
      <c r="J11" s="387" t="s">
        <v>40</v>
      </c>
      <c r="K11" s="323" t="s">
        <v>41</v>
      </c>
      <c r="L11" s="143"/>
      <c r="V11" s="145">
        <v>10</v>
      </c>
      <c r="W11" s="319" t="s">
        <v>42</v>
      </c>
      <c r="X11" s="403">
        <f xml:space="preserve"> MATCH(W11, 聲母碼,0)</f>
        <v>11</v>
      </c>
      <c r="Y11" s="383" t="str" cm="1">
        <f t="array" ref="Y11">INDEX(聲母碼表,$X11,Y$2)</f>
        <v>ㄊ</v>
      </c>
      <c r="Z11" s="383" t="str" cm="1">
        <f t="array" ref="Z11">INDEX(聲母碼表,$X11,Z$2)</f>
        <v>他</v>
      </c>
    </row>
    <row r="12" spans="2:26" s="147" customFormat="1" ht="39.950000000000003" customHeight="1">
      <c r="B12" s="143">
        <f xml:space="preserve"> MATCH(E11, 十五音聲母清單!$C$5:$C$26,0)</f>
        <v>3</v>
      </c>
      <c r="C12" s="144"/>
      <c r="D12" s="145">
        <v>7</v>
      </c>
      <c r="E12" s="319" t="s">
        <v>43</v>
      </c>
      <c r="F12" s="166" t="s">
        <v>44</v>
      </c>
      <c r="G12" s="390" t="s">
        <v>45</v>
      </c>
      <c r="H12" s="166" t="s">
        <v>43</v>
      </c>
      <c r="I12" s="166" t="s">
        <v>43</v>
      </c>
      <c r="J12" s="387" t="s">
        <v>37</v>
      </c>
      <c r="K12" s="323" t="s">
        <v>46</v>
      </c>
      <c r="L12" s="143"/>
      <c r="V12" s="145">
        <v>11</v>
      </c>
      <c r="W12" s="319" t="s">
        <v>47</v>
      </c>
      <c r="X12" s="403">
        <f xml:space="preserve"> MATCH(W12, 聲母碼,0)</f>
        <v>12</v>
      </c>
      <c r="Y12" s="383" t="str" cm="1">
        <f t="array" ref="Y12">INDEX(聲母碼表,$X12,Y$2)</f>
        <v>ㄋ</v>
      </c>
      <c r="Z12" s="383" t="str" cm="1">
        <f t="array" ref="Z12">INDEX(聲母碼表,$X12,Z$2)</f>
        <v>柳</v>
      </c>
    </row>
    <row r="13" spans="2:26" s="147" customFormat="1" ht="39.950000000000003" customHeight="1">
      <c r="B13" s="143">
        <f xml:space="preserve"> MATCH(E14, 十五音聲母清單!$C$5:$C$26,0)</f>
        <v>16</v>
      </c>
      <c r="C13" s="144"/>
      <c r="D13" s="145">
        <v>8</v>
      </c>
      <c r="E13" s="319" t="s">
        <v>48</v>
      </c>
      <c r="F13" s="166" t="s">
        <v>49</v>
      </c>
      <c r="G13" s="390" t="s">
        <v>50</v>
      </c>
      <c r="H13" s="166" t="s">
        <v>48</v>
      </c>
      <c r="I13" s="166" t="s">
        <v>48</v>
      </c>
      <c r="J13" s="387" t="s">
        <v>51</v>
      </c>
      <c r="K13" s="323" t="s">
        <v>52</v>
      </c>
      <c r="L13" s="143"/>
      <c r="V13" s="145">
        <v>13</v>
      </c>
      <c r="W13" s="319" t="s">
        <v>53</v>
      </c>
      <c r="X13" s="403">
        <f xml:space="preserve"> MATCH(W13, 聲母碼,0)</f>
        <v>14</v>
      </c>
      <c r="Y13" s="383" t="str" cm="1">
        <f t="array" ref="Y13">INDEX(聲母碼表,$X13,Y$2)</f>
        <v>ㄗ</v>
      </c>
      <c r="Z13" s="383" t="str" cm="1">
        <f t="array" ref="Z13">INDEX(聲母碼表,$X13,Z$2)</f>
        <v>曾</v>
      </c>
    </row>
    <row r="14" spans="2:26" s="147" customFormat="1" ht="39.950000000000003" customHeight="1">
      <c r="B14" s="143">
        <f xml:space="preserve"> MATCH(E12, 十五音聲母清單!$C$5:$C$26,0)</f>
        <v>4</v>
      </c>
      <c r="C14" s="144"/>
      <c r="D14" s="145">
        <v>9</v>
      </c>
      <c r="E14" s="319" t="s">
        <v>40</v>
      </c>
      <c r="F14" s="166" t="s">
        <v>54</v>
      </c>
      <c r="G14" s="390" t="s">
        <v>50</v>
      </c>
      <c r="H14" s="166" t="s">
        <v>40</v>
      </c>
      <c r="I14" s="166" t="s">
        <v>40</v>
      </c>
      <c r="J14" s="387" t="s">
        <v>55</v>
      </c>
      <c r="K14" s="323" t="s">
        <v>56</v>
      </c>
      <c r="L14" s="143"/>
      <c r="V14" s="145">
        <v>12</v>
      </c>
      <c r="W14" s="319" t="s">
        <v>57</v>
      </c>
      <c r="X14" s="403">
        <f t="shared" ref="X14" si="3" xml:space="preserve"> MATCH(W14, 聲母碼,0)</f>
        <v>13</v>
      </c>
      <c r="Y14" s="383" t="str" cm="1">
        <f t="array" ref="Y14">INDEX(聲母碼表,$X14,Y$2)</f>
        <v>ㄌ</v>
      </c>
      <c r="Z14" s="383" t="str" cm="1">
        <f t="array" ref="Z14">INDEX(聲母碼表,$X14,Z$2)</f>
        <v>柳</v>
      </c>
    </row>
    <row r="15" spans="2:26" s="147" customFormat="1" ht="39.950000000000003" customHeight="1">
      <c r="B15" s="143">
        <f xml:space="preserve"> MATCH(E15, 十五音聲母清單!$C$5:$C$26,0)</f>
        <v>5</v>
      </c>
      <c r="C15" s="144"/>
      <c r="D15" s="145">
        <v>10</v>
      </c>
      <c r="E15" s="319" t="s">
        <v>58</v>
      </c>
      <c r="F15" s="166" t="s">
        <v>59</v>
      </c>
      <c r="G15" s="390" t="s">
        <v>60</v>
      </c>
      <c r="H15" s="166" t="s">
        <v>58</v>
      </c>
      <c r="I15" s="166" t="s">
        <v>58</v>
      </c>
      <c r="J15" s="387" t="s">
        <v>61</v>
      </c>
      <c r="K15" s="323" t="s">
        <v>62</v>
      </c>
      <c r="L15" s="143"/>
      <c r="V15" s="145">
        <v>6</v>
      </c>
      <c r="W15" s="319" t="s">
        <v>63</v>
      </c>
      <c r="X15" s="403">
        <f t="shared" ref="X15" si="4" xml:space="preserve"> MATCH(W15, 聲母碼,0)</f>
        <v>7</v>
      </c>
      <c r="Y15" s="383" t="str" cm="1">
        <f t="array" ref="Y15">INDEX(聲母碼表,$X15,Y$2)</f>
        <v>ㄎ</v>
      </c>
      <c r="Z15" s="383" t="str" cm="1">
        <f t="array" ref="Z15">INDEX(聲母碼表,$X15,Z$2)</f>
        <v>去</v>
      </c>
    </row>
    <row r="16" spans="2:26" s="147" customFormat="1" ht="39.950000000000003" customHeight="1">
      <c r="B16" s="143"/>
      <c r="C16" s="144"/>
      <c r="D16" s="145">
        <v>11</v>
      </c>
      <c r="E16" s="319" t="s">
        <v>64</v>
      </c>
      <c r="F16" s="166" t="s">
        <v>65</v>
      </c>
      <c r="G16" s="390" t="s">
        <v>66</v>
      </c>
      <c r="H16" s="166" t="s">
        <v>64</v>
      </c>
      <c r="I16" s="166" t="s">
        <v>64</v>
      </c>
      <c r="J16" s="387" t="s">
        <v>58</v>
      </c>
      <c r="K16" s="323" t="s">
        <v>67</v>
      </c>
      <c r="L16" s="143"/>
      <c r="V16" s="145">
        <v>7</v>
      </c>
      <c r="W16" s="319" t="s">
        <v>68</v>
      </c>
      <c r="X16" s="403">
        <f t="shared" ref="X16" si="5" xml:space="preserve"> MATCH(W16, 聲母碼,0)</f>
        <v>8</v>
      </c>
      <c r="Y16" s="383" t="str" cm="1">
        <f t="array" ref="Y16">INDEX(聲母碼表,$X16,Y$2)</f>
        <v>ㄫ</v>
      </c>
      <c r="Z16" s="383" t="str" cm="1">
        <f t="array" ref="Z16">INDEX(聲母碼表,$X16,Z$2)</f>
        <v>語</v>
      </c>
    </row>
    <row r="17" spans="2:26" s="147" customFormat="1" ht="39.950000000000003" customHeight="1">
      <c r="B17" s="143">
        <f xml:space="preserve"> MATCH(E16, 十五音聲母清單!$C$5:$C$26,0)</f>
        <v>7</v>
      </c>
      <c r="C17" s="144"/>
      <c r="D17" s="145">
        <v>12</v>
      </c>
      <c r="E17" s="319" t="s">
        <v>69</v>
      </c>
      <c r="F17" s="166" t="s">
        <v>70</v>
      </c>
      <c r="G17" s="390" t="s">
        <v>71</v>
      </c>
      <c r="H17" s="166" t="s">
        <v>69</v>
      </c>
      <c r="I17" s="166" t="s">
        <v>69</v>
      </c>
      <c r="J17" s="387" t="s">
        <v>72</v>
      </c>
      <c r="K17" s="323" t="s">
        <v>73</v>
      </c>
      <c r="L17" s="143"/>
      <c r="V17" s="145">
        <v>8</v>
      </c>
      <c r="W17" s="319" t="s">
        <v>74</v>
      </c>
      <c r="X17" s="403">
        <f t="shared" ref="X17" si="6" xml:space="preserve"> MATCH(W17, 聲母碼,0)</f>
        <v>9</v>
      </c>
      <c r="Y17" s="383" t="str" cm="1">
        <f t="array" ref="Y17">INDEX(聲母碼表,$X17,Y$2)</f>
        <v>ㆣ</v>
      </c>
      <c r="Z17" s="383" t="str" cm="1">
        <f t="array" ref="Z17">INDEX(聲母碼表,$X17,Z$2)</f>
        <v>語</v>
      </c>
    </row>
    <row r="18" spans="2:26" s="147" customFormat="1" ht="39.950000000000003" customHeight="1">
      <c r="B18" s="143">
        <f xml:space="preserve"> MATCH(E17, 十五音聲母清單!$C$5:$C$26,0)</f>
        <v>21</v>
      </c>
      <c r="C18" s="144"/>
      <c r="D18" s="145">
        <v>13</v>
      </c>
      <c r="E18" s="319" t="s">
        <v>75</v>
      </c>
      <c r="F18" s="166" t="s">
        <v>76</v>
      </c>
      <c r="G18" s="390" t="s">
        <v>71</v>
      </c>
      <c r="H18" s="166" t="s">
        <v>75</v>
      </c>
      <c r="I18" s="166" t="s">
        <v>75</v>
      </c>
      <c r="J18" s="387" t="s">
        <v>75</v>
      </c>
      <c r="K18" s="323" t="s">
        <v>77</v>
      </c>
      <c r="L18" s="143"/>
      <c r="V18" s="145">
        <v>9</v>
      </c>
      <c r="W18" s="319" t="s">
        <v>78</v>
      </c>
      <c r="X18" s="403">
        <f t="shared" ref="X18" si="7" xml:space="preserve"> MATCH(W18, 聲母碼,0)</f>
        <v>10</v>
      </c>
      <c r="Y18" s="383" t="str" cm="1">
        <f t="array" ref="Y18">INDEX(聲母碼表,$X18,Y$2)</f>
        <v>ㄉ</v>
      </c>
      <c r="Z18" s="383" t="str" cm="1">
        <f t="array" ref="Z18">INDEX(聲母碼表,$X18,Z$2)</f>
        <v>地</v>
      </c>
    </row>
    <row r="19" spans="2:26" s="147" customFormat="1" ht="39.950000000000003" customHeight="1">
      <c r="B19" s="143">
        <f xml:space="preserve"> MATCH(E23, 十五音聲母清單!$C$5:$C$26,0)</f>
        <v>19</v>
      </c>
      <c r="C19" s="144"/>
      <c r="D19" s="145">
        <v>14</v>
      </c>
      <c r="E19" s="319" t="s">
        <v>79</v>
      </c>
      <c r="F19" s="322" t="s">
        <v>80</v>
      </c>
      <c r="G19" s="390" t="s">
        <v>81</v>
      </c>
      <c r="H19" s="166" t="s">
        <v>82</v>
      </c>
      <c r="I19" s="166" t="s">
        <v>53</v>
      </c>
      <c r="J19" s="387" t="s">
        <v>83</v>
      </c>
      <c r="K19" s="323" t="s">
        <v>84</v>
      </c>
      <c r="L19" s="143"/>
      <c r="M19" s="19" t="s">
        <v>1</v>
      </c>
      <c r="N19" s="19" t="s">
        <v>2</v>
      </c>
      <c r="O19" s="19" t="s">
        <v>3</v>
      </c>
      <c r="P19" s="19" t="s">
        <v>4</v>
      </c>
      <c r="Q19" s="19" t="s">
        <v>5</v>
      </c>
      <c r="R19" s="19" t="s">
        <v>6</v>
      </c>
      <c r="S19" s="19" t="s">
        <v>7</v>
      </c>
      <c r="T19" s="19" t="s">
        <v>8</v>
      </c>
      <c r="V19" s="145">
        <v>15</v>
      </c>
      <c r="W19" s="319" t="s">
        <v>85</v>
      </c>
      <c r="X19" s="403">
        <f xml:space="preserve"> MATCH(W19, 聲母碼,0)</f>
        <v>16</v>
      </c>
      <c r="Y19" s="383" t="str" cm="1">
        <f t="array" ref="Y19">INDEX(聲母碼表,$X19,Y$2)</f>
        <v>ㄙ</v>
      </c>
      <c r="Z19" s="383" t="str" cm="1">
        <f t="array" ref="Z19">INDEX(聲母碼表,$X19,Z$2)</f>
        <v>時</v>
      </c>
    </row>
    <row r="20" spans="2:26" s="147" customFormat="1" ht="39.950000000000003" customHeight="1">
      <c r="B20" s="143">
        <f xml:space="preserve"> MATCH(E19, 十五音聲母清單!$C$5:$C$26,0)</f>
        <v>8</v>
      </c>
      <c r="C20" s="144"/>
      <c r="D20" s="145">
        <v>15</v>
      </c>
      <c r="E20" s="319" t="s">
        <v>86</v>
      </c>
      <c r="F20" s="322" t="s">
        <v>87</v>
      </c>
      <c r="G20" s="390" t="s">
        <v>88</v>
      </c>
      <c r="H20" s="166" t="s">
        <v>89</v>
      </c>
      <c r="I20" s="166" t="s">
        <v>90</v>
      </c>
      <c r="J20" s="387" t="s">
        <v>91</v>
      </c>
      <c r="K20" s="323" t="s">
        <v>92</v>
      </c>
      <c r="L20" s="143"/>
      <c r="M20" s="145">
        <v>16</v>
      </c>
      <c r="N20" s="319" t="s">
        <v>79</v>
      </c>
      <c r="O20" s="322" t="s">
        <v>93</v>
      </c>
      <c r="P20" s="164" t="s">
        <v>81</v>
      </c>
      <c r="Q20" s="166" t="s">
        <v>94</v>
      </c>
      <c r="R20" s="166" t="s">
        <v>95</v>
      </c>
      <c r="S20" s="387" t="s">
        <v>83</v>
      </c>
      <c r="T20" s="323" t="s">
        <v>96</v>
      </c>
      <c r="V20" s="145">
        <v>16</v>
      </c>
      <c r="W20" s="319" t="s">
        <v>97</v>
      </c>
      <c r="X20" s="403">
        <f xml:space="preserve"> MATCH(W20, 聲母碼,0)</f>
        <v>17</v>
      </c>
      <c r="Y20" s="383" t="str" cm="1">
        <f t="array" ref="Y20">INDEX(聲母碼表,$X20,Y$2)</f>
        <v>ㆡ</v>
      </c>
      <c r="Z20" s="383" t="str" cm="1">
        <f t="array" ref="Z20">INDEX(聲母碼表,$X20,Z$2)</f>
        <v>入</v>
      </c>
    </row>
    <row r="21" spans="2:26" s="147" customFormat="1" ht="39.950000000000003" customHeight="1">
      <c r="B21" s="143">
        <f xml:space="preserve"> MATCH(E20, 十五音聲母清單!$C$5:$C$26,0)</f>
        <v>17</v>
      </c>
      <c r="C21" s="144"/>
      <c r="D21" s="145">
        <v>16</v>
      </c>
      <c r="E21" s="319" t="s">
        <v>98</v>
      </c>
      <c r="F21" s="322" t="s">
        <v>99</v>
      </c>
      <c r="G21" s="390" t="s">
        <v>100</v>
      </c>
      <c r="H21" s="166" t="s">
        <v>85</v>
      </c>
      <c r="I21" s="166" t="s">
        <v>85</v>
      </c>
      <c r="J21" s="387" t="s">
        <v>98</v>
      </c>
      <c r="K21" s="323" t="s">
        <v>101</v>
      </c>
      <c r="L21" s="143"/>
      <c r="M21" s="145">
        <v>17</v>
      </c>
      <c r="N21" s="319" t="s">
        <v>86</v>
      </c>
      <c r="O21" s="322" t="s">
        <v>102</v>
      </c>
      <c r="P21" s="164" t="s">
        <v>88</v>
      </c>
      <c r="Q21" s="166" t="s">
        <v>103</v>
      </c>
      <c r="R21" s="166" t="s">
        <v>104</v>
      </c>
      <c r="S21" s="387" t="s">
        <v>91</v>
      </c>
      <c r="T21" s="323" t="s">
        <v>105</v>
      </c>
      <c r="V21" s="145">
        <v>17</v>
      </c>
      <c r="W21" s="319" t="s">
        <v>106</v>
      </c>
      <c r="X21" s="403">
        <f xml:space="preserve"> MATCH(W21, 聲母碼,0)</f>
        <v>18</v>
      </c>
      <c r="Y21" s="383" t="str" cm="1">
        <f t="array" ref="Y21">INDEX(聲母碼表,$X21,Y$2)</f>
        <v>ㄏ</v>
      </c>
      <c r="Z21" s="383" t="str" cm="1">
        <f t="array" ref="Z21">INDEX(聲母碼表,$X21,Z$2)</f>
        <v>喜</v>
      </c>
    </row>
    <row r="22" spans="2:26" s="147" customFormat="1" ht="39.950000000000003" customHeight="1">
      <c r="B22" s="143">
        <f xml:space="preserve"> MATCH(E21, 十五音聲母清單!$C$5:$C$26,0)</f>
        <v>12</v>
      </c>
      <c r="C22" s="144"/>
      <c r="D22" s="145">
        <v>17</v>
      </c>
      <c r="E22" s="319" t="s">
        <v>107</v>
      </c>
      <c r="F22" s="322" t="s">
        <v>108</v>
      </c>
      <c r="G22" s="390" t="s">
        <v>109</v>
      </c>
      <c r="H22" s="166" t="s">
        <v>97</v>
      </c>
      <c r="I22" s="166" t="s">
        <v>107</v>
      </c>
      <c r="J22" s="387" t="s">
        <v>110</v>
      </c>
      <c r="K22" s="323" t="s">
        <v>111</v>
      </c>
      <c r="L22" s="143"/>
      <c r="M22" s="145">
        <v>18</v>
      </c>
      <c r="N22" s="319" t="s">
        <v>98</v>
      </c>
      <c r="O22" s="322" t="s">
        <v>112</v>
      </c>
      <c r="P22" s="164" t="s">
        <v>100</v>
      </c>
      <c r="Q22" s="166" t="s">
        <v>113</v>
      </c>
      <c r="R22" s="166" t="s">
        <v>113</v>
      </c>
      <c r="S22" s="387" t="s">
        <v>98</v>
      </c>
      <c r="T22" s="323" t="s">
        <v>114</v>
      </c>
      <c r="V22" s="145">
        <v>18</v>
      </c>
      <c r="W22" s="396" t="s">
        <v>115</v>
      </c>
      <c r="X22" s="403">
        <f xml:space="preserve"> MATCH(W22, 聲母碼,0)</f>
        <v>1</v>
      </c>
      <c r="Y22" s="383" t="str" cm="1">
        <f t="array" ref="Y22">INDEX(聲母碼表,$X22,Y$2)</f>
        <v>Ø</v>
      </c>
      <c r="Z22" s="383" t="str" cm="1">
        <f t="array" ref="Z22">INDEX(聲母碼表,$X22,Z$2)</f>
        <v>英</v>
      </c>
    </row>
    <row r="23" spans="2:26" s="147" customFormat="1" ht="39.950000000000003" customHeight="1">
      <c r="B23" s="143">
        <f xml:space="preserve"> MATCH(E13, 十五音聲母清單!$C$5:$C$26,0)</f>
        <v>22</v>
      </c>
      <c r="C23" s="144"/>
      <c r="D23" s="145">
        <v>18</v>
      </c>
      <c r="E23" s="319" t="s">
        <v>116</v>
      </c>
      <c r="F23" s="166" t="s">
        <v>117</v>
      </c>
      <c r="G23" s="390" t="s">
        <v>118</v>
      </c>
      <c r="H23" s="166" t="s">
        <v>116</v>
      </c>
      <c r="I23" s="166" t="s">
        <v>116</v>
      </c>
      <c r="J23" s="387" t="s">
        <v>116</v>
      </c>
      <c r="K23" s="323" t="s">
        <v>119</v>
      </c>
      <c r="L23" s="143"/>
      <c r="M23" s="389" t="s">
        <v>120</v>
      </c>
      <c r="V23" s="145">
        <v>14</v>
      </c>
      <c r="W23" s="319" t="s">
        <v>90</v>
      </c>
      <c r="X23" s="403">
        <f t="shared" ref="X23" si="8" xml:space="preserve"> MATCH(W23, 聲母碼,0)</f>
        <v>15</v>
      </c>
      <c r="Y23" s="383" t="str" cm="1">
        <f t="array" ref="Y23">INDEX(聲母碼表,$X23,Y$2)</f>
        <v>ㄘ</v>
      </c>
      <c r="Z23" s="383" t="str" cm="1">
        <f t="array" ref="Z23">INDEX(聲母碼表,$X23,Z$2)</f>
        <v>出</v>
      </c>
    </row>
    <row r="24" spans="2:26" ht="39.950000000000003" customHeight="1">
      <c r="M24" s="145">
        <v>19</v>
      </c>
      <c r="N24" s="319" t="s">
        <v>107</v>
      </c>
      <c r="O24" s="322" t="s">
        <v>121</v>
      </c>
      <c r="P24" s="164" t="s">
        <v>109</v>
      </c>
      <c r="Q24" s="166" t="s">
        <v>122</v>
      </c>
      <c r="R24" s="166" t="s">
        <v>107</v>
      </c>
      <c r="S24" s="387" t="s">
        <v>110</v>
      </c>
      <c r="T24" s="323" t="s">
        <v>123</v>
      </c>
    </row>
  </sheetData>
  <phoneticPr fontId="1" type="noConversion"/>
  <hyperlinks>
    <hyperlink ref="F5" r:id="rId1" xr:uid="{4D1A315C-9B16-B849-BE5C-ED299142EF24}"/>
    <hyperlink ref="J5" r:id="rId2" display="閩南拼音" xr:uid="{B67BECEF-D97B-A548-B236-5AF03766A30E}"/>
    <hyperlink ref="I5" r:id="rId3" xr:uid="{477A32B3-CF0E-F246-880A-28A6223D0C16}"/>
    <hyperlink ref="O19" r:id="rId4" xr:uid="{3E5AFAFC-912D-414C-B9E7-6EF4E9A480A6}"/>
    <hyperlink ref="S19" r:id="rId5" display="閩南拼音" xr:uid="{16AE84E8-A6B7-C44A-8625-39A55DAB2B96}"/>
    <hyperlink ref="R19" r:id="rId6" xr:uid="{C0212CCC-883A-1442-A6D5-02CE2BC8A7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F197-AAA7-D54D-9A8A-32184CA51B22}">
  <sheetPr>
    <tabColor rgb="FF00B0F0"/>
  </sheetPr>
  <dimension ref="A1:T56"/>
  <sheetViews>
    <sheetView showGridLines="0" workbookViewId="0">
      <pane xSplit="1" ySplit="6" topLeftCell="G7" activePane="bottomRight" state="frozen"/>
      <selection pane="topRight" activeCell="W1" sqref="W1"/>
      <selection pane="bottomLeft" activeCell="S8" sqref="S8"/>
      <selection pane="bottomRight" activeCell="L16" sqref="L16"/>
    </sheetView>
  </sheetViews>
  <sheetFormatPr defaultColWidth="10.90625" defaultRowHeight="25.5" outlineLevelRow="1" outlineLevelCol="1"/>
  <cols>
    <col min="1" max="1" width="4.81640625" hidden="1" customWidth="1" outlineLevel="1"/>
    <col min="2" max="2" width="5" hidden="1" customWidth="1" outlineLevel="1"/>
    <col min="3" max="6" width="10.90625" hidden="1" customWidth="1" outlineLevel="1"/>
    <col min="7" max="7" width="4.81640625" customWidth="1" collapsed="1"/>
    <col min="8" max="9" width="5" customWidth="1"/>
    <col min="14" max="14" width="4.81640625" customWidth="1"/>
    <col min="15" max="15" width="6.08984375" customWidth="1"/>
    <col min="16" max="17" width="10.90625" customWidth="1"/>
    <col min="18" max="18" width="12.26953125" customWidth="1"/>
    <col min="19" max="20" width="10.90625" customWidth="1"/>
  </cols>
  <sheetData>
    <row r="1" spans="2:20" s="50" customFormat="1" hidden="1" outlineLevel="1">
      <c r="O1"/>
      <c r="P1"/>
      <c r="Q1"/>
      <c r="R1"/>
    </row>
    <row r="2" spans="2:20" ht="27" hidden="1" customHeight="1" outlineLevel="1">
      <c r="S2">
        <v>3</v>
      </c>
      <c r="T2">
        <v>4</v>
      </c>
    </row>
    <row r="3" spans="2:20" s="131" customFormat="1" ht="9.9499999999999993" customHeight="1" collapsed="1">
      <c r="O3"/>
      <c r="P3"/>
      <c r="Q3"/>
      <c r="R3"/>
      <c r="S3"/>
      <c r="T3"/>
    </row>
    <row r="4" spans="2:20" ht="38.25">
      <c r="B4" s="419" t="s">
        <v>124</v>
      </c>
      <c r="C4" s="50"/>
      <c r="D4" s="50"/>
      <c r="E4" s="50"/>
      <c r="F4" s="50"/>
      <c r="H4" s="419" t="s">
        <v>125</v>
      </c>
      <c r="I4" s="419"/>
      <c r="J4" s="50"/>
      <c r="K4" s="50"/>
      <c r="L4" s="50"/>
      <c r="M4" s="50"/>
      <c r="O4" s="419" t="s">
        <v>126</v>
      </c>
      <c r="P4" s="50"/>
      <c r="Q4" s="50"/>
      <c r="R4" s="50"/>
      <c r="S4" s="50"/>
      <c r="T4" s="50"/>
    </row>
    <row r="5" spans="2:20" ht="8.1" customHeight="1"/>
    <row r="6" spans="2:20">
      <c r="B6" s="47" t="s">
        <v>127</v>
      </c>
      <c r="C6" s="47" t="s">
        <v>128</v>
      </c>
      <c r="D6" s="47" t="s">
        <v>129</v>
      </c>
      <c r="E6" s="128" t="s">
        <v>130</v>
      </c>
      <c r="F6" s="128" t="s">
        <v>131</v>
      </c>
      <c r="H6" s="47" t="s">
        <v>127</v>
      </c>
      <c r="I6" s="47" t="s">
        <v>132</v>
      </c>
      <c r="J6" s="47" t="s">
        <v>128</v>
      </c>
      <c r="K6" s="47" t="s">
        <v>129</v>
      </c>
      <c r="L6" s="128" t="s">
        <v>130</v>
      </c>
      <c r="M6" s="128" t="s">
        <v>131</v>
      </c>
      <c r="O6" s="47" t="s">
        <v>133</v>
      </c>
      <c r="P6" s="47" t="s">
        <v>128</v>
      </c>
      <c r="Q6" s="47" t="s">
        <v>129</v>
      </c>
      <c r="R6" s="47" t="s">
        <v>134</v>
      </c>
      <c r="S6" s="128" t="s">
        <v>130</v>
      </c>
      <c r="T6" s="128" t="s">
        <v>131</v>
      </c>
    </row>
    <row r="7" spans="2:20" ht="33">
      <c r="B7" s="46">
        <v>1</v>
      </c>
      <c r="C7" s="404" t="s">
        <v>135</v>
      </c>
      <c r="D7" s="340" t="s">
        <v>136</v>
      </c>
      <c r="E7" s="25" t="s">
        <v>136</v>
      </c>
      <c r="F7" s="25" t="s">
        <v>137</v>
      </c>
      <c r="H7" s="46">
        <v>1</v>
      </c>
      <c r="I7" s="46">
        <v>28</v>
      </c>
      <c r="J7" s="409" t="s">
        <v>138</v>
      </c>
      <c r="K7" s="410" t="s">
        <v>139</v>
      </c>
      <c r="L7" s="25" t="s">
        <v>139</v>
      </c>
      <c r="M7" s="25" t="s">
        <v>140</v>
      </c>
      <c r="O7" s="427">
        <v>1</v>
      </c>
      <c r="P7" s="411" t="s">
        <v>138</v>
      </c>
      <c r="Q7" s="340" t="s">
        <v>139</v>
      </c>
      <c r="R7" s="340">
        <f t="shared" ref="R7:R38" si="0" xml:space="preserve"> MATCH($Q7, 韻母舒聲碼, 0)</f>
        <v>28</v>
      </c>
      <c r="S7" s="25" t="str" cm="1">
        <f t="array" ref="S7" xml:space="preserve"> INDEX(十五音韻母對照表, $R7, S$2)</f>
        <v>a</v>
      </c>
      <c r="T7" s="25" t="str" cm="1">
        <f t="array" ref="T7" xml:space="preserve"> INDEX(十五音韻母對照表, $R7, T$2)</f>
        <v>ah</v>
      </c>
    </row>
    <row r="8" spans="2:20" ht="33">
      <c r="B8" s="46">
        <v>2</v>
      </c>
      <c r="C8" s="404" t="s">
        <v>141</v>
      </c>
      <c r="D8" s="340" t="s">
        <v>142</v>
      </c>
      <c r="E8" s="25" t="s">
        <v>142</v>
      </c>
      <c r="F8" s="25" t="s">
        <v>143</v>
      </c>
      <c r="H8" s="46">
        <v>2</v>
      </c>
      <c r="I8" s="46">
        <v>26</v>
      </c>
      <c r="J8" s="409" t="s">
        <v>144</v>
      </c>
      <c r="K8" s="410" t="s">
        <v>145</v>
      </c>
      <c r="L8" s="25" t="s">
        <v>145</v>
      </c>
      <c r="M8" s="25" t="s">
        <v>146</v>
      </c>
      <c r="O8" s="427">
        <v>2</v>
      </c>
      <c r="P8" s="411" t="s">
        <v>144</v>
      </c>
      <c r="Q8" s="340" t="s">
        <v>145</v>
      </c>
      <c r="R8" s="340">
        <f t="shared" si="0"/>
        <v>26</v>
      </c>
      <c r="S8" s="25" t="str" cm="1">
        <f t="array" ref="S8" xml:space="preserve"> INDEX(十五音韻母對照表, $R8, S$2)</f>
        <v>ann</v>
      </c>
      <c r="T8" s="25" t="str" cm="1">
        <f t="array" ref="T8" xml:space="preserve"> INDEX(十五音韻母對照表, $R8, T$2)</f>
        <v>annh</v>
      </c>
    </row>
    <row r="9" spans="2:20" ht="33">
      <c r="B9" s="46">
        <v>3</v>
      </c>
      <c r="C9" s="404" t="s">
        <v>147</v>
      </c>
      <c r="D9" s="340" t="s">
        <v>148</v>
      </c>
      <c r="E9" s="25" t="s">
        <v>148</v>
      </c>
      <c r="F9" s="25" t="s">
        <v>149</v>
      </c>
      <c r="H9" s="46">
        <v>3</v>
      </c>
      <c r="I9" s="46">
        <v>16</v>
      </c>
      <c r="J9" s="409" t="s">
        <v>150</v>
      </c>
      <c r="K9" s="410" t="s">
        <v>151</v>
      </c>
      <c r="L9" s="25" t="s">
        <v>151</v>
      </c>
      <c r="M9" s="25" t="s">
        <v>152</v>
      </c>
      <c r="O9" s="427">
        <v>3</v>
      </c>
      <c r="P9" s="411" t="s">
        <v>150</v>
      </c>
      <c r="Q9" s="340" t="s">
        <v>151</v>
      </c>
      <c r="R9" s="340">
        <f t="shared" si="0"/>
        <v>16</v>
      </c>
      <c r="S9" s="25" t="str" cm="1">
        <f t="array" ref="S9" xml:space="preserve"> INDEX(十五音韻母對照表, $R9, S$2)</f>
        <v>ai</v>
      </c>
      <c r="T9" s="25" t="str" cm="1">
        <f t="array" ref="T9" xml:space="preserve"> INDEX(十五音韻母對照表, $R9, T$2)</f>
        <v>aih</v>
      </c>
    </row>
    <row r="10" spans="2:20" ht="33">
      <c r="B10" s="46">
        <v>4</v>
      </c>
      <c r="C10" s="408" t="s">
        <v>153</v>
      </c>
      <c r="D10" s="405" t="s">
        <v>154</v>
      </c>
      <c r="E10" s="25" t="s">
        <v>154</v>
      </c>
      <c r="F10" s="25" t="s">
        <v>155</v>
      </c>
      <c r="H10" s="46">
        <v>4</v>
      </c>
      <c r="I10" s="46">
        <v>40</v>
      </c>
      <c r="J10" s="409" t="s">
        <v>156</v>
      </c>
      <c r="K10" s="410" t="s">
        <v>157</v>
      </c>
      <c r="L10" s="25" t="s">
        <v>157</v>
      </c>
      <c r="M10" s="25" t="s">
        <v>158</v>
      </c>
      <c r="O10" s="427">
        <v>4</v>
      </c>
      <c r="P10" s="411" t="s">
        <v>156</v>
      </c>
      <c r="Q10" s="340" t="s">
        <v>157</v>
      </c>
      <c r="R10" s="340">
        <f t="shared" si="0"/>
        <v>40</v>
      </c>
      <c r="S10" s="25" t="str" cm="1">
        <f t="array" ref="S10" xml:space="preserve"> INDEX(十五音韻母對照表, $R10, S$2)</f>
        <v>ainn</v>
      </c>
      <c r="T10" s="25" t="str" cm="1">
        <f t="array" ref="T10" xml:space="preserve"> INDEX(十五音韻母對照表, $R10, T$2)</f>
        <v>ainnh</v>
      </c>
    </row>
    <row r="11" spans="2:20" ht="33">
      <c r="B11" s="46">
        <v>5</v>
      </c>
      <c r="C11" s="409" t="s">
        <v>159</v>
      </c>
      <c r="D11" s="405" t="s">
        <v>160</v>
      </c>
      <c r="E11" s="25" t="s">
        <v>160</v>
      </c>
      <c r="F11" s="25" t="s">
        <v>161</v>
      </c>
      <c r="H11" s="46">
        <v>5</v>
      </c>
      <c r="I11" s="46">
        <v>19</v>
      </c>
      <c r="J11" s="409" t="s">
        <v>162</v>
      </c>
      <c r="K11" s="410" t="s">
        <v>163</v>
      </c>
      <c r="L11" s="25" t="s">
        <v>163</v>
      </c>
      <c r="M11" s="25" t="s">
        <v>164</v>
      </c>
      <c r="O11" s="427">
        <v>5</v>
      </c>
      <c r="P11" s="411" t="s">
        <v>162</v>
      </c>
      <c r="Q11" s="405" t="s">
        <v>163</v>
      </c>
      <c r="R11" s="340">
        <f t="shared" si="0"/>
        <v>19</v>
      </c>
      <c r="S11" s="25" t="str" cm="1">
        <f t="array" ref="S11" xml:space="preserve"> INDEX(十五音韻母對照表, $R11, S$2)</f>
        <v>am</v>
      </c>
      <c r="T11" s="25" t="str" cm="1">
        <f t="array" ref="T11" xml:space="preserve"> INDEX(十五音韻母對照表, $R11, T$2)</f>
        <v>ap</v>
      </c>
    </row>
    <row r="12" spans="2:20" ht="33">
      <c r="B12" s="46">
        <v>6</v>
      </c>
      <c r="C12" s="404" t="s">
        <v>165</v>
      </c>
      <c r="D12" s="340" t="s">
        <v>166</v>
      </c>
      <c r="E12" s="25" t="s">
        <v>166</v>
      </c>
      <c r="F12" s="25" t="s">
        <v>167</v>
      </c>
      <c r="H12" s="46">
        <v>6</v>
      </c>
      <c r="I12" s="46">
        <v>6</v>
      </c>
      <c r="J12" s="404" t="s">
        <v>165</v>
      </c>
      <c r="K12" s="340" t="s">
        <v>166</v>
      </c>
      <c r="L12" s="25" t="s">
        <v>166</v>
      </c>
      <c r="M12" s="25" t="s">
        <v>167</v>
      </c>
      <c r="O12" s="427">
        <v>6</v>
      </c>
      <c r="P12" s="411" t="s">
        <v>165</v>
      </c>
      <c r="Q12" s="405" t="s">
        <v>166</v>
      </c>
      <c r="R12" s="340">
        <f t="shared" si="0"/>
        <v>6</v>
      </c>
      <c r="S12" s="25" t="str" cm="1">
        <f t="array" ref="S12" xml:space="preserve"> INDEX(十五音韻母對照表, $R12, S$2)</f>
        <v>an</v>
      </c>
      <c r="T12" s="25" t="str" cm="1">
        <f t="array" ref="T12" xml:space="preserve"> INDEX(十五音韻母對照表, $R12, T$2)</f>
        <v>at</v>
      </c>
    </row>
    <row r="13" spans="2:20" ht="33">
      <c r="B13" s="46">
        <v>7</v>
      </c>
      <c r="C13" s="404" t="s">
        <v>168</v>
      </c>
      <c r="D13" s="340" t="s">
        <v>169</v>
      </c>
      <c r="E13" s="25" t="s">
        <v>169</v>
      </c>
      <c r="F13" s="25" t="s">
        <v>170</v>
      </c>
      <c r="H13" s="46">
        <v>7</v>
      </c>
      <c r="I13" s="46">
        <v>21</v>
      </c>
      <c r="J13" s="409" t="s">
        <v>171</v>
      </c>
      <c r="K13" s="410" t="s">
        <v>172</v>
      </c>
      <c r="L13" s="25" t="s">
        <v>172</v>
      </c>
      <c r="M13" s="25" t="s">
        <v>173</v>
      </c>
      <c r="O13" s="427">
        <v>7</v>
      </c>
      <c r="P13" s="411" t="s">
        <v>171</v>
      </c>
      <c r="Q13" s="340" t="s">
        <v>172</v>
      </c>
      <c r="R13" s="340">
        <f t="shared" si="0"/>
        <v>21</v>
      </c>
      <c r="S13" s="25" t="str" cm="1">
        <f t="array" ref="S13" xml:space="preserve"> INDEX(十五音韻母對照表, $R13, S$2)</f>
        <v>ang</v>
      </c>
      <c r="T13" s="25" t="str" cm="1">
        <f t="array" ref="T13" xml:space="preserve"> INDEX(十五音韻母對照表, $R13, T$2)</f>
        <v>ak</v>
      </c>
    </row>
    <row r="14" spans="2:20" ht="33">
      <c r="B14" s="46">
        <v>8</v>
      </c>
      <c r="C14" s="404" t="s">
        <v>174</v>
      </c>
      <c r="D14" s="340" t="s">
        <v>175</v>
      </c>
      <c r="E14" s="25" t="s">
        <v>175</v>
      </c>
      <c r="F14" s="25" t="s">
        <v>176</v>
      </c>
      <c r="H14" s="46">
        <v>8</v>
      </c>
      <c r="I14" s="46">
        <v>23</v>
      </c>
      <c r="J14" s="409" t="s">
        <v>177</v>
      </c>
      <c r="K14" s="410" t="s">
        <v>178</v>
      </c>
      <c r="L14" s="25" t="s">
        <v>178</v>
      </c>
      <c r="M14" s="25" t="s">
        <v>179</v>
      </c>
      <c r="O14" s="427">
        <v>8</v>
      </c>
      <c r="P14" s="411" t="s">
        <v>177</v>
      </c>
      <c r="Q14" s="340" t="s">
        <v>178</v>
      </c>
      <c r="R14" s="340">
        <f t="shared" si="0"/>
        <v>23</v>
      </c>
      <c r="S14" s="25" t="str" cm="1">
        <f t="array" ref="S14" xml:space="preserve"> INDEX(十五音韻母對照表, $R14, S$2)</f>
        <v>au</v>
      </c>
      <c r="T14" s="25" t="str" cm="1">
        <f t="array" ref="T14" xml:space="preserve"> INDEX(十五音韻母對照表, $R14, T$2)</f>
        <v>auh</v>
      </c>
    </row>
    <row r="15" spans="2:20" ht="33">
      <c r="B15" s="46">
        <v>9</v>
      </c>
      <c r="C15" s="409" t="s">
        <v>180</v>
      </c>
      <c r="D15" s="410" t="s">
        <v>181</v>
      </c>
      <c r="E15" s="25" t="s">
        <v>181</v>
      </c>
      <c r="F15" s="25" t="s">
        <v>182</v>
      </c>
      <c r="H15" s="46">
        <v>9</v>
      </c>
      <c r="I15" s="46">
        <v>43</v>
      </c>
      <c r="J15" s="409" t="s">
        <v>183</v>
      </c>
      <c r="K15" s="410" t="s">
        <v>184</v>
      </c>
      <c r="L15" s="25" t="s">
        <v>184</v>
      </c>
      <c r="M15" s="25" t="s">
        <v>185</v>
      </c>
      <c r="O15" s="427">
        <v>9</v>
      </c>
      <c r="P15" s="411" t="s">
        <v>183</v>
      </c>
      <c r="Q15" s="410" t="s">
        <v>184</v>
      </c>
      <c r="R15" s="340">
        <f t="shared" si="0"/>
        <v>48</v>
      </c>
      <c r="S15" s="25" t="str" cm="1">
        <f t="array" ref="S15" xml:space="preserve"> INDEX(十五音韻母對照表, $R15, S$2)</f>
        <v>aunn</v>
      </c>
      <c r="T15" s="25" t="str" cm="1">
        <f t="array" ref="T15" xml:space="preserve"> INDEX(十五音韻母對照表, $R15, T$2)</f>
        <v>aunnh</v>
      </c>
    </row>
    <row r="16" spans="2:20" ht="33">
      <c r="B16" s="46">
        <v>10</v>
      </c>
      <c r="C16" s="409" t="s">
        <v>186</v>
      </c>
      <c r="D16" s="410" t="s">
        <v>187</v>
      </c>
      <c r="E16" s="25" t="s">
        <v>187</v>
      </c>
      <c r="F16" s="25" t="s">
        <v>188</v>
      </c>
      <c r="H16" s="46">
        <v>10</v>
      </c>
      <c r="I16" s="46">
        <v>5</v>
      </c>
      <c r="J16" s="409" t="s">
        <v>159</v>
      </c>
      <c r="K16" s="405" t="s">
        <v>160</v>
      </c>
      <c r="L16" s="25" t="s">
        <v>160</v>
      </c>
      <c r="M16" s="25" t="s">
        <v>161</v>
      </c>
      <c r="O16" s="427">
        <v>10</v>
      </c>
      <c r="P16" s="411" t="s">
        <v>189</v>
      </c>
      <c r="Q16" s="410" t="s">
        <v>160</v>
      </c>
      <c r="R16" s="340">
        <f t="shared" si="0"/>
        <v>39</v>
      </c>
      <c r="S16" s="25" t="str" cm="1">
        <f t="array" ref="S16" xml:space="preserve"> INDEX(十五音韻母對照表, $R16, S$2)</f>
        <v>e</v>
      </c>
      <c r="T16" s="25" t="str" cm="1">
        <f t="array" ref="T16" xml:space="preserve"> INDEX(十五音韻母對照表, $R16, T$2)</f>
        <v>eh</v>
      </c>
    </row>
    <row r="17" spans="2:20" ht="33">
      <c r="B17" s="46">
        <v>11</v>
      </c>
      <c r="C17" s="409" t="s">
        <v>190</v>
      </c>
      <c r="D17" s="410" t="s">
        <v>191</v>
      </c>
      <c r="E17" s="25" t="s">
        <v>191</v>
      </c>
      <c r="F17" s="25" t="s">
        <v>192</v>
      </c>
      <c r="H17" s="46">
        <v>11</v>
      </c>
      <c r="I17" s="46">
        <v>31</v>
      </c>
      <c r="J17" s="409" t="s">
        <v>193</v>
      </c>
      <c r="K17" s="410" t="s">
        <v>194</v>
      </c>
      <c r="L17" s="25" t="s">
        <v>194</v>
      </c>
      <c r="M17" s="25" t="s">
        <v>195</v>
      </c>
      <c r="O17" s="427">
        <v>11</v>
      </c>
      <c r="P17" s="411" t="s">
        <v>193</v>
      </c>
      <c r="Q17" s="410" t="s">
        <v>194</v>
      </c>
      <c r="R17" s="340">
        <f t="shared" si="0"/>
        <v>31</v>
      </c>
      <c r="S17" s="25" t="str" cm="1">
        <f t="array" ref="S17" xml:space="preserve"> INDEX(十五音韻母對照表, $R17, S$2)</f>
        <v>enn</v>
      </c>
      <c r="T17" s="25" t="str" cm="1">
        <f t="array" ref="T17" xml:space="preserve"> INDEX(十五音韻母對照表, $R17, T$2)</f>
        <v>ennh</v>
      </c>
    </row>
    <row r="18" spans="2:20" ht="33">
      <c r="B18" s="46">
        <v>12</v>
      </c>
      <c r="C18" s="409" t="s">
        <v>196</v>
      </c>
      <c r="D18" s="410" t="s">
        <v>197</v>
      </c>
      <c r="E18" s="25" t="s">
        <v>197</v>
      </c>
      <c r="F18" s="25" t="s">
        <v>198</v>
      </c>
      <c r="H18" s="46">
        <v>12</v>
      </c>
      <c r="I18" s="46">
        <v>29</v>
      </c>
      <c r="J18" s="409" t="s">
        <v>199</v>
      </c>
      <c r="K18" s="410" t="s">
        <v>200</v>
      </c>
      <c r="L18" s="25" t="s">
        <v>200</v>
      </c>
      <c r="M18" s="25" t="s">
        <v>201</v>
      </c>
      <c r="O18" s="428">
        <v>12</v>
      </c>
      <c r="P18" s="429" t="s">
        <v>159</v>
      </c>
      <c r="Q18" s="407" t="s">
        <v>202</v>
      </c>
      <c r="R18" s="407">
        <f t="shared" si="0"/>
        <v>5</v>
      </c>
      <c r="S18" s="430" t="str" cm="1">
        <f t="array" ref="S18" xml:space="preserve"> INDEX(十五音韻母對照表, $R18, S$2)</f>
        <v>ee</v>
      </c>
      <c r="T18" s="430" t="str" cm="1">
        <f t="array" ref="T18" xml:space="preserve"> INDEX(十五音韻母對照表, $R18, T$2)</f>
        <v>eeh</v>
      </c>
    </row>
    <row r="19" spans="2:20" ht="33">
      <c r="B19" s="46">
        <v>13</v>
      </c>
      <c r="C19" s="409" t="s">
        <v>203</v>
      </c>
      <c r="D19" s="410" t="s">
        <v>204</v>
      </c>
      <c r="E19" s="25" t="s">
        <v>204</v>
      </c>
      <c r="F19" s="25" t="s">
        <v>205</v>
      </c>
      <c r="H19" s="46">
        <v>13</v>
      </c>
      <c r="I19" s="46">
        <v>13</v>
      </c>
      <c r="J19" s="409" t="s">
        <v>203</v>
      </c>
      <c r="K19" s="410" t="s">
        <v>204</v>
      </c>
      <c r="L19" s="25" t="s">
        <v>204</v>
      </c>
      <c r="M19" s="25" t="s">
        <v>205</v>
      </c>
      <c r="O19" s="428">
        <v>13</v>
      </c>
      <c r="P19" s="429" t="s">
        <v>206</v>
      </c>
      <c r="Q19" s="407" t="s">
        <v>207</v>
      </c>
      <c r="R19" s="407">
        <f t="shared" si="0"/>
        <v>13</v>
      </c>
      <c r="S19" s="430" t="str" cm="1">
        <f t="array" ref="S19" xml:space="preserve"> INDEX(十五音韻母對照表, $R19, S$2)</f>
        <v>ei</v>
      </c>
      <c r="T19" s="430" t="str" cm="1">
        <f t="array" ref="T19" xml:space="preserve"> INDEX(十五音韻母對照表, $R19, T$2)</f>
        <v>eih</v>
      </c>
    </row>
    <row r="20" spans="2:20" ht="33">
      <c r="B20" s="46">
        <v>14</v>
      </c>
      <c r="C20" s="409" t="s">
        <v>208</v>
      </c>
      <c r="D20" s="410" t="s">
        <v>209</v>
      </c>
      <c r="E20" s="25" t="s">
        <v>209</v>
      </c>
      <c r="F20" s="25" t="s">
        <v>210</v>
      </c>
      <c r="H20" s="46">
        <v>14</v>
      </c>
      <c r="I20" s="46">
        <v>24</v>
      </c>
      <c r="J20" s="409" t="s">
        <v>211</v>
      </c>
      <c r="K20" s="410" t="s">
        <v>212</v>
      </c>
      <c r="L20" s="25" t="s">
        <v>212</v>
      </c>
      <c r="M20" s="25" t="s">
        <v>213</v>
      </c>
      <c r="O20" s="427">
        <v>14</v>
      </c>
      <c r="P20" s="411" t="s">
        <v>199</v>
      </c>
      <c r="Q20" s="410" t="s">
        <v>200</v>
      </c>
      <c r="R20" s="340">
        <f t="shared" si="0"/>
        <v>29</v>
      </c>
      <c r="S20" s="25" t="str" cm="1">
        <f t="array" ref="S20" xml:space="preserve"> INDEX(十五音韻母對照表, $R20, S$2)</f>
        <v>i</v>
      </c>
      <c r="T20" s="25" t="str" cm="1">
        <f t="array" ref="T20" xml:space="preserve"> INDEX(十五音韻母對照表, $R20, T$2)</f>
        <v>ih</v>
      </c>
    </row>
    <row r="21" spans="2:20" ht="33">
      <c r="B21" s="46">
        <v>15</v>
      </c>
      <c r="C21" s="409" t="s">
        <v>214</v>
      </c>
      <c r="D21" s="410" t="s">
        <v>215</v>
      </c>
      <c r="E21" s="25" t="s">
        <v>215</v>
      </c>
      <c r="F21" s="25" t="s">
        <v>216</v>
      </c>
      <c r="H21" s="46">
        <v>15</v>
      </c>
      <c r="I21" s="46">
        <v>44</v>
      </c>
      <c r="J21" s="409" t="s">
        <v>217</v>
      </c>
      <c r="K21" s="410" t="s">
        <v>218</v>
      </c>
      <c r="L21" s="25" t="s">
        <v>218</v>
      </c>
      <c r="M21" s="25" t="s">
        <v>219</v>
      </c>
      <c r="O21" s="427">
        <v>15</v>
      </c>
      <c r="P21" s="411" t="s">
        <v>203</v>
      </c>
      <c r="Q21" s="410" t="s">
        <v>204</v>
      </c>
      <c r="R21" s="340">
        <f t="shared" si="0"/>
        <v>34</v>
      </c>
      <c r="S21" s="25" t="str" cm="1">
        <f t="array" ref="S21" xml:space="preserve"> INDEX(十五音韻母對照表, $R21, S$2)</f>
        <v>inn</v>
      </c>
      <c r="T21" s="25" t="str" cm="1">
        <f t="array" ref="T21" xml:space="preserve"> INDEX(十五音韻母對照表, $R21, T$2)</f>
        <v>innh</v>
      </c>
    </row>
    <row r="22" spans="2:20" ht="33">
      <c r="B22" s="46">
        <v>16</v>
      </c>
      <c r="C22" s="409" t="s">
        <v>150</v>
      </c>
      <c r="D22" s="410" t="s">
        <v>151</v>
      </c>
      <c r="E22" s="25" t="s">
        <v>151</v>
      </c>
      <c r="F22" s="25" t="s">
        <v>152</v>
      </c>
      <c r="H22" s="46">
        <v>16</v>
      </c>
      <c r="I22" s="46">
        <v>22</v>
      </c>
      <c r="J22" s="409" t="s">
        <v>220</v>
      </c>
      <c r="K22" s="410" t="s">
        <v>221</v>
      </c>
      <c r="L22" s="25" t="s">
        <v>221</v>
      </c>
      <c r="M22" s="25" t="s">
        <v>222</v>
      </c>
      <c r="O22" s="427">
        <v>16</v>
      </c>
      <c r="P22" s="411" t="s">
        <v>211</v>
      </c>
      <c r="Q22" s="410" t="s">
        <v>212</v>
      </c>
      <c r="R22" s="340">
        <f t="shared" si="0"/>
        <v>24</v>
      </c>
      <c r="S22" s="25" t="str" cm="1">
        <f t="array" ref="S22" xml:space="preserve"> INDEX(十五音韻母對照表, $R22, S$2)</f>
        <v>ia</v>
      </c>
      <c r="T22" s="25" t="str" cm="1">
        <f t="array" ref="T22" xml:space="preserve"> INDEX(十五音韻母對照表, $R22, T$2)</f>
        <v>iah</v>
      </c>
    </row>
    <row r="23" spans="2:20" ht="33">
      <c r="B23" s="46">
        <v>17</v>
      </c>
      <c r="C23" s="409" t="s">
        <v>223</v>
      </c>
      <c r="D23" s="410" t="s">
        <v>224</v>
      </c>
      <c r="E23" s="25" t="s">
        <v>224</v>
      </c>
      <c r="F23" s="25" t="s">
        <v>225</v>
      </c>
      <c r="H23" s="46">
        <v>17</v>
      </c>
      <c r="I23" s="46">
        <v>2</v>
      </c>
      <c r="J23" s="404" t="s">
        <v>141</v>
      </c>
      <c r="K23" s="340" t="s">
        <v>142</v>
      </c>
      <c r="L23" s="25" t="s">
        <v>142</v>
      </c>
      <c r="M23" s="25" t="s">
        <v>143</v>
      </c>
      <c r="O23" s="427">
        <v>17</v>
      </c>
      <c r="P23" s="411" t="s">
        <v>217</v>
      </c>
      <c r="Q23" s="410" t="s">
        <v>218</v>
      </c>
      <c r="R23" s="340">
        <f t="shared" si="0"/>
        <v>36</v>
      </c>
      <c r="S23" s="25" t="str" cm="1">
        <f t="array" ref="S23" xml:space="preserve"> INDEX(十五音韻母對照表, $R23, S$2)</f>
        <v>iann</v>
      </c>
      <c r="T23" s="25" t="str" cm="1">
        <f t="array" ref="T23" xml:space="preserve"> INDEX(十五音韻母對照表, $R23, T$2)</f>
        <v>iannh</v>
      </c>
    </row>
    <row r="24" spans="2:20" ht="33">
      <c r="B24" s="46">
        <v>18</v>
      </c>
      <c r="C24" s="409" t="s">
        <v>226</v>
      </c>
      <c r="D24" s="410" t="s">
        <v>227</v>
      </c>
      <c r="E24" s="25" t="s">
        <v>227</v>
      </c>
      <c r="F24" s="25" t="s">
        <v>228</v>
      </c>
      <c r="H24" s="46">
        <v>18</v>
      </c>
      <c r="I24" s="46">
        <v>18</v>
      </c>
      <c r="J24" s="409" t="s">
        <v>226</v>
      </c>
      <c r="K24" s="410" t="s">
        <v>227</v>
      </c>
      <c r="L24" s="25" t="s">
        <v>227</v>
      </c>
      <c r="M24" s="25" t="s">
        <v>228</v>
      </c>
      <c r="O24" s="427">
        <v>18</v>
      </c>
      <c r="P24" s="411" t="s">
        <v>220</v>
      </c>
      <c r="Q24" s="410" t="s">
        <v>221</v>
      </c>
      <c r="R24" s="340">
        <f t="shared" si="0"/>
        <v>22</v>
      </c>
      <c r="S24" s="25" t="str" cm="1">
        <f t="array" ref="S24" xml:space="preserve"> INDEX(十五音韻母對照表, $R24, S$2)</f>
        <v>iam</v>
      </c>
      <c r="T24" s="25" t="str" cm="1">
        <f t="array" ref="T24" xml:space="preserve"> INDEX(十五音韻母對照表, $R24, T$2)</f>
        <v>iap</v>
      </c>
    </row>
    <row r="25" spans="2:20" ht="33">
      <c r="B25" s="46">
        <v>19</v>
      </c>
      <c r="C25" s="409" t="s">
        <v>162</v>
      </c>
      <c r="D25" s="410" t="s">
        <v>163</v>
      </c>
      <c r="E25" s="25" t="s">
        <v>163</v>
      </c>
      <c r="F25" s="25" t="s">
        <v>164</v>
      </c>
      <c r="H25" s="46">
        <v>19</v>
      </c>
      <c r="I25" s="46">
        <v>12</v>
      </c>
      <c r="J25" s="409" t="s">
        <v>196</v>
      </c>
      <c r="K25" s="410" t="s">
        <v>197</v>
      </c>
      <c r="L25" s="25" t="s">
        <v>197</v>
      </c>
      <c r="M25" s="25" t="s">
        <v>198</v>
      </c>
      <c r="O25" s="427">
        <v>19</v>
      </c>
      <c r="P25" s="411" t="s">
        <v>141</v>
      </c>
      <c r="Q25" s="410" t="s">
        <v>142</v>
      </c>
      <c r="R25" s="340">
        <f t="shared" si="0"/>
        <v>2</v>
      </c>
      <c r="S25" s="25" t="str" cm="1">
        <f t="array" ref="S25" xml:space="preserve"> INDEX(十五音韻母對照表, $R25, S$2)</f>
        <v>ian</v>
      </c>
      <c r="T25" s="25" t="str" cm="1">
        <f t="array" ref="T25" xml:space="preserve"> INDEX(十五音韻母對照表, $R25, T$2)</f>
        <v>iat</v>
      </c>
    </row>
    <row r="26" spans="2:20" ht="33">
      <c r="B26" s="46">
        <v>20</v>
      </c>
      <c r="C26" s="409" t="s">
        <v>229</v>
      </c>
      <c r="D26" s="410" t="s">
        <v>230</v>
      </c>
      <c r="E26" s="25" t="s">
        <v>230</v>
      </c>
      <c r="F26" s="25" t="s">
        <v>231</v>
      </c>
      <c r="H26" s="46">
        <v>20</v>
      </c>
      <c r="I26" s="46">
        <v>41</v>
      </c>
      <c r="J26" s="409" t="s">
        <v>232</v>
      </c>
      <c r="K26" s="410" t="s">
        <v>233</v>
      </c>
      <c r="L26" s="25" t="s">
        <v>233</v>
      </c>
      <c r="M26" s="25" t="s">
        <v>234</v>
      </c>
      <c r="O26" s="427">
        <v>20</v>
      </c>
      <c r="P26" s="411" t="s">
        <v>226</v>
      </c>
      <c r="Q26" s="410" t="s">
        <v>227</v>
      </c>
      <c r="R26" s="340">
        <f t="shared" si="0"/>
        <v>18</v>
      </c>
      <c r="S26" s="25" t="str" cm="1">
        <f t="array" ref="S26" xml:space="preserve"> INDEX(十五音韻母對照表, $R26, S$2)</f>
        <v>iang</v>
      </c>
      <c r="T26" s="25" t="str" cm="1">
        <f t="array" ref="T26" xml:space="preserve"> INDEX(十五音韻母對照表, $R26, T$2)</f>
        <v>iak</v>
      </c>
    </row>
    <row r="27" spans="2:20" ht="33">
      <c r="B27" s="46">
        <v>21</v>
      </c>
      <c r="C27" s="409" t="s">
        <v>171</v>
      </c>
      <c r="D27" s="410" t="s">
        <v>172</v>
      </c>
      <c r="E27" s="25" t="s">
        <v>172</v>
      </c>
      <c r="F27" s="25" t="s">
        <v>173</v>
      </c>
      <c r="H27" s="46">
        <v>21</v>
      </c>
      <c r="I27" s="46">
        <v>3</v>
      </c>
      <c r="J27" s="404" t="s">
        <v>147</v>
      </c>
      <c r="K27" s="340" t="s">
        <v>148</v>
      </c>
      <c r="L27" s="25" t="s">
        <v>148</v>
      </c>
      <c r="M27" s="25" t="s">
        <v>149</v>
      </c>
      <c r="O27" s="427">
        <v>21</v>
      </c>
      <c r="P27" s="411" t="s">
        <v>196</v>
      </c>
      <c r="Q27" s="410" t="s">
        <v>197</v>
      </c>
      <c r="R27" s="340">
        <f t="shared" si="0"/>
        <v>12</v>
      </c>
      <c r="S27" s="25" t="str" cm="1">
        <f t="array" ref="S27" xml:space="preserve"> INDEX(十五音韻母對照表, $R27, S$2)</f>
        <v>iau</v>
      </c>
      <c r="T27" s="25" t="str" cm="1">
        <f t="array" ref="T27" xml:space="preserve"> INDEX(十五音韻母對照表, $R27, T$2)</f>
        <v>iauh</v>
      </c>
    </row>
    <row r="28" spans="2:20" ht="33">
      <c r="B28" s="46">
        <v>22</v>
      </c>
      <c r="C28" s="409" t="s">
        <v>220</v>
      </c>
      <c r="D28" s="410" t="s">
        <v>221</v>
      </c>
      <c r="E28" s="25" t="s">
        <v>221</v>
      </c>
      <c r="F28" s="25" t="s">
        <v>222</v>
      </c>
      <c r="H28" s="46">
        <v>22</v>
      </c>
      <c r="I28" s="46">
        <v>17</v>
      </c>
      <c r="J28" s="409" t="s">
        <v>223</v>
      </c>
      <c r="K28" s="410" t="s">
        <v>224</v>
      </c>
      <c r="L28" s="25" t="s">
        <v>224</v>
      </c>
      <c r="M28" s="25" t="s">
        <v>225</v>
      </c>
      <c r="O28" s="427">
        <v>22</v>
      </c>
      <c r="P28" s="411" t="s">
        <v>232</v>
      </c>
      <c r="Q28" s="410" t="s">
        <v>233</v>
      </c>
      <c r="R28" s="340">
        <f t="shared" si="0"/>
        <v>46</v>
      </c>
      <c r="S28" s="25" t="str" cm="1">
        <f t="array" ref="S28" xml:space="preserve"> INDEX(十五音韻母對照表, $R28, S$2)</f>
        <v>iaunn</v>
      </c>
      <c r="T28" s="25" t="str" cm="1">
        <f t="array" ref="T28" xml:space="preserve"> INDEX(十五音韻母對照表, $R28, T$2)</f>
        <v>iaunnh</v>
      </c>
    </row>
    <row r="29" spans="2:20" ht="33">
      <c r="B29" s="46">
        <v>23</v>
      </c>
      <c r="C29" s="409" t="s">
        <v>177</v>
      </c>
      <c r="D29" s="410" t="s">
        <v>178</v>
      </c>
      <c r="E29" s="25" t="s">
        <v>178</v>
      </c>
      <c r="F29" s="25" t="s">
        <v>179</v>
      </c>
      <c r="H29" s="46">
        <v>23</v>
      </c>
      <c r="I29" s="46">
        <v>9</v>
      </c>
      <c r="J29" s="409" t="s">
        <v>180</v>
      </c>
      <c r="K29" s="410" t="s">
        <v>181</v>
      </c>
      <c r="L29" s="25" t="s">
        <v>181</v>
      </c>
      <c r="M29" s="25" t="s">
        <v>182</v>
      </c>
      <c r="O29" s="427">
        <v>23</v>
      </c>
      <c r="P29" s="411" t="s">
        <v>147</v>
      </c>
      <c r="Q29" s="410" t="s">
        <v>148</v>
      </c>
      <c r="R29" s="340">
        <f t="shared" si="0"/>
        <v>3</v>
      </c>
      <c r="S29" s="25" t="str" cm="1">
        <f t="array" ref="S29" xml:space="preserve"> INDEX(十五音韻母對照表, $R29, S$2)</f>
        <v>im</v>
      </c>
      <c r="T29" s="25" t="str" cm="1">
        <f t="array" ref="T29" xml:space="preserve"> INDEX(十五音韻母對照表, $R29, T$2)</f>
        <v>ip</v>
      </c>
    </row>
    <row r="30" spans="2:20" ht="33">
      <c r="B30" s="46">
        <v>24</v>
      </c>
      <c r="C30" s="409" t="s">
        <v>211</v>
      </c>
      <c r="D30" s="410" t="s">
        <v>212</v>
      </c>
      <c r="E30" s="25" t="s">
        <v>212</v>
      </c>
      <c r="F30" s="25" t="s">
        <v>213</v>
      </c>
      <c r="H30" s="46">
        <v>24</v>
      </c>
      <c r="I30" s="46">
        <v>33</v>
      </c>
      <c r="J30" s="409" t="s">
        <v>235</v>
      </c>
      <c r="K30" s="410" t="s">
        <v>236</v>
      </c>
      <c r="L30" s="25" t="s">
        <v>236</v>
      </c>
      <c r="M30" s="25" t="s">
        <v>237</v>
      </c>
      <c r="O30" s="427">
        <v>24</v>
      </c>
      <c r="P30" s="411" t="s">
        <v>223</v>
      </c>
      <c r="Q30" s="410" t="s">
        <v>224</v>
      </c>
      <c r="R30" s="340">
        <f t="shared" si="0"/>
        <v>17</v>
      </c>
      <c r="S30" s="25" t="str" cm="1">
        <f t="array" ref="S30" xml:space="preserve"> INDEX(十五音韻母對照表, $R30, S$2)</f>
        <v>in</v>
      </c>
      <c r="T30" s="25" t="str" cm="1">
        <f t="array" ref="T30" xml:space="preserve"> INDEX(十五音韻母對照表, $R30, T$2)</f>
        <v>it</v>
      </c>
    </row>
    <row r="31" spans="2:20" ht="33">
      <c r="B31" s="46">
        <v>25</v>
      </c>
      <c r="C31" s="409" t="s">
        <v>238</v>
      </c>
      <c r="D31" s="410" t="s">
        <v>239</v>
      </c>
      <c r="E31" s="25" t="s">
        <v>239</v>
      </c>
      <c r="F31" s="25" t="s">
        <v>240</v>
      </c>
      <c r="H31" s="46">
        <v>25</v>
      </c>
      <c r="I31" s="46">
        <v>14</v>
      </c>
      <c r="J31" s="409" t="s">
        <v>208</v>
      </c>
      <c r="K31" s="410" t="s">
        <v>209</v>
      </c>
      <c r="L31" s="25" t="s">
        <v>209</v>
      </c>
      <c r="M31" s="25" t="s">
        <v>210</v>
      </c>
      <c r="O31" s="427">
        <v>25</v>
      </c>
      <c r="P31" s="411" t="s">
        <v>180</v>
      </c>
      <c r="Q31" s="410" t="s">
        <v>181</v>
      </c>
      <c r="R31" s="340">
        <f t="shared" si="0"/>
        <v>9</v>
      </c>
      <c r="S31" s="25" t="str" cm="1">
        <f t="array" ref="S31" xml:space="preserve"> INDEX(十五音韻母對照表, $R31, S$2)</f>
        <v>ing</v>
      </c>
      <c r="T31" s="25" t="str" cm="1">
        <f t="array" ref="T31" xml:space="preserve"> INDEX(十五音韻母對照表, $R31, T$2)</f>
        <v>ik</v>
      </c>
    </row>
    <row r="32" spans="2:20" ht="33">
      <c r="B32" s="46">
        <v>26</v>
      </c>
      <c r="C32" s="409" t="s">
        <v>144</v>
      </c>
      <c r="D32" s="410" t="s">
        <v>145</v>
      </c>
      <c r="E32" s="25" t="s">
        <v>145</v>
      </c>
      <c r="F32" s="25" t="s">
        <v>146</v>
      </c>
      <c r="H32" s="46">
        <v>26</v>
      </c>
      <c r="I32" s="46">
        <v>30</v>
      </c>
      <c r="J32" s="409" t="s">
        <v>241</v>
      </c>
      <c r="K32" s="410" t="s">
        <v>242</v>
      </c>
      <c r="L32" s="25" t="s">
        <v>242</v>
      </c>
      <c r="M32" s="25" t="s">
        <v>243</v>
      </c>
      <c r="O32" s="427">
        <v>26</v>
      </c>
      <c r="P32" s="411" t="s">
        <v>235</v>
      </c>
      <c r="Q32" s="410" t="s">
        <v>236</v>
      </c>
      <c r="R32" s="340">
        <f t="shared" si="0"/>
        <v>33</v>
      </c>
      <c r="S32" s="25" t="str" cm="1">
        <f t="array" ref="S32" xml:space="preserve"> INDEX(十五音韻母對照表, $R32, S$2)</f>
        <v>io</v>
      </c>
      <c r="T32" s="25" t="str" cm="1">
        <f t="array" ref="T32" xml:space="preserve"> INDEX(十五音韻母對照表, $R32, T$2)</f>
        <v>ioh</v>
      </c>
    </row>
    <row r="33" spans="2:20" ht="33">
      <c r="B33" s="46">
        <v>27</v>
      </c>
      <c r="C33" s="409" t="s">
        <v>244</v>
      </c>
      <c r="D33" s="410" t="s">
        <v>245</v>
      </c>
      <c r="E33" s="25" t="s">
        <v>245</v>
      </c>
      <c r="F33" s="25" t="s">
        <v>246</v>
      </c>
      <c r="H33" s="46">
        <v>27</v>
      </c>
      <c r="I33" s="46">
        <v>34</v>
      </c>
      <c r="J33" s="404" t="s">
        <v>247</v>
      </c>
      <c r="K33" s="340" t="s">
        <v>248</v>
      </c>
      <c r="L33" s="25" t="s">
        <v>248</v>
      </c>
      <c r="M33" s="25" t="s">
        <v>249</v>
      </c>
      <c r="O33" s="428">
        <v>27</v>
      </c>
      <c r="P33" s="429" t="s">
        <v>247</v>
      </c>
      <c r="Q33" s="407" t="s">
        <v>250</v>
      </c>
      <c r="R33" s="407">
        <f t="shared" si="0"/>
        <v>35</v>
      </c>
      <c r="S33" s="430" t="str" cm="1">
        <f t="array" ref="S33" xml:space="preserve"> INDEX(十五音韻母對照表, $R33, S$2)</f>
        <v>ionn</v>
      </c>
      <c r="T33" s="430" t="str" cm="1">
        <f t="array" ref="T33" xml:space="preserve"> INDEX(十五音韻母對照表, $R33, T$2)</f>
        <v>ionnh</v>
      </c>
    </row>
    <row r="34" spans="2:20" ht="33">
      <c r="B34" s="46">
        <v>28</v>
      </c>
      <c r="C34" s="409" t="s">
        <v>138</v>
      </c>
      <c r="D34" s="410" t="s">
        <v>139</v>
      </c>
      <c r="E34" s="25" t="s">
        <v>139</v>
      </c>
      <c r="F34" s="25" t="s">
        <v>140</v>
      </c>
      <c r="H34" s="46">
        <v>28</v>
      </c>
      <c r="I34" s="46">
        <v>38</v>
      </c>
      <c r="J34" s="409" t="s">
        <v>251</v>
      </c>
      <c r="K34" s="410" t="s">
        <v>27</v>
      </c>
      <c r="L34" s="25" t="s">
        <v>27</v>
      </c>
      <c r="M34" s="25" t="s">
        <v>252</v>
      </c>
      <c r="O34" s="427">
        <v>28</v>
      </c>
      <c r="P34" s="411" t="s">
        <v>208</v>
      </c>
      <c r="Q34" s="410" t="s">
        <v>209</v>
      </c>
      <c r="R34" s="340">
        <f t="shared" si="0"/>
        <v>14</v>
      </c>
      <c r="S34" s="25" t="str" cm="1">
        <f t="array" ref="S34" xml:space="preserve"> INDEX(十五音韻母對照表, $R34, S$2)</f>
        <v>iong</v>
      </c>
      <c r="T34" s="25" t="str" cm="1">
        <f t="array" ref="T34" xml:space="preserve"> INDEX(十五音韻母對照表, $R34, T$2)</f>
        <v>iok</v>
      </c>
    </row>
    <row r="35" spans="2:20" ht="33">
      <c r="B35" s="46">
        <v>29</v>
      </c>
      <c r="C35" s="409" t="s">
        <v>199</v>
      </c>
      <c r="D35" s="410" t="s">
        <v>200</v>
      </c>
      <c r="E35" s="25" t="s">
        <v>200</v>
      </c>
      <c r="F35" s="25" t="s">
        <v>201</v>
      </c>
      <c r="H35" s="46">
        <v>29</v>
      </c>
      <c r="I35" s="46">
        <v>32</v>
      </c>
      <c r="J35" s="409" t="s">
        <v>253</v>
      </c>
      <c r="K35" s="410" t="s">
        <v>48</v>
      </c>
      <c r="L35" s="25" t="s">
        <v>48</v>
      </c>
      <c r="M35" s="25" t="s">
        <v>254</v>
      </c>
      <c r="O35" s="427">
        <v>29</v>
      </c>
      <c r="P35" s="411" t="s">
        <v>241</v>
      </c>
      <c r="Q35" s="410" t="s">
        <v>242</v>
      </c>
      <c r="R35" s="340">
        <f t="shared" si="0"/>
        <v>30</v>
      </c>
      <c r="S35" s="25" t="str" cm="1">
        <f t="array" ref="S35" xml:space="preserve"> INDEX(十五音韻母對照表, $R35, S$2)</f>
        <v>iu</v>
      </c>
      <c r="T35" s="25" t="str" cm="1">
        <f t="array" ref="T35" xml:space="preserve"> INDEX(十五音韻母對照表, $R35, T$2)</f>
        <v>iuh</v>
      </c>
    </row>
    <row r="36" spans="2:20" ht="33">
      <c r="B36" s="46">
        <v>30</v>
      </c>
      <c r="C36" s="409" t="s">
        <v>241</v>
      </c>
      <c r="D36" s="410" t="s">
        <v>242</v>
      </c>
      <c r="E36" s="25" t="s">
        <v>242</v>
      </c>
      <c r="F36" s="25" t="s">
        <v>243</v>
      </c>
      <c r="H36" s="46">
        <v>30</v>
      </c>
      <c r="I36" s="46">
        <v>15</v>
      </c>
      <c r="J36" s="409" t="s">
        <v>214</v>
      </c>
      <c r="K36" s="410" t="s">
        <v>215</v>
      </c>
      <c r="L36" s="25" t="s">
        <v>215</v>
      </c>
      <c r="M36" s="25" t="s">
        <v>216</v>
      </c>
      <c r="O36" s="427">
        <v>30</v>
      </c>
      <c r="P36" s="411" t="s">
        <v>255</v>
      </c>
      <c r="Q36" s="410" t="s">
        <v>248</v>
      </c>
      <c r="R36" s="340">
        <f t="shared" si="0"/>
        <v>50</v>
      </c>
      <c r="S36" s="25" t="str" cm="1">
        <f t="array" ref="S36" xml:space="preserve"> INDEX(十五音韻母對照表, $R36, S$2)</f>
        <v>iunn</v>
      </c>
      <c r="T36" s="25" t="str" cm="1">
        <f t="array" ref="T36" xml:space="preserve"> INDEX(十五音韻母對照表, $R36, T$2)</f>
        <v>iunnh</v>
      </c>
    </row>
    <row r="37" spans="2:20" ht="33">
      <c r="B37" s="46">
        <v>31</v>
      </c>
      <c r="C37" s="409" t="s">
        <v>193</v>
      </c>
      <c r="D37" s="410" t="s">
        <v>194</v>
      </c>
      <c r="E37" s="25" t="s">
        <v>194</v>
      </c>
      <c r="F37" s="25" t="s">
        <v>195</v>
      </c>
      <c r="H37" s="46">
        <v>31</v>
      </c>
      <c r="I37" s="46">
        <v>36</v>
      </c>
      <c r="J37" s="406" t="s">
        <v>256</v>
      </c>
      <c r="K37" s="407" t="s">
        <v>257</v>
      </c>
      <c r="L37" s="25" t="s">
        <v>258</v>
      </c>
      <c r="M37" s="25" t="s">
        <v>259</v>
      </c>
      <c r="O37" s="427">
        <v>31</v>
      </c>
      <c r="P37" s="411" t="s">
        <v>251</v>
      </c>
      <c r="Q37" s="410" t="s">
        <v>27</v>
      </c>
      <c r="R37" s="340">
        <f t="shared" si="0"/>
        <v>42</v>
      </c>
      <c r="S37" s="25" t="str" cm="1">
        <f t="array" ref="S37" xml:space="preserve"> INDEX(十五音韻母對照表, $R37, S$2)</f>
        <v>m</v>
      </c>
      <c r="T37" s="25" t="str" cm="1">
        <f t="array" ref="T37" xml:space="preserve"> INDEX(十五音韻母對照表, $R37, T$2)</f>
        <v>mh</v>
      </c>
    </row>
    <row r="38" spans="2:20" ht="33">
      <c r="B38" s="46">
        <v>32</v>
      </c>
      <c r="C38" s="409" t="s">
        <v>253</v>
      </c>
      <c r="D38" s="410" t="s">
        <v>48</v>
      </c>
      <c r="E38" s="25" t="s">
        <v>48</v>
      </c>
      <c r="F38" s="25" t="s">
        <v>254</v>
      </c>
      <c r="H38" s="46">
        <v>32</v>
      </c>
      <c r="I38" s="46">
        <v>11</v>
      </c>
      <c r="J38" s="409" t="s">
        <v>190</v>
      </c>
      <c r="K38" s="410" t="s">
        <v>191</v>
      </c>
      <c r="L38" s="25" t="s">
        <v>191</v>
      </c>
      <c r="M38" s="25" t="s">
        <v>192</v>
      </c>
      <c r="O38" s="427">
        <v>32</v>
      </c>
      <c r="P38" s="411" t="s">
        <v>260</v>
      </c>
      <c r="Q38" s="410" t="s">
        <v>48</v>
      </c>
      <c r="R38" s="340">
        <f t="shared" si="0"/>
        <v>38</v>
      </c>
      <c r="S38" s="25" t="str" cm="1">
        <f t="array" ref="S38" xml:space="preserve"> INDEX(十五音韻母對照表, $R38, S$2)</f>
        <v>ng</v>
      </c>
      <c r="T38" s="25" t="str" cm="1">
        <f t="array" ref="T38" xml:space="preserve"> INDEX(十五音韻母對照表, $R38, T$2)</f>
        <v>ngh</v>
      </c>
    </row>
    <row r="39" spans="2:20" ht="33">
      <c r="B39" s="46">
        <v>33</v>
      </c>
      <c r="C39" s="409" t="s">
        <v>235</v>
      </c>
      <c r="D39" s="410" t="s">
        <v>236</v>
      </c>
      <c r="E39" s="25" t="s">
        <v>236</v>
      </c>
      <c r="F39" s="25" t="s">
        <v>237</v>
      </c>
      <c r="H39" s="46">
        <v>33</v>
      </c>
      <c r="I39" s="46">
        <v>42</v>
      </c>
      <c r="J39" s="409" t="s">
        <v>261</v>
      </c>
      <c r="K39" s="410" t="s">
        <v>262</v>
      </c>
      <c r="L39" s="25" t="s">
        <v>262</v>
      </c>
      <c r="M39" s="25" t="s">
        <v>263</v>
      </c>
      <c r="O39" s="427">
        <v>33</v>
      </c>
      <c r="P39" s="411" t="s">
        <v>214</v>
      </c>
      <c r="Q39" s="410" t="s">
        <v>215</v>
      </c>
      <c r="R39" s="340">
        <f t="shared" ref="R39:R56" si="1" xml:space="preserve"> MATCH($Q39, 韻母舒聲碼, 0)</f>
        <v>15</v>
      </c>
      <c r="S39" s="25" t="str" cm="1">
        <f t="array" ref="S39" xml:space="preserve"> INDEX(十五音韻母對照表, $R39, S$2)</f>
        <v>o</v>
      </c>
      <c r="T39" s="25" t="str" cm="1">
        <f t="array" ref="T39" xml:space="preserve"> INDEX(十五音韻母對照表, $R39, T$2)</f>
        <v>oh</v>
      </c>
    </row>
    <row r="40" spans="2:20" ht="33">
      <c r="B40" s="46">
        <v>34</v>
      </c>
      <c r="C40" s="404" t="s">
        <v>247</v>
      </c>
      <c r="D40" s="340" t="s">
        <v>248</v>
      </c>
      <c r="E40" s="25" t="s">
        <v>248</v>
      </c>
      <c r="F40" s="25" t="s">
        <v>249</v>
      </c>
      <c r="H40" s="46">
        <v>34</v>
      </c>
      <c r="I40" s="46">
        <v>7</v>
      </c>
      <c r="J40" s="404" t="s">
        <v>168</v>
      </c>
      <c r="K40" s="340" t="s">
        <v>169</v>
      </c>
      <c r="L40" s="25" t="s">
        <v>169</v>
      </c>
      <c r="M40" s="25" t="s">
        <v>170</v>
      </c>
      <c r="O40" s="428">
        <v>34</v>
      </c>
      <c r="P40" s="429" t="s">
        <v>256</v>
      </c>
      <c r="Q40" s="407" t="s">
        <v>258</v>
      </c>
      <c r="R40" s="407">
        <f t="shared" si="1"/>
        <v>49</v>
      </c>
      <c r="S40" s="430" t="str" cm="1">
        <f t="array" ref="S40" xml:space="preserve"> INDEX(十五音韻母對照表, $R40, S$2)</f>
        <v>onn</v>
      </c>
      <c r="T40" s="430" t="str" cm="1">
        <f t="array" ref="T40" xml:space="preserve"> INDEX(十五音韻母對照表, $R40, T$2)</f>
        <v>onnh</v>
      </c>
    </row>
    <row r="41" spans="2:20" ht="33">
      <c r="B41" s="46">
        <v>35</v>
      </c>
      <c r="C41" s="409" t="s">
        <v>264</v>
      </c>
      <c r="D41" s="410" t="s">
        <v>265</v>
      </c>
      <c r="E41" s="25" t="s">
        <v>265</v>
      </c>
      <c r="F41" s="25" t="s">
        <v>266</v>
      </c>
      <c r="H41" s="46">
        <v>35</v>
      </c>
      <c r="I41" s="46">
        <v>27</v>
      </c>
      <c r="J41" s="409" t="s">
        <v>244</v>
      </c>
      <c r="K41" s="410" t="s">
        <v>245</v>
      </c>
      <c r="L41" s="25" t="s">
        <v>245</v>
      </c>
      <c r="M41" s="25" t="s">
        <v>246</v>
      </c>
      <c r="O41" s="427">
        <v>35</v>
      </c>
      <c r="P41" s="411" t="s">
        <v>190</v>
      </c>
      <c r="Q41" s="410" t="s">
        <v>191</v>
      </c>
      <c r="R41" s="340">
        <f t="shared" si="1"/>
        <v>11</v>
      </c>
      <c r="S41" s="25" t="str" cm="1">
        <f t="array" ref="S41" xml:space="preserve"> INDEX(十五音韻母對照表, $R41, S$2)</f>
        <v>oo</v>
      </c>
      <c r="T41" s="25" t="str" cm="1">
        <f t="array" ref="T41" xml:space="preserve"> INDEX(十五音韻母對照表, $R41, T$2)</f>
        <v>ooh</v>
      </c>
    </row>
    <row r="42" spans="2:20" ht="33">
      <c r="B42" s="46">
        <v>36</v>
      </c>
      <c r="C42" s="406" t="s">
        <v>256</v>
      </c>
      <c r="D42" s="407" t="s">
        <v>257</v>
      </c>
      <c r="E42" s="25" t="s">
        <v>258</v>
      </c>
      <c r="F42" s="25" t="s">
        <v>259</v>
      </c>
      <c r="H42" s="46">
        <v>36</v>
      </c>
      <c r="I42" s="46">
        <v>20</v>
      </c>
      <c r="J42" s="409" t="s">
        <v>229</v>
      </c>
      <c r="K42" s="410" t="s">
        <v>230</v>
      </c>
      <c r="L42" s="25" t="s">
        <v>230</v>
      </c>
      <c r="M42" s="25" t="s">
        <v>231</v>
      </c>
      <c r="O42" s="427">
        <v>36</v>
      </c>
      <c r="P42" s="411" t="s">
        <v>267</v>
      </c>
      <c r="Q42" s="410" t="s">
        <v>268</v>
      </c>
      <c r="R42" s="340">
        <f t="shared" si="1"/>
        <v>41</v>
      </c>
      <c r="S42" s="25" t="str" cm="1">
        <f t="array" ref="S42" xml:space="preserve"> INDEX(十五音韻母對照表, $R42, S$2)</f>
        <v>oonn</v>
      </c>
      <c r="T42" s="25" t="str" cm="1">
        <f t="array" ref="T42" xml:space="preserve"> INDEX(十五音韻母對照表, $R42, T$2)</f>
        <v>oonnh</v>
      </c>
    </row>
    <row r="43" spans="2:20" ht="33">
      <c r="B43" s="46">
        <v>37</v>
      </c>
      <c r="C43" s="409" t="s">
        <v>269</v>
      </c>
      <c r="D43" s="410" t="s">
        <v>270</v>
      </c>
      <c r="E43" s="25" t="s">
        <v>270</v>
      </c>
      <c r="F43" s="25" t="s">
        <v>271</v>
      </c>
      <c r="H43" s="46">
        <v>37</v>
      </c>
      <c r="I43" s="46">
        <v>35</v>
      </c>
      <c r="J43" s="409" t="s">
        <v>264</v>
      </c>
      <c r="K43" s="410" t="s">
        <v>265</v>
      </c>
      <c r="L43" s="25" t="s">
        <v>265</v>
      </c>
      <c r="M43" s="25" t="s">
        <v>266</v>
      </c>
      <c r="O43" s="427">
        <v>37</v>
      </c>
      <c r="P43" s="411" t="s">
        <v>261</v>
      </c>
      <c r="Q43" s="340" t="s">
        <v>262</v>
      </c>
      <c r="R43" s="340">
        <f t="shared" si="1"/>
        <v>47</v>
      </c>
      <c r="S43" s="25" t="str" cm="1">
        <f t="array" ref="S43" xml:space="preserve"> INDEX(十五音韻母對照表, $R43, S$2)</f>
        <v>om</v>
      </c>
      <c r="T43" s="25" t="str" cm="1">
        <f t="array" ref="T43" xml:space="preserve"> INDEX(十五音韻母對照表, $R43, T$2)</f>
        <v>op</v>
      </c>
    </row>
    <row r="44" spans="2:20" ht="33">
      <c r="B44" s="46">
        <v>38</v>
      </c>
      <c r="C44" s="409" t="s">
        <v>251</v>
      </c>
      <c r="D44" s="410" t="s">
        <v>27</v>
      </c>
      <c r="E44" s="25" t="s">
        <v>27</v>
      </c>
      <c r="F44" s="25" t="s">
        <v>252</v>
      </c>
      <c r="H44" s="46">
        <v>38</v>
      </c>
      <c r="I44" s="46">
        <v>8</v>
      </c>
      <c r="J44" s="404" t="s">
        <v>174</v>
      </c>
      <c r="K44" s="340" t="s">
        <v>175</v>
      </c>
      <c r="L44" s="25" t="s">
        <v>175</v>
      </c>
      <c r="M44" s="25" t="s">
        <v>176</v>
      </c>
      <c r="O44" s="427">
        <v>38</v>
      </c>
      <c r="P44" s="411" t="s">
        <v>168</v>
      </c>
      <c r="Q44" s="410" t="s">
        <v>169</v>
      </c>
      <c r="R44" s="340">
        <f t="shared" si="1"/>
        <v>7</v>
      </c>
      <c r="S44" s="25" t="str" cm="1">
        <f t="array" ref="S44" xml:space="preserve"> INDEX(十五音韻母對照表, $R44, S$2)</f>
        <v>ong</v>
      </c>
      <c r="T44" s="25" t="str" cm="1">
        <f t="array" ref="T44" xml:space="preserve"> INDEX(十五音韻母對照表, $R44, T$2)</f>
        <v>ok</v>
      </c>
    </row>
    <row r="45" spans="2:20" ht="33">
      <c r="B45" s="46">
        <v>39</v>
      </c>
      <c r="C45" s="409" t="s">
        <v>272</v>
      </c>
      <c r="D45" s="410" t="s">
        <v>273</v>
      </c>
      <c r="E45" s="25" t="s">
        <v>273</v>
      </c>
      <c r="F45" s="25" t="s">
        <v>274</v>
      </c>
      <c r="H45" s="46">
        <v>39</v>
      </c>
      <c r="I45" s="46">
        <v>39</v>
      </c>
      <c r="J45" s="409" t="s">
        <v>272</v>
      </c>
      <c r="K45" s="410" t="s">
        <v>273</v>
      </c>
      <c r="L45" s="25" t="s">
        <v>273</v>
      </c>
      <c r="M45" s="25" t="s">
        <v>274</v>
      </c>
      <c r="O45" s="427">
        <v>39</v>
      </c>
      <c r="P45" s="411" t="s">
        <v>275</v>
      </c>
      <c r="Q45" s="410" t="s">
        <v>245</v>
      </c>
      <c r="R45" s="340">
        <f t="shared" si="1"/>
        <v>27</v>
      </c>
      <c r="S45" s="25" t="str" cm="1">
        <f t="array" ref="S45" xml:space="preserve"> INDEX(十五音韻母對照表, $R45, S$2)</f>
        <v>u</v>
      </c>
      <c r="T45" s="25" t="str" cm="1">
        <f t="array" ref="T45" xml:space="preserve"> INDEX(十五音韻母對照表, $R45, T$2)</f>
        <v>uh</v>
      </c>
    </row>
    <row r="46" spans="2:20" ht="33">
      <c r="B46" s="46">
        <v>40</v>
      </c>
      <c r="C46" s="409" t="s">
        <v>156</v>
      </c>
      <c r="D46" s="410" t="s">
        <v>157</v>
      </c>
      <c r="E46" s="25" t="s">
        <v>157</v>
      </c>
      <c r="F46" s="25" t="s">
        <v>158</v>
      </c>
      <c r="H46" s="46">
        <v>40</v>
      </c>
      <c r="I46" s="46">
        <v>10</v>
      </c>
      <c r="J46" s="409" t="s">
        <v>186</v>
      </c>
      <c r="K46" s="410" t="s">
        <v>187</v>
      </c>
      <c r="L46" s="25" t="s">
        <v>187</v>
      </c>
      <c r="M46" s="25" t="s">
        <v>188</v>
      </c>
      <c r="O46" s="427">
        <v>40</v>
      </c>
      <c r="P46" s="411" t="s">
        <v>229</v>
      </c>
      <c r="Q46" s="410" t="s">
        <v>230</v>
      </c>
      <c r="R46" s="340">
        <f t="shared" si="1"/>
        <v>20</v>
      </c>
      <c r="S46" s="25" t="str" cm="1">
        <f t="array" ref="S46" xml:space="preserve"> INDEX(十五音韻母對照表, $R46, S$2)</f>
        <v>ua</v>
      </c>
      <c r="T46" s="25" t="str" cm="1">
        <f t="array" ref="T46" xml:space="preserve"> INDEX(十五音韻母對照表, $R46, T$2)</f>
        <v>uah</v>
      </c>
    </row>
    <row r="47" spans="2:20" ht="33">
      <c r="B47" s="46">
        <v>41</v>
      </c>
      <c r="C47" s="409" t="s">
        <v>232</v>
      </c>
      <c r="D47" s="410" t="s">
        <v>233</v>
      </c>
      <c r="E47" s="25" t="s">
        <v>233</v>
      </c>
      <c r="F47" s="25" t="s">
        <v>234</v>
      </c>
      <c r="H47" s="46">
        <v>41</v>
      </c>
      <c r="I47" s="46">
        <v>37</v>
      </c>
      <c r="J47" s="409" t="s">
        <v>269</v>
      </c>
      <c r="K47" s="410" t="s">
        <v>270</v>
      </c>
      <c r="L47" s="25" t="s">
        <v>270</v>
      </c>
      <c r="M47" s="25" t="s">
        <v>271</v>
      </c>
      <c r="O47" s="427">
        <v>41</v>
      </c>
      <c r="P47" s="411" t="s">
        <v>264</v>
      </c>
      <c r="Q47" s="410" t="s">
        <v>265</v>
      </c>
      <c r="R47" s="340">
        <f t="shared" si="1"/>
        <v>37</v>
      </c>
      <c r="S47" s="25" t="str" cm="1">
        <f t="array" ref="S47" xml:space="preserve"> INDEX(十五音韻母對照表, $R47, S$2)</f>
        <v>uann</v>
      </c>
      <c r="T47" s="25" t="str" cm="1">
        <f t="array" ref="T47" xml:space="preserve"> INDEX(十五音韻母對照表, $R47, T$2)</f>
        <v>uannh</v>
      </c>
    </row>
    <row r="48" spans="2:20" ht="33">
      <c r="B48" s="46">
        <v>42</v>
      </c>
      <c r="C48" s="409" t="s">
        <v>261</v>
      </c>
      <c r="D48" s="410" t="s">
        <v>262</v>
      </c>
      <c r="E48" s="25" t="s">
        <v>262</v>
      </c>
      <c r="F48" s="25" t="s">
        <v>263</v>
      </c>
      <c r="H48" s="46">
        <v>42</v>
      </c>
      <c r="I48" s="46">
        <v>25</v>
      </c>
      <c r="J48" s="409" t="s">
        <v>238</v>
      </c>
      <c r="K48" s="410" t="s">
        <v>239</v>
      </c>
      <c r="L48" s="25" t="s">
        <v>239</v>
      </c>
      <c r="M48" s="25" t="s">
        <v>240</v>
      </c>
      <c r="O48" s="427">
        <v>42</v>
      </c>
      <c r="P48" s="411" t="s">
        <v>174</v>
      </c>
      <c r="Q48" s="410" t="s">
        <v>175</v>
      </c>
      <c r="R48" s="340">
        <f t="shared" si="1"/>
        <v>8</v>
      </c>
      <c r="S48" s="25" t="str" cm="1">
        <f t="array" ref="S48" xml:space="preserve"> INDEX(十五音韻母對照表, $R48, S$2)</f>
        <v>uai</v>
      </c>
      <c r="T48" s="25" t="str" cm="1">
        <f t="array" ref="T48" xml:space="preserve"> INDEX(十五音韻母對照表, $R48, T$2)</f>
        <v>uaih</v>
      </c>
    </row>
    <row r="49" spans="2:20" ht="33">
      <c r="B49" s="46">
        <v>43</v>
      </c>
      <c r="C49" s="409" t="s">
        <v>183</v>
      </c>
      <c r="D49" s="410" t="s">
        <v>184</v>
      </c>
      <c r="E49" s="25" t="s">
        <v>184</v>
      </c>
      <c r="F49" s="25" t="s">
        <v>185</v>
      </c>
      <c r="H49" s="46">
        <v>43</v>
      </c>
      <c r="I49" s="46">
        <v>4</v>
      </c>
      <c r="J49" s="408" t="s">
        <v>153</v>
      </c>
      <c r="K49" s="405" t="s">
        <v>154</v>
      </c>
      <c r="L49" s="25" t="s">
        <v>154</v>
      </c>
      <c r="M49" s="25" t="s">
        <v>155</v>
      </c>
      <c r="O49" s="427">
        <v>43</v>
      </c>
      <c r="P49" s="411" t="s">
        <v>276</v>
      </c>
      <c r="Q49" s="410" t="s">
        <v>273</v>
      </c>
      <c r="R49" s="340">
        <f t="shared" si="1"/>
        <v>44</v>
      </c>
      <c r="S49" s="25" t="str" cm="1">
        <f t="array" ref="S49" xml:space="preserve"> INDEX(十五音韻母對照表, $R49, S$2)</f>
        <v>uainn</v>
      </c>
      <c r="T49" s="25" t="str" cm="1">
        <f t="array" ref="T49" xml:space="preserve"> INDEX(十五音韻母對照表, $R49, T$2)</f>
        <v>uainnh</v>
      </c>
    </row>
    <row r="50" spans="2:20" ht="33">
      <c r="B50" s="46">
        <v>44</v>
      </c>
      <c r="C50" s="409" t="s">
        <v>217</v>
      </c>
      <c r="D50" s="410" t="s">
        <v>218</v>
      </c>
      <c r="E50" s="25" t="s">
        <v>218</v>
      </c>
      <c r="F50" s="25" t="s">
        <v>219</v>
      </c>
      <c r="H50" s="46">
        <v>44</v>
      </c>
      <c r="I50" s="46">
        <v>45</v>
      </c>
      <c r="J50" s="409" t="s">
        <v>277</v>
      </c>
      <c r="K50" s="410" t="s">
        <v>278</v>
      </c>
      <c r="L50" s="25" t="s">
        <v>278</v>
      </c>
      <c r="M50" s="25" t="s">
        <v>279</v>
      </c>
      <c r="O50" s="427">
        <v>44</v>
      </c>
      <c r="P50" s="411" t="s">
        <v>186</v>
      </c>
      <c r="Q50" s="410" t="s">
        <v>187</v>
      </c>
      <c r="R50" s="340">
        <f t="shared" si="1"/>
        <v>10</v>
      </c>
      <c r="S50" s="25" t="str" cm="1">
        <f t="array" ref="S50" xml:space="preserve"> INDEX(十五音韻母對照表, $R50, S$2)</f>
        <v>uan</v>
      </c>
      <c r="T50" s="25" t="str" cm="1">
        <f t="array" ref="T50" xml:space="preserve"> INDEX(十五音韻母對照表, $R50, T$2)</f>
        <v>uat</v>
      </c>
    </row>
    <row r="51" spans="2:20" ht="33">
      <c r="B51" s="46">
        <v>45</v>
      </c>
      <c r="C51" s="409" t="s">
        <v>277</v>
      </c>
      <c r="D51" s="410" t="s">
        <v>278</v>
      </c>
      <c r="E51" s="25" t="s">
        <v>278</v>
      </c>
      <c r="F51" s="25" t="s">
        <v>279</v>
      </c>
      <c r="H51" s="46">
        <v>45</v>
      </c>
      <c r="I51" s="46">
        <v>1</v>
      </c>
      <c r="J51" s="404" t="s">
        <v>135</v>
      </c>
      <c r="K51" s="340" t="s">
        <v>136</v>
      </c>
      <c r="L51" s="25" t="s">
        <v>136</v>
      </c>
      <c r="M51" s="25" t="s">
        <v>137</v>
      </c>
      <c r="O51" s="427">
        <v>45</v>
      </c>
      <c r="P51" s="411" t="s">
        <v>269</v>
      </c>
      <c r="Q51" s="410" t="s">
        <v>270</v>
      </c>
      <c r="R51" s="340">
        <f t="shared" si="1"/>
        <v>43</v>
      </c>
      <c r="S51" s="25" t="str" cm="1">
        <f t="array" ref="S51" xml:space="preserve"> INDEX(十五音韻母對照表, $R51, S$2)</f>
        <v>uang</v>
      </c>
      <c r="T51" s="25" t="str" cm="1">
        <f t="array" ref="T51" xml:space="preserve"> INDEX(十五音韻母對照表, $R51, T$2)</f>
        <v>uak</v>
      </c>
    </row>
    <row r="52" spans="2:20" ht="33">
      <c r="O52" s="427">
        <v>46</v>
      </c>
      <c r="P52" s="411" t="s">
        <v>238</v>
      </c>
      <c r="Q52" s="410" t="s">
        <v>239</v>
      </c>
      <c r="R52" s="340">
        <f t="shared" si="1"/>
        <v>25</v>
      </c>
      <c r="S52" s="25" t="str" cm="1">
        <f t="array" ref="S52" xml:space="preserve"> INDEX(十五音韻母對照表, $R52, S$2)</f>
        <v>ue</v>
      </c>
      <c r="T52" s="25" t="str" cm="1">
        <f t="array" ref="T52" xml:space="preserve"> INDEX(十五音韻母對照表, $R52, T$2)</f>
        <v>ueh</v>
      </c>
    </row>
    <row r="53" spans="2:20" ht="33">
      <c r="O53" s="428">
        <v>47</v>
      </c>
      <c r="P53" s="429" t="s">
        <v>272</v>
      </c>
      <c r="Q53" s="407" t="s">
        <v>280</v>
      </c>
      <c r="R53" s="407">
        <f t="shared" si="1"/>
        <v>45</v>
      </c>
      <c r="S53" s="430" t="str" cm="1">
        <f t="array" ref="S53" xml:space="preserve"> INDEX(十五音韻母對照表, $R53, S$2)</f>
        <v>uenn</v>
      </c>
      <c r="T53" s="430" t="str" cm="1">
        <f t="array" ref="T53" xml:space="preserve"> INDEX(十五音韻母對照表, $R53, T$2)</f>
        <v>uennh</v>
      </c>
    </row>
    <row r="54" spans="2:20" ht="33">
      <c r="O54" s="427">
        <v>48</v>
      </c>
      <c r="P54" s="411" t="s">
        <v>153</v>
      </c>
      <c r="Q54" s="410" t="s">
        <v>154</v>
      </c>
      <c r="R54" s="340">
        <f t="shared" si="1"/>
        <v>4</v>
      </c>
      <c r="S54" s="25" t="str" cm="1">
        <f t="array" ref="S54" xml:space="preserve"> INDEX(十五音韻母對照表, $R54, S$2)</f>
        <v>ui</v>
      </c>
      <c r="T54" s="25" t="str" cm="1">
        <f t="array" ref="T54" xml:space="preserve"> INDEX(十五音韻母對照表, $R54, T$2)</f>
        <v>uih</v>
      </c>
    </row>
    <row r="55" spans="2:20" ht="33">
      <c r="O55" s="427">
        <v>49</v>
      </c>
      <c r="P55" s="411" t="s">
        <v>253</v>
      </c>
      <c r="Q55" s="410" t="s">
        <v>278</v>
      </c>
      <c r="R55" s="340">
        <f t="shared" si="1"/>
        <v>32</v>
      </c>
      <c r="S55" s="25" t="str" cm="1">
        <f t="array" ref="S55" xml:space="preserve"> INDEX(十五音韻母對照表, $R55, S$2)</f>
        <v>uinn</v>
      </c>
      <c r="T55" s="25" t="str" cm="1">
        <f t="array" ref="T55" xml:space="preserve"> INDEX(十五音韻母對照表, $R55, T$2)</f>
        <v>uinnh</v>
      </c>
    </row>
    <row r="56" spans="2:20" ht="33">
      <c r="O56" s="427">
        <v>50</v>
      </c>
      <c r="P56" s="411" t="s">
        <v>135</v>
      </c>
      <c r="Q56" s="410" t="s">
        <v>136</v>
      </c>
      <c r="R56" s="340">
        <f t="shared" si="1"/>
        <v>1</v>
      </c>
      <c r="S56" s="25" t="str" cm="1">
        <f t="array" ref="S56" xml:space="preserve"> INDEX(十五音韻母對照表, $R56, S$2)</f>
        <v>un</v>
      </c>
      <c r="T56" s="25" t="str" cm="1">
        <f t="array" ref="T56" xml:space="preserve"> INDEX(十五音韻母對照表, $R56, T$2)</f>
        <v>ut</v>
      </c>
    </row>
  </sheetData>
  <sortState xmlns:xlrd2="http://schemas.microsoft.com/office/spreadsheetml/2017/richdata2" ref="H7:M51">
    <sortCondition ref="K7:K51" customList="a,ann,ai,ainn,am,an,ang,au,aunn,e,enn,ee,ei,i,inn,ia,iann,iam,ian,iang,iau,iaunn,im,in,ing,io,ionn,iong,iu,iunn,m,ng,o,onn,oo,oonn,om,ong,u,ua,uann,uai,uainn,uan,uang,ue,uenn,ui,uinn,un"/>
  </sortState>
  <dataConsolidate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C4C1-90BE-AD4D-A8E0-6324E57A87ED}">
  <sheetPr codeName="工作表10">
    <tabColor rgb="FFFF0000"/>
  </sheetPr>
  <dimension ref="A1:Z24"/>
  <sheetViews>
    <sheetView showGridLines="0" topLeftCell="C1" workbookViewId="0">
      <selection activeCell="F12" sqref="F12"/>
    </sheetView>
  </sheetViews>
  <sheetFormatPr defaultColWidth="10.90625" defaultRowHeight="25.5" customHeight="1" outlineLevelRow="1" outlineLevelCol="1"/>
  <cols>
    <col min="1" max="1" width="4" hidden="1" customWidth="1" outlineLevel="1"/>
    <col min="2" max="2" width="0" style="6" hidden="1" customWidth="1" outlineLevel="1"/>
    <col min="3" max="3" width="2.7265625" style="68" customWidth="1" collapsed="1"/>
    <col min="4" max="4" width="6.81640625" style="68" customWidth="1"/>
    <col min="5" max="5" width="10.453125" style="69" customWidth="1"/>
    <col min="6" max="9" width="12.453125" style="70" customWidth="1"/>
    <col min="10" max="10" width="12.453125" style="69" customWidth="1"/>
    <col min="11" max="11" width="12.453125" style="70" customWidth="1"/>
    <col min="12" max="12" width="6.90625" style="388"/>
    <col min="13" max="13" width="0" style="68" hidden="1" customWidth="1" outlineLevel="1"/>
    <col min="14" max="16" width="0" hidden="1" customWidth="1" outlineLevel="1"/>
    <col min="17" max="18" width="12.1796875" hidden="1" customWidth="1" outlineLevel="1"/>
    <col min="19" max="21" width="0" hidden="1" customWidth="1" outlineLevel="1"/>
    <col min="22" max="22" width="10.90625" collapsed="1"/>
    <col min="24" max="24" width="0" hidden="1" customWidth="1" outlineLevel="1"/>
    <col min="25" max="25" width="10.90625" collapsed="1"/>
  </cols>
  <sheetData>
    <row r="1" spans="2:26" ht="12" customHeight="1" outlineLevel="1"/>
    <row r="2" spans="2:26" ht="27" customHeight="1" outlineLevel="1">
      <c r="F2" s="141">
        <v>5</v>
      </c>
      <c r="G2" s="141">
        <v>6</v>
      </c>
      <c r="H2" s="141">
        <v>3</v>
      </c>
      <c r="I2" s="141">
        <v>7</v>
      </c>
      <c r="J2" s="142">
        <v>4</v>
      </c>
      <c r="K2" s="141">
        <v>6</v>
      </c>
      <c r="Y2" s="141">
        <v>8</v>
      </c>
      <c r="Z2" s="141">
        <v>4</v>
      </c>
    </row>
    <row r="3" spans="2:26" outlineLevel="1">
      <c r="D3" s="101" cm="1">
        <f t="array" ref="D3">COLUMN()-COLUMN(($C:$C))</f>
        <v>1</v>
      </c>
      <c r="E3" s="101" cm="1">
        <f t="array" ref="E3">COLUMN()-COLUMN(($C:$C))</f>
        <v>2</v>
      </c>
      <c r="F3" s="101" cm="1">
        <f t="array" ref="F3">COLUMN()-COLUMN(($C:$C))</f>
        <v>3</v>
      </c>
      <c r="G3" s="101" cm="1">
        <f t="array" ref="G3">COLUMN()-COLUMN(($C:$C))</f>
        <v>4</v>
      </c>
      <c r="H3" s="101" cm="1">
        <f t="array" ref="H3">COLUMN()-COLUMN(($C:$C))</f>
        <v>5</v>
      </c>
      <c r="I3" s="101" cm="1">
        <f t="array" ref="I3">COLUMN()-COLUMN(($C:$C))</f>
        <v>6</v>
      </c>
      <c r="J3" s="101" cm="1">
        <f t="array" ref="J3">COLUMN()-COLUMN(($C:$C))</f>
        <v>7</v>
      </c>
      <c r="K3" s="101" cm="1">
        <f t="array" ref="K3">COLUMN()-COLUMN(($C:$C))</f>
        <v>8</v>
      </c>
    </row>
    <row r="4" spans="2:26" ht="21" customHeight="1"/>
    <row r="5" spans="2:26" ht="51">
      <c r="B5" s="125" t="s">
        <v>0</v>
      </c>
      <c r="C5" s="73"/>
      <c r="D5" s="19" t="s">
        <v>1</v>
      </c>
      <c r="E5" s="19" t="s">
        <v>2</v>
      </c>
      <c r="F5" s="19" t="s">
        <v>3</v>
      </c>
      <c r="G5" s="19" t="s">
        <v>4</v>
      </c>
      <c r="H5" s="19" t="s">
        <v>8</v>
      </c>
      <c r="I5" s="19" t="s">
        <v>5</v>
      </c>
      <c r="J5" s="19" t="s">
        <v>7</v>
      </c>
      <c r="K5" s="19" t="s">
        <v>6</v>
      </c>
      <c r="M5"/>
      <c r="V5" s="19" t="s">
        <v>1</v>
      </c>
      <c r="W5" s="395" t="s">
        <v>9</v>
      </c>
      <c r="X5" s="165" t="s">
        <v>10</v>
      </c>
      <c r="Y5" s="19" t="s">
        <v>8</v>
      </c>
      <c r="Z5" s="19" t="s">
        <v>4</v>
      </c>
    </row>
    <row r="6" spans="2:26" s="147" customFormat="1" ht="39.950000000000003" customHeight="1">
      <c r="B6" s="143" t="e">
        <f xml:space="preserve"> MATCH(E6, 十五音聲母清單!$C$5:$C$26,0)</f>
        <v>#N/A</v>
      </c>
      <c r="C6" s="144"/>
      <c r="D6" s="145">
        <v>1</v>
      </c>
      <c r="E6" s="319" t="s">
        <v>11</v>
      </c>
      <c r="F6" s="322" t="s">
        <v>12</v>
      </c>
      <c r="G6" s="390" t="s">
        <v>13</v>
      </c>
      <c r="H6" s="323" t="s">
        <v>12</v>
      </c>
      <c r="I6" s="166" t="s">
        <v>12</v>
      </c>
      <c r="J6" s="166" t="s">
        <v>14</v>
      </c>
      <c r="K6" s="166" t="s">
        <v>14</v>
      </c>
      <c r="L6" s="143"/>
      <c r="V6" s="145">
        <v>1</v>
      </c>
      <c r="W6" s="319" t="s">
        <v>15</v>
      </c>
      <c r="X6" s="403">
        <f t="shared" ref="X6:X23" si="0" xml:space="preserve"> MATCH(W6, 聲母碼,0)</f>
        <v>2</v>
      </c>
      <c r="Y6" s="383" t="str" cm="1">
        <f t="array" ref="Y6">INDEX(聲母碼表,$X6,Y$2)</f>
        <v>p</v>
      </c>
      <c r="Z6" s="383" t="str" cm="1">
        <f t="array" ref="Z6">INDEX(聲母碼表,$X6,Z$2)</f>
        <v>邊</v>
      </c>
    </row>
    <row r="7" spans="2:26" s="147" customFormat="1" ht="39.950000000000003" customHeight="1">
      <c r="B7" s="143">
        <f xml:space="preserve"> MATCH(E7, 十五音聲母清單!$C$5:$C$26,0)</f>
        <v>2</v>
      </c>
      <c r="C7" s="144"/>
      <c r="D7" s="145">
        <v>2</v>
      </c>
      <c r="E7" s="319" t="s">
        <v>16</v>
      </c>
      <c r="F7" s="166" t="s">
        <v>17</v>
      </c>
      <c r="G7" s="390" t="s">
        <v>18</v>
      </c>
      <c r="H7" s="323" t="s">
        <v>20</v>
      </c>
      <c r="I7" s="166" t="s">
        <v>16</v>
      </c>
      <c r="J7" s="387" t="s">
        <v>19</v>
      </c>
      <c r="K7" s="166" t="s">
        <v>16</v>
      </c>
      <c r="L7" s="143"/>
      <c r="V7" s="145">
        <v>2</v>
      </c>
      <c r="W7" s="319" t="s">
        <v>21</v>
      </c>
      <c r="X7" s="403">
        <f t="shared" si="0"/>
        <v>4</v>
      </c>
      <c r="Y7" s="383" t="str" cm="1">
        <f t="array" ref="Y7">INDEX(聲母碼表,$X7,Y$2)</f>
        <v>ph</v>
      </c>
      <c r="Z7" s="383" t="str" cm="1">
        <f t="array" ref="Z7">INDEX(聲母碼表,$X7,Z$2)</f>
        <v>頗</v>
      </c>
    </row>
    <row r="8" spans="2:26" s="147" customFormat="1" ht="39.950000000000003" customHeight="1">
      <c r="B8" s="143">
        <f xml:space="preserve"> MATCH(E8, 十五音聲母清單!$C$5:$C$26,0)</f>
        <v>15</v>
      </c>
      <c r="C8" s="144"/>
      <c r="D8" s="145">
        <v>3</v>
      </c>
      <c r="E8" s="319" t="s">
        <v>19</v>
      </c>
      <c r="F8" s="166" t="s">
        <v>33</v>
      </c>
      <c r="G8" s="390" t="s">
        <v>29</v>
      </c>
      <c r="H8" s="323" t="s">
        <v>35</v>
      </c>
      <c r="I8" s="166" t="s">
        <v>19</v>
      </c>
      <c r="J8" s="387" t="s">
        <v>34</v>
      </c>
      <c r="K8" s="166" t="s">
        <v>19</v>
      </c>
      <c r="L8" s="143"/>
      <c r="V8" s="145">
        <v>3</v>
      </c>
      <c r="W8" s="319" t="s">
        <v>36</v>
      </c>
      <c r="X8" s="403">
        <f t="shared" si="0"/>
        <v>5</v>
      </c>
      <c r="Y8" s="383" t="str" cm="1">
        <f t="array" ref="Y8">INDEX(聲母碼表,$X8,Y$2)</f>
        <v>m</v>
      </c>
      <c r="Z8" s="383" t="str" cm="1">
        <f t="array" ref="Z8">INDEX(聲母碼表,$X8,Z$2)</f>
        <v>門</v>
      </c>
    </row>
    <row r="9" spans="2:26" s="147" customFormat="1" ht="39.950000000000003" customHeight="1">
      <c r="B9" s="143">
        <f xml:space="preserve"> MATCH(E9, 十五音聲母清單!$C$5:$C$26,0)</f>
        <v>6</v>
      </c>
      <c r="C9" s="144"/>
      <c r="D9" s="145">
        <v>4</v>
      </c>
      <c r="E9" s="319" t="s">
        <v>22</v>
      </c>
      <c r="F9" s="166" t="s">
        <v>23</v>
      </c>
      <c r="G9" s="390" t="s">
        <v>24</v>
      </c>
      <c r="H9" s="323" t="s">
        <v>25</v>
      </c>
      <c r="I9" s="166" t="s">
        <v>22</v>
      </c>
      <c r="J9" s="387" t="s">
        <v>16</v>
      </c>
      <c r="K9" s="166" t="s">
        <v>22</v>
      </c>
      <c r="L9" s="143"/>
      <c r="V9" s="145">
        <v>4</v>
      </c>
      <c r="W9" s="319" t="s">
        <v>26</v>
      </c>
      <c r="X9" s="403">
        <f t="shared" si="0"/>
        <v>3</v>
      </c>
      <c r="Y9" s="383" t="str" cm="1">
        <f t="array" ref="Y9">INDEX(聲母碼表,$X9,Y$2)</f>
        <v>b</v>
      </c>
      <c r="Z9" s="383" t="str" cm="1">
        <f t="array" ref="Z9">INDEX(聲母碼表,$X9,Z$2)</f>
        <v>門</v>
      </c>
    </row>
    <row r="10" spans="2:26" s="147" customFormat="1" ht="39.950000000000003" customHeight="1">
      <c r="B10" s="143">
        <f xml:space="preserve"> MATCH(E10, 十五音聲母清單!$C$5:$C$26,0)</f>
        <v>20</v>
      </c>
      <c r="C10" s="144"/>
      <c r="D10" s="145">
        <v>5</v>
      </c>
      <c r="E10" s="319" t="s">
        <v>27</v>
      </c>
      <c r="F10" s="166" t="s">
        <v>28</v>
      </c>
      <c r="G10" s="390" t="s">
        <v>29</v>
      </c>
      <c r="H10" s="323" t="s">
        <v>31</v>
      </c>
      <c r="I10" s="166" t="s">
        <v>27</v>
      </c>
      <c r="J10" s="387" t="s">
        <v>30</v>
      </c>
      <c r="K10" s="166" t="s">
        <v>27</v>
      </c>
      <c r="L10" s="143"/>
      <c r="V10" s="145">
        <v>5</v>
      </c>
      <c r="W10" s="319" t="s">
        <v>32</v>
      </c>
      <c r="X10" s="403">
        <f t="shared" si="0"/>
        <v>10</v>
      </c>
      <c r="Y10" s="383" t="str" cm="1">
        <f t="array" ref="Y10">INDEX(聲母碼表,$X10,Y$2)</f>
        <v>k</v>
      </c>
      <c r="Z10" s="383" t="str" cm="1">
        <f t="array" ref="Z10">INDEX(聲母碼表,$X10,Z$2)</f>
        <v>求</v>
      </c>
    </row>
    <row r="11" spans="2:26" s="147" customFormat="1" ht="39.950000000000003" customHeight="1">
      <c r="B11" s="143">
        <f xml:space="preserve"> MATCH(E11, 十五音聲母清單!$C$5:$C$26,0)</f>
        <v>5</v>
      </c>
      <c r="C11" s="144"/>
      <c r="D11" s="145">
        <v>6</v>
      </c>
      <c r="E11" s="319" t="s">
        <v>58</v>
      </c>
      <c r="F11" s="166" t="s">
        <v>59</v>
      </c>
      <c r="G11" s="390" t="s">
        <v>60</v>
      </c>
      <c r="H11" s="323" t="s">
        <v>62</v>
      </c>
      <c r="I11" s="166" t="s">
        <v>58</v>
      </c>
      <c r="J11" s="387" t="s">
        <v>61</v>
      </c>
      <c r="K11" s="166" t="s">
        <v>58</v>
      </c>
      <c r="L11" s="143"/>
      <c r="V11" s="145">
        <v>6</v>
      </c>
      <c r="W11" s="319" t="s">
        <v>63</v>
      </c>
      <c r="X11" s="403">
        <f t="shared" si="0"/>
        <v>11</v>
      </c>
      <c r="Y11" s="383" t="str" cm="1">
        <f t="array" ref="Y11">INDEX(聲母碼表,$X11,Y$2)</f>
        <v>kh</v>
      </c>
      <c r="Z11" s="383" t="str" cm="1">
        <f t="array" ref="Z11">INDEX(聲母碼表,$X11,Z$2)</f>
        <v>去</v>
      </c>
    </row>
    <row r="12" spans="2:26" s="147" customFormat="1" ht="39.950000000000003" customHeight="1">
      <c r="B12" s="143"/>
      <c r="C12" s="144"/>
      <c r="D12" s="145">
        <v>7</v>
      </c>
      <c r="E12" s="319" t="s">
        <v>64</v>
      </c>
      <c r="F12" s="166" t="s">
        <v>65</v>
      </c>
      <c r="G12" s="390" t="s">
        <v>66</v>
      </c>
      <c r="H12" s="323" t="s">
        <v>67</v>
      </c>
      <c r="I12" s="166" t="s">
        <v>64</v>
      </c>
      <c r="J12" s="387" t="s">
        <v>58</v>
      </c>
      <c r="K12" s="166" t="s">
        <v>64</v>
      </c>
      <c r="L12" s="143"/>
      <c r="V12" s="145">
        <v>7</v>
      </c>
      <c r="W12" s="319" t="s">
        <v>68</v>
      </c>
      <c r="X12" s="403">
        <f t="shared" si="0"/>
        <v>13</v>
      </c>
      <c r="Y12" s="383" t="str" cm="1">
        <f t="array" ref="Y12">INDEX(聲母碼表,$X12,Y$2)</f>
        <v>ng</v>
      </c>
      <c r="Z12" s="383" t="str" cm="1">
        <f t="array" ref="Z12">INDEX(聲母碼表,$X12,Z$2)</f>
        <v>語</v>
      </c>
    </row>
    <row r="13" spans="2:26" s="147" customFormat="1" ht="39.950000000000003" customHeight="1">
      <c r="B13" s="143">
        <f xml:space="preserve"> MATCH(E12, 十五音聲母清單!$C$5:$C$26,0)</f>
        <v>7</v>
      </c>
      <c r="C13" s="144"/>
      <c r="D13" s="145">
        <v>8</v>
      </c>
      <c r="E13" s="319" t="s">
        <v>69</v>
      </c>
      <c r="F13" s="166" t="s">
        <v>70</v>
      </c>
      <c r="G13" s="390" t="s">
        <v>71</v>
      </c>
      <c r="H13" s="323" t="s">
        <v>73</v>
      </c>
      <c r="I13" s="166" t="s">
        <v>69</v>
      </c>
      <c r="J13" s="387" t="s">
        <v>72</v>
      </c>
      <c r="K13" s="166" t="s">
        <v>69</v>
      </c>
      <c r="L13" s="143"/>
      <c r="V13" s="145">
        <v>8</v>
      </c>
      <c r="W13" s="319" t="s">
        <v>74</v>
      </c>
      <c r="X13" s="403">
        <f t="shared" si="0"/>
        <v>12</v>
      </c>
      <c r="Y13" s="383" t="str" cm="1">
        <f t="array" ref="Y13">INDEX(聲母碼表,$X13,Y$2)</f>
        <v>g</v>
      </c>
      <c r="Z13" s="383" t="str" cm="1">
        <f t="array" ref="Z13">INDEX(聲母碼表,$X13,Z$2)</f>
        <v>語</v>
      </c>
    </row>
    <row r="14" spans="2:26" s="147" customFormat="1" ht="39.950000000000003" customHeight="1">
      <c r="B14" s="143">
        <f xml:space="preserve"> MATCH(E13, 十五音聲母清單!$C$5:$C$26,0)</f>
        <v>21</v>
      </c>
      <c r="C14" s="144"/>
      <c r="D14" s="145">
        <v>9</v>
      </c>
      <c r="E14" s="319" t="s">
        <v>75</v>
      </c>
      <c r="F14" s="166" t="s">
        <v>76</v>
      </c>
      <c r="G14" s="390" t="s">
        <v>71</v>
      </c>
      <c r="H14" s="323" t="s">
        <v>77</v>
      </c>
      <c r="I14" s="166" t="s">
        <v>75</v>
      </c>
      <c r="J14" s="387" t="s">
        <v>75</v>
      </c>
      <c r="K14" s="166" t="s">
        <v>75</v>
      </c>
      <c r="L14" s="143"/>
      <c r="V14" s="145">
        <v>9</v>
      </c>
      <c r="W14" s="319" t="s">
        <v>78</v>
      </c>
      <c r="X14" s="403">
        <f t="shared" si="0"/>
        <v>6</v>
      </c>
      <c r="Y14" s="383" t="str" cm="1">
        <f t="array" ref="Y14">INDEX(聲母碼表,$X14,Y$2)</f>
        <v>t</v>
      </c>
      <c r="Z14" s="383" t="str" cm="1">
        <f t="array" ref="Z14">INDEX(聲母碼表,$X14,Z$2)</f>
        <v>地</v>
      </c>
    </row>
    <row r="15" spans="2:26" s="147" customFormat="1" ht="39.950000000000003" customHeight="1">
      <c r="B15" s="143">
        <f xml:space="preserve"> MATCH(E14, 十五音聲母清單!$C$5:$C$26,0)</f>
        <v>1</v>
      </c>
      <c r="C15" s="144"/>
      <c r="D15" s="145">
        <v>10</v>
      </c>
      <c r="E15" s="319" t="s">
        <v>37</v>
      </c>
      <c r="F15" s="166" t="s">
        <v>38</v>
      </c>
      <c r="G15" s="390" t="s">
        <v>39</v>
      </c>
      <c r="H15" s="323" t="s">
        <v>41</v>
      </c>
      <c r="I15" s="166" t="s">
        <v>37</v>
      </c>
      <c r="J15" s="387" t="s">
        <v>40</v>
      </c>
      <c r="K15" s="166" t="s">
        <v>37</v>
      </c>
      <c r="L15" s="143"/>
      <c r="V15" s="145">
        <v>10</v>
      </c>
      <c r="W15" s="319" t="s">
        <v>42</v>
      </c>
      <c r="X15" s="403">
        <f t="shared" si="0"/>
        <v>7</v>
      </c>
      <c r="Y15" s="383" t="str" cm="1">
        <f t="array" ref="Y15">INDEX(聲母碼表,$X15,Y$2)</f>
        <v>th</v>
      </c>
      <c r="Z15" s="383" t="str" cm="1">
        <f t="array" ref="Z15">INDEX(聲母碼表,$X15,Z$2)</f>
        <v>他</v>
      </c>
    </row>
    <row r="16" spans="2:26" s="147" customFormat="1" ht="39.950000000000003" customHeight="1">
      <c r="B16" s="143">
        <f xml:space="preserve"> MATCH(E15, 十五音聲母清單!$C$5:$C$26,0)</f>
        <v>3</v>
      </c>
      <c r="C16" s="144"/>
      <c r="D16" s="145">
        <v>11</v>
      </c>
      <c r="E16" s="319" t="s">
        <v>43</v>
      </c>
      <c r="F16" s="166" t="s">
        <v>44</v>
      </c>
      <c r="G16" s="390" t="s">
        <v>45</v>
      </c>
      <c r="H16" s="323" t="s">
        <v>46</v>
      </c>
      <c r="I16" s="166" t="s">
        <v>43</v>
      </c>
      <c r="J16" s="387" t="s">
        <v>37</v>
      </c>
      <c r="K16" s="166" t="s">
        <v>43</v>
      </c>
      <c r="L16" s="143"/>
      <c r="V16" s="145">
        <v>11</v>
      </c>
      <c r="W16" s="319" t="s">
        <v>47</v>
      </c>
      <c r="X16" s="403">
        <f t="shared" si="0"/>
        <v>8</v>
      </c>
      <c r="Y16" s="383" t="str" cm="1">
        <f t="array" ref="Y16">INDEX(聲母碼表,$X16,Y$2)</f>
        <v>n</v>
      </c>
      <c r="Z16" s="383" t="str" cm="1">
        <f t="array" ref="Z16">INDEX(聲母碼表,$X16,Z$2)</f>
        <v>柳</v>
      </c>
    </row>
    <row r="17" spans="2:26" s="147" customFormat="1" ht="39.950000000000003" customHeight="1">
      <c r="B17" s="143">
        <f xml:space="preserve"> MATCH(E16, 十五音聲母清單!$C$5:$C$26,0)</f>
        <v>4</v>
      </c>
      <c r="C17" s="144"/>
      <c r="D17" s="145">
        <v>12</v>
      </c>
      <c r="E17" s="319" t="s">
        <v>40</v>
      </c>
      <c r="F17" s="166" t="s">
        <v>54</v>
      </c>
      <c r="G17" s="390" t="s">
        <v>50</v>
      </c>
      <c r="H17" s="323" t="s">
        <v>56</v>
      </c>
      <c r="I17" s="166" t="s">
        <v>40</v>
      </c>
      <c r="J17" s="387" t="s">
        <v>55</v>
      </c>
      <c r="K17" s="166" t="s">
        <v>40</v>
      </c>
      <c r="L17" s="143"/>
      <c r="V17" s="145">
        <v>12</v>
      </c>
      <c r="W17" s="319" t="s">
        <v>57</v>
      </c>
      <c r="X17" s="403">
        <f t="shared" si="0"/>
        <v>9</v>
      </c>
      <c r="Y17" s="383" t="str" cm="1">
        <f t="array" ref="Y17">INDEX(聲母碼表,$X17,Y$2)</f>
        <v>l</v>
      </c>
      <c r="Z17" s="383" t="str" cm="1">
        <f t="array" ref="Z17">INDEX(聲母碼表,$X17,Z$2)</f>
        <v>柳</v>
      </c>
    </row>
    <row r="18" spans="2:26" s="147" customFormat="1" ht="39.950000000000003" customHeight="1">
      <c r="B18" s="143">
        <f xml:space="preserve"> MATCH(E17, 十五音聲母清單!$C$5:$C$26,0)</f>
        <v>16</v>
      </c>
      <c r="C18" s="144"/>
      <c r="D18" s="145">
        <v>13</v>
      </c>
      <c r="E18" s="319" t="s">
        <v>48</v>
      </c>
      <c r="F18" s="166" t="s">
        <v>49</v>
      </c>
      <c r="G18" s="390" t="s">
        <v>50</v>
      </c>
      <c r="H18" s="323" t="s">
        <v>52</v>
      </c>
      <c r="I18" s="166" t="s">
        <v>48</v>
      </c>
      <c r="J18" s="387" t="s">
        <v>51</v>
      </c>
      <c r="K18" s="166" t="s">
        <v>48</v>
      </c>
      <c r="L18" s="143"/>
      <c r="V18" s="145">
        <v>13</v>
      </c>
      <c r="W18" s="319" t="s">
        <v>53</v>
      </c>
      <c r="X18" s="403">
        <f t="shared" si="0"/>
        <v>15</v>
      </c>
      <c r="Y18" s="383" t="str" cm="1">
        <f t="array" ref="Y18">INDEX(聲母碼表,$X18,Y$2)</f>
        <v>ts</v>
      </c>
      <c r="Z18" s="383" t="str" cm="1">
        <f t="array" ref="Z18">INDEX(聲母碼表,$X18,Z$2)</f>
        <v>曾</v>
      </c>
    </row>
    <row r="19" spans="2:26" s="147" customFormat="1" ht="39.950000000000003" customHeight="1">
      <c r="B19" s="143">
        <f xml:space="preserve"> MATCH(E18, 十五音聲母清單!$C$5:$C$26,0)</f>
        <v>22</v>
      </c>
      <c r="C19" s="144"/>
      <c r="D19" s="145">
        <v>14</v>
      </c>
      <c r="E19" s="319" t="s">
        <v>116</v>
      </c>
      <c r="F19" s="166" t="s">
        <v>117</v>
      </c>
      <c r="G19" s="390" t="s">
        <v>118</v>
      </c>
      <c r="H19" s="323" t="s">
        <v>119</v>
      </c>
      <c r="I19" s="166" t="s">
        <v>116</v>
      </c>
      <c r="J19" s="387" t="s">
        <v>116</v>
      </c>
      <c r="K19" s="166" t="s">
        <v>116</v>
      </c>
      <c r="L19" s="143"/>
      <c r="M19" s="389" t="s">
        <v>120</v>
      </c>
      <c r="V19" s="145">
        <v>14</v>
      </c>
      <c r="W19" s="319" t="s">
        <v>90</v>
      </c>
      <c r="X19" s="403">
        <f t="shared" si="0"/>
        <v>16</v>
      </c>
      <c r="Y19" s="383" t="str" cm="1">
        <f t="array" ref="Y19">INDEX(聲母碼表,$X19,Y$2)</f>
        <v>tsh</v>
      </c>
      <c r="Z19" s="383" t="str" cm="1">
        <f t="array" ref="Z19">INDEX(聲母碼表,$X19,Z$2)</f>
        <v>出</v>
      </c>
    </row>
    <row r="20" spans="2:26" s="147" customFormat="1" ht="39.950000000000003" customHeight="1">
      <c r="B20" s="143">
        <f xml:space="preserve"> MATCH(E19, 十五音聲母清單!$C$5:$C$26,0)</f>
        <v>19</v>
      </c>
      <c r="C20" s="144"/>
      <c r="D20" s="145">
        <v>15</v>
      </c>
      <c r="E20" s="319" t="s">
        <v>79</v>
      </c>
      <c r="F20" s="322" t="s">
        <v>80</v>
      </c>
      <c r="G20" s="390" t="s">
        <v>81</v>
      </c>
      <c r="H20" s="323" t="s">
        <v>84</v>
      </c>
      <c r="I20" s="166" t="s">
        <v>82</v>
      </c>
      <c r="J20" s="387" t="s">
        <v>83</v>
      </c>
      <c r="K20" s="166" t="s">
        <v>53</v>
      </c>
      <c r="L20" s="143"/>
      <c r="M20" s="19" t="s">
        <v>1</v>
      </c>
      <c r="N20" s="19" t="s">
        <v>2</v>
      </c>
      <c r="O20" s="19" t="s">
        <v>3</v>
      </c>
      <c r="P20" s="19" t="s">
        <v>4</v>
      </c>
      <c r="Q20" s="19" t="s">
        <v>5</v>
      </c>
      <c r="R20" s="19" t="s">
        <v>6</v>
      </c>
      <c r="S20" s="19" t="s">
        <v>7</v>
      </c>
      <c r="T20" s="19" t="s">
        <v>8</v>
      </c>
      <c r="V20" s="145">
        <v>15</v>
      </c>
      <c r="W20" s="319" t="s">
        <v>85</v>
      </c>
      <c r="X20" s="403">
        <f t="shared" si="0"/>
        <v>17</v>
      </c>
      <c r="Y20" s="383" t="str" cm="1">
        <f t="array" ref="Y20">INDEX(聲母碼表,$X20,Y$2)</f>
        <v>s</v>
      </c>
      <c r="Z20" s="383" t="str" cm="1">
        <f t="array" ref="Z20">INDEX(聲母碼表,$X20,Z$2)</f>
        <v>時</v>
      </c>
    </row>
    <row r="21" spans="2:26" s="147" customFormat="1" ht="39.950000000000003" customHeight="1">
      <c r="B21" s="143">
        <f xml:space="preserve"> MATCH(E20, 十五音聲母清單!$C$5:$C$26,0)</f>
        <v>8</v>
      </c>
      <c r="C21" s="144"/>
      <c r="D21" s="145">
        <v>16</v>
      </c>
      <c r="E21" s="319" t="s">
        <v>86</v>
      </c>
      <c r="F21" s="322" t="s">
        <v>87</v>
      </c>
      <c r="G21" s="390" t="s">
        <v>88</v>
      </c>
      <c r="H21" s="323" t="s">
        <v>92</v>
      </c>
      <c r="I21" s="166" t="s">
        <v>89</v>
      </c>
      <c r="J21" s="387" t="s">
        <v>91</v>
      </c>
      <c r="K21" s="166" t="s">
        <v>90</v>
      </c>
      <c r="L21" s="143"/>
      <c r="M21" s="145">
        <v>16</v>
      </c>
      <c r="N21" s="319" t="s">
        <v>79</v>
      </c>
      <c r="O21" s="322" t="s">
        <v>93</v>
      </c>
      <c r="P21" s="164" t="s">
        <v>81</v>
      </c>
      <c r="Q21" s="166" t="s">
        <v>94</v>
      </c>
      <c r="R21" s="166" t="s">
        <v>95</v>
      </c>
      <c r="S21" s="387" t="s">
        <v>83</v>
      </c>
      <c r="T21" s="323" t="s">
        <v>96</v>
      </c>
      <c r="V21" s="145">
        <v>16</v>
      </c>
      <c r="W21" s="319" t="s">
        <v>97</v>
      </c>
      <c r="X21" s="403">
        <f t="shared" si="0"/>
        <v>18</v>
      </c>
      <c r="Y21" s="383" t="str" cm="1">
        <f t="array" ref="Y21">INDEX(聲母碼表,$X21,Y$2)</f>
        <v>j</v>
      </c>
      <c r="Z21" s="383" t="str" cm="1">
        <f t="array" ref="Z21">INDEX(聲母碼表,$X21,Z$2)</f>
        <v>入</v>
      </c>
    </row>
    <row r="22" spans="2:26" s="147" customFormat="1" ht="39.950000000000003" customHeight="1">
      <c r="B22" s="143">
        <f xml:space="preserve"> MATCH(E21, 十五音聲母清單!$C$5:$C$26,0)</f>
        <v>17</v>
      </c>
      <c r="C22" s="144"/>
      <c r="D22" s="145">
        <v>17</v>
      </c>
      <c r="E22" s="319" t="s">
        <v>98</v>
      </c>
      <c r="F22" s="322" t="s">
        <v>99</v>
      </c>
      <c r="G22" s="390" t="s">
        <v>100</v>
      </c>
      <c r="H22" s="323" t="s">
        <v>101</v>
      </c>
      <c r="I22" s="166" t="s">
        <v>85</v>
      </c>
      <c r="J22" s="387" t="s">
        <v>98</v>
      </c>
      <c r="K22" s="166" t="s">
        <v>85</v>
      </c>
      <c r="L22" s="143"/>
      <c r="M22" s="145">
        <v>17</v>
      </c>
      <c r="N22" s="319" t="s">
        <v>86</v>
      </c>
      <c r="O22" s="322" t="s">
        <v>102</v>
      </c>
      <c r="P22" s="164" t="s">
        <v>88</v>
      </c>
      <c r="Q22" s="166" t="s">
        <v>103</v>
      </c>
      <c r="R22" s="166" t="s">
        <v>104</v>
      </c>
      <c r="S22" s="387" t="s">
        <v>91</v>
      </c>
      <c r="T22" s="323" t="s">
        <v>105</v>
      </c>
      <c r="V22" s="145">
        <v>17</v>
      </c>
      <c r="W22" s="319" t="s">
        <v>106</v>
      </c>
      <c r="X22" s="403">
        <f t="shared" si="0"/>
        <v>14</v>
      </c>
      <c r="Y22" s="383" t="str" cm="1">
        <f t="array" ref="Y22">INDEX(聲母碼表,$X22,Y$2)</f>
        <v>h</v>
      </c>
      <c r="Z22" s="383" t="str" cm="1">
        <f t="array" ref="Z22">INDEX(聲母碼表,$X22,Z$2)</f>
        <v>喜</v>
      </c>
    </row>
    <row r="23" spans="2:26" s="147" customFormat="1" ht="39.950000000000003" customHeight="1">
      <c r="B23" s="143">
        <f xml:space="preserve"> MATCH(E22, 十五音聲母清單!$C$5:$C$26,0)</f>
        <v>12</v>
      </c>
      <c r="C23" s="144"/>
      <c r="D23" s="145">
        <v>18</v>
      </c>
      <c r="E23" s="319" t="s">
        <v>107</v>
      </c>
      <c r="F23" s="322" t="s">
        <v>108</v>
      </c>
      <c r="G23" s="390" t="s">
        <v>109</v>
      </c>
      <c r="H23" s="323" t="s">
        <v>111</v>
      </c>
      <c r="I23" s="166" t="s">
        <v>97</v>
      </c>
      <c r="J23" s="387" t="s">
        <v>110</v>
      </c>
      <c r="K23" s="166" t="s">
        <v>107</v>
      </c>
      <c r="L23" s="143"/>
      <c r="M23" s="145">
        <v>18</v>
      </c>
      <c r="N23" s="319" t="s">
        <v>98</v>
      </c>
      <c r="O23" s="322" t="s">
        <v>112</v>
      </c>
      <c r="P23" s="164" t="s">
        <v>100</v>
      </c>
      <c r="Q23" s="166" t="s">
        <v>113</v>
      </c>
      <c r="R23" s="166" t="s">
        <v>113</v>
      </c>
      <c r="S23" s="387" t="s">
        <v>98</v>
      </c>
      <c r="T23" s="323" t="s">
        <v>114</v>
      </c>
      <c r="V23" s="145">
        <v>18</v>
      </c>
      <c r="W23" s="396" t="s">
        <v>115</v>
      </c>
      <c r="X23" s="403">
        <f t="shared" si="0"/>
        <v>1</v>
      </c>
      <c r="Y23" s="383" t="str" cm="1">
        <f t="array" ref="Y23">INDEX(聲母碼表,$X23,Y$2)</f>
        <v>Ø</v>
      </c>
      <c r="Z23" s="383" t="str" cm="1">
        <f t="array" ref="Z23">INDEX(聲母碼表,$X23,Z$2)</f>
        <v>英</v>
      </c>
    </row>
    <row r="24" spans="2:26" ht="39.950000000000003" customHeight="1">
      <c r="M24" s="145">
        <v>19</v>
      </c>
      <c r="N24" s="319" t="s">
        <v>107</v>
      </c>
      <c r="O24" s="322" t="s">
        <v>121</v>
      </c>
      <c r="P24" s="164" t="s">
        <v>109</v>
      </c>
      <c r="Q24" s="166" t="s">
        <v>122</v>
      </c>
      <c r="R24" s="166" t="s">
        <v>107</v>
      </c>
      <c r="S24" s="387" t="s">
        <v>110</v>
      </c>
      <c r="T24" s="323" t="s">
        <v>123</v>
      </c>
    </row>
  </sheetData>
  <sortState xmlns:xlrd2="http://schemas.microsoft.com/office/spreadsheetml/2017/richdata2" ref="D6:K22">
    <sortCondition ref="D6:D22"/>
  </sortState>
  <phoneticPr fontId="1" type="noConversion"/>
  <hyperlinks>
    <hyperlink ref="F5" r:id="rId1" xr:uid="{77BAB548-80A8-C443-A501-9530895D6DE0}"/>
    <hyperlink ref="J5" r:id="rId2" display="閩南拼音" xr:uid="{8C92DF8C-81A3-2145-A9C7-088973DF42DB}"/>
    <hyperlink ref="K5" r:id="rId3" xr:uid="{07B4635D-E5BC-734D-914F-B0E69487C89B}"/>
    <hyperlink ref="O20" r:id="rId4" xr:uid="{A1BE5427-D5B0-9941-8B8E-07932E95A1BA}"/>
    <hyperlink ref="S20" r:id="rId5" display="閩南拼音" xr:uid="{00FDE9A7-7572-A64A-BBA5-3DE5324D09C9}"/>
    <hyperlink ref="R20" r:id="rId6" xr:uid="{52129571-85C6-614B-AB62-A2182138D0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AB2F-E711-E743-B828-2C308E0CB861}">
  <sheetPr codeName="工作表14">
    <tabColor rgb="FF00B0F0"/>
  </sheetPr>
  <dimension ref="A1:AB103"/>
  <sheetViews>
    <sheetView tabSelected="1" topLeftCell="E1" workbookViewId="0">
      <pane ySplit="4" topLeftCell="A5" activePane="bottomLeft" state="frozen"/>
      <selection activeCell="F16" sqref="F16"/>
      <selection pane="bottomLeft" activeCell="J1" sqref="J1:J1048576"/>
    </sheetView>
  </sheetViews>
  <sheetFormatPr defaultColWidth="10.7265625" defaultRowHeight="25.5" customHeight="1" outlineLevelRow="1" outlineLevelCol="1"/>
  <cols>
    <col min="1" max="1" width="2.7265625" style="95" hidden="1" customWidth="1" outlineLevel="1"/>
    <col min="2" max="2" width="10.7265625" style="23" hidden="1" customWidth="1" outlineLevel="1"/>
    <col min="3" max="4" width="12.08984375" style="6" hidden="1" customWidth="1" outlineLevel="1"/>
    <col min="5" max="5" width="2.7265625" style="95" customWidth="1" collapsed="1"/>
    <col min="6" max="6" width="7.81640625" style="6" bestFit="1" customWidth="1"/>
    <col min="7" max="7" width="12.08984375" style="23" customWidth="1"/>
    <col min="8" max="8" width="10.7265625" style="23"/>
    <col min="9" max="9" width="12.08984375" style="6" customWidth="1"/>
    <col min="10" max="10" width="8.7265625" style="487"/>
    <col min="11" max="13" width="10.7265625" style="23"/>
    <col min="14" max="15" width="10.7265625" style="95"/>
    <col min="16" max="16" width="12.36328125" style="95" customWidth="1"/>
    <col min="17" max="17" width="4.90625" style="6" hidden="1" customWidth="1" outlineLevel="1"/>
    <col min="18" max="19" width="4.90625" style="95" hidden="1" customWidth="1" outlineLevel="1"/>
    <col min="20" max="21" width="11.1796875" style="95" hidden="1" customWidth="1" outlineLevel="1"/>
    <col min="22" max="27" width="0" style="95" hidden="1" customWidth="1" outlineLevel="1"/>
    <col min="28" max="28" width="10.7265625" style="95" collapsed="1"/>
    <col min="29" max="16384" width="10.7265625" style="95"/>
  </cols>
  <sheetData>
    <row r="1" spans="2:27" s="6" customFormat="1" ht="30" customHeight="1" outlineLevel="1">
      <c r="D1" s="102">
        <v>2</v>
      </c>
      <c r="G1" s="102">
        <v>5</v>
      </c>
      <c r="H1" s="102">
        <v>6</v>
      </c>
      <c r="I1" s="102">
        <v>3</v>
      </c>
      <c r="J1" s="481">
        <v>10</v>
      </c>
      <c r="K1" s="102">
        <v>7</v>
      </c>
      <c r="L1" s="102">
        <v>9</v>
      </c>
      <c r="M1" s="102">
        <v>8</v>
      </c>
      <c r="W1" s="321" t="s">
        <v>281</v>
      </c>
    </row>
    <row r="2" spans="2:27" ht="32.25" outlineLevel="1">
      <c r="B2" s="101" cm="1">
        <f t="array" ref="B2">COLUMN()-COLUMN(($A:$A))</f>
        <v>1</v>
      </c>
      <c r="C2" s="101" cm="1">
        <f t="array" ref="C2">COLUMN()-COLUMN(($A:$A))</f>
        <v>2</v>
      </c>
      <c r="D2" s="101" cm="1">
        <f t="array" ref="D2">COLUMN()-COLUMN(($A:$A))</f>
        <v>3</v>
      </c>
      <c r="F2" s="101" cm="1">
        <f t="array" ref="F2">COLUMN()-COLUMN(($E:$E))</f>
        <v>1</v>
      </c>
      <c r="G2" s="101" cm="1">
        <f t="array" ref="G2">COLUMN()-COLUMN(($E:$E))</f>
        <v>2</v>
      </c>
      <c r="H2" s="101" cm="1">
        <f t="array" ref="H2">COLUMN()-COLUMN(($E:$E))</f>
        <v>3</v>
      </c>
      <c r="I2" s="101" cm="1">
        <f t="array" ref="I2">COLUMN()-COLUMN(($E:$E))</f>
        <v>4</v>
      </c>
      <c r="J2" s="482" cm="1">
        <f t="array" ref="J2">COLUMN()-COLUMN(($E:$E))</f>
        <v>5</v>
      </c>
      <c r="K2" s="101" cm="1">
        <f t="array" ref="K2">COLUMN()-COLUMN(($E:$E))</f>
        <v>6</v>
      </c>
      <c r="L2" s="101" cm="1">
        <f t="array" ref="L2">COLUMN()-COLUMN(($E:$E))</f>
        <v>7</v>
      </c>
      <c r="M2" s="101" cm="1">
        <f t="array" ref="M2">COLUMN()-COLUMN(($E:$E))</f>
        <v>8</v>
      </c>
      <c r="O2" s="417" t="s">
        <v>282</v>
      </c>
      <c r="W2" s="416" t="s">
        <v>283</v>
      </c>
    </row>
    <row r="3" spans="2:27">
      <c r="G3" s="85"/>
      <c r="H3" s="85"/>
      <c r="J3" s="483"/>
      <c r="K3" s="56"/>
      <c r="L3" s="56"/>
      <c r="M3" s="56"/>
    </row>
    <row r="4" spans="2:27" s="6" customFormat="1">
      <c r="B4" s="86" t="s">
        <v>284</v>
      </c>
      <c r="C4" s="86" t="s">
        <v>285</v>
      </c>
      <c r="D4" s="86" t="s">
        <v>286</v>
      </c>
      <c r="F4" s="321" t="s">
        <v>287</v>
      </c>
      <c r="G4" s="321" t="s">
        <v>288</v>
      </c>
      <c r="H4" s="321" t="s">
        <v>289</v>
      </c>
      <c r="I4" s="321" t="s">
        <v>290</v>
      </c>
      <c r="J4" s="484" t="s">
        <v>291</v>
      </c>
      <c r="K4" s="321" t="s">
        <v>284</v>
      </c>
      <c r="L4" s="321" t="s">
        <v>292</v>
      </c>
      <c r="M4" s="321" t="s">
        <v>293</v>
      </c>
      <c r="O4" s="321" t="s">
        <v>288</v>
      </c>
      <c r="Q4" s="321" t="s">
        <v>294</v>
      </c>
      <c r="R4" s="321" t="s">
        <v>287</v>
      </c>
      <c r="S4" s="321" t="s">
        <v>295</v>
      </c>
      <c r="T4" s="321" t="s">
        <v>288</v>
      </c>
      <c r="U4" s="321" t="s">
        <v>281</v>
      </c>
      <c r="W4" s="321" t="s">
        <v>294</v>
      </c>
      <c r="X4" s="321" t="s">
        <v>287</v>
      </c>
      <c r="Y4" s="321" t="s">
        <v>295</v>
      </c>
      <c r="Z4" s="321" t="s">
        <v>288</v>
      </c>
      <c r="AA4" s="321" t="s">
        <v>281</v>
      </c>
    </row>
    <row r="5" spans="2:27">
      <c r="B5" s="134" t="s">
        <v>139</v>
      </c>
      <c r="C5" s="20">
        <f xml:space="preserve"> MATCH(B5, 十五音韻母清單!$H$6:$H$105,0)</f>
        <v>55</v>
      </c>
      <c r="D5" s="20" cm="1">
        <f t="array" ref="D5" xml:space="preserve"> INDEX(十五音韻母清單!$B$6:$K$105, $C5, D$1)</f>
        <v>28</v>
      </c>
      <c r="F5" s="20">
        <v>1</v>
      </c>
      <c r="G5" s="22" t="str" cm="1">
        <f t="array" ref="G5" xml:space="preserve"> INDEX(十五音韻母清單!$B$6:$K$105, $C5, G$1)</f>
        <v>a</v>
      </c>
      <c r="H5" s="22" t="str" cm="1">
        <f t="array" ref="H5" xml:space="preserve"> INDEX(十五音韻母清單!$B$6:$K$105, 韻母碼!$C5,韻母碼!H$1)</f>
        <v>a</v>
      </c>
      <c r="I5" s="20" t="str" cm="1">
        <f t="array" ref="I5" xml:space="preserve"> INDEX(十五音韻母清單!$B$6:$K$105, $C5, I$1)</f>
        <v>膠</v>
      </c>
      <c r="J5" s="485" t="str" cm="1">
        <f t="array" ref="J5" xml:space="preserve"> INDEX(十五音韻母清單!$B$6:$K$105, 韻母碼!$C5,韻母碼!J$1)</f>
        <v>ㄚ</v>
      </c>
      <c r="K5" s="22" t="str" cm="1">
        <f t="array" ref="K5" xml:space="preserve"> INDEX(十五音韻母清單!$B$6:$K$105, 韻母碼!$C5,韻母碼!K$1)</f>
        <v>a</v>
      </c>
      <c r="L5" s="22" t="str" cm="1">
        <f t="array" ref="L5" xml:space="preserve"> INDEX(十五音韻母清單!$B$6:$K$105, 韻母碼!$C5,韻母碼!L$1)</f>
        <v>a</v>
      </c>
      <c r="M5" s="22" t="str" cm="1">
        <f t="array" ref="M5" xml:space="preserve"> INDEX(十五音韻母清單!$B$6:$K$105, 韻母碼!$C5,韻母碼!M$1)</f>
        <v>a</v>
      </c>
      <c r="O5" s="418" t="s">
        <v>155</v>
      </c>
      <c r="Q5" s="20">
        <v>1</v>
      </c>
      <c r="R5" s="95">
        <f>ROUND($Q5/2, 0)</f>
        <v>1</v>
      </c>
      <c r="S5" s="95">
        <f xml:space="preserve"> MOD($Q5, 2)</f>
        <v>1</v>
      </c>
      <c r="T5" s="95" t="str" cm="1">
        <f t="array" ref="T5">IF(S5=1,  INDEX('十五音-韻母'!$D$5:$E$54, $R5, 1), INDEX('十五音-韻母'!$D$5:$E$54, $R5, 2))</f>
        <v>un</v>
      </c>
      <c r="U5" s="95">
        <f xml:space="preserve"> IFERROR( MATCH(T5, $G$5:$G$78, 0), 0)</f>
        <v>73</v>
      </c>
      <c r="W5" s="20">
        <v>8</v>
      </c>
      <c r="X5" s="95">
        <v>4</v>
      </c>
      <c r="Y5" s="95">
        <v>0</v>
      </c>
      <c r="Z5" s="95" t="s">
        <v>155</v>
      </c>
      <c r="AA5" s="95">
        <v>0</v>
      </c>
    </row>
    <row r="6" spans="2:27">
      <c r="B6" s="134" t="s">
        <v>296</v>
      </c>
      <c r="C6" s="20">
        <f xml:space="preserve"> MATCH(B6, 十五音韻母清單!$H$6:$H$105,0)</f>
        <v>51</v>
      </c>
      <c r="D6" s="20" cm="1">
        <f t="array" ref="D6" xml:space="preserve"> INDEX(十五音韻母清單!$B$6:$K$105, $C6, D$1)</f>
        <v>26</v>
      </c>
      <c r="F6" s="20">
        <v>2</v>
      </c>
      <c r="G6" s="22" t="str" cm="1">
        <f t="array" ref="G6" xml:space="preserve"> INDEX(十五音韻母清單!$B$6:$K$105, $C6, G$1)</f>
        <v>ann</v>
      </c>
      <c r="H6" s="22" t="str" cm="1">
        <f t="array" ref="H6" xml:space="preserve"> INDEX(十五音韻母清單!$B$6:$K$105, 韻母碼!$C6,韻母碼!H$1)</f>
        <v>ã</v>
      </c>
      <c r="I6" s="20" t="str" cm="1">
        <f t="array" ref="I6" xml:space="preserve"> INDEX(十五音韻母清單!$B$6:$K$105, $C6, I$1)</f>
        <v>監</v>
      </c>
      <c r="J6" s="485" t="str" cm="1">
        <f t="array" ref="J6" xml:space="preserve"> INDEX(十五音韻母清單!$B$6:$K$105, 韻母碼!$C6,韻母碼!J$1)</f>
        <v>ㆩ</v>
      </c>
      <c r="K6" s="22" t="str" cm="1">
        <f t="array" ref="K6" xml:space="preserve"> INDEX(十五音韻母清單!$B$6:$K$105, 韻母碼!$C6,韻母碼!K$1)</f>
        <v>aⁿ</v>
      </c>
      <c r="L6" s="22" t="str" cm="1">
        <f t="array" ref="L6" xml:space="preserve"> INDEX(十五音韻母清單!$B$6:$K$105, 韻母碼!$C6,韻母碼!L$1)</f>
        <v>na</v>
      </c>
      <c r="M6" s="22" t="str" cm="1">
        <f t="array" ref="M6" xml:space="preserve"> INDEX(十五音韻母清單!$B$6:$K$105, 韻母碼!$C6,韻母碼!M$1)</f>
        <v>ann</v>
      </c>
      <c r="O6" s="418" t="s">
        <v>202</v>
      </c>
      <c r="Q6" s="20">
        <v>2</v>
      </c>
      <c r="R6" s="95">
        <f t="shared" ref="R6:R69" si="0">ROUND($Q6/2, 0)</f>
        <v>1</v>
      </c>
      <c r="S6" s="95">
        <f t="shared" ref="S6:S69" si="1" xml:space="preserve"> MOD($Q6, 2)</f>
        <v>0</v>
      </c>
      <c r="T6" s="95" t="str" cm="1">
        <f t="array" ref="T6">IF(S6=1,  INDEX('十五音-韻母'!$D$5:$E$54, $R6, 1), INDEX('十五音-韻母'!$D$5:$E$54, $R6, 2))</f>
        <v>ut</v>
      </c>
      <c r="U6" s="95">
        <f t="shared" ref="U6:U69" si="2" xml:space="preserve"> IFERROR( MATCH(T6, $G$5:$G$78, 0), 0)</f>
        <v>74</v>
      </c>
      <c r="W6" s="20">
        <v>9</v>
      </c>
      <c r="X6" s="95">
        <v>5</v>
      </c>
      <c r="Y6" s="95">
        <v>1</v>
      </c>
      <c r="Z6" s="95" t="s">
        <v>202</v>
      </c>
      <c r="AA6" s="95">
        <v>0</v>
      </c>
    </row>
    <row r="7" spans="2:27">
      <c r="B7" s="134" t="s">
        <v>140</v>
      </c>
      <c r="C7" s="20">
        <f xml:space="preserve"> MATCH(B7, 十五音韻母清單!$H$6:$H$105,0)</f>
        <v>56</v>
      </c>
      <c r="D7" s="20" cm="1">
        <f t="array" ref="D7" xml:space="preserve"> INDEX(十五音韻母清單!$B$6:$K$105, $C7, D$1)</f>
        <v>28</v>
      </c>
      <c r="F7" s="20">
        <v>3</v>
      </c>
      <c r="G7" s="22" t="str" cm="1">
        <f t="array" ref="G7" xml:space="preserve"> INDEX(十五音韻母清單!$B$6:$K$105, $C7, G$1)</f>
        <v>ah</v>
      </c>
      <c r="H7" s="22" t="str" cm="1">
        <f t="array" ref="H7" xml:space="preserve"> INDEX(十五音韻母清單!$B$6:$K$105, 韻母碼!$C7,韻母碼!H$1)</f>
        <v>a?</v>
      </c>
      <c r="I7" s="20" t="str" cm="1">
        <f t="array" ref="I7" xml:space="preserve"> INDEX(十五音韻母清單!$B$6:$K$105, $C7, I$1)</f>
        <v>膠</v>
      </c>
      <c r="J7" s="485" t="str" cm="1">
        <f t="array" ref="J7" xml:space="preserve"> INDEX(十五音韻母清單!$B$6:$K$105, 韻母碼!$C7,韻母碼!J$1)</f>
        <v>ㄚㆷ</v>
      </c>
      <c r="K7" s="22" t="str" cm="1">
        <f t="array" ref="K7" xml:space="preserve"> INDEX(十五音韻母清單!$B$6:$K$105, 韻母碼!$C7,韻母碼!K$1)</f>
        <v>ah</v>
      </c>
      <c r="L7" s="22" t="str" cm="1">
        <f t="array" ref="L7" xml:space="preserve"> INDEX(十五音韻母清單!$B$6:$K$105, 韻母碼!$C7,韻母碼!L$1)</f>
        <v>ah</v>
      </c>
      <c r="M7" s="22" t="str" cm="1">
        <f t="array" ref="M7" xml:space="preserve"> INDEX(十五音韻母清單!$B$6:$K$105, 韻母碼!$C7,韻母碼!M$1)</f>
        <v>ah</v>
      </c>
      <c r="O7" s="418" t="s">
        <v>176</v>
      </c>
      <c r="Q7" s="20">
        <v>3</v>
      </c>
      <c r="R7" s="95">
        <f t="shared" si="0"/>
        <v>2</v>
      </c>
      <c r="S7" s="95">
        <f t="shared" si="1"/>
        <v>1</v>
      </c>
      <c r="T7" s="95" t="str" cm="1">
        <f t="array" ref="T7">IF(S7=1,  INDEX('十五音-韻母'!$D$5:$E$54, $R7, 1), INDEX('十五音-韻母'!$D$5:$E$54, $R7, 2))</f>
        <v>ian</v>
      </c>
      <c r="U7" s="95">
        <f t="shared" si="2"/>
        <v>29</v>
      </c>
      <c r="W7" s="20">
        <v>16</v>
      </c>
      <c r="X7" s="95">
        <v>8</v>
      </c>
      <c r="Y7" s="95">
        <v>0</v>
      </c>
      <c r="Z7" s="95" t="s">
        <v>176</v>
      </c>
      <c r="AA7" s="95">
        <v>0</v>
      </c>
    </row>
    <row r="8" spans="2:27">
      <c r="B8" s="134" t="s">
        <v>297</v>
      </c>
      <c r="C8" s="20">
        <f xml:space="preserve"> MATCH(B8, 十五音韻母清單!$H$6:$H$105,0)</f>
        <v>52</v>
      </c>
      <c r="D8" s="20" cm="1">
        <f t="array" ref="D8" xml:space="preserve"> INDEX(十五音韻母清單!$B$6:$K$105, $C8, D$1)</f>
        <v>26</v>
      </c>
      <c r="F8" s="20">
        <v>4</v>
      </c>
      <c r="G8" s="22" t="str" cm="1">
        <f t="array" ref="G8" xml:space="preserve"> INDEX(十五音韻母清單!$B$6:$K$105, $C8, G$1)</f>
        <v>annh</v>
      </c>
      <c r="H8" s="22" t="str" cm="1">
        <f t="array" ref="H8" xml:space="preserve"> INDEX(十五音韻母清單!$B$6:$K$105, 韻母碼!$C8,韻母碼!H$1)</f>
        <v>ã?</v>
      </c>
      <c r="I8" s="20" t="str" cm="1">
        <f t="array" ref="I8" xml:space="preserve"> INDEX(十五音韻母清單!$B$6:$K$105, $C8, I$1)</f>
        <v>監</v>
      </c>
      <c r="J8" s="485" t="str" cm="1">
        <f t="array" ref="J8" xml:space="preserve"> INDEX(十五音韻母清單!$B$6:$K$105, 韻母碼!$C8,韻母碼!J$1)</f>
        <v>ㆩㆷ</v>
      </c>
      <c r="K8" s="22" t="str" cm="1">
        <f t="array" ref="K8" xml:space="preserve"> INDEX(十五音韻母清單!$B$6:$K$105, 韻母碼!$C8,韻母碼!K$1)</f>
        <v>ahⁿ</v>
      </c>
      <c r="L8" s="22" t="str" cm="1">
        <f t="array" ref="L8" xml:space="preserve"> INDEX(十五音韻母清單!$B$6:$K$105, 韻母碼!$C8,韻母碼!L$1)</f>
        <v>nah</v>
      </c>
      <c r="M8" s="22" t="str" cm="1">
        <f t="array" ref="M8" xml:space="preserve"> INDEX(十五音韻母清單!$B$6:$K$105, 韻母碼!$C8,韻母碼!M$1)</f>
        <v>annh</v>
      </c>
      <c r="O8" s="418" t="s">
        <v>192</v>
      </c>
      <c r="Q8" s="20">
        <v>4</v>
      </c>
      <c r="R8" s="95">
        <f t="shared" si="0"/>
        <v>2</v>
      </c>
      <c r="S8" s="95">
        <f t="shared" si="1"/>
        <v>0</v>
      </c>
      <c r="T8" s="95" t="str" cm="1">
        <f t="array" ref="T8">IF(S8=1,  INDEX('十五音-韻母'!$D$5:$E$54, $R8, 1), INDEX('十五音-韻母'!$D$5:$E$54, $R8, 2))</f>
        <v>iat</v>
      </c>
      <c r="U8" s="95">
        <f t="shared" si="2"/>
        <v>32</v>
      </c>
      <c r="W8" s="20">
        <v>22</v>
      </c>
      <c r="X8" s="95">
        <v>11</v>
      </c>
      <c r="Y8" s="95">
        <v>0</v>
      </c>
      <c r="Z8" s="95" t="s">
        <v>192</v>
      </c>
      <c r="AA8" s="95">
        <v>0</v>
      </c>
    </row>
    <row r="9" spans="2:27">
      <c r="B9" s="134" t="s">
        <v>151</v>
      </c>
      <c r="C9" s="20">
        <f xml:space="preserve"> MATCH(B9, 十五音韻母清單!$H$6:$H$105,0)</f>
        <v>31</v>
      </c>
      <c r="D9" s="20" cm="1">
        <f t="array" ref="D9" xml:space="preserve"> INDEX(十五音韻母清單!$B$6:$K$105, $C9, D$1)</f>
        <v>16</v>
      </c>
      <c r="F9" s="20">
        <v>5</v>
      </c>
      <c r="G9" s="22" t="str" cm="1">
        <f t="array" ref="G9" xml:space="preserve"> INDEX(十五音韻母清單!$B$6:$K$105, $C9, G$1)</f>
        <v>ai</v>
      </c>
      <c r="H9" s="22" t="str" cm="1">
        <f t="array" ref="H9" xml:space="preserve"> INDEX(十五音韻母清單!$B$6:$K$105, 韻母碼!$C9,韻母碼!H$1)</f>
        <v>ai</v>
      </c>
      <c r="I9" s="20" t="str" cm="1">
        <f t="array" ref="I9" xml:space="preserve"> INDEX(十五音韻母清單!$B$6:$K$105, $C9, I$1)</f>
        <v>皆</v>
      </c>
      <c r="J9" s="485" t="str" cm="1">
        <f t="array" ref="J9" xml:space="preserve"> INDEX(十五音韻母清單!$B$6:$K$105, 韻母碼!$C9,韻母碼!J$1)</f>
        <v>ㄞ</v>
      </c>
      <c r="K9" s="22" t="str" cm="1">
        <f t="array" ref="K9" xml:space="preserve"> INDEX(十五音韻母清單!$B$6:$K$105, 韻母碼!$C9,韻母碼!K$1)</f>
        <v>ai</v>
      </c>
      <c r="L9" s="22" t="str" cm="1">
        <f t="array" ref="L9" xml:space="preserve"> INDEX(十五音韻母清單!$B$6:$K$105, 韻母碼!$C9,韻母碼!L$1)</f>
        <v>ai</v>
      </c>
      <c r="M9" s="22" t="str" cm="1">
        <f t="array" ref="M9" xml:space="preserve"> INDEX(十五音韻母清單!$B$6:$K$105, 韻母碼!$C9,韻母碼!M$1)</f>
        <v>ai</v>
      </c>
      <c r="O9" s="418" t="s">
        <v>207</v>
      </c>
      <c r="Q9" s="20">
        <v>5</v>
      </c>
      <c r="R9" s="95">
        <f t="shared" si="0"/>
        <v>3</v>
      </c>
      <c r="S9" s="95">
        <f t="shared" si="1"/>
        <v>1</v>
      </c>
      <c r="T9" s="95" t="str" cm="1">
        <f t="array" ref="T9">IF(S9=1,  INDEX('十五音-韻母'!$D$5:$E$54, $R9, 1), INDEX('十五音-韻母'!$D$5:$E$54, $R9, 2))</f>
        <v>im</v>
      </c>
      <c r="U9" s="95">
        <f t="shared" si="2"/>
        <v>37</v>
      </c>
      <c r="W9" s="20">
        <v>25</v>
      </c>
      <c r="X9" s="95">
        <v>13</v>
      </c>
      <c r="Y9" s="95">
        <v>1</v>
      </c>
      <c r="Z9" s="95" t="s">
        <v>207</v>
      </c>
      <c r="AA9" s="95">
        <v>0</v>
      </c>
    </row>
    <row r="10" spans="2:27">
      <c r="B10" s="134" t="s">
        <v>298</v>
      </c>
      <c r="C10" s="20">
        <f xml:space="preserve"> MATCH(B10, 十五音韻母清單!$H$6:$H$105,0)</f>
        <v>79</v>
      </c>
      <c r="D10" s="20" cm="1">
        <f t="array" ref="D10" xml:space="preserve"> INDEX(十五音韻母清單!$B$6:$K$105, $C10, D$1)</f>
        <v>40</v>
      </c>
      <c r="F10" s="20">
        <v>6</v>
      </c>
      <c r="G10" s="22" t="str" cm="1">
        <f t="array" ref="G10" xml:space="preserve"> INDEX(十五音韻母清單!$B$6:$K$105, $C10, G$1)</f>
        <v>ainn</v>
      </c>
      <c r="H10" s="22" t="str" cm="1">
        <f t="array" ref="H10" xml:space="preserve"> INDEX(十五音韻母清單!$B$6:$K$105, 韻母碼!$C10,韻母碼!H$1)</f>
        <v>aĩ</v>
      </c>
      <c r="I10" s="20" t="str" cm="1">
        <f t="array" ref="I10" xml:space="preserve"> INDEX(十五音韻母清單!$B$6:$K$105, $C10, I$1)</f>
        <v>閒</v>
      </c>
      <c r="J10" s="485" t="str" cm="1">
        <f t="array" ref="J10" xml:space="preserve"> INDEX(十五音韻母清單!$B$6:$K$105, 韻母碼!$C10,韻母碼!J$1)</f>
        <v>ㆮ</v>
      </c>
      <c r="K10" s="22" t="str" cm="1">
        <f t="array" ref="K10" xml:space="preserve"> INDEX(十五音韻母清單!$B$6:$K$105, 韻母碼!$C10,韻母碼!K$1)</f>
        <v>aiⁿ</v>
      </c>
      <c r="L10" s="22" t="str" cm="1">
        <f t="array" ref="L10" xml:space="preserve"> INDEX(十五音韻母清單!$B$6:$K$105, 韻母碼!$C10,韻母碼!L$1)</f>
        <v>nai</v>
      </c>
      <c r="M10" s="22" t="str" cm="1">
        <f t="array" ref="M10" xml:space="preserve"> INDEX(十五音韻母清單!$B$6:$K$105, 韻母碼!$C10,韻母碼!M$1)</f>
        <v>ainn</v>
      </c>
      <c r="O10" s="418" t="s">
        <v>299</v>
      </c>
      <c r="Q10" s="20">
        <v>6</v>
      </c>
      <c r="R10" s="95">
        <f t="shared" si="0"/>
        <v>3</v>
      </c>
      <c r="S10" s="95">
        <f t="shared" si="1"/>
        <v>0</v>
      </c>
      <c r="T10" s="95" t="str" cm="1">
        <f t="array" ref="T10">IF(S10=1,  INDEX('十五音-韻母'!$D$5:$E$54, $R10, 1), INDEX('十五音-韻母'!$D$5:$E$54, $R10, 2))</f>
        <v>ip</v>
      </c>
      <c r="U10" s="95">
        <f t="shared" si="2"/>
        <v>43</v>
      </c>
      <c r="W10" s="20">
        <v>26</v>
      </c>
      <c r="X10" s="95">
        <v>13</v>
      </c>
      <c r="Y10" s="95">
        <v>0</v>
      </c>
      <c r="Z10" s="95" t="s">
        <v>299</v>
      </c>
      <c r="AA10" s="95">
        <v>0</v>
      </c>
    </row>
    <row r="11" spans="2:27">
      <c r="B11" s="134" t="s">
        <v>173</v>
      </c>
      <c r="C11" s="20">
        <f xml:space="preserve"> MATCH(B11, 十五音韻母清單!$H$6:$H$105,0)</f>
        <v>42</v>
      </c>
      <c r="D11" s="20" cm="1">
        <f t="array" ref="D11" xml:space="preserve"> INDEX(十五音韻母清單!$B$6:$K$105, $C11, D$1)</f>
        <v>21</v>
      </c>
      <c r="F11" s="20">
        <v>7</v>
      </c>
      <c r="G11" s="22" t="str" cm="1">
        <f t="array" ref="G11" xml:space="preserve"> INDEX(十五音韻母清單!$B$6:$K$105, $C11, G$1)</f>
        <v>ak</v>
      </c>
      <c r="H11" s="22" t="str" cm="1">
        <f t="array" ref="H11" xml:space="preserve"> INDEX(十五音韻母清單!$B$6:$K$105, 韻母碼!$C11,韻母碼!H$1)</f>
        <v>ak̚</v>
      </c>
      <c r="I11" s="20" t="str" cm="1">
        <f t="array" ref="I11" xml:space="preserve"> INDEX(十五音韻母清單!$B$6:$K$105, $C11, I$1)</f>
        <v>江</v>
      </c>
      <c r="J11" s="485" t="str" cm="1">
        <f t="array" ref="J11" xml:space="preserve"> INDEX(十五音韻母清單!$B$6:$K$105, 韻母碼!$C11,韻母碼!J$1)</f>
        <v>ㄚㆻ</v>
      </c>
      <c r="K11" s="22" t="str" cm="1">
        <f t="array" ref="K11" xml:space="preserve"> INDEX(十五音韻母清單!$B$6:$K$105, 韻母碼!$C11,韻母碼!K$1)</f>
        <v>ak</v>
      </c>
      <c r="L11" s="22" t="str" cm="1">
        <f t="array" ref="L11" xml:space="preserve"> INDEX(十五音韻母清單!$B$6:$K$105, 韻母碼!$C11,韻母碼!L$1)</f>
        <v>ak</v>
      </c>
      <c r="M11" s="22" t="str" cm="1">
        <f t="array" ref="M11" xml:space="preserve"> INDEX(十五音韻母清單!$B$6:$K$105, 韻母碼!$C11,韻母碼!M$1)</f>
        <v>ak</v>
      </c>
      <c r="O11" s="418" t="s">
        <v>152</v>
      </c>
      <c r="Q11" s="20">
        <v>7</v>
      </c>
      <c r="R11" s="95">
        <f t="shared" si="0"/>
        <v>4</v>
      </c>
      <c r="S11" s="95">
        <f t="shared" si="1"/>
        <v>1</v>
      </c>
      <c r="T11" s="95" t="str" cm="1">
        <f t="array" ref="T11">IF(S11=1,  INDEX('十五音-韻母'!$D$5:$E$54, $R11, 1), INDEX('十五音-韻母'!$D$5:$E$54, $R11, 2))</f>
        <v>ui</v>
      </c>
      <c r="U11" s="95">
        <f t="shared" si="2"/>
        <v>72</v>
      </c>
      <c r="W11" s="20">
        <v>32</v>
      </c>
      <c r="X11" s="95">
        <v>16</v>
      </c>
      <c r="Y11" s="95">
        <v>0</v>
      </c>
      <c r="Z11" s="95" t="s">
        <v>152</v>
      </c>
      <c r="AA11" s="95">
        <v>0</v>
      </c>
    </row>
    <row r="12" spans="2:27">
      <c r="B12" s="134" t="s">
        <v>163</v>
      </c>
      <c r="C12" s="20">
        <f xml:space="preserve"> MATCH(B12, 十五音韻母清單!$H$6:$H$105,0)</f>
        <v>37</v>
      </c>
      <c r="D12" s="20" cm="1">
        <f t="array" ref="D12" xml:space="preserve"> INDEX(十五音韻母清單!$B$6:$K$105, $C12, D$1)</f>
        <v>19</v>
      </c>
      <c r="F12" s="20">
        <v>8</v>
      </c>
      <c r="G12" s="22" t="str" cm="1">
        <f t="array" ref="G12" xml:space="preserve"> INDEX(十五音韻母清單!$B$6:$K$105, $C12, G$1)</f>
        <v>am</v>
      </c>
      <c r="H12" s="22" t="str" cm="1">
        <f t="array" ref="H12" xml:space="preserve"> INDEX(十五音韻母清單!$B$6:$K$105, 韻母碼!$C12,韻母碼!H$1)</f>
        <v>am</v>
      </c>
      <c r="I12" s="20" t="str" cm="1">
        <f t="array" ref="I12" xml:space="preserve"> INDEX(十五音韻母清單!$B$6:$K$105, $C12, I$1)</f>
        <v>甘</v>
      </c>
      <c r="J12" s="485" t="str" cm="1">
        <f t="array" ref="J12" xml:space="preserve"> INDEX(十五音韻母清單!$B$6:$K$105, 韻母碼!$C12,韻母碼!J$1)</f>
        <v>ㆰ</v>
      </c>
      <c r="K12" s="22" t="str" cm="1">
        <f t="array" ref="K12" xml:space="preserve"> INDEX(十五音韻母清單!$B$6:$K$105, 韻母碼!$C12,韻母碼!K$1)</f>
        <v>am</v>
      </c>
      <c r="L12" s="22" t="str" cm="1">
        <f t="array" ref="L12" xml:space="preserve"> INDEX(十五音韻母清單!$B$6:$K$105, 韻母碼!$C12,韻母碼!L$1)</f>
        <v>am</v>
      </c>
      <c r="M12" s="22" t="str" cm="1">
        <f t="array" ref="M12" xml:space="preserve"> INDEX(十五音韻母清單!$B$6:$K$105, 韻母碼!$C12,韻母碼!M$1)</f>
        <v>am</v>
      </c>
      <c r="O12" s="418" t="s">
        <v>243</v>
      </c>
      <c r="Q12" s="20">
        <v>8</v>
      </c>
      <c r="R12" s="95">
        <f t="shared" si="0"/>
        <v>4</v>
      </c>
      <c r="S12" s="95">
        <f t="shared" si="1"/>
        <v>0</v>
      </c>
      <c r="T12" s="95" t="str" cm="1">
        <f t="array" ref="T12">IF(S12=1,  INDEX('十五音-韻母'!$D$5:$E$54, $R12, 1), INDEX('十五音-韻母'!$D$5:$E$54, $R12, 2))</f>
        <v>uih</v>
      </c>
      <c r="U12" s="95">
        <f t="shared" si="2"/>
        <v>0</v>
      </c>
      <c r="W12" s="20">
        <v>60</v>
      </c>
      <c r="X12" s="95">
        <v>30</v>
      </c>
      <c r="Y12" s="95">
        <v>0</v>
      </c>
      <c r="Z12" s="95" t="s">
        <v>243</v>
      </c>
      <c r="AA12" s="95">
        <v>0</v>
      </c>
    </row>
    <row r="13" spans="2:27">
      <c r="B13" s="134" t="s">
        <v>166</v>
      </c>
      <c r="C13" s="20">
        <f xml:space="preserve"> MATCH(B13, 十五音韻母清單!$H$6:$H$105,0)</f>
        <v>11</v>
      </c>
      <c r="D13" s="20" cm="1">
        <f t="array" ref="D13" xml:space="preserve"> INDEX(十五音韻母清單!$B$6:$K$105, $C13, D$1)</f>
        <v>6</v>
      </c>
      <c r="F13" s="20">
        <v>9</v>
      </c>
      <c r="G13" s="22" t="str" cm="1">
        <f t="array" ref="G13" xml:space="preserve"> INDEX(十五音韻母清單!$B$6:$K$105, $C13, G$1)</f>
        <v>an</v>
      </c>
      <c r="H13" s="22" t="str" cm="1">
        <f t="array" ref="H13" xml:space="preserve"> INDEX(十五音韻母清單!$B$6:$K$105, 韻母碼!$C13,韻母碼!H$1)</f>
        <v>an</v>
      </c>
      <c r="I13" s="20" t="str" cm="1">
        <f t="array" ref="I13" xml:space="preserve"> INDEX(十五音韻母清單!$B$6:$K$105, $C13, I$1)</f>
        <v>干</v>
      </c>
      <c r="J13" s="485" t="str" cm="1">
        <f t="array" ref="J13" xml:space="preserve"> INDEX(十五音韻母清單!$B$6:$K$105, 韻母碼!$C13,韻母碼!J$1)</f>
        <v>ㄢ</v>
      </c>
      <c r="K13" s="22" t="str" cm="1">
        <f t="array" ref="K13" xml:space="preserve"> INDEX(十五音韻母清單!$B$6:$K$105, 韻母碼!$C13,韻母碼!K$1)</f>
        <v>an</v>
      </c>
      <c r="L13" s="22" t="str" cm="1">
        <f t="array" ref="L13" xml:space="preserve"> INDEX(十五音韻母清單!$B$6:$K$105, 韻母碼!$C13,韻母碼!L$1)</f>
        <v>an</v>
      </c>
      <c r="M13" s="22" t="str" cm="1">
        <f t="array" ref="M13" xml:space="preserve"> INDEX(十五音韻母清單!$B$6:$K$105, 韻母碼!$C13,韻母碼!M$1)</f>
        <v>an</v>
      </c>
      <c r="O13" s="418" t="s">
        <v>278</v>
      </c>
      <c r="Q13" s="20">
        <v>9</v>
      </c>
      <c r="R13" s="95">
        <f t="shared" si="0"/>
        <v>5</v>
      </c>
      <c r="S13" s="95">
        <f t="shared" si="1"/>
        <v>1</v>
      </c>
      <c r="T13" s="95" t="str" cm="1">
        <f t="array" ref="T13">IF(S13=1,  INDEX('十五音-韻母'!$D$5:$E$54, $R13, 1), INDEX('十五音-韻母'!$D$5:$E$54, $R13, 2))</f>
        <v>ee</v>
      </c>
      <c r="U13" s="95">
        <f t="shared" si="2"/>
        <v>0</v>
      </c>
      <c r="W13" s="20">
        <v>63</v>
      </c>
      <c r="X13" s="95">
        <v>32</v>
      </c>
      <c r="Y13" s="95">
        <v>1</v>
      </c>
      <c r="Z13" s="95" t="s">
        <v>278</v>
      </c>
      <c r="AA13" s="95">
        <v>0</v>
      </c>
    </row>
    <row r="14" spans="2:27">
      <c r="B14" s="134" t="s">
        <v>172</v>
      </c>
      <c r="C14" s="20">
        <f xml:space="preserve"> MATCH(B14, 十五音韻母清單!$H$6:$H$105,0)</f>
        <v>41</v>
      </c>
      <c r="D14" s="20" cm="1">
        <f t="array" ref="D14" xml:space="preserve"> INDEX(十五音韻母清單!$B$6:$K$105, $C14, D$1)</f>
        <v>21</v>
      </c>
      <c r="F14" s="20">
        <v>10</v>
      </c>
      <c r="G14" s="22" t="str" cm="1">
        <f t="array" ref="G14" xml:space="preserve"> INDEX(十五音韻母清單!$B$6:$K$105, $C14, G$1)</f>
        <v>ang</v>
      </c>
      <c r="H14" s="22" t="str" cm="1">
        <f t="array" ref="H14" xml:space="preserve"> INDEX(十五音韻母清單!$B$6:$K$105, 韻母碼!$C14,韻母碼!H$1)</f>
        <v>aŋ</v>
      </c>
      <c r="I14" s="20" t="str" cm="1">
        <f t="array" ref="I14" xml:space="preserve"> INDEX(十五音韻母清單!$B$6:$K$105, $C14, I$1)</f>
        <v>江</v>
      </c>
      <c r="J14" s="485" t="str" cm="1">
        <f t="array" ref="J14" xml:space="preserve"> INDEX(十五音韻母清單!$B$6:$K$105, 韻母碼!$C14,韻母碼!J$1)</f>
        <v>ㄤ</v>
      </c>
      <c r="K14" s="22" t="str" cm="1">
        <f t="array" ref="K14" xml:space="preserve"> INDEX(十五音韻母清單!$B$6:$K$105, 韻母碼!$C14,韻母碼!K$1)</f>
        <v>ang</v>
      </c>
      <c r="L14" s="22" t="str" cm="1">
        <f t="array" ref="L14" xml:space="preserve"> INDEX(十五音韻母清單!$B$6:$K$105, 韻母碼!$C14,韻母碼!L$1)</f>
        <v>ang</v>
      </c>
      <c r="M14" s="22" t="str" cm="1">
        <f t="array" ref="M14" xml:space="preserve"> INDEX(十五音韻母清單!$B$6:$K$105, 韻母碼!$C14,韻母碼!M$1)</f>
        <v>ang</v>
      </c>
      <c r="O14" s="418" t="s">
        <v>279</v>
      </c>
      <c r="Q14" s="20">
        <v>10</v>
      </c>
      <c r="R14" s="95">
        <f t="shared" si="0"/>
        <v>5</v>
      </c>
      <c r="S14" s="95">
        <f t="shared" si="1"/>
        <v>0</v>
      </c>
      <c r="T14" s="95" t="str" cm="1">
        <f t="array" ref="T14">IF(S14=1,  INDEX('十五音-韻母'!$D$5:$E$54, $R14, 1), INDEX('十五音-韻母'!$D$5:$E$54, $R14, 2))</f>
        <v>eeh</v>
      </c>
      <c r="U14" s="95">
        <f t="shared" si="2"/>
        <v>0</v>
      </c>
      <c r="W14" s="20">
        <v>64</v>
      </c>
      <c r="X14" s="95">
        <v>32</v>
      </c>
      <c r="Y14" s="95">
        <v>0</v>
      </c>
      <c r="Z14" s="95" t="s">
        <v>279</v>
      </c>
      <c r="AA14" s="95">
        <v>0</v>
      </c>
    </row>
    <row r="15" spans="2:27">
      <c r="B15" s="134" t="s">
        <v>164</v>
      </c>
      <c r="C15" s="20">
        <f xml:space="preserve"> MATCH(B15, 十五音韻母清單!$H$6:$H$105,0)</f>
        <v>38</v>
      </c>
      <c r="D15" s="20" cm="1">
        <f t="array" ref="D15" xml:space="preserve"> INDEX(十五音韻母清單!$B$6:$K$105, $C15, D$1)</f>
        <v>19</v>
      </c>
      <c r="F15" s="20">
        <v>11</v>
      </c>
      <c r="G15" s="22" t="str" cm="1">
        <f t="array" ref="G15" xml:space="preserve"> INDEX(十五音韻母清單!$B$6:$K$105, $C15, G$1)</f>
        <v>ap</v>
      </c>
      <c r="H15" s="22" t="str" cm="1">
        <f t="array" ref="H15" xml:space="preserve"> INDEX(十五音韻母清單!$B$6:$K$105, 韻母碼!$C15,韻母碼!H$1)</f>
        <v>ap̚</v>
      </c>
      <c r="I15" s="20" t="str" cm="1">
        <f t="array" ref="I15" xml:space="preserve"> INDEX(十五音韻母清單!$B$6:$K$105, $C15, I$1)</f>
        <v>甘</v>
      </c>
      <c r="J15" s="485" t="str" cm="1">
        <f t="array" ref="J15" xml:space="preserve"> INDEX(十五音韻母清單!$B$6:$K$105, 韻母碼!$C15,韻母碼!J$1)</f>
        <v>ㄚㆴ</v>
      </c>
      <c r="K15" s="22" t="str" cm="1">
        <f t="array" ref="K15" xml:space="preserve"> INDEX(十五音韻母清單!$B$6:$K$105, 韻母碼!$C15,韻母碼!K$1)</f>
        <v>ap</v>
      </c>
      <c r="L15" s="22" t="str" cm="1">
        <f t="array" ref="L15" xml:space="preserve"> INDEX(十五音韻母清單!$B$6:$K$105, 韻母碼!$C15,韻母碼!L$1)</f>
        <v>ap</v>
      </c>
      <c r="M15" s="22" t="str" cm="1">
        <f t="array" ref="M15" xml:space="preserve"> INDEX(十五音韻母清單!$B$6:$K$105, 韻母碼!$C15,韻母碼!M$1)</f>
        <v>ap</v>
      </c>
      <c r="O15" s="418" t="s">
        <v>205</v>
      </c>
      <c r="Q15" s="20">
        <v>11</v>
      </c>
      <c r="R15" s="95">
        <f t="shared" si="0"/>
        <v>6</v>
      </c>
      <c r="S15" s="95">
        <f t="shared" si="1"/>
        <v>1</v>
      </c>
      <c r="T15" s="95" t="str" cm="1">
        <f t="array" ref="T15">IF(S15=1,  INDEX('十五音-韻母'!$D$5:$E$54, $R15, 1), INDEX('十五音-韻母'!$D$5:$E$54, $R15, 2))</f>
        <v>an</v>
      </c>
      <c r="U15" s="95">
        <f t="shared" si="2"/>
        <v>9</v>
      </c>
      <c r="W15" s="20">
        <v>68</v>
      </c>
      <c r="X15" s="95">
        <v>34</v>
      </c>
      <c r="Y15" s="95">
        <v>0</v>
      </c>
      <c r="Z15" s="95" t="s">
        <v>205</v>
      </c>
      <c r="AA15" s="95">
        <v>0</v>
      </c>
    </row>
    <row r="16" spans="2:27">
      <c r="B16" s="134" t="s">
        <v>167</v>
      </c>
      <c r="C16" s="20">
        <f xml:space="preserve"> MATCH(B16, 十五音韻母清單!$H$6:$H$105,0)</f>
        <v>12</v>
      </c>
      <c r="D16" s="20" cm="1">
        <f t="array" ref="D16" xml:space="preserve"> INDEX(十五音韻母清單!$B$6:$K$105, $C16, D$1)</f>
        <v>6</v>
      </c>
      <c r="F16" s="20">
        <v>12</v>
      </c>
      <c r="G16" s="22" t="str" cm="1">
        <f t="array" ref="G16" xml:space="preserve"> INDEX(十五音韻母清單!$B$6:$K$105, $C16, G$1)</f>
        <v>at</v>
      </c>
      <c r="H16" s="22" t="str" cm="1">
        <f t="array" ref="H16" xml:space="preserve"> INDEX(十五音韻母清單!$B$6:$K$105, 韻母碼!$C16,韻母碼!H$1)</f>
        <v>at̚</v>
      </c>
      <c r="I16" s="20" t="str" cm="1">
        <f t="array" ref="I16" xml:space="preserve"> INDEX(十五音韻母清單!$B$6:$K$105, $C16, I$1)</f>
        <v>干</v>
      </c>
      <c r="J16" s="485" t="str" cm="1">
        <f t="array" ref="J16" xml:space="preserve"> INDEX(十五音韻母清單!$B$6:$K$105, 韻母碼!$C16,韻母碼!J$1)</f>
        <v>ㄚㆵ</v>
      </c>
      <c r="K16" s="22" t="str" cm="1">
        <f t="array" ref="K16" xml:space="preserve"> INDEX(十五音韻母清單!$B$6:$K$105, 韻母碼!$C16,韻母碼!K$1)</f>
        <v>at</v>
      </c>
      <c r="L16" s="22" t="str" cm="1">
        <f t="array" ref="L16" xml:space="preserve"> INDEX(十五音韻母清單!$B$6:$K$105, 韻母碼!$C16,韻母碼!L$1)</f>
        <v>at</v>
      </c>
      <c r="M16" s="22" t="str" cm="1">
        <f t="array" ref="M16" xml:space="preserve"> INDEX(十五音韻母清單!$B$6:$K$105, 韻母碼!$C16,韻母碼!M$1)</f>
        <v>ap</v>
      </c>
      <c r="O16" s="418" t="s">
        <v>250</v>
      </c>
      <c r="Q16" s="20">
        <v>12</v>
      </c>
      <c r="R16" s="95">
        <f t="shared" si="0"/>
        <v>6</v>
      </c>
      <c r="S16" s="95">
        <f t="shared" si="1"/>
        <v>0</v>
      </c>
      <c r="T16" s="95" t="str" cm="1">
        <f t="array" ref="T16">IF(S16=1,  INDEX('十五音-韻母'!$D$5:$E$54, $R16, 1), INDEX('十五音-韻母'!$D$5:$E$54, $R16, 2))</f>
        <v>at</v>
      </c>
      <c r="U16" s="95">
        <f t="shared" si="2"/>
        <v>12</v>
      </c>
      <c r="W16" s="20">
        <v>69</v>
      </c>
      <c r="X16" s="95">
        <v>35</v>
      </c>
      <c r="Y16" s="95">
        <v>1</v>
      </c>
      <c r="Z16" s="95" t="s">
        <v>250</v>
      </c>
      <c r="AA16" s="95">
        <v>0</v>
      </c>
    </row>
    <row r="17" spans="2:27">
      <c r="B17" s="134" t="s">
        <v>178</v>
      </c>
      <c r="C17" s="20">
        <f xml:space="preserve"> MATCH(B17, 十五音韻母清單!$H$6:$H$105,0)</f>
        <v>45</v>
      </c>
      <c r="D17" s="20" cm="1">
        <f t="array" ref="D17" xml:space="preserve"> INDEX(十五音韻母清單!$B$6:$K$105, $C17, D$1)</f>
        <v>23</v>
      </c>
      <c r="F17" s="20">
        <v>13</v>
      </c>
      <c r="G17" s="22" t="str" cm="1">
        <f t="array" ref="G17" xml:space="preserve"> INDEX(十五音韻母清單!$B$6:$K$105, $C17, G$1)</f>
        <v>au</v>
      </c>
      <c r="H17" s="22" t="str" cm="1">
        <f t="array" ref="H17" xml:space="preserve"> INDEX(十五音韻母清單!$B$6:$K$105, 韻母碼!$C17,韻母碼!H$1)</f>
        <v>au</v>
      </c>
      <c r="I17" s="20" t="str" cm="1">
        <f t="array" ref="I17" xml:space="preserve"> INDEX(十五音韻母清單!$B$6:$K$105, $C17, I$1)</f>
        <v>交</v>
      </c>
      <c r="J17" s="485" t="str" cm="1">
        <f t="array" ref="J17" xml:space="preserve"> INDEX(十五音韻母清單!$B$6:$K$105, 韻母碼!$C17,韻母碼!J$1)</f>
        <v>ㄠ</v>
      </c>
      <c r="K17" s="22" t="str" cm="1">
        <f t="array" ref="K17" xml:space="preserve"> INDEX(十五音韻母清單!$B$6:$K$105, 韻母碼!$C17,韻母碼!K$1)</f>
        <v>au</v>
      </c>
      <c r="L17" s="22" t="str" cm="1">
        <f t="array" ref="L17" xml:space="preserve"> INDEX(十五音韻母清單!$B$6:$K$105, 韻母碼!$C17,韻母碼!L$1)</f>
        <v>ao</v>
      </c>
      <c r="M17" s="22" t="str" cm="1">
        <f t="array" ref="M17" xml:space="preserve"> INDEX(十五音韻母清單!$B$6:$K$105, 韻母碼!$C17,韻母碼!M$1)</f>
        <v>au</v>
      </c>
      <c r="O17" s="418" t="s">
        <v>300</v>
      </c>
      <c r="Q17" s="20">
        <v>13</v>
      </c>
      <c r="R17" s="95">
        <f t="shared" si="0"/>
        <v>7</v>
      </c>
      <c r="S17" s="95">
        <f t="shared" si="1"/>
        <v>1</v>
      </c>
      <c r="T17" s="95" t="str" cm="1">
        <f t="array" ref="T17">IF(S17=1,  INDEX('十五音-韻母'!$D$5:$E$54, $R17, 1), INDEX('十五音-韻母'!$D$5:$E$54, $R17, 2))</f>
        <v>ong</v>
      </c>
      <c r="U17" s="95">
        <f t="shared" si="2"/>
        <v>69</v>
      </c>
      <c r="W17" s="20">
        <v>70</v>
      </c>
      <c r="X17" s="95">
        <v>35</v>
      </c>
      <c r="Y17" s="95">
        <v>0</v>
      </c>
      <c r="Z17" s="95" t="s">
        <v>300</v>
      </c>
      <c r="AA17" s="95">
        <v>0</v>
      </c>
    </row>
    <row r="18" spans="2:27">
      <c r="B18" s="134" t="s">
        <v>179</v>
      </c>
      <c r="C18" s="20">
        <f xml:space="preserve"> MATCH(B18, 十五音韻母清單!$H$6:$H$105,0)</f>
        <v>46</v>
      </c>
      <c r="D18" s="20" cm="1">
        <f t="array" ref="D18" xml:space="preserve"> INDEX(十五音韻母清單!$B$6:$K$105, $C18, D$1)</f>
        <v>23</v>
      </c>
      <c r="F18" s="20">
        <v>14</v>
      </c>
      <c r="G18" s="22" t="str" cm="1">
        <f t="array" ref="G18" xml:space="preserve"> INDEX(十五音韻母清單!$B$6:$K$105, $C18, G$1)</f>
        <v>auh</v>
      </c>
      <c r="H18" s="22" t="str" cm="1">
        <f t="array" ref="H18" xml:space="preserve"> INDEX(十五音韻母清單!$B$6:$K$105, 韻母碼!$C18,韻母碼!H$1)</f>
        <v>au?</v>
      </c>
      <c r="I18" s="20" t="str" cm="1">
        <f t="array" ref="I18" xml:space="preserve"> INDEX(十五音韻母清單!$B$6:$K$105, $C18, I$1)</f>
        <v>交</v>
      </c>
      <c r="J18" s="485" t="str" cm="1">
        <f t="array" ref="J18" xml:space="preserve"> INDEX(十五音韻母清單!$B$6:$K$105, 韻母碼!$C18,韻母碼!J$1)</f>
        <v>ㄠㆷ</v>
      </c>
      <c r="K18" s="22" t="str" cm="1">
        <f t="array" ref="K18" xml:space="preserve"> INDEX(十五音韻母清單!$B$6:$K$105, 韻母碼!$C18,韻母碼!K$1)</f>
        <v>auh</v>
      </c>
      <c r="L18" s="22" t="str" cm="1">
        <f t="array" ref="L18" xml:space="preserve"> INDEX(十五音韻母清單!$B$6:$K$105, 韻母碼!$C18,韻母碼!L$1)</f>
        <v>aoh</v>
      </c>
      <c r="M18" s="22" t="str" cm="1">
        <f t="array" ref="M18" xml:space="preserve"> INDEX(十五音韻母清單!$B$6:$K$105, 韻母碼!$C18,韻母碼!M$1)</f>
        <v>auh</v>
      </c>
      <c r="O18" s="418" t="s">
        <v>266</v>
      </c>
      <c r="Q18" s="20">
        <v>14</v>
      </c>
      <c r="R18" s="95">
        <f t="shared" si="0"/>
        <v>7</v>
      </c>
      <c r="S18" s="95">
        <f t="shared" si="1"/>
        <v>0</v>
      </c>
      <c r="T18" s="95" t="str" cm="1">
        <f t="array" ref="T18">IF(S18=1,  INDEX('十五音-韻母'!$D$5:$E$54, $R18, 1), INDEX('十五音-韻母'!$D$5:$E$54, $R18, 2))</f>
        <v>ok</v>
      </c>
      <c r="U18" s="95">
        <f t="shared" si="2"/>
        <v>67</v>
      </c>
      <c r="W18" s="20">
        <v>74</v>
      </c>
      <c r="X18" s="95">
        <v>37</v>
      </c>
      <c r="Y18" s="95">
        <v>0</v>
      </c>
      <c r="Z18" s="95" t="s">
        <v>266</v>
      </c>
      <c r="AA18" s="95">
        <v>0</v>
      </c>
    </row>
    <row r="19" spans="2:27">
      <c r="B19" s="134" t="s">
        <v>160</v>
      </c>
      <c r="C19" s="20">
        <f xml:space="preserve"> MATCH(B19, 十五音韻母清單!$H$6:$H$105,0)</f>
        <v>77</v>
      </c>
      <c r="D19" s="20" cm="1">
        <f t="array" ref="D19" xml:space="preserve"> INDEX(十五音韻母清單!$B$6:$K$105, $C19, D$1)</f>
        <v>39</v>
      </c>
      <c r="F19" s="20">
        <v>15</v>
      </c>
      <c r="G19" s="22" t="str" cm="1">
        <f t="array" ref="G19" xml:space="preserve"> INDEX(十五音韻母清單!$B$6:$K$105, $C19, G$1)</f>
        <v>e</v>
      </c>
      <c r="H19" s="22" t="str" cm="1">
        <f t="array" ref="H19" xml:space="preserve"> INDEX(十五音韻母清單!$B$6:$K$105, 韻母碼!$C19,韻母碼!H$1)</f>
        <v>e</v>
      </c>
      <c r="I19" s="20" t="str" cm="1">
        <f t="array" ref="I19" xml:space="preserve"> INDEX(十五音韻母清單!$B$6:$K$105, $C19, I$1)</f>
        <v>伽</v>
      </c>
      <c r="J19" s="485" t="str" cm="1">
        <f t="array" ref="J19" xml:space="preserve"> INDEX(十五音韻母清單!$B$6:$K$105, 韻母碼!$C19,韻母碼!J$1)</f>
        <v>ㆤ</v>
      </c>
      <c r="K19" s="22" t="str" cm="1">
        <f t="array" ref="K19" xml:space="preserve"> INDEX(十五音韻母清單!$B$6:$K$105, 韻母碼!$C19,韻母碼!K$1)</f>
        <v>e</v>
      </c>
      <c r="L19" s="22" t="str" cm="1">
        <f t="array" ref="L19" xml:space="preserve"> INDEX(十五音韻母清單!$B$6:$K$105, 韻母碼!$C19,韻母碼!L$1)</f>
        <v>e</v>
      </c>
      <c r="M19" s="22" t="str" cm="1">
        <f t="array" ref="M19" xml:space="preserve"> INDEX(十五音韻母清單!$B$6:$K$105, 韻母碼!$C19,韻母碼!M$1)</f>
        <v>e</v>
      </c>
      <c r="O19" s="418" t="s">
        <v>158</v>
      </c>
      <c r="Q19" s="20">
        <v>15</v>
      </c>
      <c r="R19" s="95">
        <f t="shared" si="0"/>
        <v>8</v>
      </c>
      <c r="S19" s="95">
        <f t="shared" si="1"/>
        <v>1</v>
      </c>
      <c r="T19" s="95" t="str" cm="1">
        <f t="array" ref="T19">IF(S19=1,  INDEX('十五音-韻母'!$D$5:$E$54, $R19, 1), INDEX('十五音-韻母'!$D$5:$E$54, $R19, 2))</f>
        <v>uai</v>
      </c>
      <c r="U19" s="95">
        <f t="shared" si="2"/>
        <v>58</v>
      </c>
      <c r="W19" s="20">
        <v>80</v>
      </c>
      <c r="X19" s="95">
        <v>40</v>
      </c>
      <c r="Y19" s="95">
        <v>0</v>
      </c>
      <c r="Z19" s="95" t="s">
        <v>158</v>
      </c>
      <c r="AA19" s="95">
        <v>0</v>
      </c>
    </row>
    <row r="20" spans="2:27">
      <c r="B20" s="134" t="s">
        <v>301</v>
      </c>
      <c r="C20" s="20">
        <f xml:space="preserve"> MATCH(B20, 十五音韻母清單!$H$6:$H$105,0)</f>
        <v>61</v>
      </c>
      <c r="D20" s="20" cm="1">
        <f t="array" ref="D20" xml:space="preserve"> INDEX(十五音韻母清單!$B$6:$K$105, $C20, D$1)</f>
        <v>31</v>
      </c>
      <c r="F20" s="20">
        <v>16</v>
      </c>
      <c r="G20" s="22" t="str" cm="1">
        <f t="array" ref="G20" xml:space="preserve"> INDEX(十五音韻母清單!$B$6:$K$105, $C20, G$1)</f>
        <v>enn</v>
      </c>
      <c r="H20" s="22" t="str" cm="1">
        <f t="array" ref="H20" xml:space="preserve"> INDEX(十五音韻母清單!$B$6:$K$105, 韻母碼!$C20,韻母碼!H$1)</f>
        <v>ɛ̃</v>
      </c>
      <c r="I20" s="20" t="str" cm="1">
        <f t="array" ref="I20" xml:space="preserve"> INDEX(十五音韻母清單!$B$6:$K$105, $C20, I$1)</f>
        <v>更</v>
      </c>
      <c r="J20" s="485" t="str" cm="1">
        <f t="array" ref="J20" xml:space="preserve"> INDEX(十五音韻母清單!$B$6:$K$105, 韻母碼!$C20,韻母碼!J$1)</f>
        <v>ㆥ</v>
      </c>
      <c r="K20" s="22" t="str" cm="1">
        <f t="array" ref="K20" xml:space="preserve"> INDEX(十五音韻母清單!$B$6:$K$105, 韻母碼!$C20,韻母碼!K$1)</f>
        <v>eⁿ</v>
      </c>
      <c r="L20" s="22" t="str" cm="1">
        <f t="array" ref="L20" xml:space="preserve"> INDEX(十五音韻母清單!$B$6:$K$105, 韻母碼!$C20,韻母碼!L$1)</f>
        <v>ne</v>
      </c>
      <c r="M20" s="22" t="str" cm="1">
        <f t="array" ref="M20" xml:space="preserve"> INDEX(十五音韻母清單!$B$6:$K$105, 韻母碼!$C20,韻母碼!M$1)</f>
        <v>enn</v>
      </c>
      <c r="O20" s="418" t="s">
        <v>271</v>
      </c>
      <c r="Q20" s="20">
        <v>16</v>
      </c>
      <c r="R20" s="95">
        <f t="shared" si="0"/>
        <v>8</v>
      </c>
      <c r="S20" s="95">
        <f t="shared" si="1"/>
        <v>0</v>
      </c>
      <c r="T20" s="95" t="str" cm="1">
        <f t="array" ref="T20">IF(S20=1,  INDEX('十五音-韻母'!$D$5:$E$54, $R20, 1), INDEX('十五音-韻母'!$D$5:$E$54, $R20, 2))</f>
        <v>uaih</v>
      </c>
      <c r="U20" s="95">
        <f t="shared" si="2"/>
        <v>0</v>
      </c>
      <c r="W20" s="20">
        <v>86</v>
      </c>
      <c r="X20" s="95">
        <v>43</v>
      </c>
      <c r="Y20" s="95">
        <v>0</v>
      </c>
      <c r="Z20" s="95" t="s">
        <v>271</v>
      </c>
      <c r="AA20" s="95">
        <v>0</v>
      </c>
    </row>
    <row r="21" spans="2:27">
      <c r="B21" s="134" t="s">
        <v>161</v>
      </c>
      <c r="C21" s="20">
        <f xml:space="preserve"> MATCH(B21, 十五音韻母清單!$H$6:$H$105,0)</f>
        <v>78</v>
      </c>
      <c r="D21" s="20" cm="1">
        <f t="array" ref="D21" xml:space="preserve"> INDEX(十五音韻母清單!$B$6:$K$105, $C21, D$1)</f>
        <v>39</v>
      </c>
      <c r="F21" s="20">
        <v>17</v>
      </c>
      <c r="G21" s="22" t="str" cm="1">
        <f t="array" ref="G21" xml:space="preserve"> INDEX(十五音韻母清單!$B$6:$K$105, $C21, G$1)</f>
        <v>eh</v>
      </c>
      <c r="H21" s="22" t="str" cm="1">
        <f t="array" ref="H21" xml:space="preserve"> INDEX(十五音韻母清單!$B$6:$K$105, 韻母碼!$C21,韻母碼!H$1)</f>
        <v>e?</v>
      </c>
      <c r="I21" s="20" t="str" cm="1">
        <f t="array" ref="I21" xml:space="preserve"> INDEX(十五音韻母清單!$B$6:$K$105, $C21, I$1)</f>
        <v>伽</v>
      </c>
      <c r="J21" s="485" t="str" cm="1">
        <f t="array" ref="J21" xml:space="preserve"> INDEX(十五音韻母清單!$B$6:$K$105, 韻母碼!$C21,韻母碼!J$1)</f>
        <v>ㆤㆷ</v>
      </c>
      <c r="K21" s="22" t="str" cm="1">
        <f t="array" ref="K21" xml:space="preserve"> INDEX(十五音韻母清單!$B$6:$K$105, 韻母碼!$C21,韻母碼!K$1)</f>
        <v>eh</v>
      </c>
      <c r="L21" s="22" t="str" cm="1">
        <f t="array" ref="L21" xml:space="preserve"> INDEX(十五音韻母清單!$B$6:$K$105, 韻母碼!$C21,韻母碼!L$1)</f>
        <v>eh</v>
      </c>
      <c r="M21" s="22" t="str" cm="1">
        <f t="array" ref="M21" xml:space="preserve"> INDEX(十五音韻母清單!$B$6:$K$105, 韻母碼!$C21,韻母碼!M$1)</f>
        <v>eh</v>
      </c>
      <c r="O21" s="418" t="s">
        <v>274</v>
      </c>
      <c r="Q21" s="20">
        <v>17</v>
      </c>
      <c r="R21" s="95">
        <f t="shared" si="0"/>
        <v>9</v>
      </c>
      <c r="S21" s="95">
        <f t="shared" si="1"/>
        <v>1</v>
      </c>
      <c r="T21" s="95" t="str" cm="1">
        <f t="array" ref="T21">IF(S21=1,  INDEX('十五音-韻母'!$D$5:$E$54, $R21, 1), INDEX('十五音-韻母'!$D$5:$E$54, $R21, 2))</f>
        <v>ing</v>
      </c>
      <c r="U21" s="95">
        <f t="shared" si="2"/>
        <v>20</v>
      </c>
      <c r="W21" s="20">
        <v>88</v>
      </c>
      <c r="X21" s="95">
        <v>44</v>
      </c>
      <c r="Y21" s="95">
        <v>0</v>
      </c>
      <c r="Z21" s="95" t="s">
        <v>274</v>
      </c>
      <c r="AA21" s="95">
        <v>0</v>
      </c>
    </row>
    <row r="22" spans="2:27">
      <c r="B22" s="134" t="s">
        <v>302</v>
      </c>
      <c r="C22" s="20">
        <f xml:space="preserve"> MATCH(B22, 十五音韻母清單!$H$6:$H$105,0)</f>
        <v>62</v>
      </c>
      <c r="D22" s="20" cm="1">
        <f t="array" ref="D22" xml:space="preserve"> INDEX(十五音韻母清單!$B$6:$K$105, $C22, D$1)</f>
        <v>31</v>
      </c>
      <c r="F22" s="20">
        <v>18</v>
      </c>
      <c r="G22" s="22" t="str" cm="1">
        <f t="array" ref="G22" xml:space="preserve"> INDEX(十五音韻母清單!$B$6:$K$105, $C22, G$1)</f>
        <v>ennh</v>
      </c>
      <c r="H22" s="22" t="str" cm="1">
        <f t="array" ref="H22" xml:space="preserve"> INDEX(十五音韻母清單!$B$6:$K$105, 韻母碼!$C22,韻母碼!H$1)</f>
        <v>ɛ̃?</v>
      </c>
      <c r="I22" s="20" t="str" cm="1">
        <f t="array" ref="I22" xml:space="preserve"> INDEX(十五音韻母清單!$B$6:$K$105, $C22, I$1)</f>
        <v>更</v>
      </c>
      <c r="J22" s="485" t="str" cm="1">
        <f t="array" ref="J22" xml:space="preserve"> INDEX(十五音韻母清單!$B$6:$K$105, 韻母碼!$C22,韻母碼!J$1)</f>
        <v>ㆥㆷ</v>
      </c>
      <c r="K22" s="22" t="str" cm="1">
        <f t="array" ref="K22" xml:space="preserve"> INDEX(十五音韻母清單!$B$6:$K$105, 韻母碼!$C22,韻母碼!K$1)</f>
        <v>ehⁿ</v>
      </c>
      <c r="L22" s="22" t="str" cm="1">
        <f t="array" ref="L22" xml:space="preserve"> INDEX(十五音韻母清單!$B$6:$K$105, 韻母碼!$C22,韻母碼!L$1)</f>
        <v>neh</v>
      </c>
      <c r="M22" s="22" t="str" cm="1">
        <f t="array" ref="M22" xml:space="preserve"> INDEX(十五音韻母清單!$B$6:$K$105, 韻母碼!$C22,韻母碼!M$1)</f>
        <v>ennh</v>
      </c>
      <c r="O22" s="418" t="s">
        <v>280</v>
      </c>
      <c r="Q22" s="20">
        <v>18</v>
      </c>
      <c r="R22" s="95">
        <f t="shared" si="0"/>
        <v>9</v>
      </c>
      <c r="S22" s="95">
        <f t="shared" si="1"/>
        <v>0</v>
      </c>
      <c r="T22" s="95" t="str" cm="1">
        <f t="array" ref="T22">IF(S22=1,  INDEX('十五音-韻母'!$D$5:$E$54, $R22, 1), INDEX('十五音-韻母'!$D$5:$E$54, $R22, 2))</f>
        <v>ik</v>
      </c>
      <c r="U22" s="95">
        <f t="shared" si="2"/>
        <v>19</v>
      </c>
      <c r="W22" s="20">
        <v>89</v>
      </c>
      <c r="X22" s="95">
        <v>45</v>
      </c>
      <c r="Y22" s="95">
        <v>1</v>
      </c>
      <c r="Z22" s="95" t="s">
        <v>280</v>
      </c>
      <c r="AA22" s="95">
        <v>0</v>
      </c>
    </row>
    <row r="23" spans="2:27">
      <c r="B23" s="134" t="s">
        <v>303</v>
      </c>
      <c r="C23" s="20">
        <f xml:space="preserve"> MATCH(B23, 十五音韻母清單!$H$6:$H$105,0)</f>
        <v>18</v>
      </c>
      <c r="D23" s="20" cm="1">
        <f t="array" ref="D23" xml:space="preserve"> INDEX(十五音韻母清單!$B$6:$K$105, $C23, D$1)</f>
        <v>9</v>
      </c>
      <c r="F23" s="20">
        <v>19</v>
      </c>
      <c r="G23" s="22" t="str" cm="1">
        <f t="array" ref="G23" xml:space="preserve"> INDEX(十五音韻母清單!$B$6:$K$105, $C23, G$1)</f>
        <v>ik</v>
      </c>
      <c r="H23" s="22" t="str" cm="1">
        <f t="array" ref="H23" xml:space="preserve"> INDEX(十五音韻母清單!$B$6:$K$105, 韻母碼!$C23,韻母碼!H$1)</f>
        <v>ik̚</v>
      </c>
      <c r="I23" s="20" t="str" cm="1">
        <f t="array" ref="I23" xml:space="preserve"> INDEX(十五音韻母清單!$B$6:$K$105, $C23, I$1)</f>
        <v>經</v>
      </c>
      <c r="J23" s="485" t="str" cm="1">
        <f t="array" ref="J23" xml:space="preserve"> INDEX(十五音韻母清單!$B$6:$K$105, 韻母碼!$C23,韻母碼!J$1)</f>
        <v>ㄧㆻ</v>
      </c>
      <c r="K23" s="22" t="str" cm="1">
        <f t="array" ref="K23" xml:space="preserve"> INDEX(十五音韻母清單!$B$6:$K$105, 韻母碼!$C23,韻母碼!K$1)</f>
        <v>ek</v>
      </c>
      <c r="L23" s="22" t="str" cm="1">
        <f t="array" ref="L23" xml:space="preserve"> INDEX(十五音韻母清單!$B$6:$K$105, 韻母碼!$C23,韻母碼!L$1)</f>
        <v>ik</v>
      </c>
      <c r="M23" s="22" t="str" cm="1">
        <f t="array" ref="M23" xml:space="preserve"> INDEX(十五音韻母清單!$B$6:$K$105, 韻母碼!$C23,韻母碼!M$1)</f>
        <v>ik</v>
      </c>
      <c r="O23" s="418" t="s">
        <v>304</v>
      </c>
      <c r="Q23" s="20">
        <v>19</v>
      </c>
      <c r="R23" s="95">
        <f t="shared" si="0"/>
        <v>10</v>
      </c>
      <c r="S23" s="95">
        <f t="shared" si="1"/>
        <v>1</v>
      </c>
      <c r="T23" s="95" t="str" cm="1">
        <f t="array" ref="T23">IF(S23=1,  INDEX('十五音-韻母'!$D$5:$E$54, $R23, 1), INDEX('十五音-韻母'!$D$5:$E$54, $R23, 2))</f>
        <v>uan</v>
      </c>
      <c r="U23" s="95">
        <f t="shared" si="2"/>
        <v>60</v>
      </c>
      <c r="W23" s="20">
        <v>90</v>
      </c>
      <c r="X23" s="95">
        <v>45</v>
      </c>
      <c r="Y23" s="95">
        <v>0</v>
      </c>
      <c r="Z23" s="95" t="s">
        <v>304</v>
      </c>
      <c r="AA23" s="95">
        <v>0</v>
      </c>
    </row>
    <row r="24" spans="2:27">
      <c r="B24" s="134" t="s">
        <v>305</v>
      </c>
      <c r="C24" s="20">
        <f xml:space="preserve"> MATCH(B24, 十五音韻母清單!$H$6:$H$105,0)</f>
        <v>17</v>
      </c>
      <c r="D24" s="20" cm="1">
        <f t="array" ref="D24" xml:space="preserve"> INDEX(十五音韻母清單!$B$6:$K$105, $C24, D$1)</f>
        <v>9</v>
      </c>
      <c r="F24" s="20">
        <v>20</v>
      </c>
      <c r="G24" s="22" t="str" cm="1">
        <f t="array" ref="G24" xml:space="preserve"> INDEX(十五音韻母清單!$B$6:$K$105, $C24, G$1)</f>
        <v>ing</v>
      </c>
      <c r="H24" s="22" t="str" cm="1">
        <f t="array" ref="H24" xml:space="preserve"> INDEX(十五音韻母清單!$B$6:$K$105, 韻母碼!$C24,韻母碼!H$1)</f>
        <v>ɪŋ</v>
      </c>
      <c r="I24" s="20" t="str" cm="1">
        <f t="array" ref="I24" xml:space="preserve"> INDEX(十五音韻母清單!$B$6:$K$105, $C24, I$1)</f>
        <v>經</v>
      </c>
      <c r="J24" s="485" t="str" cm="1">
        <f t="array" ref="J24" xml:space="preserve"> INDEX(十五音韻母清單!$B$6:$K$105, 韻母碼!$C24,韻母碼!J$1)</f>
        <v>ㄧㄥ</v>
      </c>
      <c r="K24" s="22" t="str" cm="1">
        <f t="array" ref="K24" xml:space="preserve"> INDEX(十五音韻母清單!$B$6:$K$105, 韻母碼!$C24,韻母碼!K$1)</f>
        <v>eng</v>
      </c>
      <c r="L24" s="22" t="str" cm="1">
        <f t="array" ref="L24" xml:space="preserve"> INDEX(十五音韻母清單!$B$6:$K$105, 韻母碼!$C24,韻母碼!L$1)</f>
        <v>ing</v>
      </c>
      <c r="M24" s="22" t="str" cm="1">
        <f t="array" ref="M24" xml:space="preserve"> INDEX(十五音韻母清單!$B$6:$K$105, 韻母碼!$C24,韻母碼!M$1)</f>
        <v>ing</v>
      </c>
      <c r="O24" s="418" t="s">
        <v>234</v>
      </c>
      <c r="Q24" s="20">
        <v>20</v>
      </c>
      <c r="R24" s="95">
        <f t="shared" si="0"/>
        <v>10</v>
      </c>
      <c r="S24" s="95">
        <f t="shared" si="1"/>
        <v>0</v>
      </c>
      <c r="T24" s="95" t="str" cm="1">
        <f t="array" ref="T24">IF(S24=1,  INDEX('十五音-韻母'!$D$5:$E$54, $R24, 1), INDEX('十五音-韻母'!$D$5:$E$54, $R24, 2))</f>
        <v>uat</v>
      </c>
      <c r="U24" s="95">
        <f t="shared" si="2"/>
        <v>62</v>
      </c>
      <c r="W24" s="20">
        <v>92</v>
      </c>
      <c r="X24" s="95">
        <v>46</v>
      </c>
      <c r="Y24" s="95">
        <v>0</v>
      </c>
      <c r="Z24" s="95" t="s">
        <v>234</v>
      </c>
      <c r="AA24" s="95">
        <v>0</v>
      </c>
    </row>
    <row r="25" spans="2:27">
      <c r="B25" s="134" t="s">
        <v>200</v>
      </c>
      <c r="C25" s="20">
        <f xml:space="preserve"> MATCH(B25, 十五音韻母清單!$H$6:$H$105,0)</f>
        <v>57</v>
      </c>
      <c r="D25" s="20" cm="1">
        <f t="array" ref="D25" xml:space="preserve"> INDEX(十五音韻母清單!$B$6:$K$105, $C25, D$1)</f>
        <v>29</v>
      </c>
      <c r="F25" s="20">
        <v>21</v>
      </c>
      <c r="G25" s="22" t="str" cm="1">
        <f t="array" ref="G25" xml:space="preserve"> INDEX(十五音韻母清單!$B$6:$K$105, $C25, G$1)</f>
        <v>i</v>
      </c>
      <c r="H25" s="22" t="str" cm="1">
        <f t="array" ref="H25" xml:space="preserve"> INDEX(十五音韻母清單!$B$6:$K$105, 韻母碼!$C25,韻母碼!H$1)</f>
        <v>i</v>
      </c>
      <c r="I25" s="20" t="str" cm="1">
        <f t="array" ref="I25" xml:space="preserve"> INDEX(十五音韻母清單!$B$6:$K$105, $C25, I$1)</f>
        <v>居</v>
      </c>
      <c r="J25" s="485" t="str" cm="1">
        <f t="array" ref="J25" xml:space="preserve"> INDEX(十五音韻母清單!$B$6:$K$105, 韻母碼!$C25,韻母碼!J$1)</f>
        <v>ㄧ</v>
      </c>
      <c r="K25" s="22" t="str" cm="1">
        <f t="array" ref="K25" xml:space="preserve"> INDEX(十五音韻母清單!$B$6:$K$105, 韻母碼!$C25,韻母碼!K$1)</f>
        <v>i</v>
      </c>
      <c r="L25" s="22" t="str" cm="1">
        <f t="array" ref="L25" xml:space="preserve"> INDEX(十五音韻母清單!$B$6:$K$105, 韻母碼!$C25,韻母碼!L$1)</f>
        <v>i</v>
      </c>
      <c r="M25" s="22" t="str" cm="1">
        <f t="array" ref="M25" xml:space="preserve"> INDEX(十五音韻母清單!$B$6:$K$105, 韻母碼!$C25,韻母碼!M$1)</f>
        <v>i</v>
      </c>
      <c r="O25" s="418" t="s">
        <v>263</v>
      </c>
      <c r="Q25" s="20">
        <v>21</v>
      </c>
      <c r="R25" s="95">
        <f t="shared" si="0"/>
        <v>11</v>
      </c>
      <c r="S25" s="95">
        <f t="shared" si="1"/>
        <v>1</v>
      </c>
      <c r="T25" s="95" t="str" cm="1">
        <f t="array" ref="T25">IF(S25=1,  INDEX('十五音-韻母'!$D$5:$E$54, $R25, 1), INDEX('十五音-韻母'!$D$5:$E$54, $R25, 2))</f>
        <v>oo</v>
      </c>
      <c r="U25" s="95">
        <f t="shared" si="2"/>
        <v>54</v>
      </c>
      <c r="W25" s="20">
        <v>94</v>
      </c>
      <c r="X25" s="95">
        <v>47</v>
      </c>
      <c r="Y25" s="95">
        <v>0</v>
      </c>
      <c r="Z25" s="95" t="s">
        <v>263</v>
      </c>
      <c r="AA25" s="95">
        <v>0</v>
      </c>
    </row>
    <row r="26" spans="2:27">
      <c r="B26" s="134" t="s">
        <v>306</v>
      </c>
      <c r="C26" s="20">
        <f xml:space="preserve"> MATCH(B26, 十五音韻母清單!$H$6:$H$105,0)</f>
        <v>67</v>
      </c>
      <c r="D26" s="20" cm="1">
        <f t="array" ref="D26" xml:space="preserve"> INDEX(十五音韻母清單!$B$6:$K$105, $C26, D$1)</f>
        <v>34</v>
      </c>
      <c r="F26" s="20">
        <v>22</v>
      </c>
      <c r="G26" s="22" t="str" cm="1">
        <f t="array" ref="G26" xml:space="preserve"> INDEX(十五音韻母清單!$B$6:$K$105, $C26, G$1)</f>
        <v>inn</v>
      </c>
      <c r="H26" s="22" t="str" cm="1">
        <f t="array" ref="H26" xml:space="preserve"> INDEX(十五音韻母清單!$B$6:$K$105, 韻母碼!$C26,韻母碼!H$1)</f>
        <v>ĩ</v>
      </c>
      <c r="I26" s="20" t="str" cm="1">
        <f t="array" ref="I26" xml:space="preserve"> INDEX(十五音韻母清單!$B$6:$K$105, $C26, I$1)</f>
        <v>梔</v>
      </c>
      <c r="J26" s="485" t="str" cm="1">
        <f t="array" ref="J26" xml:space="preserve"> INDEX(十五音韻母清單!$B$6:$K$105, 韻母碼!$C26,韻母碼!J$1)</f>
        <v>ㆪ</v>
      </c>
      <c r="K26" s="22" t="str" cm="1">
        <f t="array" ref="K26" xml:space="preserve"> INDEX(十五音韻母清單!$B$6:$K$105, 韻母碼!$C26,韻母碼!K$1)</f>
        <v>iⁿ</v>
      </c>
      <c r="L26" s="22" t="str" cm="1">
        <f t="array" ref="L26" xml:space="preserve"> INDEX(十五音韻母清單!$B$6:$K$105, 韻母碼!$C26,韻母碼!L$1)</f>
        <v>ni</v>
      </c>
      <c r="M26" s="22" t="str" cm="1">
        <f t="array" ref="M26" xml:space="preserve"> INDEX(十五音韻母清單!$B$6:$K$105, 韻母碼!$C26,韻母碼!M$1)</f>
        <v>inn</v>
      </c>
      <c r="O26" s="418" t="s">
        <v>184</v>
      </c>
      <c r="Q26" s="20">
        <v>22</v>
      </c>
      <c r="R26" s="95">
        <f t="shared" si="0"/>
        <v>11</v>
      </c>
      <c r="S26" s="95">
        <f t="shared" si="1"/>
        <v>0</v>
      </c>
      <c r="T26" s="95" t="str" cm="1">
        <f t="array" ref="T26">IF(S26=1,  INDEX('十五音-韻母'!$D$5:$E$54, $R26, 1), INDEX('十五音-韻母'!$D$5:$E$54, $R26, 2))</f>
        <v>ooh</v>
      </c>
      <c r="U26" s="95">
        <f t="shared" si="2"/>
        <v>0</v>
      </c>
      <c r="W26" s="20">
        <v>95</v>
      </c>
      <c r="X26" s="95">
        <v>48</v>
      </c>
      <c r="Y26" s="95">
        <v>1</v>
      </c>
      <c r="Z26" s="95" t="s">
        <v>184</v>
      </c>
      <c r="AA26" s="95">
        <v>0</v>
      </c>
    </row>
    <row r="27" spans="2:27">
      <c r="B27" s="134" t="s">
        <v>212</v>
      </c>
      <c r="C27" s="20">
        <f xml:space="preserve"> MATCH(B27, 十五音韻母清單!$H$6:$H$105,0)</f>
        <v>47</v>
      </c>
      <c r="D27" s="20" cm="1">
        <f t="array" ref="D27" xml:space="preserve"> INDEX(十五音韻母清單!$B$6:$K$105, $C27, D$1)</f>
        <v>24</v>
      </c>
      <c r="F27" s="20">
        <v>23</v>
      </c>
      <c r="G27" s="22" t="str" cm="1">
        <f t="array" ref="G27" xml:space="preserve"> INDEX(十五音韻母清單!$B$6:$K$105, $C27, G$1)</f>
        <v>ia</v>
      </c>
      <c r="H27" s="22" t="str" cm="1">
        <f t="array" ref="H27" xml:space="preserve"> INDEX(十五音韻母清單!$B$6:$K$105, 韻母碼!$C27,韻母碼!H$1)</f>
        <v>ia</v>
      </c>
      <c r="I27" s="20" t="str" cm="1">
        <f t="array" ref="I27" xml:space="preserve"> INDEX(十五音韻母清單!$B$6:$K$105, $C27, I$1)</f>
        <v>迦</v>
      </c>
      <c r="J27" s="485" t="str" cm="1">
        <f t="array" ref="J27" xml:space="preserve"> INDEX(十五音韻母清單!$B$6:$K$105, 韻母碼!$C27,韻母碼!J$1)</f>
        <v>ㄧㄚ</v>
      </c>
      <c r="K27" s="22" t="str" cm="1">
        <f t="array" ref="K27" xml:space="preserve"> INDEX(十五音韻母清單!$B$6:$K$105, 韻母碼!$C27,韻母碼!K$1)</f>
        <v>ia</v>
      </c>
      <c r="L27" s="22" t="str" cm="1">
        <f t="array" ref="L27" xml:space="preserve"> INDEX(十五音韻母清單!$B$6:$K$105, 韻母碼!$C27,韻母碼!L$1)</f>
        <v>ia</v>
      </c>
      <c r="M27" s="22" t="str" cm="1">
        <f t="array" ref="M27" xml:space="preserve"> INDEX(十五音韻母清單!$B$6:$K$105, 韻母碼!$C27,韻母碼!M$1)</f>
        <v>ia</v>
      </c>
      <c r="O27" s="418" t="s">
        <v>185</v>
      </c>
      <c r="Q27" s="20">
        <v>23</v>
      </c>
      <c r="R27" s="95">
        <f t="shared" si="0"/>
        <v>12</v>
      </c>
      <c r="S27" s="95">
        <f t="shared" si="1"/>
        <v>1</v>
      </c>
      <c r="T27" s="95" t="str" cm="1">
        <f t="array" ref="T27">IF(S27=1,  INDEX('十五音-韻母'!$D$5:$E$54, $R27, 1), INDEX('十五音-韻母'!$D$5:$E$54, $R27, 2))</f>
        <v>iau</v>
      </c>
      <c r="U27" s="95">
        <f t="shared" si="2"/>
        <v>33</v>
      </c>
      <c r="W27" s="20">
        <v>96</v>
      </c>
      <c r="X27" s="95">
        <v>48</v>
      </c>
      <c r="Y27" s="95">
        <v>0</v>
      </c>
      <c r="Z27" s="95" t="s">
        <v>185</v>
      </c>
      <c r="AA27" s="95">
        <v>0</v>
      </c>
    </row>
    <row r="28" spans="2:27">
      <c r="B28" s="134" t="s">
        <v>307</v>
      </c>
      <c r="C28" s="20">
        <f xml:space="preserve"> MATCH(B28, 十五音韻母清單!$H$6:$H$105,0)</f>
        <v>71</v>
      </c>
      <c r="D28" s="20" cm="1">
        <f t="array" ref="D28" xml:space="preserve"> INDEX(十五音韻母清單!$B$6:$K$105, $C28, D$1)</f>
        <v>36</v>
      </c>
      <c r="F28" s="20">
        <v>24</v>
      </c>
      <c r="G28" s="22" t="str" cm="1">
        <f t="array" ref="G28" xml:space="preserve"> INDEX(十五音韻母清單!$B$6:$K$105, $C28, G$1)</f>
        <v>iann</v>
      </c>
      <c r="H28" s="22" t="str" cm="1">
        <f t="array" ref="H28" xml:space="preserve"> INDEX(十五音韻母清單!$B$6:$K$105, 韻母碼!$C28,韻母碼!H$1)</f>
        <v>iã</v>
      </c>
      <c r="I28" s="20" t="str" cm="1">
        <f t="array" ref="I28" xml:space="preserve"> INDEX(十五音韻母清單!$B$6:$K$105, $C28, I$1)</f>
        <v>驚</v>
      </c>
      <c r="J28" s="485" t="str" cm="1">
        <f t="array" ref="J28" xml:space="preserve"> INDEX(十五音韻母清單!$B$6:$K$105, 韻母碼!$C28,韻母碼!J$1)</f>
        <v>ㄧㆩ</v>
      </c>
      <c r="K28" s="22" t="str" cm="1">
        <f t="array" ref="K28" xml:space="preserve"> INDEX(十五音韻母清單!$B$6:$K$105, 韻母碼!$C28,韻母碼!K$1)</f>
        <v>iaⁿ</v>
      </c>
      <c r="L28" s="22" t="str" cm="1">
        <f t="array" ref="L28" xml:space="preserve"> INDEX(十五音韻母清單!$B$6:$K$105, 韻母碼!$C28,韻母碼!L$1)</f>
        <v>nia</v>
      </c>
      <c r="M28" s="22" t="str" cm="1">
        <f t="array" ref="M28" xml:space="preserve"> INDEX(十五音韻母清單!$B$6:$K$105, 韻母碼!$C28,韻母碼!M$1)</f>
        <v>iann</v>
      </c>
      <c r="O28" s="418" t="s">
        <v>268</v>
      </c>
      <c r="Q28" s="20">
        <v>24</v>
      </c>
      <c r="R28" s="95">
        <f t="shared" si="0"/>
        <v>12</v>
      </c>
      <c r="S28" s="95">
        <f t="shared" si="1"/>
        <v>0</v>
      </c>
      <c r="T28" s="95" t="str" cm="1">
        <f t="array" ref="T28">IF(S28=1,  INDEX('十五音-韻母'!$D$5:$E$54, $R28, 1), INDEX('十五音-韻母'!$D$5:$E$54, $R28, 2))</f>
        <v>iauh</v>
      </c>
      <c r="U28" s="95">
        <f t="shared" si="2"/>
        <v>35</v>
      </c>
      <c r="W28" s="20">
        <v>97</v>
      </c>
      <c r="X28" s="95">
        <v>49</v>
      </c>
      <c r="Y28" s="95">
        <v>1</v>
      </c>
      <c r="Z28" s="95" t="s">
        <v>268</v>
      </c>
      <c r="AA28" s="95">
        <v>0</v>
      </c>
    </row>
    <row r="29" spans="2:27">
      <c r="B29" s="134" t="s">
        <v>213</v>
      </c>
      <c r="C29" s="20">
        <f xml:space="preserve"> MATCH(B29, 十五音韻母清單!$H$6:$H$105,0)</f>
        <v>48</v>
      </c>
      <c r="D29" s="20" cm="1">
        <f t="array" ref="D29" xml:space="preserve"> INDEX(十五音韻母清單!$B$6:$K$105, $C29, D$1)</f>
        <v>24</v>
      </c>
      <c r="F29" s="20">
        <v>25</v>
      </c>
      <c r="G29" s="22" t="str" cm="1">
        <f t="array" ref="G29" xml:space="preserve"> INDEX(十五音韻母清單!$B$6:$K$105, $C29, G$1)</f>
        <v>iah</v>
      </c>
      <c r="H29" s="22" t="str" cm="1">
        <f t="array" ref="H29" xml:space="preserve"> INDEX(十五音韻母清單!$B$6:$K$105, 韻母碼!$C29,韻母碼!H$1)</f>
        <v>ia?</v>
      </c>
      <c r="I29" s="20" t="str" cm="1">
        <f t="array" ref="I29" xml:space="preserve"> INDEX(十五音韻母清單!$B$6:$K$105, $C29, I$1)</f>
        <v>迦</v>
      </c>
      <c r="J29" s="485" t="str" cm="1">
        <f t="array" ref="J29" xml:space="preserve"> INDEX(十五音韻母清單!$B$6:$K$105, 韻母碼!$C29,韻母碼!J$1)</f>
        <v>ㄧㄚㆷ</v>
      </c>
      <c r="K29" s="22" t="str" cm="1">
        <f t="array" ref="K29" xml:space="preserve"> INDEX(十五音韻母清單!$B$6:$K$105, 韻母碼!$C29,韻母碼!K$1)</f>
        <v>iah</v>
      </c>
      <c r="L29" s="22" t="str" cm="1">
        <f t="array" ref="L29" xml:space="preserve"> INDEX(十五音韻母清單!$B$6:$K$105, 韻母碼!$C29,韻母碼!L$1)</f>
        <v>iah</v>
      </c>
      <c r="M29" s="22" t="str" cm="1">
        <f t="array" ref="M29" xml:space="preserve"> INDEX(十五音韻母清單!$B$6:$K$105, 韻母碼!$C29,韻母碼!M$1)</f>
        <v>iah</v>
      </c>
      <c r="O29" s="418" t="s">
        <v>308</v>
      </c>
      <c r="Q29" s="20">
        <v>25</v>
      </c>
      <c r="R29" s="95">
        <f t="shared" si="0"/>
        <v>13</v>
      </c>
      <c r="S29" s="95">
        <f t="shared" si="1"/>
        <v>1</v>
      </c>
      <c r="T29" s="95" t="str" cm="1">
        <f t="array" ref="T29">IF(S29=1,  INDEX('十五音-韻母'!$D$5:$E$54, $R29, 1), INDEX('十五音-韻母'!$D$5:$E$54, $R29, 2))</f>
        <v>ei</v>
      </c>
      <c r="U29" s="95">
        <f t="shared" si="2"/>
        <v>0</v>
      </c>
      <c r="W29" s="20">
        <v>98</v>
      </c>
      <c r="X29" s="95">
        <v>49</v>
      </c>
      <c r="Y29" s="95">
        <v>0</v>
      </c>
      <c r="Z29" s="95" t="s">
        <v>308</v>
      </c>
      <c r="AA29" s="95">
        <v>0</v>
      </c>
    </row>
    <row r="30" spans="2:27">
      <c r="B30" s="134" t="s">
        <v>309</v>
      </c>
      <c r="C30" s="20">
        <f xml:space="preserve"> MATCH(B30, 十五音韻母清單!$H$6:$H$105,0)</f>
        <v>72</v>
      </c>
      <c r="D30" s="99" cm="1">
        <f t="array" ref="D30" xml:space="preserve"> INDEX(十五音韻母清單!$B$6:$K$105, $C30, D$1)</f>
        <v>36</v>
      </c>
      <c r="F30" s="20">
        <v>26</v>
      </c>
      <c r="G30" s="100" t="str" cm="1">
        <f t="array" ref="G30" xml:space="preserve"> INDEX(十五音韻母清單!$B$6:$K$105, $C30, G$1)</f>
        <v>iannh</v>
      </c>
      <c r="H30" s="100" t="str" cm="1">
        <f t="array" ref="H30" xml:space="preserve"> INDEX(十五音韻母清單!$B$6:$K$105, 韻母碼!$C30,韻母碼!H$1)</f>
        <v>iã?</v>
      </c>
      <c r="I30" s="99" t="str" cm="1">
        <f t="array" ref="I30" xml:space="preserve"> INDEX(十五音韻母清單!$B$6:$K$105, $C30, I$1)</f>
        <v>驚</v>
      </c>
      <c r="J30" s="486" t="str" cm="1">
        <f t="array" ref="J30" xml:space="preserve"> INDEX(十五音韻母清單!$B$6:$K$105, 韻母碼!$C30,韻母碼!J$1)</f>
        <v>ㄧㆩㆷ</v>
      </c>
      <c r="K30" s="100" t="str" cm="1">
        <f t="array" ref="K30" xml:space="preserve"> INDEX(十五音韻母清單!$B$6:$K$105, 韻母碼!$C30,韻母碼!K$1)</f>
        <v>iahⁿ</v>
      </c>
      <c r="L30" s="100" t="str" cm="1">
        <f t="array" ref="L30" xml:space="preserve"> INDEX(十五音韻母清單!$B$6:$K$105, 韻母碼!$C30,韻母碼!L$1)</f>
        <v>niah</v>
      </c>
      <c r="M30" s="100" t="str" cm="1">
        <f t="array" ref="M30" xml:space="preserve"> INDEX(十五音韻母清單!$B$6:$K$105, 韻母碼!$C30,韻母碼!M$1)</f>
        <v>iannh</v>
      </c>
      <c r="Q30" s="20">
        <v>26</v>
      </c>
      <c r="R30" s="95">
        <f t="shared" si="0"/>
        <v>13</v>
      </c>
      <c r="S30" s="95">
        <f t="shared" si="1"/>
        <v>0</v>
      </c>
      <c r="T30" s="95" t="str" cm="1">
        <f t="array" ref="T30">IF(S30=1,  INDEX('十五音-韻母'!$D$5:$E$54, $R30, 1), INDEX('十五音-韻母'!$D$5:$E$54, $R30, 2))</f>
        <v>eih</v>
      </c>
      <c r="U30" s="95">
        <f t="shared" si="2"/>
        <v>0</v>
      </c>
    </row>
    <row r="31" spans="2:27">
      <c r="B31" s="134" t="s">
        <v>228</v>
      </c>
      <c r="C31" s="20">
        <f xml:space="preserve"> MATCH(B31, 十五音韻母清單!$H$6:$H$105,0)</f>
        <v>36</v>
      </c>
      <c r="D31" s="99" cm="1">
        <f t="array" ref="D31" xml:space="preserve"> INDEX(十五音韻母清單!$B$6:$K$105, $C31, D$1)</f>
        <v>18</v>
      </c>
      <c r="F31" s="20">
        <v>27</v>
      </c>
      <c r="G31" s="100" t="str" cm="1">
        <f t="array" ref="G31" xml:space="preserve"> INDEX(十五音韻母清單!$B$6:$K$105, $C31, G$1)</f>
        <v>iak</v>
      </c>
      <c r="H31" s="100" t="str" cm="1">
        <f t="array" ref="H31" xml:space="preserve"> INDEX(十五音韻母清單!$B$6:$K$105, 韻母碼!$C31,韻母碼!H$1)</f>
        <v>iak̚</v>
      </c>
      <c r="I31" s="99" t="str" cm="1">
        <f t="array" ref="I31" xml:space="preserve"> INDEX(十五音韻母清單!$B$6:$K$105, $C31, I$1)</f>
        <v>姜</v>
      </c>
      <c r="J31" s="486" t="str" cm="1">
        <f t="array" ref="J31" xml:space="preserve"> INDEX(十五音韻母清單!$B$6:$K$105, 韻母碼!$C31,韻母碼!J$1)</f>
        <v>ㄧㄚㆻ</v>
      </c>
      <c r="K31" s="100" t="str" cm="1">
        <f t="array" ref="K31" xml:space="preserve"> INDEX(十五音韻母清單!$B$6:$K$105, 韻母碼!$C31,韻母碼!K$1)</f>
        <v>iak</v>
      </c>
      <c r="L31" s="100" t="str" cm="1">
        <f t="array" ref="L31" xml:space="preserve"> INDEX(十五音韻母清單!$B$6:$K$105, 韻母碼!$C31,韻母碼!L$1)</f>
        <v>iak</v>
      </c>
      <c r="M31" s="100" t="str" cm="1">
        <f t="array" ref="M31" xml:space="preserve"> INDEX(十五音韻母清單!$B$6:$K$105, 韻母碼!$C31,韻母碼!M$1)</f>
        <v>iak</v>
      </c>
      <c r="Q31" s="20">
        <v>27</v>
      </c>
      <c r="R31" s="95">
        <f t="shared" si="0"/>
        <v>14</v>
      </c>
      <c r="S31" s="95">
        <f t="shared" si="1"/>
        <v>1</v>
      </c>
      <c r="T31" s="95" t="str" cm="1">
        <f t="array" ref="T31">IF(S31=1,  INDEX('十五音-韻母'!$D$5:$E$54, $R31, 1), INDEX('十五音-韻母'!$D$5:$E$54, $R31, 2))</f>
        <v>iong</v>
      </c>
      <c r="U31" s="95">
        <f t="shared" si="2"/>
        <v>42</v>
      </c>
    </row>
    <row r="32" spans="2:27">
      <c r="B32" s="134" t="s">
        <v>221</v>
      </c>
      <c r="C32" s="20">
        <f xml:space="preserve"> MATCH(B32, 十五音韻母清單!$H$6:$H$105,0)</f>
        <v>43</v>
      </c>
      <c r="D32" s="20" cm="1">
        <f t="array" ref="D32" xml:space="preserve"> INDEX(十五音韻母清單!$B$6:$K$105, $C32, D$1)</f>
        <v>22</v>
      </c>
      <c r="F32" s="20">
        <v>28</v>
      </c>
      <c r="G32" s="22" t="str" cm="1">
        <f t="array" ref="G32" xml:space="preserve"> INDEX(十五音韻母清單!$B$6:$K$105, $C32, G$1)</f>
        <v>iam</v>
      </c>
      <c r="H32" s="22" t="str" cm="1">
        <f t="array" ref="H32" xml:space="preserve"> INDEX(十五音韻母清單!$B$6:$K$105, 韻母碼!$C32,韻母碼!H$1)</f>
        <v>iam</v>
      </c>
      <c r="I32" s="20" t="str" cm="1">
        <f t="array" ref="I32" xml:space="preserve"> INDEX(十五音韻母清單!$B$6:$K$105, $C32, I$1)</f>
        <v>兼</v>
      </c>
      <c r="J32" s="485" t="str" cm="1">
        <f t="array" ref="J32" xml:space="preserve"> INDEX(十五音韻母清單!$B$6:$K$105, 韻母碼!$C32,韻母碼!J$1)</f>
        <v>ㄧㆰ</v>
      </c>
      <c r="K32" s="22" t="str" cm="1">
        <f t="array" ref="K32" xml:space="preserve"> INDEX(十五音韻母清單!$B$6:$K$105, 韻母碼!$C32,韻母碼!K$1)</f>
        <v>iam</v>
      </c>
      <c r="L32" s="22" t="str" cm="1">
        <f t="array" ref="L32" xml:space="preserve"> INDEX(十五音韻母清單!$B$6:$K$105, 韻母碼!$C32,韻母碼!L$1)</f>
        <v>iam</v>
      </c>
      <c r="M32" s="22" t="str" cm="1">
        <f t="array" ref="M32" xml:space="preserve"> INDEX(十五音韻母清單!$B$6:$K$105, 韻母碼!$C32,韻母碼!M$1)</f>
        <v>iam</v>
      </c>
      <c r="Q32" s="20">
        <v>28</v>
      </c>
      <c r="R32" s="95">
        <f t="shared" si="0"/>
        <v>14</v>
      </c>
      <c r="S32" s="95">
        <f t="shared" si="1"/>
        <v>0</v>
      </c>
      <c r="T32" s="95" t="str" cm="1">
        <f t="array" ref="T32">IF(S32=1,  INDEX('十五音-韻母'!$D$5:$E$54, $R32, 1), INDEX('十五音-韻母'!$D$5:$E$54, $R32, 2))</f>
        <v>iok</v>
      </c>
      <c r="U32" s="95">
        <f t="shared" si="2"/>
        <v>41</v>
      </c>
    </row>
    <row r="33" spans="2:21">
      <c r="B33" s="134" t="s">
        <v>142</v>
      </c>
      <c r="C33" s="20">
        <f xml:space="preserve"> MATCH(B33, 十五音韻母清單!$H$6:$H$105,0)</f>
        <v>3</v>
      </c>
      <c r="D33" s="20" cm="1">
        <f t="array" ref="D33" xml:space="preserve"> INDEX(十五音韻母清單!$B$6:$K$105, $C33, D$1)</f>
        <v>2</v>
      </c>
      <c r="F33" s="20">
        <v>29</v>
      </c>
      <c r="G33" s="22" t="str" cm="1">
        <f t="array" ref="G33" xml:space="preserve"> INDEX(十五音韻母清單!$B$6:$K$105, $C33, G$1)</f>
        <v>ian</v>
      </c>
      <c r="H33" s="22" t="str" cm="1">
        <f t="array" ref="H33" xml:space="preserve"> INDEX(十五音韻母清單!$B$6:$K$105, 韻母碼!$C33,韻母碼!H$1)</f>
        <v>ian</v>
      </c>
      <c r="I33" s="20" t="str" cm="1">
        <f t="array" ref="I33" xml:space="preserve"> INDEX(十五音韻母清單!$B$6:$K$105, $C33, I$1)</f>
        <v>堅</v>
      </c>
      <c r="J33" s="485" t="str" cm="1">
        <f t="array" ref="J33" xml:space="preserve"> INDEX(十五音韻母清單!$B$6:$K$105, 韻母碼!$C33,韻母碼!J$1)</f>
        <v>ㄧㄢ</v>
      </c>
      <c r="K33" s="22" t="str" cm="1">
        <f t="array" ref="K33" xml:space="preserve"> INDEX(十五音韻母清單!$B$6:$K$105, 韻母碼!$C33,韻母碼!K$1)</f>
        <v>ian</v>
      </c>
      <c r="L33" s="22" t="str" cm="1">
        <f t="array" ref="L33" xml:space="preserve"> INDEX(十五音韻母清單!$B$6:$K$105, 韻母碼!$C33,韻母碼!L$1)</f>
        <v>ian</v>
      </c>
      <c r="M33" s="22" t="str" cm="1">
        <f t="array" ref="M33" xml:space="preserve"> INDEX(十五音韻母清單!$B$6:$K$105, 韻母碼!$C33,韻母碼!M$1)</f>
        <v>ian</v>
      </c>
      <c r="Q33" s="20">
        <v>29</v>
      </c>
      <c r="R33" s="95">
        <f t="shared" si="0"/>
        <v>15</v>
      </c>
      <c r="S33" s="95">
        <f t="shared" si="1"/>
        <v>1</v>
      </c>
      <c r="T33" s="95" t="str" cm="1">
        <f t="array" ref="T33">IF(S33=1,  INDEX('十五音-韻母'!$D$5:$E$54, $R33, 1), INDEX('十五音-韻母'!$D$5:$E$54, $R33, 2))</f>
        <v>o</v>
      </c>
      <c r="U33" s="95">
        <f t="shared" si="2"/>
        <v>52</v>
      </c>
    </row>
    <row r="34" spans="2:21">
      <c r="B34" s="134" t="s">
        <v>227</v>
      </c>
      <c r="C34" s="20">
        <f xml:space="preserve"> MATCH(B34, 十五音韻母清單!$H$6:$H$105,0)</f>
        <v>35</v>
      </c>
      <c r="D34" s="20" cm="1">
        <f t="array" ref="D34" xml:space="preserve"> INDEX(十五音韻母清單!$B$6:$K$105, $C34, D$1)</f>
        <v>18</v>
      </c>
      <c r="F34" s="20">
        <v>30</v>
      </c>
      <c r="G34" s="22" t="str" cm="1">
        <f t="array" ref="G34" xml:space="preserve"> INDEX(十五音韻母清單!$B$6:$K$105, $C34, G$1)</f>
        <v>iang</v>
      </c>
      <c r="H34" s="22" t="str" cm="1">
        <f t="array" ref="H34" xml:space="preserve"> INDEX(十五音韻母清單!$B$6:$K$105, 韻母碼!$C34,韻母碼!H$1)</f>
        <v>iaŋ</v>
      </c>
      <c r="I34" s="20" t="str" cm="1">
        <f t="array" ref="I34" xml:space="preserve"> INDEX(十五音韻母清單!$B$6:$K$105, $C34, I$1)</f>
        <v>姜</v>
      </c>
      <c r="J34" s="485" t="str" cm="1">
        <f t="array" ref="J34" xml:space="preserve"> INDEX(十五音韻母清單!$B$6:$K$105, 韻母碼!$C34,韻母碼!J$1)</f>
        <v>ㄧㄤ</v>
      </c>
      <c r="K34" s="22" t="str" cm="1">
        <f t="array" ref="K34" xml:space="preserve"> INDEX(十五音韻母清單!$B$6:$K$105, 韻母碼!$C34,韻母碼!K$1)</f>
        <v>iang</v>
      </c>
      <c r="L34" s="22" t="str" cm="1">
        <f t="array" ref="L34" xml:space="preserve"> INDEX(十五音韻母清單!$B$6:$K$105, 韻母碼!$C34,韻母碼!L$1)</f>
        <v>iang</v>
      </c>
      <c r="M34" s="22" t="str" cm="1">
        <f t="array" ref="M34" xml:space="preserve"> INDEX(十五音韻母清單!$B$6:$K$105, 韻母碼!$C34,韻母碼!M$1)</f>
        <v>iang</v>
      </c>
      <c r="Q34" s="20">
        <v>30</v>
      </c>
      <c r="R34" s="95">
        <f t="shared" si="0"/>
        <v>15</v>
      </c>
      <c r="S34" s="95">
        <f t="shared" si="1"/>
        <v>0</v>
      </c>
      <c r="T34" s="95" t="str" cm="1">
        <f t="array" ref="T34">IF(S34=1,  INDEX('十五音-韻母'!$D$5:$E$54, $R34, 1), INDEX('十五音-韻母'!$D$5:$E$54, $R34, 2))</f>
        <v>oh</v>
      </c>
      <c r="U34" s="95">
        <f t="shared" si="2"/>
        <v>65</v>
      </c>
    </row>
    <row r="35" spans="2:21">
      <c r="B35" s="134" t="s">
        <v>222</v>
      </c>
      <c r="C35" s="20">
        <f xml:space="preserve"> MATCH(B35, 十五音韻母清單!$H$6:$H$105,0)</f>
        <v>44</v>
      </c>
      <c r="D35" s="20" cm="1">
        <f t="array" ref="D35" xml:space="preserve"> INDEX(十五音韻母清單!$B$6:$K$105, $C35, D$1)</f>
        <v>22</v>
      </c>
      <c r="F35" s="20">
        <v>31</v>
      </c>
      <c r="G35" s="22" t="str" cm="1">
        <f t="array" ref="G35" xml:space="preserve"> INDEX(十五音韻母清單!$B$6:$K$105, $C35, G$1)</f>
        <v>iap</v>
      </c>
      <c r="H35" s="22" t="str" cm="1">
        <f t="array" ref="H35" xml:space="preserve"> INDEX(十五音韻母清單!$B$6:$K$105, 韻母碼!$C35,韻母碼!H$1)</f>
        <v>iap̚</v>
      </c>
      <c r="I35" s="20" t="str" cm="1">
        <f t="array" ref="I35" xml:space="preserve"> INDEX(十五音韻母清單!$B$6:$K$105, $C35, I$1)</f>
        <v>兼</v>
      </c>
      <c r="J35" s="485" t="str" cm="1">
        <f t="array" ref="J35" xml:space="preserve"> INDEX(十五音韻母清單!$B$6:$K$105, 韻母碼!$C35,韻母碼!J$1)</f>
        <v>ㄧㄚㆴ</v>
      </c>
      <c r="K35" s="22" t="str" cm="1">
        <f t="array" ref="K35" xml:space="preserve"> INDEX(十五音韻母清單!$B$6:$K$105, 韻母碼!$C35,韻母碼!K$1)</f>
        <v>iap</v>
      </c>
      <c r="L35" s="22" t="str" cm="1">
        <f t="array" ref="L35" xml:space="preserve"> INDEX(十五音韻母清單!$B$6:$K$105, 韻母碼!$C35,韻母碼!L$1)</f>
        <v>iap</v>
      </c>
      <c r="M35" s="22" t="str" cm="1">
        <f t="array" ref="M35" xml:space="preserve"> INDEX(十五音韻母清單!$B$6:$K$105, 韻母碼!$C35,韻母碼!M$1)</f>
        <v>iap</v>
      </c>
      <c r="Q35" s="20">
        <v>31</v>
      </c>
      <c r="R35" s="95">
        <f t="shared" si="0"/>
        <v>16</v>
      </c>
      <c r="S35" s="95">
        <f t="shared" si="1"/>
        <v>1</v>
      </c>
      <c r="T35" s="95" t="str" cm="1">
        <f t="array" ref="T35">IF(S35=1,  INDEX('十五音-韻母'!$D$5:$E$54, $R35, 1), INDEX('十五音-韻母'!$D$5:$E$54, $R35, 2))</f>
        <v>ai</v>
      </c>
      <c r="U35" s="95">
        <f t="shared" si="2"/>
        <v>5</v>
      </c>
    </row>
    <row r="36" spans="2:21">
      <c r="B36" s="134" t="s">
        <v>143</v>
      </c>
      <c r="C36" s="20">
        <f xml:space="preserve"> MATCH(B36, 十五音韻母清單!$H$6:$H$105,0)</f>
        <v>4</v>
      </c>
      <c r="D36" s="20" cm="1">
        <f t="array" ref="D36" xml:space="preserve"> INDEX(十五音韻母清單!$B$6:$K$105, $C36, D$1)</f>
        <v>2</v>
      </c>
      <c r="F36" s="20">
        <v>32</v>
      </c>
      <c r="G36" s="22" t="str" cm="1">
        <f t="array" ref="G36" xml:space="preserve"> INDEX(十五音韻母清單!$B$6:$K$105, $C36, G$1)</f>
        <v>iat</v>
      </c>
      <c r="H36" s="22" t="str" cm="1">
        <f t="array" ref="H36" xml:space="preserve"> INDEX(十五音韻母清單!$B$6:$K$105, 韻母碼!$C36,韻母碼!H$1)</f>
        <v>iat̚</v>
      </c>
      <c r="I36" s="20" t="str" cm="1">
        <f t="array" ref="I36" xml:space="preserve"> INDEX(十五音韻母清單!$B$6:$K$105, $C36, I$1)</f>
        <v>堅</v>
      </c>
      <c r="J36" s="485" t="str" cm="1">
        <f t="array" ref="J36" xml:space="preserve"> INDEX(十五音韻母清單!$B$6:$K$105, 韻母碼!$C36,韻母碼!J$1)</f>
        <v>ㄧㄚㆵ</v>
      </c>
      <c r="K36" s="22" t="str" cm="1">
        <f t="array" ref="K36" xml:space="preserve"> INDEX(十五音韻母清單!$B$6:$K$105, 韻母碼!$C36,韻母碼!K$1)</f>
        <v>iat</v>
      </c>
      <c r="L36" s="22" t="str" cm="1">
        <f t="array" ref="L36" xml:space="preserve"> INDEX(十五音韻母清單!$B$6:$K$105, 韻母碼!$C36,韻母碼!L$1)</f>
        <v>iat</v>
      </c>
      <c r="M36" s="22" t="str" cm="1">
        <f t="array" ref="M36" xml:space="preserve"> INDEX(十五音韻母清單!$B$6:$K$105, 韻母碼!$C36,韻母碼!M$1)</f>
        <v>iat</v>
      </c>
      <c r="Q36" s="20">
        <v>32</v>
      </c>
      <c r="R36" s="95">
        <f t="shared" si="0"/>
        <v>16</v>
      </c>
      <c r="S36" s="95">
        <f t="shared" si="1"/>
        <v>0</v>
      </c>
      <c r="T36" s="95" t="str" cm="1">
        <f t="array" ref="T36">IF(S36=1,  INDEX('十五音-韻母'!$D$5:$E$54, $R36, 1), INDEX('十五音-韻母'!$D$5:$E$54, $R36, 2))</f>
        <v>aih</v>
      </c>
      <c r="U36" s="95">
        <f t="shared" si="2"/>
        <v>0</v>
      </c>
    </row>
    <row r="37" spans="2:21">
      <c r="B37" s="134" t="s">
        <v>197</v>
      </c>
      <c r="C37" s="20">
        <f xml:space="preserve"> MATCH(B37, 十五音韻母清單!$H$6:$H$105,0)</f>
        <v>23</v>
      </c>
      <c r="D37" s="20" cm="1">
        <f t="array" ref="D37" xml:space="preserve"> INDEX(十五音韻母清單!$B$6:$K$105, $C37, D$1)</f>
        <v>12</v>
      </c>
      <c r="F37" s="20">
        <v>33</v>
      </c>
      <c r="G37" s="22" t="str" cm="1">
        <f t="array" ref="G37" xml:space="preserve"> INDEX(十五音韻母清單!$B$6:$K$105, $C37, G$1)</f>
        <v>iau</v>
      </c>
      <c r="H37" s="22" t="str" cm="1">
        <f t="array" ref="H37" xml:space="preserve"> INDEX(十五音韻母清單!$B$6:$K$105, 韻母碼!$C37,韻母碼!H$1)</f>
        <v>iau</v>
      </c>
      <c r="I37" s="20" t="str" cm="1">
        <f t="array" ref="I37" xml:space="preserve"> INDEX(十五音韻母清單!$B$6:$K$105, $C37, I$1)</f>
        <v>嬌</v>
      </c>
      <c r="J37" s="485" t="str" cm="1">
        <f t="array" ref="J37" xml:space="preserve"> INDEX(十五音韻母清單!$B$6:$K$105, 韻母碼!$C37,韻母碼!J$1)</f>
        <v>ㄧㄠ</v>
      </c>
      <c r="K37" s="22" t="str" cm="1">
        <f t="array" ref="K37" xml:space="preserve"> INDEX(十五音韻母清單!$B$6:$K$105, 韻母碼!$C37,韻母碼!K$1)</f>
        <v>iau</v>
      </c>
      <c r="L37" s="22" t="str" cm="1">
        <f t="array" ref="L37" xml:space="preserve"> INDEX(十五音韻母清單!$B$6:$K$105, 韻母碼!$C37,韻母碼!L$1)</f>
        <v>iao</v>
      </c>
      <c r="M37" s="22" t="str" cm="1">
        <f t="array" ref="M37" xml:space="preserve"> INDEX(十五音韻母清單!$B$6:$K$105, 韻母碼!$C37,韻母碼!M$1)</f>
        <v>iau</v>
      </c>
      <c r="Q37" s="20">
        <v>33</v>
      </c>
      <c r="R37" s="95">
        <f t="shared" si="0"/>
        <v>17</v>
      </c>
      <c r="S37" s="95">
        <f t="shared" si="1"/>
        <v>1</v>
      </c>
      <c r="T37" s="95" t="str" cm="1">
        <f t="array" ref="T37">IF(S37=1,  INDEX('十五音-韻母'!$D$5:$E$54, $R37, 1), INDEX('十五音-韻母'!$D$5:$E$54, $R37, 2))</f>
        <v>in</v>
      </c>
      <c r="U37" s="95">
        <f t="shared" si="2"/>
        <v>38</v>
      </c>
    </row>
    <row r="38" spans="2:21">
      <c r="B38" s="134" t="s">
        <v>310</v>
      </c>
      <c r="C38" s="20">
        <f xml:space="preserve"> MATCH(B38, 十五音韻母清單!$H$6:$H$105,0)</f>
        <v>91</v>
      </c>
      <c r="D38" s="20" cm="1">
        <f t="array" ref="D38" xml:space="preserve"> INDEX(十五音韻母清單!$B$6:$K$105, $C38, D$1)</f>
        <v>46</v>
      </c>
      <c r="F38" s="20">
        <v>34</v>
      </c>
      <c r="G38" s="22" t="str" cm="1">
        <f t="array" ref="G38" xml:space="preserve"> INDEX(十五音韻母清單!$B$6:$K$105, $C38, G$1)</f>
        <v>iaunn</v>
      </c>
      <c r="H38" s="22" t="str" cm="1">
        <f t="array" ref="H38" xml:space="preserve"> INDEX(十五音韻母清單!$B$6:$K$105, 韻母碼!$C38,韻母碼!H$1)</f>
        <v>iãu</v>
      </c>
      <c r="I38" s="20" t="str" cm="1">
        <f t="array" ref="I38" xml:space="preserve"> INDEX(十五音韻母清單!$B$6:$K$105, $C38, I$1)</f>
        <v>嘄</v>
      </c>
      <c r="J38" s="485" t="str" cm="1">
        <f t="array" ref="J38" xml:space="preserve"> INDEX(十五音韻母清單!$B$6:$K$105, 韻母碼!$C38,韻母碼!J$1)</f>
        <v>ㄧㆯ</v>
      </c>
      <c r="K38" s="22" t="str" cm="1">
        <f t="array" ref="K38" xml:space="preserve"> INDEX(十五音韻母清單!$B$6:$K$105, 韻母碼!$C38,韻母碼!K$1)</f>
        <v>iauⁿ</v>
      </c>
      <c r="L38" s="22" t="str" cm="1">
        <f t="array" ref="L38" xml:space="preserve"> INDEX(十五音韻母清單!$B$6:$K$105, 韻母碼!$C38,韻母碼!L$1)</f>
        <v>niao</v>
      </c>
      <c r="M38" s="22" t="str" cm="1">
        <f t="array" ref="M38" xml:space="preserve"> INDEX(十五音韻母清單!$B$6:$K$105, 韻母碼!$C38,韻母碼!M$1)</f>
        <v>iaunn</v>
      </c>
      <c r="Q38" s="20">
        <v>34</v>
      </c>
      <c r="R38" s="95">
        <f t="shared" si="0"/>
        <v>17</v>
      </c>
      <c r="S38" s="95">
        <f t="shared" si="1"/>
        <v>0</v>
      </c>
      <c r="T38" s="95" t="str" cm="1">
        <f t="array" ref="T38">IF(S38=1,  INDEX('十五音-韻母'!$D$5:$E$54, $R38, 1), INDEX('十五音-韻母'!$D$5:$E$54, $R38, 2))</f>
        <v>it</v>
      </c>
      <c r="U38" s="95">
        <f t="shared" si="2"/>
        <v>44</v>
      </c>
    </row>
    <row r="39" spans="2:21">
      <c r="B39" s="134" t="s">
        <v>198</v>
      </c>
      <c r="C39" s="20">
        <f xml:space="preserve"> MATCH(B39, 十五音韻母清單!$H$6:$H$105,0)</f>
        <v>24</v>
      </c>
      <c r="D39" s="20" cm="1">
        <f t="array" ref="D39" xml:space="preserve"> INDEX(十五音韻母清單!$B$6:$K$105, $C39, D$1)</f>
        <v>12</v>
      </c>
      <c r="F39" s="20">
        <v>35</v>
      </c>
      <c r="G39" s="22" t="str" cm="1">
        <f t="array" ref="G39" xml:space="preserve"> INDEX(十五音韻母清單!$B$6:$K$105, $C39, G$1)</f>
        <v>iauh</v>
      </c>
      <c r="H39" s="22" t="str" cm="1">
        <f t="array" ref="H39" xml:space="preserve"> INDEX(十五音韻母清單!$B$6:$K$105, 韻母碼!$C39,韻母碼!H$1)</f>
        <v>iau?</v>
      </c>
      <c r="I39" s="20" t="str" cm="1">
        <f t="array" ref="I39" xml:space="preserve"> INDEX(十五音韻母清單!$B$6:$K$105, $C39, I$1)</f>
        <v>嬌</v>
      </c>
      <c r="J39" s="485" t="str" cm="1">
        <f t="array" ref="J39" xml:space="preserve"> INDEX(十五音韻母清單!$B$6:$K$105, 韻母碼!$C39,韻母碼!J$1)</f>
        <v>ㄧㄠㆷ</v>
      </c>
      <c r="K39" s="22" t="str" cm="1">
        <f t="array" ref="K39" xml:space="preserve"> INDEX(十五音韻母清單!$B$6:$K$105, 韻母碼!$C39,韻母碼!K$1)</f>
        <v>iauh</v>
      </c>
      <c r="L39" s="22" t="str" cm="1">
        <f t="array" ref="L39" xml:space="preserve"> INDEX(十五音韻母清單!$B$6:$K$105, 韻母碼!$C39,韻母碼!L$1)</f>
        <v>iaoh</v>
      </c>
      <c r="M39" s="22" t="str" cm="1">
        <f t="array" ref="M39" xml:space="preserve"> INDEX(十五音韻母清單!$B$6:$K$105, 韻母碼!$C39,韻母碼!M$1)</f>
        <v>iauh</v>
      </c>
      <c r="Q39" s="20">
        <v>35</v>
      </c>
      <c r="R39" s="95">
        <f t="shared" si="0"/>
        <v>18</v>
      </c>
      <c r="S39" s="95">
        <f t="shared" si="1"/>
        <v>1</v>
      </c>
      <c r="T39" s="95" t="str" cm="1">
        <f t="array" ref="T39">IF(S39=1,  INDEX('十五音-韻母'!$D$5:$E$54, $R39, 1), INDEX('十五音-韻母'!$D$5:$E$54, $R39, 2))</f>
        <v>iang</v>
      </c>
      <c r="U39" s="95">
        <f t="shared" si="2"/>
        <v>30</v>
      </c>
    </row>
    <row r="40" spans="2:21">
      <c r="B40" s="134" t="s">
        <v>201</v>
      </c>
      <c r="C40" s="20">
        <f xml:space="preserve"> MATCH(B40, 十五音韻母清單!$H$6:$H$105,0)</f>
        <v>58</v>
      </c>
      <c r="D40" s="20" cm="1">
        <f t="array" ref="D40" xml:space="preserve"> INDEX(十五音韻母清單!$B$6:$K$105, $C40, D$1)</f>
        <v>29</v>
      </c>
      <c r="F40" s="20">
        <v>36</v>
      </c>
      <c r="G40" s="22" t="str" cm="1">
        <f t="array" ref="G40" xml:space="preserve"> INDEX(十五音韻母清單!$B$6:$K$105, $C40, G$1)</f>
        <v>ih</v>
      </c>
      <c r="H40" s="22" t="str" cm="1">
        <f t="array" ref="H40" xml:space="preserve"> INDEX(十五音韻母清單!$B$6:$K$105, 韻母碼!$C40,韻母碼!H$1)</f>
        <v>i?</v>
      </c>
      <c r="I40" s="20" t="str" cm="1">
        <f t="array" ref="I40" xml:space="preserve"> INDEX(十五音韻母清單!$B$6:$K$105, $C40, I$1)</f>
        <v>居</v>
      </c>
      <c r="J40" s="485" t="str" cm="1">
        <f t="array" ref="J40" xml:space="preserve"> INDEX(十五音韻母清單!$B$6:$K$105, 韻母碼!$C40,韻母碼!J$1)</f>
        <v>ㄧㆷ</v>
      </c>
      <c r="K40" s="22" t="str" cm="1">
        <f t="array" ref="K40" xml:space="preserve"> INDEX(十五音韻母清單!$B$6:$K$105, 韻母碼!$C40,韻母碼!K$1)</f>
        <v>ih</v>
      </c>
      <c r="L40" s="22" t="str" cm="1">
        <f t="array" ref="L40" xml:space="preserve"> INDEX(十五音韻母清單!$B$6:$K$105, 韻母碼!$C40,韻母碼!L$1)</f>
        <v>ih</v>
      </c>
      <c r="M40" s="22" t="str" cm="1">
        <f t="array" ref="M40" xml:space="preserve"> INDEX(十五音韻母清單!$B$6:$K$105, 韻母碼!$C40,韻母碼!M$1)</f>
        <v>ih</v>
      </c>
      <c r="Q40" s="20">
        <v>36</v>
      </c>
      <c r="R40" s="95">
        <f t="shared" si="0"/>
        <v>18</v>
      </c>
      <c r="S40" s="95">
        <f t="shared" si="1"/>
        <v>0</v>
      </c>
      <c r="T40" s="95" t="str" cm="1">
        <f t="array" ref="T40">IF(S40=1,  INDEX('十五音-韻母'!$D$5:$E$54, $R40, 1), INDEX('十五音-韻母'!$D$5:$E$54, $R40, 2))</f>
        <v>iak</v>
      </c>
      <c r="U40" s="95">
        <f t="shared" si="2"/>
        <v>27</v>
      </c>
    </row>
    <row r="41" spans="2:21">
      <c r="B41" s="134" t="s">
        <v>148</v>
      </c>
      <c r="C41" s="20">
        <f xml:space="preserve"> MATCH(B41, 十五音韻母清單!$H$6:$H$105,0)</f>
        <v>5</v>
      </c>
      <c r="D41" s="20" cm="1">
        <f t="array" ref="D41" xml:space="preserve"> INDEX(十五音韻母清單!$B$6:$K$105, $C41, D$1)</f>
        <v>3</v>
      </c>
      <c r="F41" s="20">
        <v>37</v>
      </c>
      <c r="G41" s="22" t="str" cm="1">
        <f t="array" ref="G41" xml:space="preserve"> INDEX(十五音韻母清單!$B$6:$K$105, $C41, G$1)</f>
        <v>im</v>
      </c>
      <c r="H41" s="22" t="str" cm="1">
        <f t="array" ref="H41" xml:space="preserve"> INDEX(十五音韻母清單!$B$6:$K$105, 韻母碼!$C41,韻母碼!H$1)</f>
        <v>im</v>
      </c>
      <c r="I41" s="20" t="str" cm="1">
        <f t="array" ref="I41" xml:space="preserve"> INDEX(十五音韻母清單!$B$6:$K$105, $C41, I$1)</f>
        <v>金</v>
      </c>
      <c r="J41" s="485" t="str" cm="1">
        <f t="array" ref="J41" xml:space="preserve"> INDEX(十五音韻母清單!$B$6:$K$105, 韻母碼!$C41,韻母碼!J$1)</f>
        <v>ㄧㆬ</v>
      </c>
      <c r="K41" s="22" t="str" cm="1">
        <f t="array" ref="K41" xml:space="preserve"> INDEX(十五音韻母清單!$B$6:$K$105, 韻母碼!$C41,韻母碼!K$1)</f>
        <v>im</v>
      </c>
      <c r="L41" s="22" t="str" cm="1">
        <f t="array" ref="L41" xml:space="preserve"> INDEX(十五音韻母清單!$B$6:$K$105, 韻母碼!$C41,韻母碼!L$1)</f>
        <v>im</v>
      </c>
      <c r="M41" s="22" t="str" cm="1">
        <f t="array" ref="M41" xml:space="preserve"> INDEX(十五音韻母清單!$B$6:$K$105, 韻母碼!$C41,韻母碼!M$1)</f>
        <v>im</v>
      </c>
      <c r="Q41" s="20">
        <v>37</v>
      </c>
      <c r="R41" s="95">
        <f t="shared" si="0"/>
        <v>19</v>
      </c>
      <c r="S41" s="95">
        <f t="shared" si="1"/>
        <v>1</v>
      </c>
      <c r="T41" s="95" t="str" cm="1">
        <f t="array" ref="T41">IF(S41=1,  INDEX('十五音-韻母'!$D$5:$E$54, $R41, 1), INDEX('十五音-韻母'!$D$5:$E$54, $R41, 2))</f>
        <v>am</v>
      </c>
      <c r="U41" s="95">
        <f t="shared" si="2"/>
        <v>8</v>
      </c>
    </row>
    <row r="42" spans="2:21">
      <c r="B42" s="134" t="s">
        <v>224</v>
      </c>
      <c r="C42" s="20">
        <f xml:space="preserve"> MATCH(B42, 十五音韻母清單!$H$6:$H$105,0)</f>
        <v>33</v>
      </c>
      <c r="D42" s="20" cm="1">
        <f t="array" ref="D42" xml:space="preserve"> INDEX(十五音韻母清單!$B$6:$K$105, $C42, D$1)</f>
        <v>17</v>
      </c>
      <c r="F42" s="20">
        <v>38</v>
      </c>
      <c r="G42" s="22" t="str" cm="1">
        <f t="array" ref="G42" xml:space="preserve"> INDEX(十五音韻母清單!$B$6:$K$105, $C42, G$1)</f>
        <v>in</v>
      </c>
      <c r="H42" s="22" t="str" cm="1">
        <f t="array" ref="H42" xml:space="preserve"> INDEX(十五音韻母清單!$B$6:$K$105, 韻母碼!$C42,韻母碼!H$1)</f>
        <v>in</v>
      </c>
      <c r="I42" s="20" t="str" cm="1">
        <f t="array" ref="I42" xml:space="preserve"> INDEX(十五音韻母清單!$B$6:$K$105, $C42, I$1)</f>
        <v>巾</v>
      </c>
      <c r="J42" s="485" t="str" cm="1">
        <f t="array" ref="J42" xml:space="preserve"> INDEX(十五音韻母清單!$B$6:$K$105, 韻母碼!$C42,韻母碼!J$1)</f>
        <v>ㄧㄣ</v>
      </c>
      <c r="K42" s="22" t="str" cm="1">
        <f t="array" ref="K42" xml:space="preserve"> INDEX(十五音韻母清單!$B$6:$K$105, 韻母碼!$C42,韻母碼!K$1)</f>
        <v>in</v>
      </c>
      <c r="L42" s="22" t="str" cm="1">
        <f t="array" ref="L42" xml:space="preserve"> INDEX(十五音韻母清單!$B$6:$K$105, 韻母碼!$C42,韻母碼!L$1)</f>
        <v>in</v>
      </c>
      <c r="M42" s="22" t="str" cm="1">
        <f t="array" ref="M42" xml:space="preserve"> INDEX(十五音韻母清單!$B$6:$K$105, 韻母碼!$C42,韻母碼!M$1)</f>
        <v>in</v>
      </c>
      <c r="Q42" s="20">
        <v>38</v>
      </c>
      <c r="R42" s="95">
        <f t="shared" si="0"/>
        <v>19</v>
      </c>
      <c r="S42" s="95">
        <f t="shared" si="1"/>
        <v>0</v>
      </c>
      <c r="T42" s="95" t="str" cm="1">
        <f t="array" ref="T42">IF(S42=1,  INDEX('十五音-韻母'!$D$5:$E$54, $R42, 1), INDEX('十五音-韻母'!$D$5:$E$54, $R42, 2))</f>
        <v>ap</v>
      </c>
      <c r="U42" s="95">
        <f t="shared" si="2"/>
        <v>11</v>
      </c>
    </row>
    <row r="43" spans="2:21">
      <c r="B43" s="134" t="s">
        <v>236</v>
      </c>
      <c r="C43" s="20">
        <f xml:space="preserve"> MATCH(B43, 十五音韻母清單!$H$6:$H$105,0)</f>
        <v>65</v>
      </c>
      <c r="D43" s="20" cm="1">
        <f t="array" ref="D43" xml:space="preserve"> INDEX(十五音韻母清單!$B$6:$K$105, $C43, D$1)</f>
        <v>33</v>
      </c>
      <c r="F43" s="20">
        <v>39</v>
      </c>
      <c r="G43" s="22" t="str" cm="1">
        <f t="array" ref="G43" xml:space="preserve"> INDEX(十五音韻母清單!$B$6:$K$105, $C43, G$1)</f>
        <v>io</v>
      </c>
      <c r="H43" s="22" t="str" cm="1">
        <f t="array" ref="H43" xml:space="preserve"> INDEX(十五音韻母清單!$B$6:$K$105, 韻母碼!$C43,韻母碼!H$1)</f>
        <v>io</v>
      </c>
      <c r="I43" s="20" t="str" cm="1">
        <f t="array" ref="I43" xml:space="preserve"> INDEX(十五音韻母清單!$B$6:$K$105, $C43, I$1)</f>
        <v>茄</v>
      </c>
      <c r="J43" s="485" t="str" cm="1">
        <f t="array" ref="J43" xml:space="preserve"> INDEX(十五音韻母清單!$B$6:$K$105, 韻母碼!$C43,韻母碼!J$1)</f>
        <v>ㄧㄜ</v>
      </c>
      <c r="K43" s="22" t="str" cm="1">
        <f t="array" ref="K43" xml:space="preserve"> INDEX(十五音韻母清單!$B$6:$K$105, 韻母碼!$C43,韻母碼!K$1)</f>
        <v>io</v>
      </c>
      <c r="L43" s="22" t="str" cm="1">
        <f t="array" ref="L43" xml:space="preserve"> INDEX(十五音韻母清單!$B$6:$K$105, 韻母碼!$C43,韻母碼!L$1)</f>
        <v>io</v>
      </c>
      <c r="M43" s="22" t="str" cm="1">
        <f t="array" ref="M43" xml:space="preserve"> INDEX(十五音韻母清單!$B$6:$K$105, 韻母碼!$C43,韻母碼!M$1)</f>
        <v>io</v>
      </c>
      <c r="Q43" s="20">
        <v>39</v>
      </c>
      <c r="R43" s="95">
        <f t="shared" si="0"/>
        <v>20</v>
      </c>
      <c r="S43" s="95">
        <f t="shared" si="1"/>
        <v>1</v>
      </c>
      <c r="T43" s="95" t="str" cm="1">
        <f t="array" ref="T43">IF(S43=1,  INDEX('十五音-韻母'!$D$5:$E$54, $R43, 1), INDEX('十五音-韻母'!$D$5:$E$54, $R43, 2))</f>
        <v>ua</v>
      </c>
      <c r="U43" s="95">
        <f t="shared" si="2"/>
        <v>55</v>
      </c>
    </row>
    <row r="44" spans="2:21">
      <c r="B44" s="134" t="s">
        <v>237</v>
      </c>
      <c r="C44" s="20">
        <f xml:space="preserve"> MATCH(B44, 十五音韻母清單!$H$6:$H$105,0)</f>
        <v>66</v>
      </c>
      <c r="D44" s="20" cm="1">
        <f t="array" ref="D44" xml:space="preserve"> INDEX(十五音韻母清單!$B$6:$K$105, $C44, D$1)</f>
        <v>33</v>
      </c>
      <c r="F44" s="20">
        <v>40</v>
      </c>
      <c r="G44" s="22" t="str" cm="1">
        <f t="array" ref="G44" xml:space="preserve"> INDEX(十五音韻母清單!$B$6:$K$105, $C44, G$1)</f>
        <v>ioh</v>
      </c>
      <c r="H44" s="22" t="str" cm="1">
        <f t="array" ref="H44" xml:space="preserve"> INDEX(十五音韻母清單!$B$6:$K$105, 韻母碼!$C44,韻母碼!H$1)</f>
        <v>io?</v>
      </c>
      <c r="I44" s="20" t="str" cm="1">
        <f t="array" ref="I44" xml:space="preserve"> INDEX(十五音韻母清單!$B$6:$K$105, $C44, I$1)</f>
        <v>茄</v>
      </c>
      <c r="J44" s="485" t="str" cm="1">
        <f t="array" ref="J44" xml:space="preserve"> INDEX(十五音韻母清單!$B$6:$K$105, 韻母碼!$C44,韻母碼!J$1)</f>
        <v>ㄧㄜㆷ</v>
      </c>
      <c r="K44" s="22" t="str" cm="1">
        <f t="array" ref="K44" xml:space="preserve"> INDEX(十五音韻母清單!$B$6:$K$105, 韻母碼!$C44,韻母碼!K$1)</f>
        <v>ioh</v>
      </c>
      <c r="L44" s="22" t="str" cm="1">
        <f t="array" ref="L44" xml:space="preserve"> INDEX(十五音韻母清單!$B$6:$K$105, 韻母碼!$C44,韻母碼!L$1)</f>
        <v>ioh</v>
      </c>
      <c r="M44" s="22" t="str" cm="1">
        <f t="array" ref="M44" xml:space="preserve"> INDEX(十五音韻母清單!$B$6:$K$105, 韻母碼!$C44,韻母碼!M$1)</f>
        <v>ioh</v>
      </c>
      <c r="Q44" s="20">
        <v>40</v>
      </c>
      <c r="R44" s="95">
        <f t="shared" si="0"/>
        <v>20</v>
      </c>
      <c r="S44" s="95">
        <f t="shared" si="1"/>
        <v>0</v>
      </c>
      <c r="T44" s="95" t="str" cm="1">
        <f t="array" ref="T44">IF(S44=1,  INDEX('十五音-韻母'!$D$5:$E$54, $R44, 1), INDEX('十五音-韻母'!$D$5:$E$54, $R44, 2))</f>
        <v>uah</v>
      </c>
      <c r="U44" s="95">
        <f t="shared" si="2"/>
        <v>57</v>
      </c>
    </row>
    <row r="45" spans="2:21">
      <c r="B45" s="134" t="s">
        <v>210</v>
      </c>
      <c r="C45" s="20">
        <f xml:space="preserve"> MATCH(B45, 十五音韻母清單!$H$6:$H$105,0)</f>
        <v>28</v>
      </c>
      <c r="D45" s="20" cm="1">
        <f t="array" ref="D45" xml:space="preserve"> INDEX(十五音韻母清單!$B$6:$K$105, $C45, D$1)</f>
        <v>14</v>
      </c>
      <c r="F45" s="20">
        <v>41</v>
      </c>
      <c r="G45" s="22" t="str" cm="1">
        <f t="array" ref="G45" xml:space="preserve"> INDEX(十五音韻母清單!$B$6:$K$105, $C45, G$1)</f>
        <v>iok</v>
      </c>
      <c r="H45" s="22" t="str" cm="1">
        <f t="array" ref="H45" xml:space="preserve"> INDEX(十五音韻母清單!$B$6:$K$105, 韻母碼!$C45,韻母碼!H$1)</f>
        <v>iɔk̚</v>
      </c>
      <c r="I45" s="20" t="str" cm="1">
        <f t="array" ref="I45" xml:space="preserve"> INDEX(十五音韻母清單!$B$6:$K$105, $C45, I$1)</f>
        <v>恭</v>
      </c>
      <c r="J45" s="485" t="str" cm="1">
        <f t="array" ref="J45" xml:space="preserve"> INDEX(十五音韻母清單!$B$6:$K$105, 韻母碼!$C45,韻母碼!J$1)</f>
        <v>ㄧㆦㆻ</v>
      </c>
      <c r="K45" s="22" t="str" cm="1">
        <f t="array" ref="K45" xml:space="preserve"> INDEX(十五音韻母清單!$B$6:$K$105, 韻母碼!$C45,韻母碼!K$1)</f>
        <v>iok</v>
      </c>
      <c r="L45" s="22" t="str" cm="1">
        <f t="array" ref="L45" xml:space="preserve"> INDEX(十五音韻母清單!$B$6:$K$105, 韻母碼!$C45,韻母碼!L$1)</f>
        <v>iok</v>
      </c>
      <c r="M45" s="22" t="str" cm="1">
        <f t="array" ref="M45" xml:space="preserve"> INDEX(十五音韻母清單!$B$6:$K$105, 韻母碼!$C45,韻母碼!M$1)</f>
        <v>iok</v>
      </c>
      <c r="Q45" s="20">
        <v>41</v>
      </c>
      <c r="R45" s="95">
        <f t="shared" si="0"/>
        <v>21</v>
      </c>
      <c r="S45" s="95">
        <f t="shared" si="1"/>
        <v>1</v>
      </c>
      <c r="T45" s="95" t="str" cm="1">
        <f t="array" ref="T45">IF(S45=1,  INDEX('十五音-韻母'!$D$5:$E$54, $R45, 1), INDEX('十五音-韻母'!$D$5:$E$54, $R45, 2))</f>
        <v>ang</v>
      </c>
      <c r="U45" s="95">
        <f t="shared" si="2"/>
        <v>10</v>
      </c>
    </row>
    <row r="46" spans="2:21">
      <c r="B46" s="134" t="s">
        <v>209</v>
      </c>
      <c r="C46" s="20">
        <f xml:space="preserve"> MATCH(B46, 十五音韻母清單!$H$6:$H$105,0)</f>
        <v>27</v>
      </c>
      <c r="D46" s="20" cm="1">
        <f t="array" ref="D46" xml:space="preserve"> INDEX(十五音韻母清單!$B$6:$K$105, $C46, D$1)</f>
        <v>14</v>
      </c>
      <c r="F46" s="20">
        <v>42</v>
      </c>
      <c r="G46" s="22" t="str" cm="1">
        <f t="array" ref="G46" xml:space="preserve"> INDEX(十五音韻母清單!$B$6:$K$105, $C46, G$1)</f>
        <v>iong</v>
      </c>
      <c r="H46" s="22" t="str" cm="1">
        <f t="array" ref="H46" xml:space="preserve"> INDEX(十五音韻母清單!$B$6:$K$105, 韻母碼!$C46,韻母碼!H$1)</f>
        <v>iɔŋ</v>
      </c>
      <c r="I46" s="20" t="str" cm="1">
        <f t="array" ref="I46" xml:space="preserve"> INDEX(十五音韻母清單!$B$6:$K$105, $C46, I$1)</f>
        <v>恭</v>
      </c>
      <c r="J46" s="485" t="str" cm="1">
        <f t="array" ref="J46" xml:space="preserve"> INDEX(十五音韻母清單!$B$6:$K$105, 韻母碼!$C46,韻母碼!J$1)</f>
        <v>ㄧㆲ</v>
      </c>
      <c r="K46" s="22" t="str" cm="1">
        <f t="array" ref="K46" xml:space="preserve"> INDEX(十五音韻母清單!$B$6:$K$105, 韻母碼!$C46,韻母碼!K$1)</f>
        <v>iong</v>
      </c>
      <c r="L46" s="22" t="str" cm="1">
        <f t="array" ref="L46" xml:space="preserve"> INDEX(十五音韻母清單!$B$6:$K$105, 韻母碼!$C46,韻母碼!L$1)</f>
        <v>iong</v>
      </c>
      <c r="M46" s="22" t="str" cm="1">
        <f t="array" ref="M46" xml:space="preserve"> INDEX(十五音韻母清單!$B$6:$K$105, 韻母碼!$C46,韻母碼!M$1)</f>
        <v>iong</v>
      </c>
      <c r="Q46" s="20">
        <v>42</v>
      </c>
      <c r="R46" s="95">
        <f t="shared" si="0"/>
        <v>21</v>
      </c>
      <c r="S46" s="95">
        <f t="shared" si="1"/>
        <v>0</v>
      </c>
      <c r="T46" s="95" t="str" cm="1">
        <f t="array" ref="T46">IF(S46=1,  INDEX('十五音-韻母'!$D$5:$E$54, $R46, 1), INDEX('十五音-韻母'!$D$5:$E$54, $R46, 2))</f>
        <v>ak</v>
      </c>
      <c r="U46" s="95">
        <f t="shared" si="2"/>
        <v>7</v>
      </c>
    </row>
    <row r="47" spans="2:21">
      <c r="B47" s="134" t="s">
        <v>149</v>
      </c>
      <c r="C47" s="20">
        <f xml:space="preserve"> MATCH(B47, 十五音韻母清單!$H$6:$H$105,0)</f>
        <v>6</v>
      </c>
      <c r="D47" s="20" cm="1">
        <f t="array" ref="D47" xml:space="preserve"> INDEX(十五音韻母清單!$B$6:$K$105, $C47, D$1)</f>
        <v>3</v>
      </c>
      <c r="F47" s="20">
        <v>43</v>
      </c>
      <c r="G47" s="22" t="str" cm="1">
        <f t="array" ref="G47" xml:space="preserve"> INDEX(十五音韻母清單!$B$6:$K$105, $C47, G$1)</f>
        <v>ip</v>
      </c>
      <c r="H47" s="22" t="str" cm="1">
        <f t="array" ref="H47" xml:space="preserve"> INDEX(十五音韻母清單!$B$6:$K$105, 韻母碼!$C47,韻母碼!H$1)</f>
        <v>ip̚</v>
      </c>
      <c r="I47" s="20" t="str" cm="1">
        <f t="array" ref="I47" xml:space="preserve"> INDEX(十五音韻母清單!$B$6:$K$105, $C47, I$1)</f>
        <v>金</v>
      </c>
      <c r="J47" s="485" t="str" cm="1">
        <f t="array" ref="J47" xml:space="preserve"> INDEX(十五音韻母清單!$B$6:$K$105, 韻母碼!$C47,韻母碼!J$1)</f>
        <v>ㄧㆴ</v>
      </c>
      <c r="K47" s="22" t="str" cm="1">
        <f t="array" ref="K47" xml:space="preserve"> INDEX(十五音韻母清單!$B$6:$K$105, 韻母碼!$C47,韻母碼!K$1)</f>
        <v>ip</v>
      </c>
      <c r="L47" s="22" t="str" cm="1">
        <f t="array" ref="L47" xml:space="preserve"> INDEX(十五音韻母清單!$B$6:$K$105, 韻母碼!$C47,韻母碼!L$1)</f>
        <v>ip</v>
      </c>
      <c r="M47" s="22" t="str" cm="1">
        <f t="array" ref="M47" xml:space="preserve"> INDEX(十五音韻母清單!$B$6:$K$105, 韻母碼!$C47,韻母碼!M$1)</f>
        <v>ip</v>
      </c>
      <c r="Q47" s="20">
        <v>43</v>
      </c>
      <c r="R47" s="95">
        <f t="shared" si="0"/>
        <v>22</v>
      </c>
      <c r="S47" s="95">
        <f t="shared" si="1"/>
        <v>1</v>
      </c>
      <c r="T47" s="95" t="str" cm="1">
        <f t="array" ref="T47">IF(S47=1,  INDEX('十五音-韻母'!$D$5:$E$54, $R47, 1), INDEX('十五音-韻母'!$D$5:$E$54, $R47, 2))</f>
        <v>iam</v>
      </c>
      <c r="U47" s="95">
        <f t="shared" si="2"/>
        <v>28</v>
      </c>
    </row>
    <row r="48" spans="2:21">
      <c r="B48" s="134" t="s">
        <v>225</v>
      </c>
      <c r="C48" s="20">
        <f xml:space="preserve"> MATCH(B48, 十五音韻母清單!$H$6:$H$105,0)</f>
        <v>34</v>
      </c>
      <c r="D48" s="20" cm="1">
        <f t="array" ref="D48" xml:space="preserve"> INDEX(十五音韻母清單!$B$6:$K$105, $C48, D$1)</f>
        <v>17</v>
      </c>
      <c r="F48" s="20">
        <v>44</v>
      </c>
      <c r="G48" s="22" t="str" cm="1">
        <f t="array" ref="G48" xml:space="preserve"> INDEX(十五音韻母清單!$B$6:$K$105, $C48, G$1)</f>
        <v>it</v>
      </c>
      <c r="H48" s="22" t="str" cm="1">
        <f t="array" ref="H48" xml:space="preserve"> INDEX(十五音韻母清單!$B$6:$K$105, 韻母碼!$C48,韻母碼!H$1)</f>
        <v>it̚</v>
      </c>
      <c r="I48" s="20" t="str" cm="1">
        <f t="array" ref="I48" xml:space="preserve"> INDEX(十五音韻母清單!$B$6:$K$105, $C48, I$1)</f>
        <v>巾</v>
      </c>
      <c r="J48" s="485" t="str" cm="1">
        <f t="array" ref="J48" xml:space="preserve"> INDEX(十五音韻母清單!$B$6:$K$105, 韻母碼!$C48,韻母碼!J$1)</f>
        <v>ㄧㆵ</v>
      </c>
      <c r="K48" s="22" t="str" cm="1">
        <f t="array" ref="K48" xml:space="preserve"> INDEX(十五音韻母清單!$B$6:$K$105, 韻母碼!$C48,韻母碼!K$1)</f>
        <v>it</v>
      </c>
      <c r="L48" s="22" t="str" cm="1">
        <f t="array" ref="L48" xml:space="preserve"> INDEX(十五音韻母清單!$B$6:$K$105, 韻母碼!$C48,韻母碼!L$1)</f>
        <v>it</v>
      </c>
      <c r="M48" s="22" t="str" cm="1">
        <f t="array" ref="M48" xml:space="preserve"> INDEX(十五音韻母清單!$B$6:$K$105, 韻母碼!$C48,韻母碼!M$1)</f>
        <v>it</v>
      </c>
      <c r="Q48" s="20">
        <v>44</v>
      </c>
      <c r="R48" s="95">
        <f t="shared" si="0"/>
        <v>22</v>
      </c>
      <c r="S48" s="95">
        <f t="shared" si="1"/>
        <v>0</v>
      </c>
      <c r="T48" s="95" t="str" cm="1">
        <f t="array" ref="T48">IF(S48=1,  INDEX('十五音-韻母'!$D$5:$E$54, $R48, 1), INDEX('十五音-韻母'!$D$5:$E$54, $R48, 2))</f>
        <v>iap</v>
      </c>
      <c r="U48" s="95">
        <f t="shared" si="2"/>
        <v>31</v>
      </c>
    </row>
    <row r="49" spans="2:21">
      <c r="B49" s="134" t="s">
        <v>242</v>
      </c>
      <c r="C49" s="20">
        <f xml:space="preserve"> MATCH(B49, 十五音韻母清單!$H$6:$H$105,0)</f>
        <v>59</v>
      </c>
      <c r="D49" s="20" cm="1">
        <f t="array" ref="D49" xml:space="preserve"> INDEX(十五音韻母清單!$B$6:$K$105, $C49, D$1)</f>
        <v>30</v>
      </c>
      <c r="F49" s="20">
        <v>45</v>
      </c>
      <c r="G49" s="22" t="str" cm="1">
        <f t="array" ref="G49" xml:space="preserve"> INDEX(十五音韻母清單!$B$6:$K$105, $C49, G$1)</f>
        <v>iu</v>
      </c>
      <c r="H49" s="22" t="str" cm="1">
        <f t="array" ref="H49" xml:space="preserve"> INDEX(十五音韻母清單!$B$6:$K$105, 韻母碼!$C49,韻母碼!H$1)</f>
        <v>iu</v>
      </c>
      <c r="I49" s="20" t="str" cm="1">
        <f t="array" ref="I49" xml:space="preserve"> INDEX(十五音韻母清單!$B$6:$K$105, $C49, I$1)</f>
        <v>丩</v>
      </c>
      <c r="J49" s="485" t="str" cm="1">
        <f t="array" ref="J49" xml:space="preserve"> INDEX(十五音韻母清單!$B$6:$K$105, 韻母碼!$C49,韻母碼!J$1)</f>
        <v>ㄧㄨ</v>
      </c>
      <c r="K49" s="22" t="str" cm="1">
        <f t="array" ref="K49" xml:space="preserve"> INDEX(十五音韻母清單!$B$6:$K$105, 韻母碼!$C49,韻母碼!K$1)</f>
        <v>iu</v>
      </c>
      <c r="L49" s="22" t="str" cm="1">
        <f t="array" ref="L49" xml:space="preserve"> INDEX(十五音韻母清單!$B$6:$K$105, 韻母碼!$C49,韻母碼!L$1)</f>
        <v>iu</v>
      </c>
      <c r="M49" s="22" t="str" cm="1">
        <f t="array" ref="M49" xml:space="preserve"> INDEX(十五音韻母清單!$B$6:$K$105, 韻母碼!$C49,韻母碼!M$1)</f>
        <v>iu</v>
      </c>
      <c r="Q49" s="20">
        <v>45</v>
      </c>
      <c r="R49" s="95">
        <f t="shared" si="0"/>
        <v>23</v>
      </c>
      <c r="S49" s="95">
        <f t="shared" si="1"/>
        <v>1</v>
      </c>
      <c r="T49" s="95" t="str" cm="1">
        <f t="array" ref="T49">IF(S49=1,  INDEX('十五音-韻母'!$D$5:$E$54, $R49, 1), INDEX('十五音-韻母'!$D$5:$E$54, $R49, 2))</f>
        <v>au</v>
      </c>
      <c r="U49" s="95">
        <f t="shared" si="2"/>
        <v>13</v>
      </c>
    </row>
    <row r="50" spans="2:21">
      <c r="B50" s="134" t="s">
        <v>311</v>
      </c>
      <c r="C50" s="20">
        <f xml:space="preserve"> MATCH(B50, 十五音韻母清單!$H$6:$H$105,0)</f>
        <v>99</v>
      </c>
      <c r="D50" s="20" cm="1">
        <f t="array" ref="D50" xml:space="preserve"> INDEX(十五音韻母清單!$B$6:$K$105, $C50, D$1)</f>
        <v>50</v>
      </c>
      <c r="F50" s="20">
        <v>46</v>
      </c>
      <c r="G50" s="22" t="str" cm="1">
        <f t="array" ref="G50" xml:space="preserve"> INDEX(十五音韻母清單!$B$6:$K$105, $C50, G$1)</f>
        <v>iunn</v>
      </c>
      <c r="H50" s="22" t="str" cm="1">
        <f t="array" ref="H50" xml:space="preserve"> INDEX(十五音韻母清單!$B$6:$K$105, 韻母碼!$C50,韻母碼!H$1)</f>
        <v>iũ</v>
      </c>
      <c r="I50" s="20" t="str" cm="1">
        <f t="array" ref="I50" xml:space="preserve"> INDEX(十五音韻母清單!$B$6:$K$105, $C50, I$1)</f>
        <v>牛</v>
      </c>
      <c r="J50" s="485" t="str" cm="1">
        <f t="array" ref="J50" xml:space="preserve"> INDEX(十五音韻母清單!$B$6:$K$105, 韻母碼!$C50,韻母碼!J$1)</f>
        <v>ㄧㆫ</v>
      </c>
      <c r="K50" s="22" t="str" cm="1">
        <f t="array" ref="K50" xml:space="preserve"> INDEX(十五音韻母清單!$B$6:$K$105, 韻母碼!$C50,韻母碼!K$1)</f>
        <v>iuⁿ</v>
      </c>
      <c r="L50" s="22" t="str" cm="1">
        <f t="array" ref="L50" xml:space="preserve"> INDEX(十五音韻母清單!$B$6:$K$105, 韻母碼!$C50,韻母碼!L$1)</f>
        <v>niu</v>
      </c>
      <c r="M50" s="22" t="str" cm="1">
        <f t="array" ref="M50" xml:space="preserve"> INDEX(十五音韻母清單!$B$6:$K$105, 韻母碼!$C50,韻母碼!M$1)</f>
        <v>iunn</v>
      </c>
      <c r="Q50" s="20">
        <v>46</v>
      </c>
      <c r="R50" s="95">
        <f t="shared" si="0"/>
        <v>23</v>
      </c>
      <c r="S50" s="95">
        <f t="shared" si="1"/>
        <v>0</v>
      </c>
      <c r="T50" s="95" t="str" cm="1">
        <f t="array" ref="T50">IF(S50=1,  INDEX('十五音-韻母'!$D$5:$E$54, $R50, 1), INDEX('十五音-韻母'!$D$5:$E$54, $R50, 2))</f>
        <v>auh</v>
      </c>
      <c r="U50" s="95">
        <f t="shared" si="2"/>
        <v>14</v>
      </c>
    </row>
    <row r="51" spans="2:21">
      <c r="B51" s="134" t="s">
        <v>312</v>
      </c>
      <c r="C51" s="20">
        <f xml:space="preserve"> MATCH(B51, 十五音韻母清單!$H$6:$H$105,0)</f>
        <v>100</v>
      </c>
      <c r="D51" s="99" cm="1">
        <f t="array" ref="D51" xml:space="preserve"> INDEX(十五音韻母清單!$B$6:$K$105, $C51, D$1)</f>
        <v>50</v>
      </c>
      <c r="F51" s="20">
        <v>47</v>
      </c>
      <c r="G51" s="100" t="str" cm="1">
        <f t="array" ref="G51" xml:space="preserve"> INDEX(十五音韻母清單!$B$6:$K$105, $C51, G$1)</f>
        <v>iunnh</v>
      </c>
      <c r="H51" s="100" t="str" cm="1">
        <f t="array" ref="H51" xml:space="preserve"> INDEX(十五音韻母清單!$B$6:$K$105, 韻母碼!$C51,韻母碼!H$1)</f>
        <v>iũh</v>
      </c>
      <c r="I51" s="99" t="str" cm="1">
        <f t="array" ref="I51" xml:space="preserve"> INDEX(十五音韻母清單!$B$6:$K$105, $C51, I$1)</f>
        <v>牛</v>
      </c>
      <c r="J51" s="486" t="str" cm="1">
        <f t="array" ref="J51" xml:space="preserve"> INDEX(十五音韻母清單!$B$6:$K$105, 韻母碼!$C51,韻母碼!J$1)</f>
        <v>ㄧㆫㆷ</v>
      </c>
      <c r="K51" s="100" t="str" cm="1">
        <f t="array" ref="K51" xml:space="preserve"> INDEX(十五音韻母清單!$B$6:$K$105, 韻母碼!$C51,韻母碼!K$1)</f>
        <v>iuhⁿ</v>
      </c>
      <c r="L51" s="100" t="str" cm="1">
        <f t="array" ref="L51" xml:space="preserve"> INDEX(十五音韻母清單!$B$6:$K$105, 韻母碼!$C51,韻母碼!L$1)</f>
        <v>niuh</v>
      </c>
      <c r="M51" s="100" t="str" cm="1">
        <f t="array" ref="M51" xml:space="preserve"> INDEX(十五音韻母清單!$B$6:$K$105, 韻母碼!$C51,韻母碼!M$1)</f>
        <v>iunnh</v>
      </c>
      <c r="Q51" s="20">
        <v>47</v>
      </c>
      <c r="R51" s="95">
        <f t="shared" si="0"/>
        <v>24</v>
      </c>
      <c r="S51" s="95">
        <f t="shared" si="1"/>
        <v>1</v>
      </c>
      <c r="T51" s="95" t="str" cm="1">
        <f t="array" ref="T51">IF(S51=1,  INDEX('十五音-韻母'!$D$5:$E$54, $R51, 1), INDEX('十五音-韻母'!$D$5:$E$54, $R51, 2))</f>
        <v>ia</v>
      </c>
      <c r="U51" s="95">
        <f t="shared" si="2"/>
        <v>23</v>
      </c>
    </row>
    <row r="52" spans="2:21">
      <c r="B52" s="134" t="s">
        <v>27</v>
      </c>
      <c r="C52" s="20">
        <f xml:space="preserve"> MATCH(B52, 十五音韻母清單!$H$6:$H$105,0)</f>
        <v>83</v>
      </c>
      <c r="D52" s="20" cm="1">
        <f t="array" ref="D52" xml:space="preserve"> INDEX(十五音韻母清單!$B$6:$K$105, $C52, D$1)</f>
        <v>42</v>
      </c>
      <c r="F52" s="20">
        <v>48</v>
      </c>
      <c r="G52" s="22" t="str" cm="1">
        <f t="array" ref="G52" xml:space="preserve"> INDEX(十五音韻母清單!$B$6:$K$105, $C52, G$1)</f>
        <v>m</v>
      </c>
      <c r="H52" s="22" t="str" cm="1">
        <f t="array" ref="H52" xml:space="preserve"> INDEX(十五音韻母清單!$B$6:$K$105, 韻母碼!$C52,韻母碼!H$1)</f>
        <v>m</v>
      </c>
      <c r="I52" s="20" t="str" cm="1">
        <f t="array" ref="I52" xml:space="preserve"> INDEX(十五音韻母清單!$B$6:$K$105, $C52, I$1)</f>
        <v>姆</v>
      </c>
      <c r="J52" s="485" t="str" cm="1">
        <f t="array" ref="J52" xml:space="preserve"> INDEX(十五音韻母清單!$B$6:$K$105, 韻母碼!$C52,韻母碼!J$1)</f>
        <v>ㆬ</v>
      </c>
      <c r="K52" s="22" t="str" cm="1">
        <f t="array" ref="K52" xml:space="preserve"> INDEX(十五音韻母清單!$B$6:$K$105, 韻母碼!$C52,韻母碼!K$1)</f>
        <v>m</v>
      </c>
      <c r="L52" s="22" t="str" cm="1">
        <f t="array" ref="L52" xml:space="preserve"> INDEX(十五音韻母清單!$B$6:$K$105, 韻母碼!$C52,韻母碼!L$1)</f>
        <v>m</v>
      </c>
      <c r="M52" s="22" t="str" cm="1">
        <f t="array" ref="M52" xml:space="preserve"> INDEX(十五音韻母清單!$B$6:$K$105, 韻母碼!$C52,韻母碼!M$1)</f>
        <v>m</v>
      </c>
      <c r="Q52" s="20">
        <v>48</v>
      </c>
      <c r="R52" s="95">
        <f t="shared" si="0"/>
        <v>24</v>
      </c>
      <c r="S52" s="95">
        <f t="shared" si="1"/>
        <v>0</v>
      </c>
      <c r="T52" s="95" t="str" cm="1">
        <f t="array" ref="T52">IF(S52=1,  INDEX('十五音-韻母'!$D$5:$E$54, $R52, 1), INDEX('十五音-韻母'!$D$5:$E$54, $R52, 2))</f>
        <v>iah</v>
      </c>
      <c r="U52" s="95">
        <f t="shared" si="2"/>
        <v>25</v>
      </c>
    </row>
    <row r="53" spans="2:21">
      <c r="B53" s="134" t="s">
        <v>252</v>
      </c>
      <c r="C53" s="20">
        <f xml:space="preserve"> MATCH(B53, 十五音韻母清單!$H$6:$H$105,0)</f>
        <v>84</v>
      </c>
      <c r="D53" s="99" cm="1">
        <f t="array" ref="D53" xml:space="preserve"> INDEX(十五音韻母清單!$B$6:$K$105, $C53, D$1)</f>
        <v>42</v>
      </c>
      <c r="F53" s="20">
        <v>49</v>
      </c>
      <c r="G53" s="100" t="str" cm="1">
        <f t="array" ref="G53" xml:space="preserve"> INDEX(十五音韻母清單!$B$6:$K$105, $C53, G$1)</f>
        <v>mh</v>
      </c>
      <c r="H53" s="100" t="str" cm="1">
        <f t="array" ref="H53" xml:space="preserve"> INDEX(十五音韻母清單!$B$6:$K$105, 韻母碼!$C53,韻母碼!H$1)</f>
        <v>mh</v>
      </c>
      <c r="I53" s="99" t="str" cm="1">
        <f t="array" ref="I53" xml:space="preserve"> INDEX(十五音韻母清單!$B$6:$K$105, $C53, I$1)</f>
        <v>姆</v>
      </c>
      <c r="J53" s="486" t="str" cm="1">
        <f t="array" ref="J53" xml:space="preserve"> INDEX(十五音韻母清單!$B$6:$K$105, 韻母碼!$C53,韻母碼!J$1)</f>
        <v>ㆬㆷ</v>
      </c>
      <c r="K53" s="100" t="str" cm="1">
        <f t="array" ref="K53" xml:space="preserve"> INDEX(十五音韻母清單!$B$6:$K$105, 韻母碼!$C53,韻母碼!K$1)</f>
        <v>mh</v>
      </c>
      <c r="L53" s="100" t="str" cm="1">
        <f t="array" ref="L53" xml:space="preserve"> INDEX(十五音韻母清單!$B$6:$K$105, 韻母碼!$C53,韻母碼!L$1)</f>
        <v>mh</v>
      </c>
      <c r="M53" s="100" t="str" cm="1">
        <f t="array" ref="M53" xml:space="preserve"> INDEX(十五音韻母清單!$B$6:$K$105, 韻母碼!$C53,韻母碼!M$1)</f>
        <v>mh</v>
      </c>
      <c r="Q53" s="20">
        <v>49</v>
      </c>
      <c r="R53" s="95">
        <f t="shared" si="0"/>
        <v>25</v>
      </c>
      <c r="S53" s="95">
        <f t="shared" si="1"/>
        <v>1</v>
      </c>
      <c r="T53" s="95" t="str" cm="1">
        <f t="array" ref="T53">IF(S53=1,  INDEX('十五音-韻母'!$D$5:$E$54, $R53, 1), INDEX('十五音-韻母'!$D$5:$E$54, $R53, 2))</f>
        <v>ue</v>
      </c>
      <c r="U53" s="95">
        <f t="shared" si="2"/>
        <v>63</v>
      </c>
    </row>
    <row r="54" spans="2:21">
      <c r="B54" s="134" t="s">
        <v>48</v>
      </c>
      <c r="C54" s="20">
        <f xml:space="preserve"> MATCH(B54, 十五音韻母清單!$H$6:$H$105,0)</f>
        <v>75</v>
      </c>
      <c r="D54" s="20" cm="1">
        <f t="array" ref="D54" xml:space="preserve"> INDEX(十五音韻母清單!$B$6:$K$105, $C54, D$1)</f>
        <v>38</v>
      </c>
      <c r="F54" s="20">
        <v>50</v>
      </c>
      <c r="G54" s="22" t="str" cm="1">
        <f t="array" ref="G54" xml:space="preserve"> INDEX(十五音韻母清單!$B$6:$K$105, $C54, G$1)</f>
        <v>ng</v>
      </c>
      <c r="H54" s="22" t="str" cm="1">
        <f t="array" ref="H54" xml:space="preserve"> INDEX(十五音韻母清單!$B$6:$K$105, 韻母碼!$C54,韻母碼!H$1)</f>
        <v>ŋ</v>
      </c>
      <c r="I54" s="20" t="str" cm="1">
        <f t="array" ref="I54" xml:space="preserve"> INDEX(十五音韻母清單!$B$6:$K$105, $C54, I$1)</f>
        <v>鋼</v>
      </c>
      <c r="J54" s="485" t="str" cm="1">
        <f t="array" ref="J54" xml:space="preserve"> INDEX(十五音韻母清單!$B$6:$K$105, 韻母碼!$C54,韻母碼!J$1)</f>
        <v>ㆭ</v>
      </c>
      <c r="K54" s="22" t="str" cm="1">
        <f t="array" ref="K54" xml:space="preserve"> INDEX(十五音韻母清單!$B$6:$K$105, 韻母碼!$C54,韻母碼!K$1)</f>
        <v>ng</v>
      </c>
      <c r="L54" s="22" t="str" cm="1">
        <f t="array" ref="L54" xml:space="preserve"> INDEX(十五音韻母清單!$B$6:$K$105, 韻母碼!$C54,韻母碼!L$1)</f>
        <v>ng</v>
      </c>
      <c r="M54" s="22" t="str" cm="1">
        <f t="array" ref="M54" xml:space="preserve"> INDEX(十五音韻母清單!$B$6:$K$105, 韻母碼!$C54,韻母碼!M$1)</f>
        <v>ng</v>
      </c>
      <c r="Q54" s="20">
        <v>50</v>
      </c>
      <c r="R54" s="95">
        <f t="shared" si="0"/>
        <v>25</v>
      </c>
      <c r="S54" s="95">
        <f t="shared" si="1"/>
        <v>0</v>
      </c>
      <c r="T54" s="95" t="str" cm="1">
        <f t="array" ref="T54">IF(S54=1,  INDEX('十五音-韻母'!$D$5:$E$54, $R54, 1), INDEX('十五音-韻母'!$D$5:$E$54, $R54, 2))</f>
        <v>ueh</v>
      </c>
      <c r="U54" s="95">
        <f t="shared" si="2"/>
        <v>64</v>
      </c>
    </row>
    <row r="55" spans="2:21">
      <c r="B55" s="134" t="s">
        <v>254</v>
      </c>
      <c r="C55" s="20">
        <f xml:space="preserve"> MATCH(B55, 十五音韻母清單!$H$6:$H$105,0)</f>
        <v>76</v>
      </c>
      <c r="D55" s="99" cm="1">
        <f t="array" ref="D55" xml:space="preserve"> INDEX(十五音韻母清單!$B$6:$K$105, $C55, D$1)</f>
        <v>38</v>
      </c>
      <c r="F55" s="20">
        <v>51</v>
      </c>
      <c r="G55" s="100" t="str" cm="1">
        <f t="array" ref="G55" xml:space="preserve"> INDEX(十五音韻母清單!$B$6:$K$105, $C55, G$1)</f>
        <v>ngh</v>
      </c>
      <c r="H55" s="100" t="str" cm="1">
        <f t="array" ref="H55" xml:space="preserve"> INDEX(十五音韻母清單!$B$6:$K$105, 韻母碼!$C55,韻母碼!H$1)</f>
        <v>ŋ?</v>
      </c>
      <c r="I55" s="99" t="str" cm="1">
        <f t="array" ref="I55" xml:space="preserve"> INDEX(十五音韻母清單!$B$6:$K$105, $C55, I$1)</f>
        <v>鋼</v>
      </c>
      <c r="J55" s="486" t="str" cm="1">
        <f t="array" ref="J55" xml:space="preserve"> INDEX(十五音韻母清單!$B$6:$K$105, 韻母碼!$C55,韻母碼!J$1)</f>
        <v>ㆭㆷ</v>
      </c>
      <c r="K55" s="100" t="str" cm="1">
        <f t="array" ref="K55" xml:space="preserve"> INDEX(十五音韻母清單!$B$6:$K$105, 韻母碼!$C55,韻母碼!K$1)</f>
        <v>ngh</v>
      </c>
      <c r="L55" s="100" t="str" cm="1">
        <f t="array" ref="L55" xml:space="preserve"> INDEX(十五音韻母清單!$B$6:$K$105, 韻母碼!$C55,韻母碼!L$1)</f>
        <v>ngh</v>
      </c>
      <c r="M55" s="100" t="str" cm="1">
        <f t="array" ref="M55" xml:space="preserve"> INDEX(十五音韻母清單!$B$6:$K$105, 韻母碼!$C55,韻母碼!M$1)</f>
        <v>ngh</v>
      </c>
      <c r="Q55" s="20">
        <v>51</v>
      </c>
      <c r="R55" s="95">
        <f t="shared" si="0"/>
        <v>26</v>
      </c>
      <c r="S55" s="95">
        <f t="shared" si="1"/>
        <v>1</v>
      </c>
      <c r="T55" s="95" t="str" cm="1">
        <f t="array" ref="T55">IF(S55=1,  INDEX('十五音-韻母'!$D$5:$E$54, $R55, 1), INDEX('十五音-韻母'!$D$5:$E$54, $R55, 2))</f>
        <v>ann</v>
      </c>
      <c r="U55" s="95">
        <f t="shared" si="2"/>
        <v>2</v>
      </c>
    </row>
    <row r="56" spans="2:21">
      <c r="B56" s="134" t="s">
        <v>215</v>
      </c>
      <c r="C56" s="20">
        <f xml:space="preserve"> MATCH(B56, 十五音韻母清單!$H$6:$H$105,0)</f>
        <v>29</v>
      </c>
      <c r="D56" s="20" cm="1">
        <f t="array" ref="D56" xml:space="preserve"> INDEX(十五音韻母清單!$B$6:$K$105, $C56, D$1)</f>
        <v>15</v>
      </c>
      <c r="F56" s="20">
        <v>52</v>
      </c>
      <c r="G56" s="22" t="str" cm="1">
        <f t="array" ref="G56" xml:space="preserve"> INDEX(十五音韻母清單!$B$6:$K$105, $C56, G$1)</f>
        <v>o</v>
      </c>
      <c r="H56" s="22" t="str" cm="1">
        <f t="array" ref="H56" xml:space="preserve"> INDEX(十五音韻母清單!$B$6:$K$105, 韻母碼!$C56,韻母碼!H$1)</f>
        <v>o</v>
      </c>
      <c r="I56" s="20" t="str" cm="1">
        <f t="array" ref="I56" xml:space="preserve"> INDEX(十五音韻母清單!$B$6:$K$105, $C56, I$1)</f>
        <v>高</v>
      </c>
      <c r="J56" s="485" t="str" cm="1">
        <f t="array" ref="J56" xml:space="preserve"> INDEX(十五音韻母清單!$B$6:$K$105, 韻母碼!$C56,韻母碼!J$1)</f>
        <v>ㄜ</v>
      </c>
      <c r="K56" s="22" t="str" cm="1">
        <f t="array" ref="K56" xml:space="preserve"> INDEX(十五音韻母清單!$B$6:$K$105, 韻母碼!$C56,韻母碼!K$1)</f>
        <v>o</v>
      </c>
      <c r="L56" s="22" t="str" cm="1">
        <f t="array" ref="L56" xml:space="preserve"> INDEX(十五音韻母清單!$B$6:$K$105, 韻母碼!$C56,韻母碼!L$1)</f>
        <v>o</v>
      </c>
      <c r="M56" s="22" t="str" cm="1">
        <f t="array" ref="M56" xml:space="preserve"> INDEX(十五音韻母清單!$B$6:$K$105, 韻母碼!$C56,韻母碼!M$1)</f>
        <v>o</v>
      </c>
      <c r="Q56" s="20">
        <v>52</v>
      </c>
      <c r="R56" s="95">
        <f t="shared" si="0"/>
        <v>26</v>
      </c>
      <c r="S56" s="95">
        <f t="shared" si="1"/>
        <v>0</v>
      </c>
      <c r="T56" s="95" t="str" cm="1">
        <f t="array" ref="T56">IF(S56=1,  INDEX('十五音-韻母'!$D$5:$E$54, $R56, 1), INDEX('十五音-韻母'!$D$5:$E$54, $R56, 2))</f>
        <v>annh</v>
      </c>
      <c r="U56" s="95">
        <f t="shared" si="2"/>
        <v>4</v>
      </c>
    </row>
    <row r="57" spans="2:21">
      <c r="B57" s="134" t="s">
        <v>313</v>
      </c>
      <c r="C57" s="20">
        <f xml:space="preserve"> MATCH(B57, 十五音韻母清單!$H$6:$H$105,0)</f>
        <v>81</v>
      </c>
      <c r="D57" s="20" cm="1">
        <f t="array" ref="D57" xml:space="preserve"> INDEX(十五音韻母清單!$B$6:$K$105, $C57, D$1)</f>
        <v>41</v>
      </c>
      <c r="F57" s="20">
        <v>53</v>
      </c>
      <c r="G57" s="22" t="str" cm="1">
        <f t="array" ref="G57" xml:space="preserve"> INDEX(十五音韻母清單!$B$6:$K$105, $C57, G$1)</f>
        <v>oonn</v>
      </c>
      <c r="H57" s="22" t="str" cm="1">
        <f t="array" ref="H57" xml:space="preserve"> INDEX(十五音韻母清單!$B$6:$K$105, 韻母碼!$C57,韻母碼!H$1)</f>
        <v>õu</v>
      </c>
      <c r="I57" s="20" t="str" cm="1">
        <f t="array" ref="I57" xml:space="preserve"> INDEX(十五音韻母清單!$B$6:$K$105, $C57, I$1)</f>
        <v>姑</v>
      </c>
      <c r="J57" s="485" t="str" cm="1">
        <f t="array" ref="J57" xml:space="preserve"> INDEX(十五音韻母清單!$B$6:$K$105, 韻母碼!$C57,韻母碼!J$1)</f>
        <v>ㆧ</v>
      </c>
      <c r="K57" s="22" t="str" cm="1">
        <f t="array" ref="K57" xml:space="preserve"> INDEX(十五音韻母清單!$B$6:$K$105, 韻母碼!$C57,韻母碼!K$1)</f>
        <v>oⁿ</v>
      </c>
      <c r="L57" s="22" t="str" cm="1">
        <f t="array" ref="L57" xml:space="preserve"> INDEX(十五音韻母清單!$B$6:$K$105, 韻母碼!$C57,韻母碼!L$1)</f>
        <v>noo</v>
      </c>
      <c r="M57" s="22" t="str" cm="1">
        <f t="array" ref="M57" xml:space="preserve"> INDEX(十五音韻母清單!$B$6:$K$105, 韻母碼!$C57,韻母碼!M$1)</f>
        <v>onn</v>
      </c>
      <c r="Q57" s="20">
        <v>53</v>
      </c>
      <c r="R57" s="95">
        <f t="shared" si="0"/>
        <v>27</v>
      </c>
      <c r="S57" s="95">
        <f t="shared" si="1"/>
        <v>1</v>
      </c>
      <c r="T57" s="95" t="str" cm="1">
        <f t="array" ref="T57">IF(S57=1,  INDEX('十五音-韻母'!$D$5:$E$54, $R57, 1), INDEX('十五音-韻母'!$D$5:$E$54, $R57, 2))</f>
        <v>u</v>
      </c>
      <c r="U57" s="95">
        <f t="shared" si="2"/>
        <v>70</v>
      </c>
    </row>
    <row r="58" spans="2:21">
      <c r="B58" s="134" t="s">
        <v>314</v>
      </c>
      <c r="C58" s="20">
        <f xml:space="preserve"> MATCH(B58, 十五音韻母清單!$H$6:$H$105,0)</f>
        <v>21</v>
      </c>
      <c r="D58" s="20" cm="1">
        <f t="array" ref="D58" xml:space="preserve"> INDEX(十五音韻母清單!$B$6:$K$105, $C58, D$1)</f>
        <v>11</v>
      </c>
      <c r="F58" s="20">
        <v>54</v>
      </c>
      <c r="G58" s="22" t="str" cm="1">
        <f t="array" ref="G58" xml:space="preserve"> INDEX(十五音韻母清單!$B$6:$K$105, $C58, G$1)</f>
        <v>oo</v>
      </c>
      <c r="H58" s="22" t="str" cm="1">
        <f t="array" ref="H58" xml:space="preserve"> INDEX(十五音韻母清單!$B$6:$K$105, 韻母碼!$C58,韻母碼!H$1)</f>
        <v>ou</v>
      </c>
      <c r="I58" s="20" t="str" cm="1">
        <f t="array" ref="I58" xml:space="preserve"> INDEX(十五音韻母清單!$B$6:$K$105, $C58, I$1)</f>
        <v>沽</v>
      </c>
      <c r="J58" s="485" t="str" cm="1">
        <f t="array" ref="J58" xml:space="preserve"> INDEX(十五音韻母清單!$B$6:$K$105, 韻母碼!$C58,韻母碼!J$1)</f>
        <v>ㆦ</v>
      </c>
      <c r="K58" s="22" t="str" cm="1">
        <f t="array" ref="K58" xml:space="preserve"> INDEX(十五音韻母清單!$B$6:$K$105, 韻母碼!$C58,韻母碼!K$1)</f>
        <v>o͘</v>
      </c>
      <c r="L58" s="22" t="str" cm="1">
        <f t="array" ref="L58" xml:space="preserve"> INDEX(十五音韻母清單!$B$6:$K$105, 韻母碼!$C58,韻母碼!L$1)</f>
        <v>oo</v>
      </c>
      <c r="M58" s="22" t="str" cm="1">
        <f t="array" ref="M58" xml:space="preserve"> INDEX(十五音韻母清單!$B$6:$K$105, 韻母碼!$C58,韻母碼!M$1)</f>
        <v>oo</v>
      </c>
      <c r="Q58" s="20">
        <v>54</v>
      </c>
      <c r="R58" s="95">
        <f t="shared" si="0"/>
        <v>27</v>
      </c>
      <c r="S58" s="95">
        <f t="shared" si="1"/>
        <v>0</v>
      </c>
      <c r="T58" s="95" t="str" cm="1">
        <f t="array" ref="T58">IF(S58=1,  INDEX('十五音-韻母'!$D$5:$E$54, $R58, 1), INDEX('十五音-韻母'!$D$5:$E$54, $R58, 2))</f>
        <v>uh</v>
      </c>
      <c r="U58" s="95">
        <f t="shared" si="2"/>
        <v>71</v>
      </c>
    </row>
    <row r="59" spans="2:21">
      <c r="B59" s="134" t="s">
        <v>315</v>
      </c>
      <c r="C59" s="20">
        <f xml:space="preserve"> MATCH(B59, 十五音韻母清單!$H$6:$H$105,0)</f>
        <v>39</v>
      </c>
      <c r="D59" s="20" cm="1">
        <f t="array" ref="D59" xml:space="preserve"> INDEX(十五音韻母清單!$B$6:$K$105, $C59, D$1)</f>
        <v>20</v>
      </c>
      <c r="F59" s="20">
        <v>55</v>
      </c>
      <c r="G59" s="22" t="str" cm="1">
        <f t="array" ref="G59" xml:space="preserve"> INDEX(十五音韻母清單!$B$6:$K$105, $C59, G$1)</f>
        <v>ua</v>
      </c>
      <c r="H59" s="22" t="str" cm="1">
        <f t="array" ref="H59" xml:space="preserve"> INDEX(十五音韻母清單!$B$6:$K$105, 韻母碼!$C59,韻母碼!H$1)</f>
        <v>ua</v>
      </c>
      <c r="I59" s="20" t="str" cm="1">
        <f t="array" ref="I59" xml:space="preserve"> INDEX(十五音韻母清單!$B$6:$K$105, $C59, I$1)</f>
        <v>瓜</v>
      </c>
      <c r="J59" s="485" t="str" cm="1">
        <f t="array" ref="J59" xml:space="preserve"> INDEX(十五音韻母清單!$B$6:$K$105, 韻母碼!$C59,韻母碼!J$1)</f>
        <v>ㄨㄚ</v>
      </c>
      <c r="K59" s="22" t="str" cm="1">
        <f t="array" ref="K59" xml:space="preserve"> INDEX(十五音韻母清單!$B$6:$K$105, 韻母碼!$C59,韻母碼!K$1)</f>
        <v>oa</v>
      </c>
      <c r="L59" s="22" t="str" cm="1">
        <f t="array" ref="L59" xml:space="preserve"> INDEX(十五音韻母清單!$B$6:$K$105, 韻母碼!$C59,韻母碼!L$1)</f>
        <v>ua</v>
      </c>
      <c r="M59" s="22" t="str" cm="1">
        <f t="array" ref="M59" xml:space="preserve"> INDEX(十五音韻母清單!$B$6:$K$105, 韻母碼!$C59,韻母碼!M$1)</f>
        <v>ua</v>
      </c>
      <c r="Q59" s="20">
        <v>55</v>
      </c>
      <c r="R59" s="95">
        <f t="shared" si="0"/>
        <v>28</v>
      </c>
      <c r="S59" s="95">
        <f t="shared" si="1"/>
        <v>1</v>
      </c>
      <c r="T59" s="95" t="str" cm="1">
        <f t="array" ref="T59">IF(S59=1,  INDEX('十五音-韻母'!$D$5:$E$54, $R59, 1), INDEX('十五音-韻母'!$D$5:$E$54, $R59, 2))</f>
        <v>a</v>
      </c>
      <c r="U59" s="95">
        <f t="shared" si="2"/>
        <v>1</v>
      </c>
    </row>
    <row r="60" spans="2:21">
      <c r="B60" s="134" t="s">
        <v>316</v>
      </c>
      <c r="C60" s="20">
        <f xml:space="preserve"> MATCH(B60, 十五音韻母清單!$H$6:$H$105,0)</f>
        <v>73</v>
      </c>
      <c r="D60" s="20" cm="1">
        <f t="array" ref="D60" xml:space="preserve"> INDEX(十五音韻母清單!$B$6:$K$105, $C60, D$1)</f>
        <v>37</v>
      </c>
      <c r="F60" s="20">
        <v>56</v>
      </c>
      <c r="G60" s="22" t="str" cm="1">
        <f t="array" ref="G60" xml:space="preserve"> INDEX(十五音韻母清單!$B$6:$K$105, $C60, G$1)</f>
        <v>uann</v>
      </c>
      <c r="H60" s="22" t="str" cm="1">
        <f t="array" ref="H60" xml:space="preserve"> INDEX(十五音韻母清單!$B$6:$K$105, 韻母碼!$C60,韻母碼!H$1)</f>
        <v>uã</v>
      </c>
      <c r="I60" s="20" t="str" cm="1">
        <f t="array" ref="I60" xml:space="preserve"> INDEX(十五音韻母清單!$B$6:$K$105, $C60, I$1)</f>
        <v>官</v>
      </c>
      <c r="J60" s="485" t="str" cm="1">
        <f t="array" ref="J60" xml:space="preserve"> INDEX(十五音韻母清單!$B$6:$K$105, 韻母碼!$C60,韻母碼!J$1)</f>
        <v>ㄨㆩ</v>
      </c>
      <c r="K60" s="22" t="str" cm="1">
        <f t="array" ref="K60" xml:space="preserve"> INDEX(十五音韻母清單!$B$6:$K$105, 韻母碼!$C60,韻母碼!K$1)</f>
        <v>oaⁿ</v>
      </c>
      <c r="L60" s="22" t="str" cm="1">
        <f t="array" ref="L60" xml:space="preserve"> INDEX(十五音韻母清單!$B$6:$K$105, 韻母碼!$C60,韻母碼!L$1)</f>
        <v>nua</v>
      </c>
      <c r="M60" s="22" t="str" cm="1">
        <f t="array" ref="M60" xml:space="preserve"> INDEX(十五音韻母清單!$B$6:$K$105, 韻母碼!$C60,韻母碼!M$1)</f>
        <v>uann</v>
      </c>
      <c r="Q60" s="20">
        <v>56</v>
      </c>
      <c r="R60" s="95">
        <f t="shared" si="0"/>
        <v>28</v>
      </c>
      <c r="S60" s="95">
        <f t="shared" si="1"/>
        <v>0</v>
      </c>
      <c r="T60" s="95" t="str" cm="1">
        <f t="array" ref="T60">IF(S60=1,  INDEX('十五音-韻母'!$D$5:$E$54, $R60, 1), INDEX('十五音-韻母'!$D$5:$E$54, $R60, 2))</f>
        <v>ah</v>
      </c>
      <c r="U60" s="95">
        <f t="shared" si="2"/>
        <v>3</v>
      </c>
    </row>
    <row r="61" spans="2:21">
      <c r="B61" s="134" t="s">
        <v>317</v>
      </c>
      <c r="C61" s="20">
        <f xml:space="preserve"> MATCH(B61, 十五音韻母清單!$H$6:$H$105,0)</f>
        <v>40</v>
      </c>
      <c r="D61" s="20" cm="1">
        <f t="array" ref="D61" xml:space="preserve"> INDEX(十五音韻母清單!$B$6:$K$105, $C61, D$1)</f>
        <v>20</v>
      </c>
      <c r="F61" s="20">
        <v>57</v>
      </c>
      <c r="G61" s="22" t="str" cm="1">
        <f t="array" ref="G61" xml:space="preserve"> INDEX(十五音韻母清單!$B$6:$K$105, $C61, G$1)</f>
        <v>uah</v>
      </c>
      <c r="H61" s="22" t="str" cm="1">
        <f t="array" ref="H61" xml:space="preserve"> INDEX(十五音韻母清單!$B$6:$K$105, 韻母碼!$C61,韻母碼!H$1)</f>
        <v>ua?</v>
      </c>
      <c r="I61" s="20" t="str" cm="1">
        <f t="array" ref="I61" xml:space="preserve"> INDEX(十五音韻母清單!$B$6:$K$105, $C61, I$1)</f>
        <v>瓜</v>
      </c>
      <c r="J61" s="485" t="str" cm="1">
        <f t="array" ref="J61" xml:space="preserve"> INDEX(十五音韻母清單!$B$6:$K$105, 韻母碼!$C61,韻母碼!J$1)</f>
        <v>ㄨㄚㆷ</v>
      </c>
      <c r="K61" s="22" t="str" cm="1">
        <f t="array" ref="K61" xml:space="preserve"> INDEX(十五音韻母清單!$B$6:$K$105, 韻母碼!$C61,韻母碼!K$1)</f>
        <v>oah</v>
      </c>
      <c r="L61" s="22" t="str" cm="1">
        <f t="array" ref="L61" xml:space="preserve"> INDEX(十五音韻母清單!$B$6:$K$105, 韻母碼!$C61,韻母碼!L$1)</f>
        <v>uah</v>
      </c>
      <c r="M61" s="22" t="str" cm="1">
        <f t="array" ref="M61" xml:space="preserve"> INDEX(十五音韻母清單!$B$6:$K$105, 韻母碼!$C61,韻母碼!M$1)</f>
        <v>uah</v>
      </c>
      <c r="Q61" s="20">
        <v>57</v>
      </c>
      <c r="R61" s="95">
        <f t="shared" si="0"/>
        <v>29</v>
      </c>
      <c r="S61" s="95">
        <f t="shared" si="1"/>
        <v>1</v>
      </c>
      <c r="T61" s="95" t="str" cm="1">
        <f t="array" ref="T61">IF(S61=1,  INDEX('十五音-韻母'!$D$5:$E$54, $R61, 1), INDEX('十五音-韻母'!$D$5:$E$54, $R61, 2))</f>
        <v>i</v>
      </c>
      <c r="U61" s="95">
        <f t="shared" si="2"/>
        <v>21</v>
      </c>
    </row>
    <row r="62" spans="2:21">
      <c r="B62" s="134" t="s">
        <v>318</v>
      </c>
      <c r="C62" s="20">
        <f xml:space="preserve"> MATCH(B62, 十五音韻母清單!$H$6:$H$105,0)</f>
        <v>15</v>
      </c>
      <c r="D62" s="20" cm="1">
        <f t="array" ref="D62" xml:space="preserve"> INDEX(十五音韻母清單!$B$6:$K$105, $C62, D$1)</f>
        <v>8</v>
      </c>
      <c r="F62" s="20">
        <v>58</v>
      </c>
      <c r="G62" s="22" t="str" cm="1">
        <f t="array" ref="G62" xml:space="preserve"> INDEX(十五音韻母清單!$B$6:$K$105, $C62, G$1)</f>
        <v>uai</v>
      </c>
      <c r="H62" s="22" t="str" cm="1">
        <f t="array" ref="H62" xml:space="preserve"> INDEX(十五音韻母清單!$B$6:$K$105, 韻母碼!$C62,韻母碼!H$1)</f>
        <v>uai</v>
      </c>
      <c r="I62" s="20" t="str" cm="1">
        <f t="array" ref="I62" xml:space="preserve"> INDEX(十五音韻母清單!$B$6:$K$105, $C62, I$1)</f>
        <v>乖</v>
      </c>
      <c r="J62" s="485" t="str" cm="1">
        <f t="array" ref="J62" xml:space="preserve"> INDEX(十五音韻母清單!$B$6:$K$105, 韻母碼!$C62,韻母碼!J$1)</f>
        <v>ㄨㄞ</v>
      </c>
      <c r="K62" s="22" t="str" cm="1">
        <f t="array" ref="K62" xml:space="preserve"> INDEX(十五音韻母清單!$B$6:$K$105, 韻母碼!$C62,韻母碼!K$1)</f>
        <v>oai</v>
      </c>
      <c r="L62" s="22" t="str" cm="1">
        <f t="array" ref="L62" xml:space="preserve"> INDEX(十五音韻母清單!$B$6:$K$105, 韻母碼!$C62,韻母碼!L$1)</f>
        <v>uai</v>
      </c>
      <c r="M62" s="22" t="str" cm="1">
        <f t="array" ref="M62" xml:space="preserve"> INDEX(十五音韻母清單!$B$6:$K$105, 韻母碼!$C62,韻母碼!M$1)</f>
        <v>uai</v>
      </c>
      <c r="Q62" s="20">
        <v>58</v>
      </c>
      <c r="R62" s="95">
        <f t="shared" si="0"/>
        <v>29</v>
      </c>
      <c r="S62" s="95">
        <f t="shared" si="1"/>
        <v>0</v>
      </c>
      <c r="T62" s="95" t="str" cm="1">
        <f t="array" ref="T62">IF(S62=1,  INDEX('十五音-韻母'!$D$5:$E$54, $R62, 1), INDEX('十五音-韻母'!$D$5:$E$54, $R62, 2))</f>
        <v>ih</v>
      </c>
      <c r="U62" s="95">
        <f t="shared" si="2"/>
        <v>36</v>
      </c>
    </row>
    <row r="63" spans="2:21">
      <c r="B63" s="134" t="s">
        <v>319</v>
      </c>
      <c r="C63" s="20">
        <f xml:space="preserve"> MATCH(B63, 十五音韻母清單!$H$6:$H$105,0)</f>
        <v>87</v>
      </c>
      <c r="D63" s="20" cm="1">
        <f t="array" ref="D63" xml:space="preserve"> INDEX(十五音韻母清單!$B$6:$K$105, $C63, D$1)</f>
        <v>44</v>
      </c>
      <c r="F63" s="20">
        <v>59</v>
      </c>
      <c r="G63" s="22" t="str" cm="1">
        <f t="array" ref="G63" xml:space="preserve"> INDEX(十五音韻母清單!$B$6:$K$105, $C63, G$1)</f>
        <v>uainn</v>
      </c>
      <c r="H63" s="22" t="str" cm="1">
        <f t="array" ref="H63" xml:space="preserve"> INDEX(十五音韻母清單!$B$6:$K$105, 韻母碼!$C63,韻母碼!H$1)</f>
        <v>uãi</v>
      </c>
      <c r="I63" s="20" t="str" cm="1">
        <f t="array" ref="I63" xml:space="preserve"> INDEX(十五音韻母清單!$B$6:$K$105, $C63, I$1)</f>
        <v>閂</v>
      </c>
      <c r="J63" s="485" t="str" cm="1">
        <f t="array" ref="J63" xml:space="preserve"> INDEX(十五音韻母清單!$B$6:$K$105, 韻母碼!$C63,韻母碼!J$1)</f>
        <v>ㄨㆮ</v>
      </c>
      <c r="K63" s="22" t="str" cm="1">
        <f t="array" ref="K63" xml:space="preserve"> INDEX(十五音韻母清單!$B$6:$K$105, 韻母碼!$C63,韻母碼!K$1)</f>
        <v>oaiⁿ</v>
      </c>
      <c r="L63" s="22" t="str" cm="1">
        <f t="array" ref="L63" xml:space="preserve"> INDEX(十五音韻母清單!$B$6:$K$105, 韻母碼!$C63,韻母碼!L$1)</f>
        <v>nuai</v>
      </c>
      <c r="M63" s="22" t="str" cm="1">
        <f t="array" ref="M63" xml:space="preserve"> INDEX(十五音韻母清單!$B$6:$K$105, 韻母碼!$C63,韻母碼!M$1)</f>
        <v>uainn</v>
      </c>
      <c r="Q63" s="20">
        <v>59</v>
      </c>
      <c r="R63" s="95">
        <f t="shared" si="0"/>
        <v>30</v>
      </c>
      <c r="S63" s="95">
        <f t="shared" si="1"/>
        <v>1</v>
      </c>
      <c r="T63" s="95" t="str" cm="1">
        <f t="array" ref="T63">IF(S63=1,  INDEX('十五音-韻母'!$D$5:$E$54, $R63, 1), INDEX('十五音-韻母'!$D$5:$E$54, $R63, 2))</f>
        <v>iu</v>
      </c>
      <c r="U63" s="95">
        <f t="shared" si="2"/>
        <v>45</v>
      </c>
    </row>
    <row r="64" spans="2:21">
      <c r="B64" s="134" t="s">
        <v>320</v>
      </c>
      <c r="C64" s="20">
        <f xml:space="preserve"> MATCH(B64, 十五音韻母清單!$H$6:$H$105,0)</f>
        <v>19</v>
      </c>
      <c r="D64" s="99" cm="1">
        <f t="array" ref="D64" xml:space="preserve"> INDEX(十五音韻母清單!$B$6:$K$105, $C64, D$1)</f>
        <v>10</v>
      </c>
      <c r="F64" s="20">
        <v>60</v>
      </c>
      <c r="G64" s="100" t="str" cm="1">
        <f t="array" ref="G64" xml:space="preserve"> INDEX(十五音韻母清單!$B$6:$K$105, $C64, G$1)</f>
        <v>uan</v>
      </c>
      <c r="H64" s="100" t="str" cm="1">
        <f t="array" ref="H64" xml:space="preserve"> INDEX(十五音韻母清單!$B$6:$K$105, 韻母碼!$C64,韻母碼!H$1)</f>
        <v>uan</v>
      </c>
      <c r="I64" s="99" t="str" cm="1">
        <f t="array" ref="I64" xml:space="preserve"> INDEX(十五音韻母清單!$B$6:$K$105, $C64, I$1)</f>
        <v>觀</v>
      </c>
      <c r="J64" s="486" t="str" cm="1">
        <f t="array" ref="J64" xml:space="preserve"> INDEX(十五音韻母清單!$B$6:$K$105, 韻母碼!$C64,韻母碼!J$1)</f>
        <v>ㄨㄢ</v>
      </c>
      <c r="K64" s="100" t="str" cm="1">
        <f t="array" ref="K64" xml:space="preserve"> INDEX(十五音韻母清單!$B$6:$K$105, 韻母碼!$C64,韻母碼!K$1)</f>
        <v>oan</v>
      </c>
      <c r="L64" s="100" t="str" cm="1">
        <f t="array" ref="L64" xml:space="preserve"> INDEX(十五音韻母清單!$B$6:$K$105, 韻母碼!$C64,韻母碼!L$1)</f>
        <v>uan</v>
      </c>
      <c r="M64" s="100" t="str" cm="1">
        <f t="array" ref="M64" xml:space="preserve"> INDEX(十五音韻母清單!$B$6:$K$105, 韻母碼!$C64,韻母碼!M$1)</f>
        <v>uan</v>
      </c>
      <c r="Q64" s="20">
        <v>60</v>
      </c>
      <c r="R64" s="95">
        <f t="shared" si="0"/>
        <v>30</v>
      </c>
      <c r="S64" s="95">
        <f t="shared" si="1"/>
        <v>0</v>
      </c>
      <c r="T64" s="95" t="str" cm="1">
        <f t="array" ref="T64">IF(S64=1,  INDEX('十五音-韻母'!$D$5:$E$54, $R64, 1), INDEX('十五音-韻母'!$D$5:$E$54, $R64, 2))</f>
        <v>iuh</v>
      </c>
      <c r="U64" s="95">
        <f t="shared" si="2"/>
        <v>0</v>
      </c>
    </row>
    <row r="65" spans="2:21">
      <c r="B65" s="134" t="s">
        <v>321</v>
      </c>
      <c r="C65" s="20">
        <f xml:space="preserve"> MATCH(B65, 十五音韻母清單!$H$6:$H$105,0)</f>
        <v>85</v>
      </c>
      <c r="D65" s="20" cm="1">
        <f t="array" ref="D65" xml:space="preserve"> INDEX(十五音韻母清單!$B$6:$K$105, $C65, D$1)</f>
        <v>43</v>
      </c>
      <c r="F65" s="20">
        <v>61</v>
      </c>
      <c r="G65" s="22" t="str" cm="1">
        <f t="array" ref="G65" xml:space="preserve"> INDEX(十五音韻母清單!$B$6:$K$105, $C65, G$1)</f>
        <v>uang</v>
      </c>
      <c r="H65" s="22" t="str" cm="1">
        <f t="array" ref="H65" xml:space="preserve"> INDEX(十五音韻母清單!$B$6:$K$105, 韻母碼!$C65,韻母碼!H$1)</f>
        <v>uaŋ</v>
      </c>
      <c r="I65" s="20" t="str" cm="1">
        <f t="array" ref="I65" xml:space="preserve"> INDEX(十五音韻母清單!$B$6:$K$105, $C65, I$1)</f>
        <v>光</v>
      </c>
      <c r="J65" s="485" t="str" cm="1">
        <f t="array" ref="J65" xml:space="preserve"> INDEX(十五音韻母清單!$B$6:$K$105, 韻母碼!$C65,韻母碼!J$1)</f>
        <v>ㄨㄤ</v>
      </c>
      <c r="K65" s="22" t="str" cm="1">
        <f t="array" ref="K65" xml:space="preserve"> INDEX(十五音韻母清單!$B$6:$K$105, 韻母碼!$C65,韻母碼!K$1)</f>
        <v>oang</v>
      </c>
      <c r="L65" s="22" t="str" cm="1">
        <f t="array" ref="L65" xml:space="preserve"> INDEX(十五音韻母清單!$B$6:$K$105, 韻母碼!$C65,韻母碼!L$1)</f>
        <v>uang</v>
      </c>
      <c r="M65" s="22" t="str" cm="1">
        <f t="array" ref="M65" xml:space="preserve"> INDEX(十五音韻母清單!$B$6:$K$105, 韻母碼!$C65,韻母碼!M$1)</f>
        <v>uang</v>
      </c>
      <c r="Q65" s="20">
        <v>61</v>
      </c>
      <c r="R65" s="95">
        <f t="shared" si="0"/>
        <v>31</v>
      </c>
      <c r="S65" s="95">
        <f t="shared" si="1"/>
        <v>1</v>
      </c>
      <c r="T65" s="95" t="str" cm="1">
        <f t="array" ref="T65">IF(S65=1,  INDEX('十五音-韻母'!$D$5:$E$54, $R65, 1), INDEX('十五音-韻母'!$D$5:$E$54, $R65, 2))</f>
        <v>enn</v>
      </c>
      <c r="U65" s="95">
        <f t="shared" si="2"/>
        <v>16</v>
      </c>
    </row>
    <row r="66" spans="2:21">
      <c r="B66" s="134" t="s">
        <v>322</v>
      </c>
      <c r="C66" s="20">
        <f xml:space="preserve"> MATCH(B66, 十五音韻母清單!$H$6:$H$105,0)</f>
        <v>20</v>
      </c>
      <c r="D66" s="20" cm="1">
        <f t="array" ref="D66" xml:space="preserve"> INDEX(十五音韻母清單!$B$6:$K$105, $C66, D$1)</f>
        <v>10</v>
      </c>
      <c r="F66" s="20">
        <v>62</v>
      </c>
      <c r="G66" s="22" t="str" cm="1">
        <f t="array" ref="G66" xml:space="preserve"> INDEX(十五音韻母清單!$B$6:$K$105, $C66, G$1)</f>
        <v>uat</v>
      </c>
      <c r="H66" s="22" t="str" cm="1">
        <f t="array" ref="H66" xml:space="preserve"> INDEX(十五音韻母清單!$B$6:$K$105, 韻母碼!$C66,韻母碼!H$1)</f>
        <v>uat̚</v>
      </c>
      <c r="I66" s="20" t="str" cm="1">
        <f t="array" ref="I66" xml:space="preserve"> INDEX(十五音韻母清單!$B$6:$K$105, $C66, I$1)</f>
        <v>觀</v>
      </c>
      <c r="J66" s="485" t="str" cm="1">
        <f t="array" ref="J66" xml:space="preserve"> INDEX(十五音韻母清單!$B$6:$K$105, 韻母碼!$C66,韻母碼!J$1)</f>
        <v>ㄨㄚㆵ</v>
      </c>
      <c r="K66" s="22" t="str" cm="1">
        <f t="array" ref="K66" xml:space="preserve"> INDEX(十五音韻母清單!$B$6:$K$105, 韻母碼!$C66,韻母碼!K$1)</f>
        <v>oat</v>
      </c>
      <c r="L66" s="22" t="str" cm="1">
        <f t="array" ref="L66" xml:space="preserve"> INDEX(十五音韻母清單!$B$6:$K$105, 韻母碼!$C66,韻母碼!L$1)</f>
        <v>uat</v>
      </c>
      <c r="M66" s="22" t="str" cm="1">
        <f t="array" ref="M66" xml:space="preserve"> INDEX(十五音韻母清單!$B$6:$K$105, 韻母碼!$C66,韻母碼!M$1)</f>
        <v>uat</v>
      </c>
      <c r="Q66" s="20">
        <v>62</v>
      </c>
      <c r="R66" s="95">
        <f t="shared" si="0"/>
        <v>31</v>
      </c>
      <c r="S66" s="95">
        <f t="shared" si="1"/>
        <v>0</v>
      </c>
      <c r="T66" s="95" t="str" cm="1">
        <f t="array" ref="T66">IF(S66=1,  INDEX('十五音-韻母'!$D$5:$E$54, $R66, 1), INDEX('十五音-韻母'!$D$5:$E$54, $R66, 2))</f>
        <v>ennh</v>
      </c>
      <c r="U66" s="95">
        <f t="shared" si="2"/>
        <v>18</v>
      </c>
    </row>
    <row r="67" spans="2:21">
      <c r="B67" s="134" t="s">
        <v>323</v>
      </c>
      <c r="C67" s="20">
        <f xml:space="preserve"> MATCH(B67, 十五音韻母清單!$H$6:$H$105,0)</f>
        <v>49</v>
      </c>
      <c r="D67" s="20" cm="1">
        <f t="array" ref="D67" xml:space="preserve"> INDEX(十五音韻母清單!$B$6:$K$105, $C67, D$1)</f>
        <v>25</v>
      </c>
      <c r="F67" s="20">
        <v>63</v>
      </c>
      <c r="G67" s="22" t="str" cm="1">
        <f t="array" ref="G67" xml:space="preserve"> INDEX(十五音韻母清單!$B$6:$K$105, $C67, G$1)</f>
        <v>ue</v>
      </c>
      <c r="H67" s="22" t="str" cm="1">
        <f t="array" ref="H67" xml:space="preserve"> INDEX(十五音韻母清單!$B$6:$K$105, 韻母碼!$C67,韻母碼!H$1)</f>
        <v>ue</v>
      </c>
      <c r="I67" s="20" t="str" cm="1">
        <f t="array" ref="I67" xml:space="preserve"> INDEX(十五音韻母清單!$B$6:$K$105, $C67, I$1)</f>
        <v>檜</v>
      </c>
      <c r="J67" s="485" t="str" cm="1">
        <f t="array" ref="J67" xml:space="preserve"> INDEX(十五音韻母清單!$B$6:$K$105, 韻母碼!$C67,韻母碼!J$1)</f>
        <v>ㄨㆤ</v>
      </c>
      <c r="K67" s="22" t="str" cm="1">
        <f t="array" ref="K67" xml:space="preserve"> INDEX(十五音韻母清單!$B$6:$K$105, 韻母碼!$C67,韻母碼!K$1)</f>
        <v>oe</v>
      </c>
      <c r="L67" s="22" t="str" cm="1">
        <f t="array" ref="L67" xml:space="preserve"> INDEX(十五音韻母清單!$B$6:$K$105, 韻母碼!$C67,韻母碼!L$1)</f>
        <v>ue</v>
      </c>
      <c r="M67" s="22" t="str" cm="1">
        <f t="array" ref="M67" xml:space="preserve"> INDEX(十五音韻母清單!$B$6:$K$105, 韻母碼!$C67,韻母碼!M$1)</f>
        <v>ue</v>
      </c>
      <c r="Q67" s="20">
        <v>63</v>
      </c>
      <c r="R67" s="95">
        <f t="shared" si="0"/>
        <v>32</v>
      </c>
      <c r="S67" s="95">
        <f t="shared" si="1"/>
        <v>1</v>
      </c>
      <c r="T67" s="95" t="str" cm="1">
        <f t="array" ref="T67">IF(S67=1,  INDEX('十五音-韻母'!$D$5:$E$54, $R67, 1), INDEX('十五音-韻母'!$D$5:$E$54, $R67, 2))</f>
        <v>uinn</v>
      </c>
      <c r="U67" s="95">
        <f t="shared" si="2"/>
        <v>0</v>
      </c>
    </row>
    <row r="68" spans="2:21">
      <c r="B68" s="134" t="s">
        <v>324</v>
      </c>
      <c r="C68" s="20">
        <f xml:space="preserve"> MATCH(B68, 十五音韻母清單!$H$6:$H$105,0)</f>
        <v>50</v>
      </c>
      <c r="D68" s="20" cm="1">
        <f t="array" ref="D68" xml:space="preserve"> INDEX(十五音韻母清單!$B$6:$K$105, $C68, D$1)</f>
        <v>25</v>
      </c>
      <c r="F68" s="20">
        <v>64</v>
      </c>
      <c r="G68" s="22" t="str" cm="1">
        <f t="array" ref="G68" xml:space="preserve"> INDEX(十五音韻母清單!$B$6:$K$105, $C68, G$1)</f>
        <v>ueh</v>
      </c>
      <c r="H68" s="22" t="str" cm="1">
        <f t="array" ref="H68" xml:space="preserve"> INDEX(十五音韻母清單!$B$6:$K$105, 韻母碼!$C68,韻母碼!H$1)</f>
        <v>ue?</v>
      </c>
      <c r="I68" s="20" t="str" cm="1">
        <f t="array" ref="I68" xml:space="preserve"> INDEX(十五音韻母清單!$B$6:$K$105, $C68, I$1)</f>
        <v>檜</v>
      </c>
      <c r="J68" s="485" t="str" cm="1">
        <f t="array" ref="J68" xml:space="preserve"> INDEX(十五音韻母清單!$B$6:$K$105, 韻母碼!$C68,韻母碼!J$1)</f>
        <v>ㄨㆤㆷ</v>
      </c>
      <c r="K68" s="22" t="str" cm="1">
        <f t="array" ref="K68" xml:space="preserve"> INDEX(十五音韻母清單!$B$6:$K$105, 韻母碼!$C68,韻母碼!K$1)</f>
        <v>oeh</v>
      </c>
      <c r="L68" s="22" t="str" cm="1">
        <f t="array" ref="L68" xml:space="preserve"> INDEX(十五音韻母清單!$B$6:$K$105, 韻母碼!$C68,韻母碼!L$1)</f>
        <v>ueh</v>
      </c>
      <c r="M68" s="22" t="str" cm="1">
        <f t="array" ref="M68" xml:space="preserve"> INDEX(十五音韻母清單!$B$6:$K$105, 韻母碼!$C68,韻母碼!M$1)</f>
        <v>ueh</v>
      </c>
      <c r="Q68" s="20">
        <v>64</v>
      </c>
      <c r="R68" s="95">
        <f t="shared" si="0"/>
        <v>32</v>
      </c>
      <c r="S68" s="95">
        <f t="shared" si="1"/>
        <v>0</v>
      </c>
      <c r="T68" s="95" t="str" cm="1">
        <f t="array" ref="T68">IF(S68=1,  INDEX('十五音-韻母'!$D$5:$E$54, $R68, 1), INDEX('十五音-韻母'!$D$5:$E$54, $R68, 2))</f>
        <v>uinnh</v>
      </c>
      <c r="U68" s="95">
        <f t="shared" si="2"/>
        <v>0</v>
      </c>
    </row>
    <row r="69" spans="2:21">
      <c r="B69" s="134" t="s">
        <v>216</v>
      </c>
      <c r="C69" s="20">
        <f xml:space="preserve"> MATCH(B69, 十五音韻母清單!$H$6:$H$105,0)</f>
        <v>30</v>
      </c>
      <c r="D69" s="20" cm="1">
        <f t="array" ref="D69" xml:space="preserve"> INDEX(十五音韻母清單!$B$6:$K$105, $C69, D$1)</f>
        <v>15</v>
      </c>
      <c r="F69" s="20">
        <v>65</v>
      </c>
      <c r="G69" s="22" t="str" cm="1">
        <f t="array" ref="G69" xml:space="preserve"> INDEX(十五音韻母清單!$B$6:$K$105, $C69, G$1)</f>
        <v>oh</v>
      </c>
      <c r="H69" s="22" t="str" cm="1">
        <f t="array" ref="H69" xml:space="preserve"> INDEX(十五音韻母清單!$B$6:$K$105, 韻母碼!$C69,韻母碼!H$1)</f>
        <v>o?</v>
      </c>
      <c r="I69" s="20" t="str" cm="1">
        <f t="array" ref="I69" xml:space="preserve"> INDEX(十五音韻母清單!$B$6:$K$105, $C69, I$1)</f>
        <v>高</v>
      </c>
      <c r="J69" s="485" t="str" cm="1">
        <f t="array" ref="J69" xml:space="preserve"> INDEX(十五音韻母清單!$B$6:$K$105, 韻母碼!$C69,韻母碼!J$1)</f>
        <v>ㄜㆷ</v>
      </c>
      <c r="K69" s="22" t="str" cm="1">
        <f t="array" ref="K69" xml:space="preserve"> INDEX(十五音韻母清單!$B$6:$K$105, 韻母碼!$C69,韻母碼!K$1)</f>
        <v>oh</v>
      </c>
      <c r="L69" s="22" t="str" cm="1">
        <f t="array" ref="L69" xml:space="preserve"> INDEX(十五音韻母清單!$B$6:$K$105, 韻母碼!$C69,韻母碼!L$1)</f>
        <v>oh</v>
      </c>
      <c r="M69" s="22" t="str" cm="1">
        <f t="array" ref="M69" xml:space="preserve"> INDEX(十五音韻母清單!$B$6:$K$105, 韻母碼!$C69,韻母碼!M$1)</f>
        <v>oh</v>
      </c>
      <c r="Q69" s="20">
        <v>65</v>
      </c>
      <c r="R69" s="95">
        <f t="shared" si="0"/>
        <v>33</v>
      </c>
      <c r="S69" s="95">
        <f t="shared" si="1"/>
        <v>1</v>
      </c>
      <c r="T69" s="95" t="str" cm="1">
        <f t="array" ref="T69">IF(S69=1,  INDEX('十五音-韻母'!$D$5:$E$54, $R69, 1), INDEX('十五音-韻母'!$D$5:$E$54, $R69, 2))</f>
        <v>io</v>
      </c>
      <c r="U69" s="95">
        <f t="shared" si="2"/>
        <v>39</v>
      </c>
    </row>
    <row r="70" spans="2:21">
      <c r="B70" s="134" t="s">
        <v>325</v>
      </c>
      <c r="C70" s="20">
        <f xml:space="preserve"> MATCH(B70, 十五音韻母清單!$H$6:$H$105,0)</f>
        <v>82</v>
      </c>
      <c r="D70" s="20" cm="1">
        <f t="array" ref="D70" xml:space="preserve"> INDEX(十五音韻母清單!$B$6:$K$105, $C70, D$1)</f>
        <v>41</v>
      </c>
      <c r="F70" s="20">
        <v>67</v>
      </c>
      <c r="G70" s="22" t="str" cm="1">
        <f t="array" ref="G70" xml:space="preserve"> INDEX(十五音韻母清單!$B$6:$K$105, $C70, G$1)</f>
        <v>oonnh</v>
      </c>
      <c r="H70" s="22" t="str" cm="1">
        <f t="array" ref="H70" xml:space="preserve"> INDEX(十五音韻母清單!$B$6:$K$105, 韻母碼!$C70,韻母碼!H$1)</f>
        <v>õu?</v>
      </c>
      <c r="I70" s="20" t="str" cm="1">
        <f t="array" ref="I70" xml:space="preserve"> INDEX(十五音韻母清單!$B$6:$K$105, $C70, I$1)</f>
        <v>姑</v>
      </c>
      <c r="J70" s="485" t="str" cm="1">
        <f t="array" ref="J70" xml:space="preserve"> INDEX(十五音韻母清單!$B$6:$K$105, 韻母碼!$C70,韻母碼!J$1)</f>
        <v>ㆧㆷ</v>
      </c>
      <c r="K70" s="22" t="str" cm="1">
        <f t="array" ref="K70" xml:space="preserve"> INDEX(十五音韻母清單!$B$6:$K$105, 韻母碼!$C70,韻母碼!K$1)</f>
        <v>ohⁿ</v>
      </c>
      <c r="L70" s="22" t="str" cm="1">
        <f t="array" ref="L70" xml:space="preserve"> INDEX(十五音韻母清單!$B$6:$K$105, 韻母碼!$C70,韻母碼!L$1)</f>
        <v>nooh</v>
      </c>
      <c r="M70" s="22" t="str" cm="1">
        <f t="array" ref="M70" xml:space="preserve"> INDEX(十五音韻母清單!$B$6:$K$105, 韻母碼!$C70,韻母碼!M$1)</f>
        <v>onnh</v>
      </c>
      <c r="Q70" s="20">
        <v>67</v>
      </c>
      <c r="R70" s="95">
        <f t="shared" ref="R70:R103" si="3">ROUND($Q70/2, 0)</f>
        <v>34</v>
      </c>
      <c r="S70" s="95">
        <f t="shared" ref="S70:S103" si="4" xml:space="preserve"> MOD($Q70, 2)</f>
        <v>1</v>
      </c>
      <c r="T70" s="95" t="str" cm="1">
        <f t="array" ref="T70">IF(S70=1,  INDEX('十五音-韻母'!$D$5:$E$54, $R70, 1), INDEX('十五音-韻母'!$D$5:$E$54, $R70, 2))</f>
        <v>inn</v>
      </c>
      <c r="U70" s="95">
        <f t="shared" ref="U70:U103" si="5" xml:space="preserve"> IFERROR( MATCH(T70, $G$5:$G$78, 0), 0)</f>
        <v>22</v>
      </c>
    </row>
    <row r="71" spans="2:21">
      <c r="B71" s="134" t="s">
        <v>170</v>
      </c>
      <c r="C71" s="20">
        <f xml:space="preserve"> MATCH(B71, 十五音韻母清單!$H$6:$H$105,0)</f>
        <v>14</v>
      </c>
      <c r="D71" s="20" cm="1">
        <f t="array" ref="D71" xml:space="preserve"> INDEX(十五音韻母清單!$B$6:$K$105, $C71, D$1)</f>
        <v>7</v>
      </c>
      <c r="F71" s="20">
        <v>68</v>
      </c>
      <c r="G71" s="22" t="str" cm="1">
        <f t="array" ref="G71" xml:space="preserve"> INDEX(十五音韻母清單!$B$6:$K$105, $C71, G$1)</f>
        <v>ok</v>
      </c>
      <c r="H71" s="22" t="str" cm="1">
        <f t="array" ref="H71" xml:space="preserve"> INDEX(十五音韻母清單!$B$6:$K$105, 韻母碼!$C71,韻母碼!H$1)</f>
        <v>ɔk̚</v>
      </c>
      <c r="I71" s="20" t="str" cm="1">
        <f t="array" ref="I71" xml:space="preserve"> INDEX(十五音韻母清單!$B$6:$K$105, $C71, I$1)</f>
        <v>公</v>
      </c>
      <c r="J71" s="485" t="str" cm="1">
        <f t="array" ref="J71" xml:space="preserve"> INDEX(十五音韻母清單!$B$6:$K$105, 韻母碼!$C71,韻母碼!J$1)</f>
        <v>ㆦㆻ</v>
      </c>
      <c r="K71" s="22" t="str" cm="1">
        <f t="array" ref="K71" xml:space="preserve"> INDEX(十五音韻母清單!$B$6:$K$105, 韻母碼!$C71,韻母碼!K$1)</f>
        <v>ok</v>
      </c>
      <c r="L71" s="22" t="str" cm="1">
        <f t="array" ref="L71" xml:space="preserve"> INDEX(十五音韻母清單!$B$6:$K$105, 韻母碼!$C71,韻母碼!L$1)</f>
        <v>ok</v>
      </c>
      <c r="M71" s="22" t="str" cm="1">
        <f t="array" ref="M71" xml:space="preserve"> INDEX(十五音韻母清單!$B$6:$K$105, 韻母碼!$C71,韻母碼!M$1)</f>
        <v>ok</v>
      </c>
      <c r="Q71" s="20">
        <v>68</v>
      </c>
      <c r="R71" s="95">
        <f t="shared" si="3"/>
        <v>34</v>
      </c>
      <c r="S71" s="95">
        <f t="shared" si="4"/>
        <v>0</v>
      </c>
      <c r="T71" s="95" t="str" cm="1">
        <f t="array" ref="T71">IF(S71=1,  INDEX('十五音-韻母'!$D$5:$E$54, $R71, 1), INDEX('十五音-韻母'!$D$5:$E$54, $R71, 2))</f>
        <v>innh</v>
      </c>
      <c r="U71" s="95">
        <f t="shared" si="5"/>
        <v>0</v>
      </c>
    </row>
    <row r="72" spans="2:21">
      <c r="B72" s="134" t="s">
        <v>262</v>
      </c>
      <c r="C72" s="20">
        <f xml:space="preserve"> MATCH(B72, 十五音韻母清單!$H$6:$H$105,0)</f>
        <v>93</v>
      </c>
      <c r="D72" s="20" cm="1">
        <f t="array" ref="D72" xml:space="preserve"> INDEX(十五音韻母清單!$B$6:$K$105, $C72, D$1)</f>
        <v>47</v>
      </c>
      <c r="F72" s="20">
        <v>69</v>
      </c>
      <c r="G72" s="22" t="str" cm="1">
        <f t="array" ref="G72" xml:space="preserve"> INDEX(十五音韻母清單!$B$6:$K$105, $C72, G$1)</f>
        <v>om</v>
      </c>
      <c r="H72" s="22" t="str" cm="1">
        <f t="array" ref="H72" xml:space="preserve"> INDEX(十五音韻母清單!$B$6:$K$105, 韻母碼!$C72,韻母碼!H$1)</f>
        <v>ɔm</v>
      </c>
      <c r="I72" s="20" t="str" cm="1">
        <f t="array" ref="I72" xml:space="preserve"> INDEX(十五音韻母清單!$B$6:$K$105, $C72, I$1)</f>
        <v>箴</v>
      </c>
      <c r="J72" s="485" t="str" cm="1">
        <f t="array" ref="J72" xml:space="preserve"> INDEX(十五音韻母清單!$B$6:$K$105, 韻母碼!$C72,韻母碼!J$1)</f>
        <v>ㆱ</v>
      </c>
      <c r="K72" s="22" t="str" cm="1">
        <f t="array" ref="K72" xml:space="preserve"> INDEX(十五音韻母清單!$B$6:$K$105, 韻母碼!$C72,韻母碼!K$1)</f>
        <v>om</v>
      </c>
      <c r="L72" s="22" t="str" cm="1">
        <f t="array" ref="L72" xml:space="preserve"> INDEX(十五音韻母清單!$B$6:$K$105, 韻母碼!$C72,韻母碼!L$1)</f>
        <v>om</v>
      </c>
      <c r="M72" s="22" t="str" cm="1">
        <f t="array" ref="M72" xml:space="preserve"> INDEX(十五音韻母清單!$B$6:$K$105, 韻母碼!$C72,韻母碼!M$1)</f>
        <v>om</v>
      </c>
      <c r="Q72" s="20">
        <v>69</v>
      </c>
      <c r="R72" s="95">
        <f t="shared" si="3"/>
        <v>35</v>
      </c>
      <c r="S72" s="95">
        <f t="shared" si="4"/>
        <v>1</v>
      </c>
      <c r="T72" s="95" t="str" cm="1">
        <f t="array" ref="T72">IF(S72=1,  INDEX('十五音-韻母'!$D$5:$E$54, $R72, 1), INDEX('十五音-韻母'!$D$5:$E$54, $R72, 2))</f>
        <v>ionn</v>
      </c>
      <c r="U72" s="95">
        <f t="shared" si="5"/>
        <v>0</v>
      </c>
    </row>
    <row r="73" spans="2:21">
      <c r="B73" s="134" t="s">
        <v>169</v>
      </c>
      <c r="C73" s="20">
        <f xml:space="preserve"> MATCH(B73, 十五音韻母清單!$H$6:$H$105,0)</f>
        <v>13</v>
      </c>
      <c r="D73" s="20" cm="1">
        <f t="array" ref="D73" xml:space="preserve"> INDEX(十五音韻母清單!$B$6:$K$105, $C73, D$1)</f>
        <v>7</v>
      </c>
      <c r="F73" s="20">
        <v>70</v>
      </c>
      <c r="G73" s="22" t="str" cm="1">
        <f t="array" ref="G73" xml:space="preserve"> INDEX(十五音韻母清單!$B$6:$K$105, $C73, G$1)</f>
        <v>ong</v>
      </c>
      <c r="H73" s="22" t="str" cm="1">
        <f t="array" ref="H73" xml:space="preserve"> INDEX(十五音韻母清單!$B$6:$K$105, 韻母碼!$C73,韻母碼!H$1)</f>
        <v>ɔŋ</v>
      </c>
      <c r="I73" s="20" t="str" cm="1">
        <f t="array" ref="I73" xml:space="preserve"> INDEX(十五音韻母清單!$B$6:$K$105, $C73, I$1)</f>
        <v>公</v>
      </c>
      <c r="J73" s="485" t="str" cm="1">
        <f t="array" ref="J73" xml:space="preserve"> INDEX(十五音韻母清單!$B$6:$K$105, 韻母碼!$C73,韻母碼!J$1)</f>
        <v>ㆲ</v>
      </c>
      <c r="K73" s="22" t="str" cm="1">
        <f t="array" ref="K73" xml:space="preserve"> INDEX(十五音韻母清單!$B$6:$K$105, 韻母碼!$C73,韻母碼!K$1)</f>
        <v>ong</v>
      </c>
      <c r="L73" s="22" t="str" cm="1">
        <f t="array" ref="L73" xml:space="preserve"> INDEX(十五音韻母清單!$B$6:$K$105, 韻母碼!$C73,韻母碼!L$1)</f>
        <v>ong</v>
      </c>
      <c r="M73" s="22" t="str" cm="1">
        <f t="array" ref="M73" xml:space="preserve"> INDEX(十五音韻母清單!$B$6:$K$105, 韻母碼!$C73,韻母碼!M$1)</f>
        <v>ong</v>
      </c>
      <c r="Q73" s="20">
        <v>70</v>
      </c>
      <c r="R73" s="95">
        <f t="shared" si="3"/>
        <v>35</v>
      </c>
      <c r="S73" s="95">
        <f t="shared" si="4"/>
        <v>0</v>
      </c>
      <c r="T73" s="95" t="str" cm="1">
        <f t="array" ref="T73">IF(S73=1,  INDEX('十五音-韻母'!$D$5:$E$54, $R73, 1), INDEX('十五音-韻母'!$D$5:$E$54, $R73, 2))</f>
        <v>ionnh</v>
      </c>
      <c r="U73" s="95">
        <f t="shared" si="5"/>
        <v>0</v>
      </c>
    </row>
    <row r="74" spans="2:21">
      <c r="B74" s="134" t="s">
        <v>245</v>
      </c>
      <c r="C74" s="20">
        <f xml:space="preserve"> MATCH(B74, 十五音韻母清單!$H$6:$H$105,0)</f>
        <v>53</v>
      </c>
      <c r="D74" s="20" cm="1">
        <f t="array" ref="D74" xml:space="preserve"> INDEX(十五音韻母清單!$B$6:$K$105, $C74, D$1)</f>
        <v>27</v>
      </c>
      <c r="F74" s="20">
        <v>71</v>
      </c>
      <c r="G74" s="22" t="str" cm="1">
        <f t="array" ref="G74" xml:space="preserve"> INDEX(十五音韻母清單!$B$6:$K$105, $C74, G$1)</f>
        <v>u</v>
      </c>
      <c r="H74" s="22" t="str" cm="1">
        <f t="array" ref="H74" xml:space="preserve"> INDEX(十五音韻母清單!$B$6:$K$105, 韻母碼!$C74,韻母碼!H$1)</f>
        <v>u</v>
      </c>
      <c r="I74" s="20" t="str" cm="1">
        <f t="array" ref="I74" xml:space="preserve"> INDEX(十五音韻母清單!$B$6:$K$105, $C74, I$1)</f>
        <v>艍</v>
      </c>
      <c r="J74" s="485" t="str" cm="1">
        <f t="array" ref="J74" xml:space="preserve"> INDEX(十五音韻母清單!$B$6:$K$105, 韻母碼!$C74,韻母碼!J$1)</f>
        <v>ㄨ</v>
      </c>
      <c r="K74" s="22" t="str" cm="1">
        <f t="array" ref="K74" xml:space="preserve"> INDEX(十五音韻母清單!$B$6:$K$105, 韻母碼!$C74,韻母碼!K$1)</f>
        <v>u</v>
      </c>
      <c r="L74" s="22" t="str" cm="1">
        <f t="array" ref="L74" xml:space="preserve"> INDEX(十五音韻母清單!$B$6:$K$105, 韻母碼!$C74,韻母碼!L$1)</f>
        <v>u</v>
      </c>
      <c r="M74" s="22" t="str" cm="1">
        <f t="array" ref="M74" xml:space="preserve"> INDEX(十五音韻母清單!$B$6:$K$105, 韻母碼!$C74,韻母碼!M$1)</f>
        <v>u</v>
      </c>
      <c r="Q74" s="20">
        <v>71</v>
      </c>
      <c r="R74" s="95">
        <f t="shared" si="3"/>
        <v>36</v>
      </c>
      <c r="S74" s="95">
        <f t="shared" si="4"/>
        <v>1</v>
      </c>
      <c r="T74" s="95" t="str" cm="1">
        <f t="array" ref="T74">IF(S74=1,  INDEX('十五音-韻母'!$D$5:$E$54, $R74, 1), INDEX('十五音-韻母'!$D$5:$E$54, $R74, 2))</f>
        <v>iann</v>
      </c>
      <c r="U74" s="95">
        <f t="shared" si="5"/>
        <v>24</v>
      </c>
    </row>
    <row r="75" spans="2:21">
      <c r="B75" s="134" t="s">
        <v>246</v>
      </c>
      <c r="C75" s="20">
        <f xml:space="preserve"> MATCH(B75, 十五音韻母清單!$H$6:$H$105,0)</f>
        <v>54</v>
      </c>
      <c r="D75" s="20" cm="1">
        <f t="array" ref="D75" xml:space="preserve"> INDEX(十五音韻母清單!$B$6:$K$105, $C75, D$1)</f>
        <v>27</v>
      </c>
      <c r="F75" s="20">
        <v>72</v>
      </c>
      <c r="G75" s="22" t="str" cm="1">
        <f t="array" ref="G75" xml:space="preserve"> INDEX(十五音韻母清單!$B$6:$K$105, $C75, G$1)</f>
        <v>uh</v>
      </c>
      <c r="H75" s="22" t="str" cm="1">
        <f t="array" ref="H75" xml:space="preserve"> INDEX(十五音韻母清單!$B$6:$K$105, 韻母碼!$C75,韻母碼!H$1)</f>
        <v>u?</v>
      </c>
      <c r="I75" s="20" t="str" cm="1">
        <f t="array" ref="I75" xml:space="preserve"> INDEX(十五音韻母清單!$B$6:$K$105, $C75, I$1)</f>
        <v>艍</v>
      </c>
      <c r="J75" s="485" t="str" cm="1">
        <f t="array" ref="J75" xml:space="preserve"> INDEX(十五音韻母清單!$B$6:$K$105, 韻母碼!$C75,韻母碼!J$1)</f>
        <v>ㄨㆷ</v>
      </c>
      <c r="K75" s="22" t="str" cm="1">
        <f t="array" ref="K75" xml:space="preserve"> INDEX(十五音韻母清單!$B$6:$K$105, 韻母碼!$C75,韻母碼!K$1)</f>
        <v>uh</v>
      </c>
      <c r="L75" s="22" t="str" cm="1">
        <f t="array" ref="L75" xml:space="preserve"> INDEX(十五音韻母清單!$B$6:$K$105, 韻母碼!$C75,韻母碼!L$1)</f>
        <v>uh</v>
      </c>
      <c r="M75" s="22" t="str" cm="1">
        <f t="array" ref="M75" xml:space="preserve"> INDEX(十五音韻母清單!$B$6:$K$105, 韻母碼!$C75,韻母碼!M$1)</f>
        <v>uh</v>
      </c>
      <c r="Q75" s="20">
        <v>72</v>
      </c>
      <c r="R75" s="95">
        <f t="shared" si="3"/>
        <v>36</v>
      </c>
      <c r="S75" s="95">
        <f t="shared" si="4"/>
        <v>0</v>
      </c>
      <c r="T75" s="95" t="str" cm="1">
        <f t="array" ref="T75">IF(S75=1,  INDEX('十五音-韻母'!$D$5:$E$54, $R75, 1), INDEX('十五音-韻母'!$D$5:$E$54, $R75, 2))</f>
        <v>iannh</v>
      </c>
      <c r="U75" s="95">
        <f t="shared" si="5"/>
        <v>26</v>
      </c>
    </row>
    <row r="76" spans="2:21">
      <c r="B76" s="134" t="s">
        <v>154</v>
      </c>
      <c r="C76" s="20">
        <f xml:space="preserve"> MATCH(B76, 十五音韻母清單!$H$6:$H$105,0)</f>
        <v>7</v>
      </c>
      <c r="D76" s="20" cm="1">
        <f t="array" ref="D76" xml:space="preserve"> INDEX(十五音韻母清單!$B$6:$K$105, $C76, D$1)</f>
        <v>4</v>
      </c>
      <c r="F76" s="20">
        <v>73</v>
      </c>
      <c r="G76" s="22" t="str" cm="1">
        <f t="array" ref="G76" xml:space="preserve"> INDEX(十五音韻母清單!$B$6:$K$105, $C76, G$1)</f>
        <v>ui</v>
      </c>
      <c r="H76" s="22" t="str" cm="1">
        <f t="array" ref="H76" xml:space="preserve"> INDEX(十五音韻母清單!$B$6:$K$105, 韻母碼!$C76,韻母碼!H$1)</f>
        <v>ui</v>
      </c>
      <c r="I76" s="20" t="str" cm="1">
        <f t="array" ref="I76" xml:space="preserve"> INDEX(十五音韻母清單!$B$6:$K$105, $C76, I$1)</f>
        <v>規</v>
      </c>
      <c r="J76" s="485" t="str" cm="1">
        <f t="array" ref="J76" xml:space="preserve"> INDEX(十五音韻母清單!$B$6:$K$105, 韻母碼!$C76,韻母碼!J$1)</f>
        <v>ㄨㄧ</v>
      </c>
      <c r="K76" s="22" t="str" cm="1">
        <f t="array" ref="K76" xml:space="preserve"> INDEX(十五音韻母清單!$B$6:$K$105, 韻母碼!$C76,韻母碼!K$1)</f>
        <v>ui</v>
      </c>
      <c r="L76" s="22" t="str" cm="1">
        <f t="array" ref="L76" xml:space="preserve"> INDEX(十五音韻母清單!$B$6:$K$105, 韻母碼!$C76,韻母碼!L$1)</f>
        <v>ui</v>
      </c>
      <c r="M76" s="22" t="str" cm="1">
        <f t="array" ref="M76" xml:space="preserve"> INDEX(十五音韻母清單!$B$6:$K$105, 韻母碼!$C76,韻母碼!M$1)</f>
        <v>ui</v>
      </c>
      <c r="Q76" s="20">
        <v>73</v>
      </c>
      <c r="R76" s="95">
        <f t="shared" si="3"/>
        <v>37</v>
      </c>
      <c r="S76" s="95">
        <f t="shared" si="4"/>
        <v>1</v>
      </c>
      <c r="T76" s="95" t="str" cm="1">
        <f t="array" ref="T76">IF(S76=1,  INDEX('十五音-韻母'!$D$5:$E$54, $R76, 1), INDEX('十五音-韻母'!$D$5:$E$54, $R76, 2))</f>
        <v>uann</v>
      </c>
      <c r="U76" s="95">
        <f t="shared" si="5"/>
        <v>56</v>
      </c>
    </row>
    <row r="77" spans="2:21">
      <c r="B77" s="134" t="s">
        <v>136</v>
      </c>
      <c r="C77" s="20">
        <f xml:space="preserve"> MATCH(B77, 十五音韻母清單!$H$6:$H$105,0)</f>
        <v>1</v>
      </c>
      <c r="D77" s="20" cm="1">
        <f t="array" ref="D77" xml:space="preserve"> INDEX(十五音韻母清單!$B$6:$K$105, $C77, D$1)</f>
        <v>1</v>
      </c>
      <c r="F77" s="20">
        <v>74</v>
      </c>
      <c r="G77" s="22" t="str" cm="1">
        <f t="array" ref="G77" xml:space="preserve"> INDEX(十五音韻母清單!$B$6:$K$105, $C77, G$1)</f>
        <v>un</v>
      </c>
      <c r="H77" s="22" t="str" cm="1">
        <f t="array" ref="H77" xml:space="preserve"> INDEX(十五音韻母清單!$B$6:$K$105, 韻母碼!$C77,韻母碼!H$1)</f>
        <v>un</v>
      </c>
      <c r="I77" s="20" t="str" cm="1">
        <f t="array" ref="I77" xml:space="preserve"> INDEX(十五音韻母清單!$B$6:$K$105, $C77, I$1)</f>
        <v>君</v>
      </c>
      <c r="J77" s="485" t="str" cm="1">
        <f t="array" ref="J77" xml:space="preserve"> INDEX(十五音韻母清單!$B$6:$K$105, 韻母碼!$C77,韻母碼!J$1)</f>
        <v>ㄨㄣ</v>
      </c>
      <c r="K77" s="22" t="str" cm="1">
        <f t="array" ref="K77" xml:space="preserve"> INDEX(十五音韻母清單!$B$6:$K$105, 韻母碼!$C77,韻母碼!K$1)</f>
        <v>un</v>
      </c>
      <c r="L77" s="22" t="str" cm="1">
        <f t="array" ref="L77" xml:space="preserve"> INDEX(十五音韻母清單!$B$6:$K$105, 韻母碼!$C77,韻母碼!L$1)</f>
        <v>un</v>
      </c>
      <c r="M77" s="22" t="str" cm="1">
        <f t="array" ref="M77" xml:space="preserve"> INDEX(十五音韻母清單!$B$6:$K$105, 韻母碼!$C77,韻母碼!M$1)</f>
        <v>un</v>
      </c>
      <c r="Q77" s="20">
        <v>74</v>
      </c>
      <c r="R77" s="95">
        <f t="shared" si="3"/>
        <v>37</v>
      </c>
      <c r="S77" s="95">
        <f t="shared" si="4"/>
        <v>0</v>
      </c>
      <c r="T77" s="95" t="str" cm="1">
        <f t="array" ref="T77">IF(S77=1,  INDEX('十五音-韻母'!$D$5:$E$54, $R77, 1), INDEX('十五音-韻母'!$D$5:$E$54, $R77, 2))</f>
        <v>uannh</v>
      </c>
      <c r="U77" s="95">
        <f t="shared" si="5"/>
        <v>0</v>
      </c>
    </row>
    <row r="78" spans="2:21">
      <c r="B78" s="134" t="s">
        <v>137</v>
      </c>
      <c r="C78" s="20">
        <f xml:space="preserve"> MATCH(B78, 十五音韻母清單!$H$6:$H$105,0)</f>
        <v>2</v>
      </c>
      <c r="D78" s="20" cm="1">
        <f t="array" ref="D78" xml:space="preserve"> INDEX(十五音韻母清單!$B$6:$K$105, $C78, D$1)</f>
        <v>1</v>
      </c>
      <c r="F78" s="20">
        <v>75</v>
      </c>
      <c r="G78" s="22" t="str" cm="1">
        <f t="array" ref="G78" xml:space="preserve"> INDEX(十五音韻母清單!$B$6:$K$105, $C78, G$1)</f>
        <v>ut</v>
      </c>
      <c r="H78" s="22" t="str" cm="1">
        <f t="array" ref="H78" xml:space="preserve"> INDEX(十五音韻母清單!$B$6:$K$105, 韻母碼!$C78,韻母碼!H$1)</f>
        <v>ut̚</v>
      </c>
      <c r="I78" s="20" t="str" cm="1">
        <f t="array" ref="I78" xml:space="preserve"> INDEX(十五音韻母清單!$B$6:$K$105, $C78, I$1)</f>
        <v>君</v>
      </c>
      <c r="J78" s="485" t="str" cm="1">
        <f t="array" ref="J78" xml:space="preserve"> INDEX(十五音韻母清單!$B$6:$K$105, 韻母碼!$C78,韻母碼!J$1)</f>
        <v>ㄨㆵ</v>
      </c>
      <c r="K78" s="22" t="str" cm="1">
        <f t="array" ref="K78" xml:space="preserve"> INDEX(十五音韻母清單!$B$6:$K$105, 韻母碼!$C78,韻母碼!K$1)</f>
        <v>ut</v>
      </c>
      <c r="L78" s="22" t="str" cm="1">
        <f t="array" ref="L78" xml:space="preserve"> INDEX(十五音韻母清單!$B$6:$K$105, 韻母碼!$C78,韻母碼!L$1)</f>
        <v>ut</v>
      </c>
      <c r="M78" s="22" t="str" cm="1">
        <f t="array" ref="M78" xml:space="preserve"> INDEX(十五音韻母清單!$B$6:$K$105, 韻母碼!$C78,韻母碼!M$1)</f>
        <v>ut</v>
      </c>
      <c r="Q78" s="20">
        <v>75</v>
      </c>
      <c r="R78" s="95">
        <f t="shared" si="3"/>
        <v>38</v>
      </c>
      <c r="S78" s="95">
        <f t="shared" si="4"/>
        <v>1</v>
      </c>
      <c r="T78" s="95" t="str" cm="1">
        <f t="array" ref="T78">IF(S78=1,  INDEX('十五音-韻母'!$D$5:$E$54, $R78, 1), INDEX('十五音-韻母'!$D$5:$E$54, $R78, 2))</f>
        <v>ng</v>
      </c>
      <c r="U78" s="95">
        <f t="shared" si="5"/>
        <v>50</v>
      </c>
    </row>
    <row r="79" spans="2:21">
      <c r="Q79" s="20">
        <v>76</v>
      </c>
      <c r="R79" s="95">
        <f t="shared" si="3"/>
        <v>38</v>
      </c>
      <c r="S79" s="95">
        <f t="shared" si="4"/>
        <v>0</v>
      </c>
      <c r="T79" s="95" t="str" cm="1">
        <f t="array" ref="T79">IF(S79=1,  INDEX('十五音-韻母'!$D$5:$E$54, $R79, 1), INDEX('十五音-韻母'!$D$5:$E$54, $R79, 2))</f>
        <v>ngh</v>
      </c>
      <c r="U79" s="95">
        <f t="shared" si="5"/>
        <v>51</v>
      </c>
    </row>
    <row r="80" spans="2:21">
      <c r="Q80" s="20">
        <v>77</v>
      </c>
      <c r="R80" s="95">
        <f t="shared" si="3"/>
        <v>39</v>
      </c>
      <c r="S80" s="95">
        <f t="shared" si="4"/>
        <v>1</v>
      </c>
      <c r="T80" s="95" t="str" cm="1">
        <f t="array" ref="T80">IF(S80=1,  INDEX('十五音-韻母'!$D$5:$E$54, $R80, 1), INDEX('十五音-韻母'!$D$5:$E$54, $R80, 2))</f>
        <v>e</v>
      </c>
      <c r="U80" s="95">
        <f t="shared" si="5"/>
        <v>15</v>
      </c>
    </row>
    <row r="81" spans="17:21">
      <c r="Q81" s="20">
        <v>78</v>
      </c>
      <c r="R81" s="95">
        <f t="shared" si="3"/>
        <v>39</v>
      </c>
      <c r="S81" s="95">
        <f t="shared" si="4"/>
        <v>0</v>
      </c>
      <c r="T81" s="95" t="str" cm="1">
        <f t="array" ref="T81">IF(S81=1,  INDEX('十五音-韻母'!$D$5:$E$54, $R81, 1), INDEX('十五音-韻母'!$D$5:$E$54, $R81, 2))</f>
        <v>eh</v>
      </c>
      <c r="U81" s="95">
        <f t="shared" si="5"/>
        <v>17</v>
      </c>
    </row>
    <row r="82" spans="17:21">
      <c r="Q82" s="20">
        <v>79</v>
      </c>
      <c r="R82" s="95">
        <f t="shared" si="3"/>
        <v>40</v>
      </c>
      <c r="S82" s="95">
        <f t="shared" si="4"/>
        <v>1</v>
      </c>
      <c r="T82" s="95" t="str" cm="1">
        <f t="array" ref="T82">IF(S82=1,  INDEX('十五音-韻母'!$D$5:$E$54, $R82, 1), INDEX('十五音-韻母'!$D$5:$E$54, $R82, 2))</f>
        <v>ainn</v>
      </c>
      <c r="U82" s="95">
        <f t="shared" si="5"/>
        <v>6</v>
      </c>
    </row>
    <row r="83" spans="17:21">
      <c r="Q83" s="20">
        <v>80</v>
      </c>
      <c r="R83" s="95">
        <f t="shared" si="3"/>
        <v>40</v>
      </c>
      <c r="S83" s="95">
        <f t="shared" si="4"/>
        <v>0</v>
      </c>
      <c r="T83" s="95" t="str" cm="1">
        <f t="array" ref="T83">IF(S83=1,  INDEX('十五音-韻母'!$D$5:$E$54, $R83, 1), INDEX('十五音-韻母'!$D$5:$E$54, $R83, 2))</f>
        <v>ainnh</v>
      </c>
      <c r="U83" s="95">
        <f t="shared" si="5"/>
        <v>0</v>
      </c>
    </row>
    <row r="84" spans="17:21">
      <c r="Q84" s="20">
        <v>81</v>
      </c>
      <c r="R84" s="95">
        <f t="shared" si="3"/>
        <v>41</v>
      </c>
      <c r="S84" s="95">
        <f t="shared" si="4"/>
        <v>1</v>
      </c>
      <c r="T84" s="95" t="str" cm="1">
        <f t="array" ref="T84">IF(S84=1,  INDEX('十五音-韻母'!$D$5:$E$54, $R84, 1), INDEX('十五音-韻母'!$D$5:$E$54, $R84, 2))</f>
        <v>oonn</v>
      </c>
      <c r="U84" s="95">
        <f t="shared" si="5"/>
        <v>53</v>
      </c>
    </row>
    <row r="85" spans="17:21">
      <c r="Q85" s="20">
        <v>82</v>
      </c>
      <c r="R85" s="95">
        <f t="shared" si="3"/>
        <v>41</v>
      </c>
      <c r="S85" s="95">
        <f t="shared" si="4"/>
        <v>0</v>
      </c>
      <c r="T85" s="95" t="str" cm="1">
        <f t="array" ref="T85">IF(S85=1,  INDEX('十五音-韻母'!$D$5:$E$54, $R85, 1), INDEX('十五音-韻母'!$D$5:$E$54, $R85, 2))</f>
        <v>oonnh</v>
      </c>
      <c r="U85" s="95">
        <f t="shared" si="5"/>
        <v>66</v>
      </c>
    </row>
    <row r="86" spans="17:21">
      <c r="Q86" s="20">
        <v>83</v>
      </c>
      <c r="R86" s="95">
        <f t="shared" si="3"/>
        <v>42</v>
      </c>
      <c r="S86" s="95">
        <f t="shared" si="4"/>
        <v>1</v>
      </c>
      <c r="T86" s="95" t="str" cm="1">
        <f t="array" ref="T86">IF(S86=1,  INDEX('十五音-韻母'!$D$5:$E$54, $R86, 1), INDEX('十五音-韻母'!$D$5:$E$54, $R86, 2))</f>
        <v>m</v>
      </c>
      <c r="U86" s="95">
        <f t="shared" si="5"/>
        <v>48</v>
      </c>
    </row>
    <row r="87" spans="17:21">
      <c r="Q87" s="20">
        <v>84</v>
      </c>
      <c r="R87" s="95">
        <f t="shared" si="3"/>
        <v>42</v>
      </c>
      <c r="S87" s="95">
        <f t="shared" si="4"/>
        <v>0</v>
      </c>
      <c r="T87" s="95" t="str" cm="1">
        <f t="array" ref="T87">IF(S87=1,  INDEX('十五音-韻母'!$D$5:$E$54, $R87, 1), INDEX('十五音-韻母'!$D$5:$E$54, $R87, 2))</f>
        <v>mh</v>
      </c>
      <c r="U87" s="95">
        <f t="shared" si="5"/>
        <v>49</v>
      </c>
    </row>
    <row r="88" spans="17:21">
      <c r="Q88" s="20">
        <v>85</v>
      </c>
      <c r="R88" s="95">
        <f t="shared" si="3"/>
        <v>43</v>
      </c>
      <c r="S88" s="95">
        <f t="shared" si="4"/>
        <v>1</v>
      </c>
      <c r="T88" s="95" t="str" cm="1">
        <f t="array" ref="T88">IF(S88=1,  INDEX('十五音-韻母'!$D$5:$E$54, $R88, 1), INDEX('十五音-韻母'!$D$5:$E$54, $R88, 2))</f>
        <v>uang</v>
      </c>
      <c r="U88" s="95">
        <f t="shared" si="5"/>
        <v>61</v>
      </c>
    </row>
    <row r="89" spans="17:21">
      <c r="Q89" s="20">
        <v>86</v>
      </c>
      <c r="R89" s="95">
        <f t="shared" si="3"/>
        <v>43</v>
      </c>
      <c r="S89" s="95">
        <f t="shared" si="4"/>
        <v>0</v>
      </c>
      <c r="T89" s="95" t="str" cm="1">
        <f t="array" ref="T89">IF(S89=1,  INDEX('十五音-韻母'!$D$5:$E$54, $R89, 1), INDEX('十五音-韻母'!$D$5:$E$54, $R89, 2))</f>
        <v>uak</v>
      </c>
      <c r="U89" s="95">
        <f t="shared" si="5"/>
        <v>0</v>
      </c>
    </row>
    <row r="90" spans="17:21">
      <c r="Q90" s="20">
        <v>87</v>
      </c>
      <c r="R90" s="95">
        <f t="shared" si="3"/>
        <v>44</v>
      </c>
      <c r="S90" s="95">
        <f t="shared" si="4"/>
        <v>1</v>
      </c>
      <c r="T90" s="95" t="str" cm="1">
        <f t="array" ref="T90">IF(S90=1,  INDEX('十五音-韻母'!$D$5:$E$54, $R90, 1), INDEX('十五音-韻母'!$D$5:$E$54, $R90, 2))</f>
        <v>uainn</v>
      </c>
      <c r="U90" s="95">
        <f t="shared" si="5"/>
        <v>59</v>
      </c>
    </row>
    <row r="91" spans="17:21">
      <c r="Q91" s="20">
        <v>88</v>
      </c>
      <c r="R91" s="95">
        <f t="shared" si="3"/>
        <v>44</v>
      </c>
      <c r="S91" s="95">
        <f t="shared" si="4"/>
        <v>0</v>
      </c>
      <c r="T91" s="95" t="str" cm="1">
        <f t="array" ref="T91">IF(S91=1,  INDEX('十五音-韻母'!$D$5:$E$54, $R91, 1), INDEX('十五音-韻母'!$D$5:$E$54, $R91, 2))</f>
        <v>uainnh</v>
      </c>
      <c r="U91" s="95">
        <f t="shared" si="5"/>
        <v>0</v>
      </c>
    </row>
    <row r="92" spans="17:21">
      <c r="Q92" s="20">
        <v>89</v>
      </c>
      <c r="R92" s="95">
        <f t="shared" si="3"/>
        <v>45</v>
      </c>
      <c r="S92" s="95">
        <f t="shared" si="4"/>
        <v>1</v>
      </c>
      <c r="T92" s="95" t="str" cm="1">
        <f t="array" ref="T92">IF(S92=1,  INDEX('十五音-韻母'!$D$5:$E$54, $R92, 1), INDEX('十五音-韻母'!$D$5:$E$54, $R92, 2))</f>
        <v>uenn</v>
      </c>
      <c r="U92" s="95">
        <f t="shared" si="5"/>
        <v>0</v>
      </c>
    </row>
    <row r="93" spans="17:21">
      <c r="Q93" s="20">
        <v>90</v>
      </c>
      <c r="R93" s="95">
        <f t="shared" si="3"/>
        <v>45</v>
      </c>
      <c r="S93" s="95">
        <f t="shared" si="4"/>
        <v>0</v>
      </c>
      <c r="T93" s="95" t="str" cm="1">
        <f t="array" ref="T93">IF(S93=1,  INDEX('十五音-韻母'!$D$5:$E$54, $R93, 1), INDEX('十五音-韻母'!$D$5:$E$54, $R93, 2))</f>
        <v>uennh</v>
      </c>
      <c r="U93" s="95">
        <f t="shared" si="5"/>
        <v>0</v>
      </c>
    </row>
    <row r="94" spans="17:21">
      <c r="Q94" s="20">
        <v>91</v>
      </c>
      <c r="R94" s="95">
        <f t="shared" si="3"/>
        <v>46</v>
      </c>
      <c r="S94" s="95">
        <f t="shared" si="4"/>
        <v>1</v>
      </c>
      <c r="T94" s="95" t="str" cm="1">
        <f t="array" ref="T94">IF(S94=1,  INDEX('十五音-韻母'!$D$5:$E$54, $R94, 1), INDEX('十五音-韻母'!$D$5:$E$54, $R94, 2))</f>
        <v>iaunn</v>
      </c>
      <c r="U94" s="95">
        <f t="shared" si="5"/>
        <v>34</v>
      </c>
    </row>
    <row r="95" spans="17:21">
      <c r="Q95" s="20">
        <v>92</v>
      </c>
      <c r="R95" s="95">
        <f t="shared" si="3"/>
        <v>46</v>
      </c>
      <c r="S95" s="95">
        <f t="shared" si="4"/>
        <v>0</v>
      </c>
      <c r="T95" s="95" t="str" cm="1">
        <f t="array" ref="T95">IF(S95=1,  INDEX('十五音-韻母'!$D$5:$E$54, $R95, 1), INDEX('十五音-韻母'!$D$5:$E$54, $R95, 2))</f>
        <v>iaunnh</v>
      </c>
      <c r="U95" s="95">
        <f t="shared" si="5"/>
        <v>0</v>
      </c>
    </row>
    <row r="96" spans="17:21">
      <c r="Q96" s="20">
        <v>93</v>
      </c>
      <c r="R96" s="95">
        <f t="shared" si="3"/>
        <v>47</v>
      </c>
      <c r="S96" s="95">
        <f t="shared" si="4"/>
        <v>1</v>
      </c>
      <c r="T96" s="95" t="str" cm="1">
        <f t="array" ref="T96">IF(S96=1,  INDEX('十五音-韻母'!$D$5:$E$54, $R96, 1), INDEX('十五音-韻母'!$D$5:$E$54, $R96, 2))</f>
        <v>om</v>
      </c>
      <c r="U96" s="95">
        <f t="shared" si="5"/>
        <v>68</v>
      </c>
    </row>
    <row r="97" spans="17:21">
      <c r="Q97" s="20">
        <v>94</v>
      </c>
      <c r="R97" s="95">
        <f t="shared" si="3"/>
        <v>47</v>
      </c>
      <c r="S97" s="95">
        <f t="shared" si="4"/>
        <v>0</v>
      </c>
      <c r="T97" s="95" t="str" cm="1">
        <f t="array" ref="T97">IF(S97=1,  INDEX('十五音-韻母'!$D$5:$E$54, $R97, 1), INDEX('十五音-韻母'!$D$5:$E$54, $R97, 2))</f>
        <v>op</v>
      </c>
      <c r="U97" s="95">
        <f t="shared" si="5"/>
        <v>0</v>
      </c>
    </row>
    <row r="98" spans="17:21">
      <c r="Q98" s="20">
        <v>95</v>
      </c>
      <c r="R98" s="95">
        <f t="shared" si="3"/>
        <v>48</v>
      </c>
      <c r="S98" s="95">
        <f t="shared" si="4"/>
        <v>1</v>
      </c>
      <c r="T98" s="95" t="str" cm="1">
        <f t="array" ref="T98">IF(S98=1,  INDEX('十五音-韻母'!$D$5:$E$54, $R98, 1), INDEX('十五音-韻母'!$D$5:$E$54, $R98, 2))</f>
        <v>aunn</v>
      </c>
      <c r="U98" s="95">
        <f t="shared" si="5"/>
        <v>0</v>
      </c>
    </row>
    <row r="99" spans="17:21">
      <c r="Q99" s="20">
        <v>96</v>
      </c>
      <c r="R99" s="95">
        <f t="shared" si="3"/>
        <v>48</v>
      </c>
      <c r="S99" s="95">
        <f t="shared" si="4"/>
        <v>0</v>
      </c>
      <c r="T99" s="95" t="str" cm="1">
        <f t="array" ref="T99">IF(S99=1,  INDEX('十五音-韻母'!$D$5:$E$54, $R99, 1), INDEX('十五音-韻母'!$D$5:$E$54, $R99, 2))</f>
        <v>aunnh</v>
      </c>
      <c r="U99" s="95">
        <f t="shared" si="5"/>
        <v>0</v>
      </c>
    </row>
    <row r="100" spans="17:21">
      <c r="Q100" s="20">
        <v>97</v>
      </c>
      <c r="R100" s="95">
        <f t="shared" si="3"/>
        <v>49</v>
      </c>
      <c r="S100" s="95">
        <f t="shared" si="4"/>
        <v>1</v>
      </c>
      <c r="T100" s="95" t="str" cm="1">
        <f t="array" ref="T100">IF(S100=1,  INDEX('十五音-韻母'!$D$5:$E$54, $R100, 1), INDEX('十五音-韻母'!$D$5:$E$54, $R100, 2))</f>
        <v>onn</v>
      </c>
      <c r="U100" s="95">
        <f t="shared" si="5"/>
        <v>0</v>
      </c>
    </row>
    <row r="101" spans="17:21">
      <c r="Q101" s="20">
        <v>98</v>
      </c>
      <c r="R101" s="95">
        <f t="shared" si="3"/>
        <v>49</v>
      </c>
      <c r="S101" s="95">
        <f t="shared" si="4"/>
        <v>0</v>
      </c>
      <c r="T101" s="95" t="str" cm="1">
        <f t="array" ref="T101">IF(S101=1,  INDEX('十五音-韻母'!$D$5:$E$54, $R101, 1), INDEX('十五音-韻母'!$D$5:$E$54, $R101, 2))</f>
        <v>onnh</v>
      </c>
      <c r="U101" s="95">
        <f t="shared" si="5"/>
        <v>0</v>
      </c>
    </row>
    <row r="102" spans="17:21">
      <c r="Q102" s="20">
        <v>99</v>
      </c>
      <c r="R102" s="95">
        <f t="shared" si="3"/>
        <v>50</v>
      </c>
      <c r="S102" s="95">
        <f t="shared" si="4"/>
        <v>1</v>
      </c>
      <c r="T102" s="95" t="str" cm="1">
        <f t="array" ref="T102">IF(S102=1,  INDEX('十五音-韻母'!$D$5:$E$54, $R102, 1), INDEX('十五音-韻母'!$D$5:$E$54, $R102, 2))</f>
        <v>iunn</v>
      </c>
      <c r="U102" s="95">
        <f t="shared" si="5"/>
        <v>46</v>
      </c>
    </row>
    <row r="103" spans="17:21">
      <c r="Q103" s="20">
        <v>100</v>
      </c>
      <c r="R103" s="95">
        <f t="shared" si="3"/>
        <v>50</v>
      </c>
      <c r="S103" s="95">
        <f t="shared" si="4"/>
        <v>0</v>
      </c>
      <c r="T103" s="95" t="str" cm="1">
        <f t="array" ref="T103">IF(S103=1,  INDEX('十五音-韻母'!$D$5:$E$54, $R103, 1), INDEX('十五音-韻母'!$D$5:$E$54, $R103, 2))</f>
        <v>iunnh</v>
      </c>
      <c r="U103" s="95">
        <f t="shared" si="5"/>
        <v>47</v>
      </c>
    </row>
  </sheetData>
  <sortState xmlns:xlrd2="http://schemas.microsoft.com/office/spreadsheetml/2017/richdata2" ref="F5:M78">
    <sortCondition ref="F5:F78"/>
  </sortState>
  <phoneticPr fontId="42" type="noConversion"/>
  <conditionalFormatting sqref="Q5:U103">
    <cfRule type="expression" dxfId="28" priority="1">
      <formula>$U5=""</formula>
    </cfRule>
    <cfRule type="expression" dxfId="27" priority="2">
      <formula>$U5=0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6E08-F577-474C-A835-0327776D125D}">
  <sheetPr codeName="工作表9">
    <tabColor rgb="FF7030A0"/>
  </sheetPr>
  <dimension ref="B2:AI18"/>
  <sheetViews>
    <sheetView workbookViewId="0">
      <selection activeCell="AJ11" sqref="AJ11"/>
    </sheetView>
  </sheetViews>
  <sheetFormatPr defaultColWidth="10.7265625" defaultRowHeight="25.5" customHeight="1" outlineLevelCol="1"/>
  <cols>
    <col min="1" max="1" width="1.90625" style="112" customWidth="1"/>
    <col min="2" max="2" width="16" style="112" customWidth="1"/>
    <col min="3" max="5" width="19.26953125" style="112" customWidth="1"/>
    <col min="6" max="6" width="30.81640625" style="112" customWidth="1"/>
    <col min="7" max="33" width="21.1796875" style="112" hidden="1" customWidth="1" outlineLevel="1"/>
    <col min="34" max="34" width="19.453125" style="112" customWidth="1" collapsed="1"/>
    <col min="35" max="35" width="19.453125" style="112" customWidth="1"/>
    <col min="36" max="16384" width="10.7265625" style="112"/>
  </cols>
  <sheetData>
    <row r="2" spans="2:35" ht="33.950000000000003" customHeight="1">
      <c r="B2" s="111" t="s">
        <v>326</v>
      </c>
      <c r="C2" s="111" t="s">
        <v>327</v>
      </c>
      <c r="D2" s="111" t="s">
        <v>328</v>
      </c>
      <c r="E2" s="111" t="s">
        <v>329</v>
      </c>
      <c r="F2" s="111" t="s">
        <v>330</v>
      </c>
      <c r="G2" s="111" t="s">
        <v>331</v>
      </c>
      <c r="H2" s="111" t="s">
        <v>332</v>
      </c>
      <c r="I2" s="111" t="s">
        <v>333</v>
      </c>
      <c r="J2" s="111" t="s">
        <v>334</v>
      </c>
      <c r="K2" s="111" t="s">
        <v>335</v>
      </c>
      <c r="L2" s="111" t="s">
        <v>336</v>
      </c>
      <c r="M2" s="111" t="s">
        <v>337</v>
      </c>
      <c r="N2" s="111" t="s">
        <v>338</v>
      </c>
      <c r="O2" s="111" t="s">
        <v>339</v>
      </c>
      <c r="P2" s="111" t="s">
        <v>340</v>
      </c>
      <c r="Q2" s="111" t="s">
        <v>341</v>
      </c>
      <c r="R2" s="111" t="s">
        <v>342</v>
      </c>
      <c r="S2" s="111" t="s">
        <v>343</v>
      </c>
      <c r="T2" s="111" t="s">
        <v>344</v>
      </c>
      <c r="U2" s="111" t="s">
        <v>345</v>
      </c>
      <c r="V2" s="111" t="s">
        <v>346</v>
      </c>
      <c r="W2" s="111" t="s">
        <v>347</v>
      </c>
      <c r="X2" s="111" t="s">
        <v>348</v>
      </c>
      <c r="Y2" s="111" t="s">
        <v>349</v>
      </c>
      <c r="Z2" s="111" t="s">
        <v>350</v>
      </c>
      <c r="AA2" s="111" t="s">
        <v>351</v>
      </c>
      <c r="AB2" s="111" t="s">
        <v>352</v>
      </c>
      <c r="AC2" s="111" t="s">
        <v>353</v>
      </c>
      <c r="AD2" s="111" t="s">
        <v>354</v>
      </c>
      <c r="AE2" s="111" t="s">
        <v>355</v>
      </c>
      <c r="AF2" s="111" t="s">
        <v>356</v>
      </c>
      <c r="AG2" s="111" t="s">
        <v>357</v>
      </c>
      <c r="AH2" s="111" t="s">
        <v>358</v>
      </c>
      <c r="AI2" s="111" t="s">
        <v>359</v>
      </c>
    </row>
    <row r="3" spans="2:35" ht="44.1" customHeight="1">
      <c r="B3" s="118" t="s">
        <v>360</v>
      </c>
      <c r="C3" s="118" t="s">
        <v>139</v>
      </c>
      <c r="D3" s="118" t="s">
        <v>139</v>
      </c>
      <c r="E3" s="118" t="s">
        <v>361</v>
      </c>
      <c r="F3" s="118" t="s">
        <v>362</v>
      </c>
      <c r="G3" s="118" t="s">
        <v>363</v>
      </c>
      <c r="H3" s="118" t="s">
        <v>139</v>
      </c>
      <c r="I3" s="113" t="s">
        <v>364</v>
      </c>
      <c r="J3" s="113" t="s">
        <v>139</v>
      </c>
      <c r="K3" s="113" t="s">
        <v>365</v>
      </c>
      <c r="L3" s="113" t="s">
        <v>365</v>
      </c>
      <c r="M3" s="113" t="s">
        <v>365</v>
      </c>
      <c r="N3" s="113" t="s">
        <v>366</v>
      </c>
      <c r="O3" s="113" t="s">
        <v>139</v>
      </c>
      <c r="P3" s="113"/>
      <c r="Q3" s="113" t="s">
        <v>139</v>
      </c>
      <c r="R3" s="113" t="s">
        <v>367</v>
      </c>
      <c r="S3" s="113" t="s">
        <v>368</v>
      </c>
      <c r="T3" s="113" t="s">
        <v>139</v>
      </c>
      <c r="U3" s="113" t="s">
        <v>139</v>
      </c>
      <c r="V3" s="113" t="s">
        <v>139</v>
      </c>
      <c r="W3" s="113">
        <f>-(1)</f>
        <v>-1</v>
      </c>
      <c r="X3" s="113" t="s">
        <v>139</v>
      </c>
      <c r="Y3" s="113" t="s">
        <v>369</v>
      </c>
      <c r="Z3" s="113" t="s">
        <v>362</v>
      </c>
      <c r="AA3" s="113">
        <v>44</v>
      </c>
      <c r="AB3" s="114" t="s">
        <v>135</v>
      </c>
      <c r="AC3" s="113" t="s">
        <v>370</v>
      </c>
      <c r="AD3" s="113" t="s">
        <v>371</v>
      </c>
      <c r="AE3" s="113" t="s">
        <v>372</v>
      </c>
      <c r="AF3" s="113" t="s">
        <v>373</v>
      </c>
      <c r="AG3" s="113" t="s">
        <v>374</v>
      </c>
      <c r="AH3" s="113" t="s">
        <v>375</v>
      </c>
      <c r="AI3" s="113" t="s">
        <v>376</v>
      </c>
    </row>
    <row r="4" spans="2:35" ht="44.1" customHeight="1">
      <c r="B4" s="118" t="s">
        <v>377</v>
      </c>
      <c r="C4" s="118" t="s">
        <v>378</v>
      </c>
      <c r="D4" s="118" t="s">
        <v>378</v>
      </c>
      <c r="E4" s="118" t="s">
        <v>379</v>
      </c>
      <c r="F4" s="118" t="s">
        <v>380</v>
      </c>
      <c r="G4" s="118" t="s">
        <v>381</v>
      </c>
      <c r="H4" s="118" t="s">
        <v>382</v>
      </c>
      <c r="I4" s="113" t="s">
        <v>383</v>
      </c>
      <c r="J4" s="113" t="s">
        <v>382</v>
      </c>
      <c r="K4" s="113" t="s">
        <v>384</v>
      </c>
      <c r="L4" s="113" t="s">
        <v>384</v>
      </c>
      <c r="M4" s="113" t="s">
        <v>384</v>
      </c>
      <c r="N4" s="113" t="s">
        <v>384</v>
      </c>
      <c r="O4" s="113" t="s">
        <v>384</v>
      </c>
      <c r="P4" s="113" t="s">
        <v>385</v>
      </c>
      <c r="Q4" s="113" t="s">
        <v>378</v>
      </c>
      <c r="R4" s="113" t="s">
        <v>386</v>
      </c>
      <c r="S4" s="113" t="s">
        <v>387</v>
      </c>
      <c r="T4" s="113" t="s">
        <v>388</v>
      </c>
      <c r="U4" s="113" t="s">
        <v>378</v>
      </c>
      <c r="V4" s="113" t="s">
        <v>378</v>
      </c>
      <c r="W4" s="113" t="s">
        <v>389</v>
      </c>
      <c r="X4" s="113" t="s">
        <v>390</v>
      </c>
      <c r="Y4" s="113" t="s">
        <v>391</v>
      </c>
      <c r="Z4" s="115"/>
      <c r="AA4" s="113">
        <v>53</v>
      </c>
      <c r="AB4" s="114" t="s">
        <v>392</v>
      </c>
      <c r="AC4" s="113" t="s">
        <v>393</v>
      </c>
      <c r="AD4" s="113" t="s">
        <v>394</v>
      </c>
      <c r="AE4" s="113" t="s">
        <v>395</v>
      </c>
      <c r="AF4" s="113" t="s">
        <v>373</v>
      </c>
      <c r="AG4" s="113" t="s">
        <v>396</v>
      </c>
      <c r="AH4" s="113" t="s">
        <v>397</v>
      </c>
      <c r="AI4" s="113">
        <v>53</v>
      </c>
    </row>
    <row r="5" spans="2:35" ht="44.1" customHeight="1">
      <c r="B5" s="118" t="s">
        <v>398</v>
      </c>
      <c r="C5" s="118" t="s">
        <v>399</v>
      </c>
      <c r="D5" s="118" t="s">
        <v>399</v>
      </c>
      <c r="E5" s="118" t="s">
        <v>400</v>
      </c>
      <c r="F5" s="118" t="s">
        <v>401</v>
      </c>
      <c r="G5" s="118" t="s">
        <v>402</v>
      </c>
      <c r="H5" s="118" t="s">
        <v>403</v>
      </c>
      <c r="I5" s="113" t="s">
        <v>404</v>
      </c>
      <c r="J5" s="113" t="s">
        <v>405</v>
      </c>
      <c r="K5" s="113" t="s">
        <v>366</v>
      </c>
      <c r="L5" s="113" t="s">
        <v>366</v>
      </c>
      <c r="M5" s="113" t="s">
        <v>366</v>
      </c>
      <c r="N5" s="113" t="s">
        <v>406</v>
      </c>
      <c r="O5" s="113" t="s">
        <v>365</v>
      </c>
      <c r="P5" s="113" t="s">
        <v>407</v>
      </c>
      <c r="Q5" s="113" t="s">
        <v>399</v>
      </c>
      <c r="R5" s="113" t="s">
        <v>408</v>
      </c>
      <c r="S5" s="113" t="s">
        <v>409</v>
      </c>
      <c r="T5" s="113" t="s">
        <v>140</v>
      </c>
      <c r="U5" s="113" t="s">
        <v>399</v>
      </c>
      <c r="V5" s="113" t="s">
        <v>399</v>
      </c>
      <c r="W5" s="113" t="s">
        <v>410</v>
      </c>
      <c r="X5" s="113" t="s">
        <v>411</v>
      </c>
      <c r="Y5" s="113" t="s">
        <v>412</v>
      </c>
      <c r="Z5" s="115"/>
      <c r="AA5" s="113">
        <v>21</v>
      </c>
      <c r="AB5" s="114" t="s">
        <v>413</v>
      </c>
      <c r="AC5" s="113" t="s">
        <v>414</v>
      </c>
      <c r="AD5" s="113" t="s">
        <v>415</v>
      </c>
      <c r="AE5" s="113" t="s">
        <v>416</v>
      </c>
      <c r="AF5" s="113" t="s">
        <v>417</v>
      </c>
      <c r="AG5" s="113" t="s">
        <v>396</v>
      </c>
      <c r="AH5" s="113" t="s">
        <v>418</v>
      </c>
      <c r="AI5" s="113">
        <v>21</v>
      </c>
    </row>
    <row r="6" spans="2:35" ht="44.1" customHeight="1">
      <c r="B6" s="118" t="s">
        <v>419</v>
      </c>
      <c r="C6" s="118" t="s">
        <v>420</v>
      </c>
      <c r="D6" s="118" t="s">
        <v>420</v>
      </c>
      <c r="E6" s="118" t="s">
        <v>421</v>
      </c>
      <c r="F6" s="118" t="s">
        <v>422</v>
      </c>
      <c r="G6" s="118" t="s">
        <v>423</v>
      </c>
      <c r="H6" s="118" t="s">
        <v>424</v>
      </c>
      <c r="I6" s="113" t="s">
        <v>425</v>
      </c>
      <c r="J6" s="113" t="s">
        <v>426</v>
      </c>
      <c r="K6" s="113" t="s">
        <v>427</v>
      </c>
      <c r="L6" s="113" t="s">
        <v>427</v>
      </c>
      <c r="M6" s="113" t="s">
        <v>427</v>
      </c>
      <c r="N6" s="113" t="s">
        <v>428</v>
      </c>
      <c r="O6" s="113" t="s">
        <v>429</v>
      </c>
      <c r="P6" s="113"/>
      <c r="Q6" s="113" t="s">
        <v>430</v>
      </c>
      <c r="R6" s="113" t="s">
        <v>431</v>
      </c>
      <c r="S6" s="113" t="s">
        <v>432</v>
      </c>
      <c r="T6" s="113" t="s">
        <v>433</v>
      </c>
      <c r="U6" s="113" t="s">
        <v>429</v>
      </c>
      <c r="V6" s="113" t="s">
        <v>430</v>
      </c>
      <c r="W6" s="113" t="s">
        <v>434</v>
      </c>
      <c r="X6" s="113" t="s">
        <v>435</v>
      </c>
      <c r="Y6" s="113" t="s">
        <v>369</v>
      </c>
      <c r="Z6" s="113" t="s">
        <v>436</v>
      </c>
      <c r="AA6" s="113">
        <v>2</v>
      </c>
      <c r="AB6" s="114" t="s">
        <v>437</v>
      </c>
      <c r="AC6" s="113" t="s">
        <v>438</v>
      </c>
      <c r="AD6" s="113" t="s">
        <v>439</v>
      </c>
      <c r="AE6" s="113" t="s">
        <v>440</v>
      </c>
      <c r="AF6" s="113" t="s">
        <v>417</v>
      </c>
      <c r="AG6" s="113" t="s">
        <v>441</v>
      </c>
      <c r="AH6" s="113" t="s">
        <v>442</v>
      </c>
      <c r="AI6" s="113">
        <v>2</v>
      </c>
    </row>
    <row r="7" spans="2:35" ht="44.1" customHeight="1">
      <c r="B7" s="118" t="s">
        <v>443</v>
      </c>
      <c r="C7" s="118" t="s">
        <v>444</v>
      </c>
      <c r="D7" s="118" t="s">
        <v>444</v>
      </c>
      <c r="E7" s="118" t="s">
        <v>445</v>
      </c>
      <c r="F7" s="118" t="s">
        <v>446</v>
      </c>
      <c r="G7" s="118" t="s">
        <v>447</v>
      </c>
      <c r="H7" s="118" t="s">
        <v>448</v>
      </c>
      <c r="I7" s="113" t="s">
        <v>449</v>
      </c>
      <c r="J7" s="113" t="s">
        <v>450</v>
      </c>
      <c r="K7" s="113" t="s">
        <v>388</v>
      </c>
      <c r="L7" s="113" t="s">
        <v>388</v>
      </c>
      <c r="M7" s="113" t="s">
        <v>388</v>
      </c>
      <c r="N7" s="113" t="s">
        <v>388</v>
      </c>
      <c r="O7" s="113" t="s">
        <v>388</v>
      </c>
      <c r="P7" s="113" t="s">
        <v>451</v>
      </c>
      <c r="Q7" s="113" t="s">
        <v>444</v>
      </c>
      <c r="R7" s="113" t="s">
        <v>368</v>
      </c>
      <c r="S7" s="113" t="s">
        <v>386</v>
      </c>
      <c r="T7" s="113" t="s">
        <v>384</v>
      </c>
      <c r="U7" s="113" t="s">
        <v>444</v>
      </c>
      <c r="V7" s="113" t="s">
        <v>444</v>
      </c>
      <c r="W7" s="113" t="s">
        <v>452</v>
      </c>
      <c r="X7" s="113" t="s">
        <v>453</v>
      </c>
      <c r="Y7" s="113" t="s">
        <v>454</v>
      </c>
      <c r="Z7" s="115"/>
      <c r="AA7" s="113">
        <v>24</v>
      </c>
      <c r="AB7" s="114" t="s">
        <v>455</v>
      </c>
      <c r="AC7" s="113" t="s">
        <v>456</v>
      </c>
      <c r="AD7" s="113" t="s">
        <v>457</v>
      </c>
      <c r="AE7" s="113" t="s">
        <v>458</v>
      </c>
      <c r="AF7" s="113" t="s">
        <v>417</v>
      </c>
      <c r="AG7" s="113" t="s">
        <v>459</v>
      </c>
      <c r="AH7" s="113" t="s">
        <v>460</v>
      </c>
      <c r="AI7" s="113">
        <v>24</v>
      </c>
    </row>
    <row r="8" spans="2:35" ht="44.1" customHeight="1">
      <c r="B8" s="118" t="s">
        <v>461</v>
      </c>
      <c r="C8" s="118" t="s">
        <v>462</v>
      </c>
      <c r="D8" s="118"/>
      <c r="E8" s="118" t="s">
        <v>463</v>
      </c>
      <c r="F8" s="118"/>
      <c r="G8" s="118" t="s">
        <v>464</v>
      </c>
      <c r="H8" s="118"/>
      <c r="I8" s="113"/>
      <c r="J8" s="113"/>
      <c r="K8" s="113" t="s">
        <v>465</v>
      </c>
      <c r="L8" s="113" t="s">
        <v>465</v>
      </c>
      <c r="M8" s="113" t="s">
        <v>465</v>
      </c>
      <c r="N8" s="113" t="s">
        <v>465</v>
      </c>
      <c r="O8" s="113" t="s">
        <v>384</v>
      </c>
      <c r="P8" s="113"/>
      <c r="Q8" s="113" t="s">
        <v>462</v>
      </c>
      <c r="R8" s="113"/>
      <c r="S8" s="113"/>
      <c r="T8" s="113"/>
      <c r="U8" s="113"/>
      <c r="V8" s="113"/>
      <c r="W8" s="113" t="s">
        <v>466</v>
      </c>
      <c r="X8" s="113"/>
      <c r="Y8" s="113" t="s">
        <v>391</v>
      </c>
      <c r="Z8" s="113" t="s">
        <v>467</v>
      </c>
      <c r="AA8" s="113">
        <v>22</v>
      </c>
      <c r="AB8" s="113"/>
      <c r="AC8" s="113"/>
      <c r="AD8" s="113"/>
      <c r="AE8" s="113" t="s">
        <v>468</v>
      </c>
      <c r="AF8" s="113" t="s">
        <v>417</v>
      </c>
      <c r="AG8" s="113" t="s">
        <v>374</v>
      </c>
      <c r="AH8" s="113" t="s">
        <v>469</v>
      </c>
      <c r="AI8" s="113">
        <v>22</v>
      </c>
    </row>
    <row r="9" spans="2:35" ht="44.1" customHeight="1">
      <c r="B9" s="118" t="s">
        <v>470</v>
      </c>
      <c r="C9" s="118" t="s">
        <v>471</v>
      </c>
      <c r="D9" s="118" t="s">
        <v>471</v>
      </c>
      <c r="E9" s="118" t="s">
        <v>472</v>
      </c>
      <c r="F9" s="118" t="s">
        <v>473</v>
      </c>
      <c r="G9" s="118" t="s">
        <v>474</v>
      </c>
      <c r="H9" s="118" t="s">
        <v>471</v>
      </c>
      <c r="I9" s="113" t="s">
        <v>362</v>
      </c>
      <c r="J9" s="113" t="s">
        <v>475</v>
      </c>
      <c r="K9" s="113" t="s">
        <v>139</v>
      </c>
      <c r="L9" s="113" t="s">
        <v>139</v>
      </c>
      <c r="M9" s="113" t="s">
        <v>139</v>
      </c>
      <c r="N9" s="113" t="s">
        <v>139</v>
      </c>
      <c r="O9" s="113" t="s">
        <v>476</v>
      </c>
      <c r="P9" s="113" t="s">
        <v>477</v>
      </c>
      <c r="Q9" s="113" t="s">
        <v>471</v>
      </c>
      <c r="R9" s="113" t="s">
        <v>478</v>
      </c>
      <c r="S9" s="113" t="s">
        <v>479</v>
      </c>
      <c r="T9" s="113" t="s">
        <v>480</v>
      </c>
      <c r="U9" s="113" t="s">
        <v>471</v>
      </c>
      <c r="V9" s="113" t="s">
        <v>471</v>
      </c>
      <c r="W9" s="113" t="s">
        <v>481</v>
      </c>
      <c r="X9" s="113" t="s">
        <v>482</v>
      </c>
      <c r="Y9" s="113" t="s">
        <v>483</v>
      </c>
      <c r="Z9" s="115"/>
      <c r="AA9" s="113">
        <v>33</v>
      </c>
      <c r="AB9" s="114" t="s">
        <v>484</v>
      </c>
      <c r="AC9" s="113" t="s">
        <v>485</v>
      </c>
      <c r="AD9" s="113" t="s">
        <v>486</v>
      </c>
      <c r="AE9" s="113" t="s">
        <v>487</v>
      </c>
      <c r="AF9" s="113" t="s">
        <v>488</v>
      </c>
      <c r="AG9" s="113" t="s">
        <v>374</v>
      </c>
      <c r="AH9" s="113" t="s">
        <v>489</v>
      </c>
      <c r="AI9" s="113">
        <v>33</v>
      </c>
    </row>
    <row r="10" spans="2:35" ht="44.1" customHeight="1">
      <c r="B10" s="118" t="s">
        <v>490</v>
      </c>
      <c r="C10" s="118" t="s">
        <v>491</v>
      </c>
      <c r="D10" s="118" t="s">
        <v>491</v>
      </c>
      <c r="E10" s="118" t="s">
        <v>492</v>
      </c>
      <c r="F10" s="254" t="s">
        <v>493</v>
      </c>
      <c r="G10" s="118" t="s">
        <v>494</v>
      </c>
      <c r="H10" s="118" t="s">
        <v>430</v>
      </c>
      <c r="I10" s="113" t="s">
        <v>495</v>
      </c>
      <c r="J10" s="113" t="s">
        <v>496</v>
      </c>
      <c r="K10" s="113" t="s">
        <v>430</v>
      </c>
      <c r="L10" s="113" t="s">
        <v>430</v>
      </c>
      <c r="M10" s="113" t="s">
        <v>430</v>
      </c>
      <c r="N10" s="113" t="s">
        <v>497</v>
      </c>
      <c r="O10" s="113" t="s">
        <v>498</v>
      </c>
      <c r="P10" s="113" t="s">
        <v>499</v>
      </c>
      <c r="Q10" s="113" t="s">
        <v>500</v>
      </c>
      <c r="R10" s="113" t="s">
        <v>501</v>
      </c>
      <c r="S10" s="113" t="s">
        <v>502</v>
      </c>
      <c r="T10" s="113" t="s">
        <v>503</v>
      </c>
      <c r="U10" s="113" t="s">
        <v>498</v>
      </c>
      <c r="V10" s="113" t="s">
        <v>504</v>
      </c>
      <c r="W10" s="113" t="s">
        <v>477</v>
      </c>
      <c r="X10" s="113" t="s">
        <v>435</v>
      </c>
      <c r="Y10" s="113" t="s">
        <v>505</v>
      </c>
      <c r="Z10" s="114" t="s">
        <v>506</v>
      </c>
      <c r="AA10" s="113">
        <v>4</v>
      </c>
      <c r="AB10" s="114" t="s">
        <v>507</v>
      </c>
      <c r="AC10" s="113" t="s">
        <v>508</v>
      </c>
      <c r="AD10" s="113" t="s">
        <v>509</v>
      </c>
      <c r="AE10" s="113" t="s">
        <v>510</v>
      </c>
      <c r="AF10" s="113" t="s">
        <v>373</v>
      </c>
      <c r="AG10" s="113" t="s">
        <v>441</v>
      </c>
      <c r="AH10" s="113" t="s">
        <v>511</v>
      </c>
      <c r="AI10" s="113">
        <v>4</v>
      </c>
    </row>
    <row r="11" spans="2:35" ht="44.1" customHeight="1">
      <c r="B11" s="118" t="s">
        <v>512</v>
      </c>
      <c r="C11" s="118" t="s">
        <v>513</v>
      </c>
      <c r="D11" s="118"/>
      <c r="E11" s="118"/>
      <c r="F11" s="118"/>
      <c r="G11" s="118" t="s">
        <v>514</v>
      </c>
      <c r="H11" s="118" t="s">
        <v>515</v>
      </c>
      <c r="I11" s="113"/>
      <c r="J11" s="113" t="s">
        <v>515</v>
      </c>
      <c r="K11" s="113"/>
      <c r="L11" s="113"/>
      <c r="M11" s="113"/>
      <c r="N11" s="113"/>
      <c r="O11" s="113"/>
      <c r="P11" s="113"/>
      <c r="Q11" s="113" t="s">
        <v>513</v>
      </c>
      <c r="R11" s="113" t="s">
        <v>516</v>
      </c>
      <c r="S11" s="113"/>
      <c r="T11" s="113"/>
      <c r="U11" s="113"/>
      <c r="V11" s="113"/>
      <c r="W11" s="113" t="s">
        <v>385</v>
      </c>
      <c r="X11" s="113"/>
      <c r="Y11" s="113"/>
      <c r="Z11" s="115"/>
      <c r="AA11" s="113">
        <v>45</v>
      </c>
      <c r="AB11" s="113" t="s">
        <v>517</v>
      </c>
      <c r="AC11" s="113" t="s">
        <v>518</v>
      </c>
      <c r="AD11" s="113" t="s">
        <v>518</v>
      </c>
      <c r="AE11" s="113" t="s">
        <v>519</v>
      </c>
      <c r="AF11" s="113" t="s">
        <v>373</v>
      </c>
      <c r="AG11" s="113" t="s">
        <v>459</v>
      </c>
      <c r="AH11" s="113" t="s">
        <v>520</v>
      </c>
      <c r="AI11" s="113">
        <v>45</v>
      </c>
    </row>
    <row r="12" spans="2:35" ht="44.1" customHeight="1">
      <c r="B12" s="118" t="s">
        <v>521</v>
      </c>
      <c r="C12" s="118" t="s">
        <v>522</v>
      </c>
      <c r="D12" s="118" t="s">
        <v>522</v>
      </c>
      <c r="E12" s="118"/>
      <c r="F12" s="118"/>
      <c r="G12" s="118" t="s">
        <v>523</v>
      </c>
      <c r="H12" s="118" t="s">
        <v>524</v>
      </c>
      <c r="I12" s="113" t="s">
        <v>525</v>
      </c>
      <c r="J12" s="113"/>
      <c r="K12" s="116" t="s">
        <v>526</v>
      </c>
      <c r="L12" s="116" t="s">
        <v>526</v>
      </c>
      <c r="M12" s="116" t="s">
        <v>526</v>
      </c>
      <c r="N12" s="113"/>
      <c r="O12" s="113" t="s">
        <v>527</v>
      </c>
      <c r="P12" s="113"/>
      <c r="Q12" s="113" t="s">
        <v>528</v>
      </c>
      <c r="R12" s="113" t="s">
        <v>529</v>
      </c>
      <c r="S12" s="113" t="s">
        <v>434</v>
      </c>
      <c r="T12" s="117" t="s">
        <v>530</v>
      </c>
      <c r="U12" s="113" t="s">
        <v>531</v>
      </c>
      <c r="V12" s="113" t="s">
        <v>522</v>
      </c>
      <c r="W12" s="113" t="s">
        <v>532</v>
      </c>
      <c r="X12" s="113"/>
      <c r="Y12" s="113"/>
      <c r="Z12" s="115"/>
      <c r="AA12" s="113">
        <v>2</v>
      </c>
      <c r="AB12" s="113" t="s">
        <v>521</v>
      </c>
      <c r="AC12" s="114" t="s">
        <v>521</v>
      </c>
      <c r="AD12" s="113" t="s">
        <v>521</v>
      </c>
      <c r="AE12" s="113" t="s">
        <v>521</v>
      </c>
      <c r="AF12" s="113" t="s">
        <v>533</v>
      </c>
      <c r="AG12" s="113" t="s">
        <v>534</v>
      </c>
      <c r="AH12" s="113" t="s">
        <v>535</v>
      </c>
      <c r="AI12" s="113" t="s">
        <v>535</v>
      </c>
    </row>
    <row r="13" spans="2:35" ht="44.1" customHeight="1">
      <c r="B13" s="118" t="s">
        <v>536</v>
      </c>
      <c r="C13" s="118" t="s">
        <v>145</v>
      </c>
      <c r="D13" s="118" t="s">
        <v>537</v>
      </c>
      <c r="E13" s="118" t="s">
        <v>538</v>
      </c>
      <c r="F13" s="450" t="s">
        <v>539</v>
      </c>
      <c r="G13" s="118" t="s">
        <v>540</v>
      </c>
      <c r="H13" s="118" t="s">
        <v>537</v>
      </c>
      <c r="I13" s="113" t="s">
        <v>541</v>
      </c>
      <c r="J13" s="113"/>
      <c r="K13" s="113" t="s">
        <v>542</v>
      </c>
      <c r="L13" s="113" t="s">
        <v>542</v>
      </c>
      <c r="M13" s="113" t="s">
        <v>542</v>
      </c>
      <c r="N13" s="113" t="s">
        <v>543</v>
      </c>
      <c r="O13" s="113" t="s">
        <v>537</v>
      </c>
      <c r="P13" s="113"/>
      <c r="Q13" s="113" t="s">
        <v>544</v>
      </c>
      <c r="R13" s="113" t="s">
        <v>545</v>
      </c>
      <c r="S13" s="113" t="s">
        <v>83</v>
      </c>
      <c r="T13" s="113" t="s">
        <v>544</v>
      </c>
      <c r="U13" s="113" t="s">
        <v>537</v>
      </c>
      <c r="V13" s="113"/>
      <c r="W13" s="113" t="s">
        <v>538</v>
      </c>
      <c r="X13" s="113" t="s">
        <v>546</v>
      </c>
      <c r="Y13" s="113" t="s">
        <v>454</v>
      </c>
      <c r="Z13" s="113" t="s">
        <v>547</v>
      </c>
      <c r="AA13" s="113">
        <v>0</v>
      </c>
      <c r="AB13" s="113" t="s">
        <v>548</v>
      </c>
      <c r="AC13" s="114" t="s">
        <v>536</v>
      </c>
      <c r="AD13" s="113" t="s">
        <v>549</v>
      </c>
      <c r="AE13" s="113" t="s">
        <v>536</v>
      </c>
      <c r="AF13" s="113" t="s">
        <v>550</v>
      </c>
      <c r="AG13" s="113" t="s">
        <v>551</v>
      </c>
      <c r="AH13" s="113" t="s">
        <v>552</v>
      </c>
      <c r="AI13" s="113" t="s">
        <v>553</v>
      </c>
    </row>
    <row r="14" spans="2:35" ht="44.1" customHeight="1">
      <c r="B14" s="118" t="s">
        <v>554</v>
      </c>
      <c r="C14" s="118" t="s">
        <v>434</v>
      </c>
      <c r="D14" s="118" t="s">
        <v>434</v>
      </c>
      <c r="E14" s="118" t="s">
        <v>555</v>
      </c>
      <c r="F14" s="118" t="s">
        <v>434</v>
      </c>
      <c r="G14" s="118" t="s">
        <v>434</v>
      </c>
      <c r="H14" s="118" t="s">
        <v>434</v>
      </c>
      <c r="I14" s="113" t="s">
        <v>555</v>
      </c>
      <c r="J14" s="113" t="s">
        <v>434</v>
      </c>
      <c r="K14" s="113" t="s">
        <v>555</v>
      </c>
      <c r="L14" s="113" t="s">
        <v>555</v>
      </c>
      <c r="M14" s="113" t="s">
        <v>555</v>
      </c>
      <c r="N14" s="113" t="s">
        <v>434</v>
      </c>
      <c r="O14" s="113" t="s">
        <v>555</v>
      </c>
      <c r="P14" s="113" t="s">
        <v>434</v>
      </c>
      <c r="Q14" s="113" t="s">
        <v>434</v>
      </c>
      <c r="R14" s="113" t="s">
        <v>434</v>
      </c>
      <c r="S14" s="113" t="s">
        <v>434</v>
      </c>
      <c r="T14" s="113" t="s">
        <v>434</v>
      </c>
      <c r="U14" s="113" t="s">
        <v>434</v>
      </c>
      <c r="V14" s="113" t="s">
        <v>434</v>
      </c>
      <c r="W14" s="113" t="s">
        <v>434</v>
      </c>
      <c r="X14" s="113" t="s">
        <v>434</v>
      </c>
      <c r="Y14" s="113" t="s">
        <v>434</v>
      </c>
      <c r="Z14" s="113" t="s">
        <v>434</v>
      </c>
      <c r="AA14" s="113">
        <v>32</v>
      </c>
      <c r="AB14" s="113" t="s">
        <v>13</v>
      </c>
      <c r="AC14" s="114" t="s">
        <v>554</v>
      </c>
      <c r="AD14" s="113" t="s">
        <v>554</v>
      </c>
      <c r="AE14" s="113" t="s">
        <v>554</v>
      </c>
      <c r="AF14" s="113" t="s">
        <v>556</v>
      </c>
      <c r="AG14" s="113" t="s">
        <v>557</v>
      </c>
      <c r="AH14" s="113" t="s">
        <v>558</v>
      </c>
      <c r="AI14" s="113" t="s">
        <v>558</v>
      </c>
    </row>
    <row r="15" spans="2:35"/>
    <row r="16" spans="2:35"/>
    <row r="17"/>
    <row r="18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DD5C-FF8F-41CF-91D5-B4BA1E5CD2F9}">
  <sheetPr>
    <tabColor rgb="FF7030A0"/>
  </sheetPr>
  <dimension ref="B1:L13"/>
  <sheetViews>
    <sheetView showGridLines="0" topLeftCell="A2" workbookViewId="0">
      <selection activeCell="G7" sqref="G7"/>
    </sheetView>
  </sheetViews>
  <sheetFormatPr defaultColWidth="10.7265625" defaultRowHeight="25.5" outlineLevelCol="1"/>
  <cols>
    <col min="1" max="1" width="1.90625" style="112" customWidth="1"/>
    <col min="2" max="4" width="9.1796875" style="112" customWidth="1"/>
    <col min="5" max="8" width="15.90625" style="112" customWidth="1"/>
    <col min="9" max="10" width="15.90625" style="112" customWidth="1" outlineLevel="1"/>
    <col min="11" max="12" width="15.90625" style="112" customWidth="1"/>
    <col min="13" max="16384" width="10.7265625" style="112"/>
  </cols>
  <sheetData>
    <row r="1" spans="2:12" ht="9.75" customHeight="1"/>
    <row r="2" spans="2:12" ht="53.25" customHeight="1">
      <c r="B2" s="463" t="s">
        <v>326</v>
      </c>
      <c r="C2" s="464"/>
      <c r="D2" s="111" t="s">
        <v>559</v>
      </c>
      <c r="E2" s="111" t="s">
        <v>353</v>
      </c>
      <c r="F2" s="253" t="s">
        <v>8</v>
      </c>
      <c r="G2" s="437" t="s">
        <v>560</v>
      </c>
      <c r="H2" s="437" t="s">
        <v>561</v>
      </c>
      <c r="I2" s="111" t="s">
        <v>562</v>
      </c>
      <c r="J2" s="111" t="s">
        <v>563</v>
      </c>
      <c r="K2" s="111" t="s">
        <v>358</v>
      </c>
      <c r="L2" s="111" t="s">
        <v>359</v>
      </c>
    </row>
    <row r="3" spans="2:12" ht="44.1" customHeight="1">
      <c r="B3" s="455" t="s">
        <v>564</v>
      </c>
      <c r="C3" s="434" t="s">
        <v>565</v>
      </c>
      <c r="D3" s="433">
        <v>1</v>
      </c>
      <c r="E3" s="439" t="s">
        <v>370</v>
      </c>
      <c r="F3" s="436"/>
      <c r="G3" s="118" t="s">
        <v>471</v>
      </c>
      <c r="H3" s="118" t="s">
        <v>139</v>
      </c>
      <c r="I3" s="113">
        <v>44</v>
      </c>
      <c r="J3" s="438" t="s">
        <v>566</v>
      </c>
      <c r="K3" s="113" t="s">
        <v>375</v>
      </c>
      <c r="L3" s="113" t="s">
        <v>376</v>
      </c>
    </row>
    <row r="4" spans="2:12" ht="44.1" customHeight="1">
      <c r="B4" s="456"/>
      <c r="C4" s="435" t="s">
        <v>567</v>
      </c>
      <c r="D4" s="433">
        <v>2</v>
      </c>
      <c r="E4" s="439" t="s">
        <v>456</v>
      </c>
      <c r="F4" s="436" t="s">
        <v>568</v>
      </c>
      <c r="G4" s="118" t="s">
        <v>378</v>
      </c>
      <c r="H4" s="440" t="s">
        <v>444</v>
      </c>
      <c r="I4" s="442">
        <v>24</v>
      </c>
      <c r="J4" s="447" t="s">
        <v>569</v>
      </c>
      <c r="K4" s="442" t="s">
        <v>460</v>
      </c>
      <c r="L4" s="442">
        <v>24</v>
      </c>
    </row>
    <row r="5" spans="2:12" ht="44.1" customHeight="1">
      <c r="B5" s="455" t="s">
        <v>570</v>
      </c>
      <c r="C5" s="434" t="s">
        <v>565</v>
      </c>
      <c r="D5" s="433">
        <v>3</v>
      </c>
      <c r="E5" s="457" t="s">
        <v>393</v>
      </c>
      <c r="F5" s="459" t="s">
        <v>571</v>
      </c>
      <c r="G5" s="461" t="s">
        <v>462</v>
      </c>
      <c r="H5" s="446" t="s">
        <v>378</v>
      </c>
      <c r="I5" s="444">
        <v>53</v>
      </c>
      <c r="J5" s="445" t="s">
        <v>572</v>
      </c>
      <c r="K5" s="449" t="s">
        <v>397</v>
      </c>
      <c r="L5" s="444">
        <v>53</v>
      </c>
    </row>
    <row r="6" spans="2:12" ht="44.1" customHeight="1">
      <c r="B6" s="456"/>
      <c r="C6" s="435" t="s">
        <v>567</v>
      </c>
      <c r="D6" s="433">
        <v>4</v>
      </c>
      <c r="E6" s="458"/>
      <c r="F6" s="460"/>
      <c r="G6" s="462"/>
      <c r="H6" s="446" t="s">
        <v>462</v>
      </c>
      <c r="I6" s="444"/>
      <c r="J6" s="445" t="s">
        <v>573</v>
      </c>
      <c r="K6" s="449" t="s">
        <v>574</v>
      </c>
      <c r="L6" s="444"/>
    </row>
    <row r="7" spans="2:12" ht="44.1" customHeight="1">
      <c r="B7" s="455" t="s">
        <v>45</v>
      </c>
      <c r="C7" s="434" t="s">
        <v>565</v>
      </c>
      <c r="D7" s="433">
        <v>5</v>
      </c>
      <c r="E7" s="439" t="s">
        <v>414</v>
      </c>
      <c r="F7" s="436" t="s">
        <v>575</v>
      </c>
      <c r="G7" s="118" t="s">
        <v>399</v>
      </c>
      <c r="H7" s="441" t="s">
        <v>399</v>
      </c>
      <c r="I7" s="443">
        <v>21</v>
      </c>
      <c r="J7" s="448" t="s">
        <v>576</v>
      </c>
      <c r="K7" s="113" t="s">
        <v>418</v>
      </c>
      <c r="L7" s="443">
        <v>21</v>
      </c>
    </row>
    <row r="8" spans="2:12" ht="44.1" customHeight="1">
      <c r="B8" s="456"/>
      <c r="C8" s="435" t="s">
        <v>567</v>
      </c>
      <c r="D8" s="433">
        <v>6</v>
      </c>
      <c r="E8" s="439" t="s">
        <v>485</v>
      </c>
      <c r="F8" s="436" t="s">
        <v>577</v>
      </c>
      <c r="G8" s="118" t="s">
        <v>444</v>
      </c>
      <c r="H8" s="118" t="s">
        <v>471</v>
      </c>
      <c r="I8" s="113">
        <v>33</v>
      </c>
      <c r="J8" s="438" t="s">
        <v>578</v>
      </c>
      <c r="K8" s="113" t="s">
        <v>489</v>
      </c>
      <c r="L8" s="113">
        <v>33</v>
      </c>
    </row>
    <row r="9" spans="2:12" ht="44.1" customHeight="1">
      <c r="B9" s="455" t="s">
        <v>109</v>
      </c>
      <c r="C9" s="434" t="s">
        <v>565</v>
      </c>
      <c r="D9" s="433">
        <v>7</v>
      </c>
      <c r="E9" s="439" t="s">
        <v>438</v>
      </c>
      <c r="F9" s="436"/>
      <c r="G9" s="118" t="s">
        <v>579</v>
      </c>
      <c r="H9" s="118" t="s">
        <v>580</v>
      </c>
      <c r="I9" s="113">
        <v>2</v>
      </c>
      <c r="J9" s="438" t="s">
        <v>581</v>
      </c>
      <c r="K9" s="113" t="s">
        <v>582</v>
      </c>
      <c r="L9" s="113">
        <v>2</v>
      </c>
    </row>
    <row r="10" spans="2:12" ht="44.1" customHeight="1">
      <c r="B10" s="456"/>
      <c r="C10" s="435" t="s">
        <v>567</v>
      </c>
      <c r="D10" s="433">
        <v>8</v>
      </c>
      <c r="E10" s="439" t="s">
        <v>508</v>
      </c>
      <c r="F10" s="433" t="s">
        <v>583</v>
      </c>
      <c r="G10" s="118" t="s">
        <v>584</v>
      </c>
      <c r="H10" s="118" t="s">
        <v>585</v>
      </c>
      <c r="I10" s="113">
        <v>4</v>
      </c>
      <c r="J10" s="438" t="s">
        <v>586</v>
      </c>
      <c r="K10" s="113" t="s">
        <v>511</v>
      </c>
      <c r="L10" s="113">
        <v>4</v>
      </c>
    </row>
    <row r="11" spans="2:12" ht="44.1" customHeight="1"/>
    <row r="13" spans="2:12" ht="25.5" customHeight="1"/>
  </sheetData>
  <mergeCells count="8">
    <mergeCell ref="B2:C2"/>
    <mergeCell ref="B3:B4"/>
    <mergeCell ref="B5:B6"/>
    <mergeCell ref="B7:B8"/>
    <mergeCell ref="B9:B10"/>
    <mergeCell ref="E5:E6"/>
    <mergeCell ref="F5:F6"/>
    <mergeCell ref="G5:G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5F95-0422-4C6F-A00D-F753BF8207C1}">
  <sheetPr>
    <tabColor rgb="FF7030A0"/>
  </sheetPr>
  <dimension ref="A1"/>
  <sheetViews>
    <sheetView showGridLines="0" workbookViewId="0">
      <selection activeCell="S9" sqref="S9"/>
    </sheetView>
  </sheetViews>
  <sheetFormatPr defaultColWidth="8.7265625" defaultRowHeight="25.5"/>
  <cols>
    <col min="1" max="1" width="2.90625" customWidth="1"/>
  </cols>
  <sheetData>
    <row r="1" ht="11.25" customHeight="1"/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0F18-67D1-9D45-8A8D-7D17350CFF61}">
  <sheetPr codeName="工作表13">
    <tabColor rgb="FFFF0000"/>
  </sheetPr>
  <dimension ref="B1:I18"/>
  <sheetViews>
    <sheetView workbookViewId="0">
      <pane xSplit="4" ySplit="2" topLeftCell="N3" activePane="bottomRight" state="frozen"/>
      <selection pane="topRight" activeCell="E1" sqref="E1"/>
      <selection pane="bottomLeft" activeCell="A3" sqref="A3"/>
      <selection pane="bottomRight" activeCell="N14" sqref="N14"/>
    </sheetView>
  </sheetViews>
  <sheetFormatPr defaultColWidth="10.90625" defaultRowHeight="25.5"/>
  <cols>
    <col min="1" max="1" width="3.1796875" customWidth="1"/>
    <col min="2" max="2" width="5" bestFit="1" customWidth="1"/>
  </cols>
  <sheetData>
    <row r="1" spans="2:9" ht="9.9499999999999993" customHeight="1"/>
    <row r="2" spans="2:9" ht="57">
      <c r="B2" s="19" t="s">
        <v>1</v>
      </c>
      <c r="C2" s="48" t="s">
        <v>587</v>
      </c>
      <c r="D2" s="19" t="s">
        <v>588</v>
      </c>
      <c r="E2" s="19" t="s">
        <v>589</v>
      </c>
      <c r="F2" s="19" t="s">
        <v>8</v>
      </c>
      <c r="G2" s="48" t="s">
        <v>590</v>
      </c>
      <c r="H2" s="48" t="s">
        <v>591</v>
      </c>
      <c r="I2" s="320" t="s">
        <v>7</v>
      </c>
    </row>
    <row r="3" spans="2:9" ht="51" customHeight="1">
      <c r="B3" s="2">
        <v>1</v>
      </c>
      <c r="C3" s="391" t="s">
        <v>71</v>
      </c>
      <c r="D3" s="392" t="s">
        <v>592</v>
      </c>
      <c r="E3" s="4" t="s">
        <v>593</v>
      </c>
      <c r="F3" s="3" t="s">
        <v>594</v>
      </c>
      <c r="G3" s="392" t="s">
        <v>592</v>
      </c>
      <c r="H3" s="392" t="s">
        <v>592</v>
      </c>
      <c r="I3" s="4" t="s">
        <v>595</v>
      </c>
    </row>
    <row r="4" spans="2:9" ht="51" customHeight="1">
      <c r="B4" s="2">
        <v>2</v>
      </c>
      <c r="C4" s="391" t="s">
        <v>18</v>
      </c>
      <c r="D4" s="392" t="s">
        <v>16</v>
      </c>
      <c r="E4" s="4" t="s">
        <v>17</v>
      </c>
      <c r="F4" s="3" t="s">
        <v>20</v>
      </c>
      <c r="G4" s="392" t="s">
        <v>16</v>
      </c>
      <c r="H4" s="392" t="s">
        <v>16</v>
      </c>
      <c r="I4" s="4" t="s">
        <v>19</v>
      </c>
    </row>
    <row r="5" spans="2:9" ht="51" customHeight="1">
      <c r="B5" s="2">
        <v>3</v>
      </c>
      <c r="C5" s="391" t="s">
        <v>39</v>
      </c>
      <c r="D5" s="392" t="s">
        <v>37</v>
      </c>
      <c r="E5" s="4" t="s">
        <v>38</v>
      </c>
      <c r="F5" s="3" t="s">
        <v>41</v>
      </c>
      <c r="G5" s="392" t="s">
        <v>37</v>
      </c>
      <c r="H5" s="392" t="s">
        <v>37</v>
      </c>
      <c r="I5" s="4" t="s">
        <v>40</v>
      </c>
    </row>
    <row r="6" spans="2:9" ht="51" customHeight="1">
      <c r="B6" s="2">
        <v>4</v>
      </c>
      <c r="C6" s="391" t="s">
        <v>45</v>
      </c>
      <c r="D6" s="392" t="s">
        <v>43</v>
      </c>
      <c r="E6" s="4" t="s">
        <v>44</v>
      </c>
      <c r="F6" s="3" t="s">
        <v>46</v>
      </c>
      <c r="G6" s="392" t="s">
        <v>43</v>
      </c>
      <c r="H6" s="392" t="s">
        <v>43</v>
      </c>
      <c r="I6" s="4" t="s">
        <v>37</v>
      </c>
    </row>
    <row r="7" spans="2:9" ht="51" customHeight="1">
      <c r="B7" s="2">
        <v>5</v>
      </c>
      <c r="C7" s="391" t="s">
        <v>60</v>
      </c>
      <c r="D7" s="392" t="s">
        <v>58</v>
      </c>
      <c r="E7" s="4" t="s">
        <v>59</v>
      </c>
      <c r="F7" s="3" t="s">
        <v>62</v>
      </c>
      <c r="G7" s="392" t="s">
        <v>58</v>
      </c>
      <c r="H7" s="392" t="s">
        <v>58</v>
      </c>
      <c r="I7" s="4" t="s">
        <v>61</v>
      </c>
    </row>
    <row r="8" spans="2:9" ht="51" customHeight="1">
      <c r="B8" s="2">
        <v>6</v>
      </c>
      <c r="C8" s="391" t="s">
        <v>24</v>
      </c>
      <c r="D8" s="392" t="s">
        <v>22</v>
      </c>
      <c r="E8" s="4" t="s">
        <v>23</v>
      </c>
      <c r="F8" s="3" t="s">
        <v>25</v>
      </c>
      <c r="G8" s="392" t="s">
        <v>22</v>
      </c>
      <c r="H8" s="392" t="s">
        <v>22</v>
      </c>
      <c r="I8" s="4" t="s">
        <v>16</v>
      </c>
    </row>
    <row r="9" spans="2:9" ht="51" customHeight="1">
      <c r="B9" s="2">
        <v>7</v>
      </c>
      <c r="C9" s="391" t="s">
        <v>66</v>
      </c>
      <c r="D9" s="392" t="s">
        <v>64</v>
      </c>
      <c r="E9" s="4" t="s">
        <v>65</v>
      </c>
      <c r="F9" s="3" t="s">
        <v>67</v>
      </c>
      <c r="G9" s="392" t="s">
        <v>64</v>
      </c>
      <c r="H9" s="392" t="s">
        <v>64</v>
      </c>
      <c r="I9" s="4" t="s">
        <v>58</v>
      </c>
    </row>
    <row r="10" spans="2:9" ht="51" customHeight="1">
      <c r="B10" s="2">
        <v>8</v>
      </c>
      <c r="C10" s="391" t="s">
        <v>81</v>
      </c>
      <c r="D10" s="392" t="s">
        <v>53</v>
      </c>
      <c r="E10" s="4" t="s">
        <v>596</v>
      </c>
      <c r="F10" s="3" t="s">
        <v>597</v>
      </c>
      <c r="G10" s="392" t="s">
        <v>598</v>
      </c>
      <c r="H10" s="392" t="s">
        <v>599</v>
      </c>
      <c r="I10" s="4" t="s">
        <v>83</v>
      </c>
    </row>
    <row r="11" spans="2:9" ht="51" customHeight="1">
      <c r="B11" s="2">
        <v>9</v>
      </c>
      <c r="C11" s="391" t="s">
        <v>109</v>
      </c>
      <c r="D11" s="392" t="s">
        <v>107</v>
      </c>
      <c r="E11" s="4" t="s">
        <v>600</v>
      </c>
      <c r="F11" s="3" t="s">
        <v>601</v>
      </c>
      <c r="G11" s="392" t="s">
        <v>107</v>
      </c>
      <c r="H11" s="392" t="s">
        <v>107</v>
      </c>
      <c r="I11" s="4" t="s">
        <v>602</v>
      </c>
    </row>
    <row r="12" spans="2:9" ht="51" customHeight="1">
      <c r="B12" s="2">
        <v>10</v>
      </c>
      <c r="C12" s="391" t="s">
        <v>100</v>
      </c>
      <c r="D12" s="392" t="s">
        <v>98</v>
      </c>
      <c r="E12" s="4" t="s">
        <v>603</v>
      </c>
      <c r="F12" s="3" t="s">
        <v>604</v>
      </c>
      <c r="G12" s="392" t="s">
        <v>605</v>
      </c>
      <c r="H12" s="392" t="s">
        <v>605</v>
      </c>
      <c r="I12" s="4" t="s">
        <v>98</v>
      </c>
    </row>
    <row r="13" spans="2:9" ht="51" customHeight="1">
      <c r="B13" s="2">
        <v>11</v>
      </c>
      <c r="C13" s="391" t="s">
        <v>13</v>
      </c>
      <c r="D13" s="393" t="s">
        <v>12</v>
      </c>
      <c r="E13" s="4" t="s">
        <v>606</v>
      </c>
      <c r="F13" s="3" t="s">
        <v>12</v>
      </c>
      <c r="G13" s="393" t="s">
        <v>15</v>
      </c>
      <c r="H13" s="393" t="s">
        <v>15</v>
      </c>
      <c r="I13" s="3" t="s">
        <v>22</v>
      </c>
    </row>
    <row r="14" spans="2:9" ht="51" customHeight="1">
      <c r="B14" s="2">
        <v>12</v>
      </c>
      <c r="C14" s="391" t="s">
        <v>29</v>
      </c>
      <c r="D14" s="392" t="s">
        <v>607</v>
      </c>
      <c r="E14" s="4" t="s">
        <v>608</v>
      </c>
      <c r="F14" s="3" t="s">
        <v>609</v>
      </c>
      <c r="G14" s="392" t="s">
        <v>607</v>
      </c>
      <c r="H14" s="392" t="s">
        <v>607</v>
      </c>
      <c r="I14" s="4" t="s">
        <v>610</v>
      </c>
    </row>
    <row r="15" spans="2:9" ht="51" customHeight="1">
      <c r="B15" s="2">
        <v>13</v>
      </c>
      <c r="C15" s="391" t="s">
        <v>50</v>
      </c>
      <c r="D15" s="392" t="s">
        <v>611</v>
      </c>
      <c r="E15" s="4" t="s">
        <v>612</v>
      </c>
      <c r="F15" s="3" t="s">
        <v>613</v>
      </c>
      <c r="G15" s="392" t="s">
        <v>611</v>
      </c>
      <c r="H15" s="392" t="s">
        <v>611</v>
      </c>
      <c r="I15" s="4" t="s">
        <v>614</v>
      </c>
    </row>
    <row r="16" spans="2:9" ht="51" customHeight="1">
      <c r="B16" s="2">
        <v>14</v>
      </c>
      <c r="C16" s="391" t="s">
        <v>88</v>
      </c>
      <c r="D16" s="392" t="s">
        <v>90</v>
      </c>
      <c r="E16" s="4" t="s">
        <v>615</v>
      </c>
      <c r="F16" s="3" t="s">
        <v>616</v>
      </c>
      <c r="G16" s="392" t="s">
        <v>617</v>
      </c>
      <c r="H16" s="392" t="s">
        <v>618</v>
      </c>
      <c r="I16" s="4" t="s">
        <v>91</v>
      </c>
    </row>
    <row r="17" spans="2:9" ht="51" customHeight="1">
      <c r="B17" s="2">
        <v>15</v>
      </c>
      <c r="C17" s="391" t="s">
        <v>118</v>
      </c>
      <c r="D17" s="392" t="s">
        <v>116</v>
      </c>
      <c r="E17" s="4" t="s">
        <v>117</v>
      </c>
      <c r="F17" s="3" t="s">
        <v>619</v>
      </c>
      <c r="G17" s="392" t="s">
        <v>116</v>
      </c>
      <c r="H17" s="392" t="s">
        <v>116</v>
      </c>
      <c r="I17" s="4" t="s">
        <v>116</v>
      </c>
    </row>
    <row r="18" spans="2:9" ht="34.5">
      <c r="B18" s="397">
        <v>7</v>
      </c>
      <c r="C18" s="399" t="s">
        <v>12</v>
      </c>
      <c r="D18" s="399" t="s">
        <v>620</v>
      </c>
      <c r="E18" s="398" t="s">
        <v>12</v>
      </c>
      <c r="F18" s="399" t="s">
        <v>12</v>
      </c>
      <c r="G18" s="400" t="s">
        <v>12</v>
      </c>
      <c r="H18" s="401" t="s">
        <v>12</v>
      </c>
      <c r="I18" s="402" t="s">
        <v>621</v>
      </c>
    </row>
  </sheetData>
  <phoneticPr fontId="1" type="noConversion"/>
  <hyperlinks>
    <hyperlink ref="E4" r:id="rId1" xr:uid="{04DE0791-F9DD-9E41-BAC6-7B2D71B0D449}"/>
    <hyperlink ref="E5" r:id="rId2" xr:uid="{62A85B8E-0240-AF48-A0A5-C7F6A2CFFBB7}"/>
    <hyperlink ref="E6" r:id="rId3" xr:uid="{899F6AA6-3AA7-D248-B16C-635AAA4FDEE9}"/>
    <hyperlink ref="E7" r:id="rId4" xr:uid="{B2A1D59A-30CB-9743-8B72-024DA8F1D7C1}"/>
    <hyperlink ref="E8" r:id="rId5" xr:uid="{F12761DB-9B44-B349-B21D-1994AF61C29B}"/>
    <hyperlink ref="E9" r:id="rId6" xr:uid="{9765E1A3-895B-0942-8FA6-374B0B63F1C4}"/>
    <hyperlink ref="E13" r:id="rId7" xr:uid="{94230CA1-5F8E-2B4F-9564-A3CBA6B40A95}"/>
    <hyperlink ref="E17" r:id="rId8" xr:uid="{03FDD90D-5F97-FD48-A1E5-0F0B04BD2D3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7FC7-DE05-0047-B088-9E59DE850BC6}">
  <sheetPr codeName="工作表12">
    <tabColor rgb="FFFF0000"/>
  </sheetPr>
  <dimension ref="A1:AMJ26"/>
  <sheetViews>
    <sheetView workbookViewId="0">
      <pane ySplit="4" topLeftCell="A20" activePane="bottomLeft" state="frozen"/>
      <selection pane="bottomLeft" activeCell="P7" sqref="P7"/>
    </sheetView>
  </sheetViews>
  <sheetFormatPr defaultColWidth="6.90625" defaultRowHeight="50.25" customHeight="1" outlineLevelRow="1"/>
  <cols>
    <col min="1" max="1" width="2.08984375" style="68" customWidth="1"/>
    <col min="2" max="2" width="6.26953125" style="68" customWidth="1"/>
    <col min="3" max="3" width="10.453125" style="372" customWidth="1"/>
    <col min="4" max="4" width="10.453125" style="70" customWidth="1"/>
    <col min="5" max="5" width="10.453125" style="69" customWidth="1"/>
    <col min="6" max="6" width="10.453125" style="71" customWidth="1"/>
    <col min="7" max="9" width="10.453125" style="70" customWidth="1"/>
    <col min="10" max="1024" width="6.90625" style="68"/>
    <col min="1025" max="16384" width="6.90625" style="56"/>
  </cols>
  <sheetData>
    <row r="1" spans="2:9" ht="30" customHeight="1" outlineLevel="1"/>
    <row r="2" spans="2:9" ht="30" customHeight="1" outlineLevel="1">
      <c r="B2" s="101" cm="1">
        <f t="array" ref="B2">COLUMN()-COLUMN(($A:$A))</f>
        <v>1</v>
      </c>
      <c r="C2" s="101" cm="1">
        <f t="array" ref="C2">COLUMN()-COLUMN(($A:$A))</f>
        <v>2</v>
      </c>
      <c r="D2" s="101" cm="1">
        <f t="array" ref="D2">COLUMN()-COLUMN(($A:$A))</f>
        <v>3</v>
      </c>
      <c r="E2" s="101" cm="1">
        <f t="array" ref="E2">COLUMN()-COLUMN(($A:$A))</f>
        <v>4</v>
      </c>
      <c r="F2" s="101" cm="1">
        <f t="array" ref="F2">COLUMN()-COLUMN(($A:$A))</f>
        <v>5</v>
      </c>
      <c r="G2" s="101" cm="1">
        <f t="array" ref="G2">COLUMN()-COLUMN(($A:$A))</f>
        <v>6</v>
      </c>
      <c r="H2" s="101" cm="1">
        <f t="array" ref="H2">COLUMN()-COLUMN(($A:$A))</f>
        <v>7</v>
      </c>
      <c r="I2" s="101" cm="1">
        <f t="array" ref="I2">COLUMN()-COLUMN(($A:$A))</f>
        <v>8</v>
      </c>
    </row>
    <row r="3" spans="2:9" ht="12" customHeight="1"/>
    <row r="4" spans="2:9" s="73" customFormat="1" ht="27.75" customHeight="1">
      <c r="B4" s="451" t="s">
        <v>1</v>
      </c>
      <c r="C4" s="451" t="s">
        <v>622</v>
      </c>
      <c r="D4" s="451" t="s">
        <v>3</v>
      </c>
      <c r="E4" s="452" t="s">
        <v>587</v>
      </c>
      <c r="F4" s="452" t="s">
        <v>623</v>
      </c>
      <c r="G4" s="453" t="s">
        <v>624</v>
      </c>
      <c r="H4" s="454" t="s">
        <v>625</v>
      </c>
      <c r="I4" s="454" t="s">
        <v>626</v>
      </c>
    </row>
    <row r="5" spans="2:9" s="68" customFormat="1" ht="57.95" customHeight="1">
      <c r="B5" s="74">
        <v>1</v>
      </c>
      <c r="C5" s="373" t="s">
        <v>75</v>
      </c>
      <c r="D5" s="76" t="s">
        <v>75</v>
      </c>
      <c r="E5" s="75" t="s">
        <v>71</v>
      </c>
      <c r="F5" s="197" t="s">
        <v>627</v>
      </c>
      <c r="G5" s="76" t="s">
        <v>628</v>
      </c>
      <c r="H5" s="76" t="s">
        <v>628</v>
      </c>
      <c r="I5" s="76" t="s">
        <v>628</v>
      </c>
    </row>
    <row r="6" spans="2:9" s="68" customFormat="1" ht="57.95" customHeight="1">
      <c r="B6" s="74">
        <v>2</v>
      </c>
      <c r="C6" s="373" t="s">
        <v>16</v>
      </c>
      <c r="D6" s="78" t="s">
        <v>16</v>
      </c>
      <c r="E6" s="75" t="s">
        <v>18</v>
      </c>
      <c r="F6" s="77" t="s">
        <v>629</v>
      </c>
      <c r="G6" s="76" t="s">
        <v>16</v>
      </c>
      <c r="H6" s="76" t="s">
        <v>16</v>
      </c>
      <c r="I6" s="76" t="s">
        <v>19</v>
      </c>
    </row>
    <row r="7" spans="2:9" s="68" customFormat="1" ht="57.95" customHeight="1">
      <c r="B7" s="74">
        <v>3</v>
      </c>
      <c r="C7" s="373" t="s">
        <v>37</v>
      </c>
      <c r="D7" s="78" t="s">
        <v>37</v>
      </c>
      <c r="E7" s="75" t="s">
        <v>39</v>
      </c>
      <c r="F7" s="77" t="s">
        <v>630</v>
      </c>
      <c r="G7" s="76" t="s">
        <v>37</v>
      </c>
      <c r="H7" s="76" t="s">
        <v>37</v>
      </c>
      <c r="I7" s="76" t="s">
        <v>40</v>
      </c>
    </row>
    <row r="8" spans="2:9" s="68" customFormat="1" ht="57.95" customHeight="1">
      <c r="B8" s="74">
        <v>4</v>
      </c>
      <c r="C8" s="373" t="s">
        <v>43</v>
      </c>
      <c r="D8" s="78" t="s">
        <v>631</v>
      </c>
      <c r="E8" s="75" t="s">
        <v>45</v>
      </c>
      <c r="F8" s="77" t="s">
        <v>632</v>
      </c>
      <c r="G8" s="76" t="s">
        <v>43</v>
      </c>
      <c r="H8" s="76" t="s">
        <v>43</v>
      </c>
      <c r="I8" s="76" t="s">
        <v>37</v>
      </c>
    </row>
    <row r="9" spans="2:9" s="68" customFormat="1" ht="57.95" customHeight="1">
      <c r="B9" s="74">
        <v>5</v>
      </c>
      <c r="C9" s="373" t="s">
        <v>58</v>
      </c>
      <c r="D9" s="76" t="s">
        <v>58</v>
      </c>
      <c r="E9" s="75" t="s">
        <v>60</v>
      </c>
      <c r="F9" s="77" t="s">
        <v>633</v>
      </c>
      <c r="G9" s="76" t="s">
        <v>58</v>
      </c>
      <c r="H9" s="76" t="s">
        <v>58</v>
      </c>
      <c r="I9" s="76" t="s">
        <v>61</v>
      </c>
    </row>
    <row r="10" spans="2:9" s="68" customFormat="1" ht="57.95" customHeight="1">
      <c r="B10" s="74">
        <v>6</v>
      </c>
      <c r="C10" s="373" t="s">
        <v>22</v>
      </c>
      <c r="D10" s="76" t="s">
        <v>634</v>
      </c>
      <c r="E10" s="75" t="s">
        <v>24</v>
      </c>
      <c r="F10" s="77" t="s">
        <v>635</v>
      </c>
      <c r="G10" s="76" t="s">
        <v>22</v>
      </c>
      <c r="H10" s="76" t="s">
        <v>22</v>
      </c>
      <c r="I10" s="76" t="s">
        <v>16</v>
      </c>
    </row>
    <row r="11" spans="2:9" s="68" customFormat="1" ht="57.95" customHeight="1">
      <c r="B11" s="74">
        <v>7</v>
      </c>
      <c r="C11" s="373" t="s">
        <v>64</v>
      </c>
      <c r="D11" s="76" t="s">
        <v>636</v>
      </c>
      <c r="E11" s="75" t="s">
        <v>66</v>
      </c>
      <c r="F11" s="77" t="s">
        <v>637</v>
      </c>
      <c r="G11" s="76" t="s">
        <v>64</v>
      </c>
      <c r="H11" s="76" t="s">
        <v>64</v>
      </c>
      <c r="I11" s="76" t="s">
        <v>58</v>
      </c>
    </row>
    <row r="12" spans="2:9" s="68" customFormat="1" ht="57.95" customHeight="1">
      <c r="B12" s="74">
        <v>8</v>
      </c>
      <c r="C12" s="373" t="s">
        <v>79</v>
      </c>
      <c r="D12" s="76" t="s">
        <v>638</v>
      </c>
      <c r="E12" s="75" t="s">
        <v>81</v>
      </c>
      <c r="F12" s="77" t="s">
        <v>639</v>
      </c>
      <c r="G12" s="76" t="s">
        <v>640</v>
      </c>
      <c r="H12" s="76" t="s">
        <v>79</v>
      </c>
      <c r="I12" s="76" t="s">
        <v>83</v>
      </c>
    </row>
    <row r="13" spans="2:9" s="68" customFormat="1" ht="57.95" customHeight="1">
      <c r="B13" s="74">
        <v>9</v>
      </c>
      <c r="C13" s="373" t="s">
        <v>641</v>
      </c>
      <c r="D13" s="76" t="s">
        <v>642</v>
      </c>
      <c r="E13" s="75" t="s">
        <v>81</v>
      </c>
      <c r="F13" s="77" t="s">
        <v>643</v>
      </c>
      <c r="G13" s="76" t="s">
        <v>644</v>
      </c>
      <c r="H13" s="76" t="s">
        <v>645</v>
      </c>
      <c r="I13" s="76" t="s">
        <v>646</v>
      </c>
    </row>
    <row r="14" spans="2:9" s="68" customFormat="1" ht="57.95" customHeight="1">
      <c r="B14" s="74">
        <v>10</v>
      </c>
      <c r="C14" s="373" t="s">
        <v>107</v>
      </c>
      <c r="D14" s="76" t="s">
        <v>647</v>
      </c>
      <c r="E14" s="75" t="s">
        <v>109</v>
      </c>
      <c r="F14" s="77" t="s">
        <v>648</v>
      </c>
      <c r="G14" s="76" t="s">
        <v>107</v>
      </c>
      <c r="H14" s="76" t="s">
        <v>107</v>
      </c>
      <c r="I14" s="76" t="s">
        <v>602</v>
      </c>
    </row>
    <row r="15" spans="2:9" s="68" customFormat="1" ht="57.95" customHeight="1">
      <c r="B15" s="74">
        <v>11</v>
      </c>
      <c r="C15" s="374" t="s">
        <v>649</v>
      </c>
      <c r="D15" s="80" t="s">
        <v>650</v>
      </c>
      <c r="E15" s="79" t="s">
        <v>109</v>
      </c>
      <c r="F15" s="81" t="s">
        <v>651</v>
      </c>
      <c r="G15" s="80" t="s">
        <v>652</v>
      </c>
      <c r="H15" s="80" t="s">
        <v>652</v>
      </c>
      <c r="I15" s="80" t="s">
        <v>653</v>
      </c>
    </row>
    <row r="16" spans="2:9" s="68" customFormat="1" ht="57.95" customHeight="1">
      <c r="B16" s="74">
        <v>12</v>
      </c>
      <c r="C16" s="373" t="s">
        <v>98</v>
      </c>
      <c r="D16" s="76" t="s">
        <v>98</v>
      </c>
      <c r="E16" s="75" t="s">
        <v>100</v>
      </c>
      <c r="F16" s="77" t="s">
        <v>654</v>
      </c>
      <c r="G16" s="76" t="s">
        <v>98</v>
      </c>
      <c r="H16" s="76" t="s">
        <v>98</v>
      </c>
      <c r="I16" s="76" t="s">
        <v>98</v>
      </c>
    </row>
    <row r="17" spans="2:9" s="68" customFormat="1" ht="57.95" customHeight="1">
      <c r="B17" s="74">
        <v>13</v>
      </c>
      <c r="C17" s="374" t="s">
        <v>655</v>
      </c>
      <c r="D17" s="80" t="s">
        <v>656</v>
      </c>
      <c r="E17" s="79" t="s">
        <v>100</v>
      </c>
      <c r="F17" s="81" t="s">
        <v>657</v>
      </c>
      <c r="G17" s="80" t="s">
        <v>658</v>
      </c>
      <c r="H17" s="80" t="s">
        <v>658</v>
      </c>
      <c r="I17" s="80" t="s">
        <v>658</v>
      </c>
    </row>
    <row r="18" spans="2:9" s="68" customFormat="1" ht="57.95" customHeight="1">
      <c r="B18" s="74">
        <v>14</v>
      </c>
      <c r="C18" s="376" t="s">
        <v>14</v>
      </c>
      <c r="D18" s="377" t="s">
        <v>12</v>
      </c>
      <c r="E18" s="378" t="s">
        <v>13</v>
      </c>
      <c r="F18" s="377" t="s">
        <v>12</v>
      </c>
      <c r="G18" s="377" t="s">
        <v>12</v>
      </c>
      <c r="H18" s="377" t="s">
        <v>12</v>
      </c>
      <c r="I18" s="377" t="s">
        <v>12</v>
      </c>
    </row>
    <row r="19" spans="2:9" s="68" customFormat="1" ht="57.95" customHeight="1">
      <c r="B19" s="74">
        <v>15</v>
      </c>
      <c r="C19" s="373" t="s">
        <v>19</v>
      </c>
      <c r="D19" s="76" t="s">
        <v>19</v>
      </c>
      <c r="E19" s="75" t="s">
        <v>29</v>
      </c>
      <c r="F19" s="77" t="s">
        <v>659</v>
      </c>
      <c r="G19" s="76" t="s">
        <v>660</v>
      </c>
      <c r="H19" s="76" t="s">
        <v>660</v>
      </c>
      <c r="I19" s="76" t="s">
        <v>661</v>
      </c>
    </row>
    <row r="20" spans="2:9" s="68" customFormat="1" ht="57.95" customHeight="1">
      <c r="B20" s="74">
        <v>16</v>
      </c>
      <c r="C20" s="373" t="s">
        <v>40</v>
      </c>
      <c r="D20" s="76" t="s">
        <v>662</v>
      </c>
      <c r="E20" s="75" t="s">
        <v>50</v>
      </c>
      <c r="F20" s="77" t="s">
        <v>663</v>
      </c>
      <c r="G20" s="76" t="s">
        <v>664</v>
      </c>
      <c r="H20" s="76" t="s">
        <v>664</v>
      </c>
      <c r="I20" s="76" t="s">
        <v>665</v>
      </c>
    </row>
    <row r="21" spans="2:9" s="68" customFormat="1" ht="57.95" customHeight="1">
      <c r="B21" s="74">
        <v>17</v>
      </c>
      <c r="C21" s="373" t="s">
        <v>86</v>
      </c>
      <c r="D21" s="76" t="s">
        <v>666</v>
      </c>
      <c r="E21" s="75" t="s">
        <v>88</v>
      </c>
      <c r="F21" s="77" t="s">
        <v>667</v>
      </c>
      <c r="G21" s="76" t="s">
        <v>668</v>
      </c>
      <c r="H21" s="76" t="s">
        <v>86</v>
      </c>
      <c r="I21" s="76" t="s">
        <v>91</v>
      </c>
    </row>
    <row r="22" spans="2:9" s="68" customFormat="1" ht="57.95" customHeight="1">
      <c r="B22" s="74">
        <v>18</v>
      </c>
      <c r="C22" s="374" t="s">
        <v>669</v>
      </c>
      <c r="D22" s="80" t="s">
        <v>670</v>
      </c>
      <c r="E22" s="79" t="s">
        <v>88</v>
      </c>
      <c r="F22" s="199" t="s">
        <v>671</v>
      </c>
      <c r="G22" s="80" t="s">
        <v>672</v>
      </c>
      <c r="H22" s="80" t="s">
        <v>673</v>
      </c>
      <c r="I22" s="80" t="s">
        <v>674</v>
      </c>
    </row>
    <row r="23" spans="2:9" s="68" customFormat="1" ht="57.95" customHeight="1">
      <c r="B23" s="74">
        <v>19</v>
      </c>
      <c r="C23" s="373" t="s">
        <v>116</v>
      </c>
      <c r="D23" s="82" t="s">
        <v>116</v>
      </c>
      <c r="E23" s="75" t="s">
        <v>118</v>
      </c>
      <c r="F23" s="77" t="s">
        <v>675</v>
      </c>
      <c r="G23" s="76" t="s">
        <v>116</v>
      </c>
      <c r="H23" s="76" t="s">
        <v>116</v>
      </c>
      <c r="I23" s="76" t="s">
        <v>116</v>
      </c>
    </row>
    <row r="24" spans="2:9" s="68" customFormat="1" ht="57.95" customHeight="1">
      <c r="B24" s="74">
        <v>20</v>
      </c>
      <c r="C24" s="375" t="s">
        <v>27</v>
      </c>
      <c r="D24" s="84" t="s">
        <v>27</v>
      </c>
      <c r="E24" s="83" t="s">
        <v>676</v>
      </c>
      <c r="F24" s="198" t="s">
        <v>677</v>
      </c>
      <c r="G24" s="84" t="s">
        <v>678</v>
      </c>
      <c r="H24" s="84" t="s">
        <v>678</v>
      </c>
      <c r="I24" s="84" t="s">
        <v>679</v>
      </c>
    </row>
    <row r="25" spans="2:9" s="68" customFormat="1" ht="57.95" customHeight="1">
      <c r="B25" s="74">
        <v>21</v>
      </c>
      <c r="C25" s="375" t="s">
        <v>69</v>
      </c>
      <c r="D25" s="84" t="s">
        <v>69</v>
      </c>
      <c r="E25" s="83" t="s">
        <v>680</v>
      </c>
      <c r="F25" s="198" t="s">
        <v>681</v>
      </c>
      <c r="G25" s="84" t="s">
        <v>682</v>
      </c>
      <c r="H25" s="84" t="s">
        <v>682</v>
      </c>
      <c r="I25" s="84" t="s">
        <v>683</v>
      </c>
    </row>
    <row r="26" spans="2:9" s="68" customFormat="1" ht="57.95" customHeight="1">
      <c r="B26" s="74">
        <v>22</v>
      </c>
      <c r="C26" s="375" t="s">
        <v>48</v>
      </c>
      <c r="D26" s="84" t="s">
        <v>684</v>
      </c>
      <c r="E26" s="83" t="s">
        <v>685</v>
      </c>
      <c r="F26" s="198" t="s">
        <v>686</v>
      </c>
      <c r="G26" s="84" t="s">
        <v>687</v>
      </c>
      <c r="H26" s="84" t="s">
        <v>687</v>
      </c>
      <c r="I26" s="84" t="s">
        <v>688</v>
      </c>
    </row>
  </sheetData>
  <phoneticPr fontId="1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FC37-3934-FE44-AE32-8B0B36FA4B37}">
  <sheetPr codeName="工作表16">
    <tabColor rgb="FF00B0F0"/>
  </sheetPr>
  <dimension ref="B1:AE56"/>
  <sheetViews>
    <sheetView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R9" sqref="R9"/>
    </sheetView>
  </sheetViews>
  <sheetFormatPr defaultColWidth="10.90625" defaultRowHeight="25.5" outlineLevelRow="1" outlineLevelCol="1"/>
  <cols>
    <col min="1" max="1" width="2.7265625" customWidth="1"/>
    <col min="2" max="2" width="5" style="6" customWidth="1"/>
    <col min="3" max="3" width="10.6328125" style="6" customWidth="1"/>
    <col min="4" max="5" width="12.6328125" style="6" customWidth="1" outlineLevel="1"/>
    <col min="6" max="7" width="13.7265625" style="6" customWidth="1" outlineLevel="1"/>
    <col min="8" max="9" width="12.6328125" style="6" customWidth="1" outlineLevel="1"/>
    <col min="10" max="11" width="12.6328125" customWidth="1"/>
    <col min="12" max="13" width="12.6328125" customWidth="1" outlineLevel="1"/>
    <col min="14" max="15" width="12.6328125" customWidth="1"/>
    <col min="16" max="16" width="10.7265625" style="6" customWidth="1" outlineLevel="1"/>
    <col min="17" max="17" width="10.7265625" customWidth="1" outlineLevel="1"/>
    <col min="18" max="18" width="53" customWidth="1" outlineLevel="1" collapsed="1"/>
    <col min="19" max="19" width="4.26953125" customWidth="1"/>
    <col min="22" max="23" width="10.90625" customWidth="1" outlineLevel="1"/>
    <col min="27" max="27" width="4.453125" customWidth="1"/>
    <col min="28" max="28" width="5" style="6" customWidth="1"/>
    <col min="29" max="29" width="10.6328125" style="6" customWidth="1"/>
    <col min="30" max="30" width="5.6328125" hidden="1" customWidth="1" outlineLevel="1"/>
    <col min="31" max="31" width="12.6328125" bestFit="1" customWidth="1" collapsed="1"/>
  </cols>
  <sheetData>
    <row r="1" spans="2:31" outlineLevel="1">
      <c r="X1">
        <v>2</v>
      </c>
      <c r="Y1">
        <v>3</v>
      </c>
      <c r="Z1">
        <v>4</v>
      </c>
      <c r="AE1">
        <v>3</v>
      </c>
    </row>
    <row r="2" spans="2:31" s="50" customFormat="1" outlineLevel="1">
      <c r="B2" s="101" cm="1">
        <f t="array" ref="B2">COLUMN()-COLUMN(($A:$A))</f>
        <v>1</v>
      </c>
      <c r="C2" s="101" cm="1">
        <f t="array" ref="C2">COLUMN()-COLUMN(($A:$A))</f>
        <v>2</v>
      </c>
      <c r="D2" s="101" cm="1">
        <f t="array" ref="D2">COLUMN()-COLUMN(($A:$A))</f>
        <v>3</v>
      </c>
      <c r="E2" s="101" cm="1">
        <f t="array" ref="E2">COLUMN()-COLUMN(($A:$A))</f>
        <v>4</v>
      </c>
      <c r="F2" s="101" cm="1">
        <f t="array" ref="F2">COLUMN()-COLUMN(($A:$A))</f>
        <v>5</v>
      </c>
      <c r="G2" s="101" cm="1">
        <f t="array" ref="G2">COLUMN()-COLUMN(($A:$A))</f>
        <v>6</v>
      </c>
      <c r="H2" s="101" cm="1">
        <f t="array" ref="H2">COLUMN()-COLUMN(($A:$A))</f>
        <v>7</v>
      </c>
      <c r="I2" s="101" cm="1">
        <f t="array" ref="I2">COLUMN()-COLUMN(($A:$A))</f>
        <v>8</v>
      </c>
      <c r="J2" s="101" cm="1">
        <f t="array" ref="J2">COLUMN()-COLUMN(($A:$A))</f>
        <v>9</v>
      </c>
      <c r="K2" s="101" cm="1">
        <f t="array" ref="K2">COLUMN()-COLUMN(($A:$A))</f>
        <v>10</v>
      </c>
      <c r="L2" s="101" cm="1">
        <f t="array" ref="L2">COLUMN()-COLUMN(($A:$A))</f>
        <v>11</v>
      </c>
      <c r="M2" s="101" cm="1">
        <f t="array" ref="M2">COLUMN()-COLUMN(($A:$A))</f>
        <v>12</v>
      </c>
      <c r="N2" s="101" cm="1">
        <f t="array" ref="N2">COLUMN()-COLUMN(($A:$A))</f>
        <v>13</v>
      </c>
      <c r="O2" s="101" cm="1">
        <f t="array" ref="O2">COLUMN()-COLUMN(($A:$A))</f>
        <v>14</v>
      </c>
      <c r="P2" s="101" cm="1">
        <f t="array" ref="P2">COLUMN()-COLUMN(($A:$A))</f>
        <v>15</v>
      </c>
      <c r="Q2" s="101" cm="1">
        <f t="array" ref="Q2">COLUMN()-COLUMN(($A:$A))</f>
        <v>16</v>
      </c>
      <c r="R2" s="101" cm="1">
        <f t="array" ref="R2">COLUMN()-COLUMN(($A:$A))</f>
        <v>17</v>
      </c>
      <c r="T2" s="50" t="s">
        <v>689</v>
      </c>
      <c r="AB2" s="6"/>
      <c r="AC2" s="6"/>
    </row>
    <row r="3" spans="2:31" ht="11.1" customHeight="1"/>
    <row r="4" spans="2:31" s="131" customFormat="1">
      <c r="B4" s="47" t="s">
        <v>133</v>
      </c>
      <c r="C4" s="47" t="s">
        <v>690</v>
      </c>
      <c r="D4" s="128" t="s">
        <v>130</v>
      </c>
      <c r="E4" s="128" t="s">
        <v>691</v>
      </c>
      <c r="F4" s="394" t="s">
        <v>692</v>
      </c>
      <c r="G4" s="394" t="s">
        <v>693</v>
      </c>
      <c r="H4" s="128" t="s">
        <v>694</v>
      </c>
      <c r="I4" s="128" t="s">
        <v>695</v>
      </c>
      <c r="J4" s="129" t="s">
        <v>696</v>
      </c>
      <c r="K4" s="129" t="s">
        <v>697</v>
      </c>
      <c r="L4" s="128" t="s">
        <v>698</v>
      </c>
      <c r="M4" s="128" t="s">
        <v>699</v>
      </c>
      <c r="N4" s="129" t="s">
        <v>700</v>
      </c>
      <c r="O4" s="129" t="s">
        <v>701</v>
      </c>
      <c r="P4" s="128" t="s">
        <v>702</v>
      </c>
      <c r="Q4" s="128" t="s">
        <v>703</v>
      </c>
      <c r="R4" s="130" t="s">
        <v>704</v>
      </c>
      <c r="T4" s="47" t="s">
        <v>133</v>
      </c>
      <c r="U4" s="47" t="s">
        <v>705</v>
      </c>
      <c r="V4" s="47" t="s">
        <v>129</v>
      </c>
      <c r="W4" s="47"/>
      <c r="X4" s="47" t="s">
        <v>706</v>
      </c>
      <c r="Y4" s="128" t="s">
        <v>130</v>
      </c>
      <c r="Z4" s="128" t="s">
        <v>691</v>
      </c>
      <c r="AB4" s="47" t="s">
        <v>133</v>
      </c>
      <c r="AC4" s="47" t="s">
        <v>706</v>
      </c>
      <c r="AE4" s="128" t="s">
        <v>130</v>
      </c>
    </row>
    <row r="5" spans="2:31" ht="33">
      <c r="B5" s="46">
        <v>1</v>
      </c>
      <c r="C5" s="24" t="s">
        <v>135</v>
      </c>
      <c r="D5" s="25" t="s">
        <v>136</v>
      </c>
      <c r="E5" s="26" t="s">
        <v>137</v>
      </c>
      <c r="F5" s="25" t="s">
        <v>136</v>
      </c>
      <c r="G5" s="26" t="s">
        <v>707</v>
      </c>
      <c r="H5" s="148" t="s">
        <v>136</v>
      </c>
      <c r="I5" s="26" t="s">
        <v>137</v>
      </c>
      <c r="J5" s="25" t="s">
        <v>136</v>
      </c>
      <c r="K5" s="26" t="s">
        <v>137</v>
      </c>
      <c r="L5" s="25" t="s">
        <v>136</v>
      </c>
      <c r="M5" s="26" t="s">
        <v>137</v>
      </c>
      <c r="N5" s="25" t="s">
        <v>708</v>
      </c>
      <c r="O5" s="26" t="s">
        <v>709</v>
      </c>
      <c r="P5" s="25" t="s">
        <v>710</v>
      </c>
      <c r="Q5" s="43" t="s">
        <v>711</v>
      </c>
      <c r="R5" s="27"/>
      <c r="T5" s="46">
        <v>1</v>
      </c>
      <c r="U5" s="404" t="s">
        <v>712</v>
      </c>
      <c r="V5" s="340" t="s">
        <v>713</v>
      </c>
      <c r="W5" s="340">
        <f t="shared" ref="W5:W49" si="0" xml:space="preserve"> MATCH($V5, 韻母舒聲碼, 0)</f>
        <v>28</v>
      </c>
      <c r="X5" s="411" t="str" cm="1">
        <f t="array" ref="X5" xml:space="preserve"> INDEX(十五音韻母對照表, $W5, X$1)</f>
        <v>膠</v>
      </c>
      <c r="Y5" s="25" t="str" cm="1">
        <f t="array" ref="Y5" xml:space="preserve"> INDEX(十五音韻母對照表, $W5, Y$1)</f>
        <v>a</v>
      </c>
      <c r="Z5" s="25" t="str" cm="1">
        <f t="array" ref="Z5" xml:space="preserve"> INDEX(十五音韻母對照表, $W5, Z$1)</f>
        <v>ah</v>
      </c>
      <c r="AB5" s="413">
        <v>1</v>
      </c>
      <c r="AC5" s="350" t="s">
        <v>135</v>
      </c>
      <c r="AD5" s="410">
        <f xml:space="preserve"> IFERROR( MATCH(AC5, $X$5:$X$49, 0), "")</f>
        <v>45</v>
      </c>
      <c r="AE5" s="410" t="str" cm="1">
        <f t="array" ref="AE5" xml:space="preserve"> IF($AD5="", INDEX(十五音韻母對照表, $B5, AE$1), "")</f>
        <v/>
      </c>
    </row>
    <row r="6" spans="2:31" ht="33">
      <c r="B6" s="46">
        <v>2</v>
      </c>
      <c r="C6" s="24" t="s">
        <v>141</v>
      </c>
      <c r="D6" s="25" t="s">
        <v>142</v>
      </c>
      <c r="E6" s="26" t="s">
        <v>143</v>
      </c>
      <c r="F6" s="25" t="s">
        <v>142</v>
      </c>
      <c r="G6" s="26" t="s">
        <v>714</v>
      </c>
      <c r="H6" s="148" t="s">
        <v>142</v>
      </c>
      <c r="I6" s="26" t="s">
        <v>143</v>
      </c>
      <c r="J6" s="25" t="s">
        <v>142</v>
      </c>
      <c r="K6" s="26" t="s">
        <v>143</v>
      </c>
      <c r="L6" s="25" t="s">
        <v>142</v>
      </c>
      <c r="M6" s="26" t="s">
        <v>143</v>
      </c>
      <c r="N6" s="25" t="s">
        <v>715</v>
      </c>
      <c r="O6" s="26" t="s">
        <v>716</v>
      </c>
      <c r="P6" s="25" t="s">
        <v>717</v>
      </c>
      <c r="Q6" s="43" t="s">
        <v>718</v>
      </c>
      <c r="R6" s="27"/>
      <c r="T6" s="46">
        <v>2</v>
      </c>
      <c r="U6" s="404" t="s">
        <v>719</v>
      </c>
      <c r="V6" s="340" t="s">
        <v>720</v>
      </c>
      <c r="W6" s="340">
        <f t="shared" si="0"/>
        <v>26</v>
      </c>
      <c r="X6" s="411" t="str" cm="1">
        <f t="array" ref="X6" xml:space="preserve"> INDEX(十五音韻母對照表, $W6, X$1)</f>
        <v>監</v>
      </c>
      <c r="Y6" s="25" t="str" cm="1">
        <f t="array" ref="Y6" xml:space="preserve"> INDEX(十五音韻母對照表, $W6, Y$1)</f>
        <v>ann</v>
      </c>
      <c r="Z6" s="25" t="str" cm="1">
        <f t="array" ref="Z6" xml:space="preserve"> INDEX(十五音韻母對照表, $W6, Z$1)</f>
        <v>annh</v>
      </c>
      <c r="AB6" s="413">
        <v>2</v>
      </c>
      <c r="AC6" s="350" t="s">
        <v>141</v>
      </c>
      <c r="AD6" s="410">
        <f t="shared" ref="AD6:AD54" si="1" xml:space="preserve"> IFERROR( MATCH(AC6, $X$5:$X$49, 0), "")</f>
        <v>17</v>
      </c>
      <c r="AE6" s="410" t="str" cm="1">
        <f t="array" ref="AE6" xml:space="preserve"> IF($AD6="", INDEX(十五音韻母對照表, $B6, AE$1), "")</f>
        <v/>
      </c>
    </row>
    <row r="7" spans="2:31" ht="33">
      <c r="B7" s="46">
        <v>3</v>
      </c>
      <c r="C7" s="24" t="s">
        <v>147</v>
      </c>
      <c r="D7" s="25" t="s">
        <v>148</v>
      </c>
      <c r="E7" s="26" t="s">
        <v>149</v>
      </c>
      <c r="F7" s="25" t="s">
        <v>148</v>
      </c>
      <c r="G7" s="26" t="s">
        <v>721</v>
      </c>
      <c r="H7" s="148" t="s">
        <v>148</v>
      </c>
      <c r="I7" s="26" t="s">
        <v>149</v>
      </c>
      <c r="J7" s="25" t="s">
        <v>148</v>
      </c>
      <c r="K7" s="26" t="s">
        <v>149</v>
      </c>
      <c r="L7" s="25" t="s">
        <v>148</v>
      </c>
      <c r="M7" s="26" t="s">
        <v>149</v>
      </c>
      <c r="N7" s="25" t="s">
        <v>722</v>
      </c>
      <c r="O7" s="26" t="s">
        <v>723</v>
      </c>
      <c r="P7" s="25" t="s">
        <v>148</v>
      </c>
      <c r="Q7" s="43" t="s">
        <v>149</v>
      </c>
      <c r="R7" s="27"/>
      <c r="T7" s="46">
        <v>3</v>
      </c>
      <c r="U7" s="404" t="s">
        <v>724</v>
      </c>
      <c r="V7" s="340" t="s">
        <v>725</v>
      </c>
      <c r="W7" s="340">
        <f t="shared" si="0"/>
        <v>16</v>
      </c>
      <c r="X7" s="411" t="str" cm="1">
        <f t="array" ref="X7" xml:space="preserve"> INDEX(十五音韻母對照表, $W7, X$1)</f>
        <v>皆</v>
      </c>
      <c r="Y7" s="25" t="str" cm="1">
        <f t="array" ref="Y7" xml:space="preserve"> INDEX(十五音韻母對照表, $W7, Y$1)</f>
        <v>ai</v>
      </c>
      <c r="Z7" s="25" t="str" cm="1">
        <f t="array" ref="Z7" xml:space="preserve"> INDEX(十五音韻母對照表, $W7, Z$1)</f>
        <v>aih</v>
      </c>
      <c r="AB7" s="413">
        <v>3</v>
      </c>
      <c r="AC7" s="350" t="s">
        <v>147</v>
      </c>
      <c r="AD7" s="410">
        <f t="shared" si="1"/>
        <v>21</v>
      </c>
      <c r="AE7" s="410" t="str" cm="1">
        <f t="array" ref="AE7" xml:space="preserve"> IF($AD7="", INDEX(十五音韻母對照表, $B7, AE$1), "")</f>
        <v/>
      </c>
    </row>
    <row r="8" spans="2:31" ht="33">
      <c r="B8" s="46">
        <v>4</v>
      </c>
      <c r="C8" s="28" t="s">
        <v>153</v>
      </c>
      <c r="D8" s="25" t="s">
        <v>154</v>
      </c>
      <c r="E8" s="29" t="s">
        <v>155</v>
      </c>
      <c r="F8" s="30" t="s">
        <v>154</v>
      </c>
      <c r="G8" s="29" t="s">
        <v>726</v>
      </c>
      <c r="H8" s="148" t="s">
        <v>727</v>
      </c>
      <c r="I8" s="29" t="s">
        <v>728</v>
      </c>
      <c r="J8" s="30" t="s">
        <v>154</v>
      </c>
      <c r="K8" s="29" t="s">
        <v>155</v>
      </c>
      <c r="L8" s="30" t="s">
        <v>154</v>
      </c>
      <c r="M8" s="29" t="s">
        <v>728</v>
      </c>
      <c r="N8" s="30" t="s">
        <v>729</v>
      </c>
      <c r="O8" s="29" t="s">
        <v>730</v>
      </c>
      <c r="P8" s="30" t="s">
        <v>731</v>
      </c>
      <c r="Q8" s="29"/>
      <c r="R8" s="27"/>
      <c r="T8" s="46">
        <v>4</v>
      </c>
      <c r="U8" s="408" t="s">
        <v>732</v>
      </c>
      <c r="V8" s="405" t="s">
        <v>733</v>
      </c>
      <c r="W8" s="340">
        <f t="shared" si="0"/>
        <v>40</v>
      </c>
      <c r="X8" s="411" t="str" cm="1">
        <f t="array" ref="X8" xml:space="preserve"> INDEX(十五音韻母對照表, $W8, X$1)</f>
        <v>閒</v>
      </c>
      <c r="Y8" s="25" t="str" cm="1">
        <f t="array" ref="Y8" xml:space="preserve"> INDEX(十五音韻母對照表, $W8, Y$1)</f>
        <v>ainn</v>
      </c>
      <c r="Z8" s="25" t="str" cm="1">
        <f t="array" ref="Z8" xml:space="preserve"> INDEX(十五音韻母對照表, $W8, Z$1)</f>
        <v>ainnh</v>
      </c>
      <c r="AB8" s="413">
        <v>4</v>
      </c>
      <c r="AC8" s="350" t="s">
        <v>153</v>
      </c>
      <c r="AD8" s="410">
        <f t="shared" si="1"/>
        <v>43</v>
      </c>
      <c r="AE8" s="410" t="str" cm="1">
        <f t="array" ref="AE8" xml:space="preserve"> IF($AD8="", INDEX(十五音韻母對照表, $B8, AE$1), "")</f>
        <v/>
      </c>
    </row>
    <row r="9" spans="2:31" ht="33">
      <c r="B9" s="46">
        <v>5</v>
      </c>
      <c r="C9" s="31" t="s">
        <v>159</v>
      </c>
      <c r="D9" s="431" t="s">
        <v>734</v>
      </c>
      <c r="E9" s="26" t="s">
        <v>735</v>
      </c>
      <c r="F9" s="25" t="s">
        <v>736</v>
      </c>
      <c r="G9" s="26" t="s">
        <v>737</v>
      </c>
      <c r="H9" s="148" t="s">
        <v>202</v>
      </c>
      <c r="I9" s="26" t="s">
        <v>738</v>
      </c>
      <c r="J9" s="25" t="s">
        <v>202</v>
      </c>
      <c r="K9" s="26" t="s">
        <v>161</v>
      </c>
      <c r="L9" s="317" t="s">
        <v>739</v>
      </c>
      <c r="M9" s="317" t="s">
        <v>740</v>
      </c>
      <c r="N9" s="25" t="s">
        <v>741</v>
      </c>
      <c r="O9" s="26" t="s">
        <v>742</v>
      </c>
      <c r="P9" s="25" t="s">
        <v>743</v>
      </c>
      <c r="Q9" s="43" t="s">
        <v>744</v>
      </c>
      <c r="R9" s="432" t="s">
        <v>745</v>
      </c>
      <c r="T9" s="46">
        <v>5</v>
      </c>
      <c r="U9" s="409" t="s">
        <v>746</v>
      </c>
      <c r="V9" s="405" t="s">
        <v>747</v>
      </c>
      <c r="W9" s="340">
        <f t="shared" si="0"/>
        <v>19</v>
      </c>
      <c r="X9" s="411" t="str" cm="1">
        <f t="array" ref="X9" xml:space="preserve"> INDEX(十五音韻母對照表, $W9, X$1)</f>
        <v>甘</v>
      </c>
      <c r="Y9" s="25" t="str" cm="1">
        <f t="array" ref="Y9" xml:space="preserve"> INDEX(十五音韻母對照表, $W9, Y$1)</f>
        <v>am</v>
      </c>
      <c r="Z9" s="25" t="str" cm="1">
        <f t="array" ref="Z9" xml:space="preserve"> INDEX(十五音韻母對照表, $W9, Z$1)</f>
        <v>ap</v>
      </c>
      <c r="AB9" s="413">
        <v>5</v>
      </c>
      <c r="AC9" s="350" t="s">
        <v>159</v>
      </c>
      <c r="AD9" s="410" t="str">
        <f t="shared" si="1"/>
        <v/>
      </c>
      <c r="AE9" s="410" t="str" cm="1">
        <f t="array" ref="AE9" xml:space="preserve"> IF($AD9="", INDEX(十五音韻母對照表, $B9, AE$1), "")</f>
        <v>ee</v>
      </c>
    </row>
    <row r="10" spans="2:31" ht="33">
      <c r="B10" s="46">
        <v>6</v>
      </c>
      <c r="C10" s="24" t="s">
        <v>165</v>
      </c>
      <c r="D10" s="25" t="s">
        <v>166</v>
      </c>
      <c r="E10" s="26" t="s">
        <v>748</v>
      </c>
      <c r="F10" s="25" t="s">
        <v>166</v>
      </c>
      <c r="G10" s="26" t="s">
        <v>749</v>
      </c>
      <c r="H10" s="148" t="s">
        <v>166</v>
      </c>
      <c r="I10" s="26" t="s">
        <v>167</v>
      </c>
      <c r="J10" s="25" t="s">
        <v>166</v>
      </c>
      <c r="K10" s="26" t="s">
        <v>750</v>
      </c>
      <c r="L10" s="25" t="s">
        <v>166</v>
      </c>
      <c r="M10" s="26" t="s">
        <v>167</v>
      </c>
      <c r="N10" s="33" t="s">
        <v>751</v>
      </c>
      <c r="O10" s="26" t="s">
        <v>752</v>
      </c>
      <c r="P10" s="25" t="s">
        <v>166</v>
      </c>
      <c r="Q10" s="43" t="s">
        <v>167</v>
      </c>
      <c r="R10" s="27"/>
      <c r="T10" s="46">
        <v>6</v>
      </c>
      <c r="U10" s="404" t="s">
        <v>753</v>
      </c>
      <c r="V10" s="340" t="s">
        <v>754</v>
      </c>
      <c r="W10" s="340">
        <f t="shared" si="0"/>
        <v>6</v>
      </c>
      <c r="X10" s="411" t="str" cm="1">
        <f t="array" ref="X10" xml:space="preserve"> INDEX(十五音韻母對照表, $W10, X$1)</f>
        <v>干</v>
      </c>
      <c r="Y10" s="25" t="str" cm="1">
        <f t="array" ref="Y10" xml:space="preserve"> INDEX(十五音韻母對照表, $W10, Y$1)</f>
        <v>an</v>
      </c>
      <c r="Z10" s="25" t="str" cm="1">
        <f t="array" ref="Z10" xml:space="preserve"> INDEX(十五音韻母對照表, $W10, Z$1)</f>
        <v>at</v>
      </c>
      <c r="AB10" s="413">
        <v>6</v>
      </c>
      <c r="AC10" s="350" t="s">
        <v>165</v>
      </c>
      <c r="AD10" s="410">
        <f t="shared" si="1"/>
        <v>6</v>
      </c>
      <c r="AE10" s="410" t="str" cm="1">
        <f t="array" ref="AE10" xml:space="preserve"> IF($AD10="", INDEX(十五音韻母對照表, $B10, AE$1), "")</f>
        <v/>
      </c>
    </row>
    <row r="11" spans="2:31" ht="33">
      <c r="B11" s="46">
        <v>7</v>
      </c>
      <c r="C11" s="24" t="s">
        <v>168</v>
      </c>
      <c r="D11" s="25" t="s">
        <v>169</v>
      </c>
      <c r="E11" s="26" t="s">
        <v>170</v>
      </c>
      <c r="F11" s="25" t="s">
        <v>755</v>
      </c>
      <c r="G11" s="26" t="s">
        <v>756</v>
      </c>
      <c r="H11" s="148" t="s">
        <v>169</v>
      </c>
      <c r="I11" s="26" t="s">
        <v>170</v>
      </c>
      <c r="J11" s="25" t="s">
        <v>169</v>
      </c>
      <c r="K11" s="26" t="s">
        <v>170</v>
      </c>
      <c r="L11" s="25" t="s">
        <v>169</v>
      </c>
      <c r="M11" s="26" t="s">
        <v>170</v>
      </c>
      <c r="N11" s="25" t="s">
        <v>757</v>
      </c>
      <c r="O11" s="26" t="s">
        <v>758</v>
      </c>
      <c r="P11" s="25" t="s">
        <v>169</v>
      </c>
      <c r="Q11" s="43" t="s">
        <v>170</v>
      </c>
      <c r="R11" s="27"/>
      <c r="T11" s="46">
        <v>7</v>
      </c>
      <c r="U11" s="404" t="s">
        <v>759</v>
      </c>
      <c r="V11" s="340" t="s">
        <v>760</v>
      </c>
      <c r="W11" s="340">
        <f t="shared" si="0"/>
        <v>21</v>
      </c>
      <c r="X11" s="411" t="str" cm="1">
        <f t="array" ref="X11" xml:space="preserve"> INDEX(十五音韻母對照表, $W11, X$1)</f>
        <v>江</v>
      </c>
      <c r="Y11" s="25" t="str" cm="1">
        <f t="array" ref="Y11" xml:space="preserve"> INDEX(十五音韻母對照表, $W11, Y$1)</f>
        <v>ang</v>
      </c>
      <c r="Z11" s="25" t="str" cm="1">
        <f t="array" ref="Z11" xml:space="preserve"> INDEX(十五音韻母對照表, $W11, Z$1)</f>
        <v>ak</v>
      </c>
      <c r="AB11" s="413">
        <v>7</v>
      </c>
      <c r="AC11" s="350" t="s">
        <v>168</v>
      </c>
      <c r="AD11" s="410">
        <f t="shared" si="1"/>
        <v>35</v>
      </c>
      <c r="AE11" s="410" t="str" cm="1">
        <f t="array" ref="AE11" xml:space="preserve"> IF($AD11="", INDEX(十五音韻母對照表, $B11, AE$1), "")</f>
        <v/>
      </c>
    </row>
    <row r="12" spans="2:31" ht="33">
      <c r="B12" s="46">
        <v>8</v>
      </c>
      <c r="C12" s="24" t="s">
        <v>174</v>
      </c>
      <c r="D12" s="25" t="s">
        <v>175</v>
      </c>
      <c r="E12" s="26" t="s">
        <v>176</v>
      </c>
      <c r="F12" s="25" t="s">
        <v>175</v>
      </c>
      <c r="G12" s="39" t="s">
        <v>761</v>
      </c>
      <c r="H12" s="149" t="s">
        <v>318</v>
      </c>
      <c r="I12" s="39" t="s">
        <v>762</v>
      </c>
      <c r="J12" s="25" t="s">
        <v>175</v>
      </c>
      <c r="K12" s="26" t="s">
        <v>176</v>
      </c>
      <c r="L12" s="25" t="s">
        <v>175</v>
      </c>
      <c r="M12" s="26" t="s">
        <v>176</v>
      </c>
      <c r="N12" s="25" t="s">
        <v>763</v>
      </c>
      <c r="O12" s="26" t="s">
        <v>764</v>
      </c>
      <c r="P12" s="25" t="s">
        <v>765</v>
      </c>
      <c r="Q12" s="43" t="s">
        <v>766</v>
      </c>
      <c r="R12" s="27"/>
      <c r="T12" s="46">
        <v>8</v>
      </c>
      <c r="U12" s="404" t="s">
        <v>767</v>
      </c>
      <c r="V12" s="340" t="s">
        <v>768</v>
      </c>
      <c r="W12" s="340">
        <f t="shared" si="0"/>
        <v>23</v>
      </c>
      <c r="X12" s="411" t="str" cm="1">
        <f t="array" ref="X12" xml:space="preserve"> INDEX(十五音韻母對照表, $W12, X$1)</f>
        <v>交</v>
      </c>
      <c r="Y12" s="25" t="str" cm="1">
        <f t="array" ref="Y12" xml:space="preserve"> INDEX(十五音韻母對照表, $W12, Y$1)</f>
        <v>au</v>
      </c>
      <c r="Z12" s="25" t="str" cm="1">
        <f t="array" ref="Z12" xml:space="preserve"> INDEX(十五音韻母對照表, $W12, Z$1)</f>
        <v>auh</v>
      </c>
      <c r="AB12" s="413">
        <v>8</v>
      </c>
      <c r="AC12" s="350" t="s">
        <v>174</v>
      </c>
      <c r="AD12" s="410">
        <f t="shared" si="1"/>
        <v>39</v>
      </c>
      <c r="AE12" s="410" t="str" cm="1">
        <f t="array" ref="AE12" xml:space="preserve"> IF($AD12="", INDEX(十五音韻母對照表, $B12, AE$1), "")</f>
        <v/>
      </c>
    </row>
    <row r="13" spans="2:31" ht="33">
      <c r="B13" s="46">
        <v>9</v>
      </c>
      <c r="C13" s="24" t="s">
        <v>180</v>
      </c>
      <c r="D13" s="25" t="s">
        <v>181</v>
      </c>
      <c r="E13" s="26" t="s">
        <v>182</v>
      </c>
      <c r="F13" s="25" t="s">
        <v>769</v>
      </c>
      <c r="G13" s="26" t="s">
        <v>770</v>
      </c>
      <c r="H13" s="148" t="s">
        <v>305</v>
      </c>
      <c r="I13" s="26" t="s">
        <v>303</v>
      </c>
      <c r="J13" s="25" t="s">
        <v>181</v>
      </c>
      <c r="K13" s="26" t="s">
        <v>182</v>
      </c>
      <c r="L13" s="25" t="s">
        <v>181</v>
      </c>
      <c r="M13" s="26" t="s">
        <v>182</v>
      </c>
      <c r="N13" s="25" t="s">
        <v>771</v>
      </c>
      <c r="O13" s="249" t="s">
        <v>772</v>
      </c>
      <c r="P13" s="25" t="s">
        <v>305</v>
      </c>
      <c r="Q13" s="43" t="s">
        <v>303</v>
      </c>
      <c r="R13" s="27"/>
      <c r="T13" s="46">
        <v>9</v>
      </c>
      <c r="U13" s="409" t="s">
        <v>773</v>
      </c>
      <c r="V13" s="410" t="s">
        <v>774</v>
      </c>
      <c r="W13" s="340">
        <f t="shared" si="0"/>
        <v>48</v>
      </c>
      <c r="X13" s="411" t="str" cm="1">
        <f t="array" ref="X13" xml:space="preserve"> INDEX(十五音韻母對照表, $W13, X$1)</f>
        <v>爻</v>
      </c>
      <c r="Y13" s="25" t="str" cm="1">
        <f t="array" ref="Y13" xml:space="preserve"> INDEX(十五音韻母對照表, $W13, Y$1)</f>
        <v>aunn</v>
      </c>
      <c r="Z13" s="25" t="str" cm="1">
        <f t="array" ref="Z13" xml:space="preserve"> INDEX(十五音韻母對照表, $W13, Z$1)</f>
        <v>aunnh</v>
      </c>
      <c r="AB13" s="413">
        <v>9</v>
      </c>
      <c r="AC13" s="350" t="s">
        <v>180</v>
      </c>
      <c r="AD13" s="410">
        <f t="shared" si="1"/>
        <v>23</v>
      </c>
      <c r="AE13" s="410" t="str" cm="1">
        <f t="array" ref="AE13" xml:space="preserve"> IF($AD13="", INDEX(十五音韻母對照表, $B13, AE$1), "")</f>
        <v/>
      </c>
    </row>
    <row r="14" spans="2:31" ht="33">
      <c r="B14" s="46">
        <v>10</v>
      </c>
      <c r="C14" s="24" t="s">
        <v>186</v>
      </c>
      <c r="D14" s="25" t="s">
        <v>187</v>
      </c>
      <c r="E14" s="26" t="s">
        <v>188</v>
      </c>
      <c r="F14" s="25" t="s">
        <v>187</v>
      </c>
      <c r="G14" s="39" t="s">
        <v>775</v>
      </c>
      <c r="H14" s="149" t="s">
        <v>320</v>
      </c>
      <c r="I14" s="39" t="s">
        <v>322</v>
      </c>
      <c r="J14" s="25" t="s">
        <v>187</v>
      </c>
      <c r="K14" s="26" t="s">
        <v>188</v>
      </c>
      <c r="L14" s="25" t="s">
        <v>187</v>
      </c>
      <c r="M14" s="26" t="s">
        <v>188</v>
      </c>
      <c r="N14" s="25" t="s">
        <v>776</v>
      </c>
      <c r="O14" s="26" t="s">
        <v>777</v>
      </c>
      <c r="P14" s="25" t="s">
        <v>778</v>
      </c>
      <c r="Q14" s="43" t="s">
        <v>779</v>
      </c>
      <c r="R14" s="27"/>
      <c r="T14" s="46">
        <v>10</v>
      </c>
      <c r="U14" s="409" t="s">
        <v>780</v>
      </c>
      <c r="V14" s="410" t="s">
        <v>739</v>
      </c>
      <c r="W14" s="340">
        <f t="shared" si="0"/>
        <v>39</v>
      </c>
      <c r="X14" s="411" t="str" cm="1">
        <f t="array" ref="X14" xml:space="preserve"> INDEX(十五音韻母對照表, $W14, X$1)</f>
        <v>伽</v>
      </c>
      <c r="Y14" s="25" t="str" cm="1">
        <f t="array" ref="Y14" xml:space="preserve"> INDEX(十五音韻母對照表, $W14, Y$1)</f>
        <v>e</v>
      </c>
      <c r="Z14" s="25" t="str" cm="1">
        <f t="array" ref="Z14" xml:space="preserve"> INDEX(十五音韻母對照表, $W14, Z$1)</f>
        <v>eh</v>
      </c>
      <c r="AB14" s="413">
        <v>10</v>
      </c>
      <c r="AC14" s="350" t="s">
        <v>186</v>
      </c>
      <c r="AD14" s="410">
        <f t="shared" si="1"/>
        <v>41</v>
      </c>
      <c r="AE14" s="410" t="str" cm="1">
        <f t="array" ref="AE14" xml:space="preserve"> IF($AD14="", INDEX(十五音韻母對照表, $B14, AE$1), "")</f>
        <v/>
      </c>
    </row>
    <row r="15" spans="2:31" ht="33">
      <c r="B15" s="46">
        <v>11</v>
      </c>
      <c r="C15" s="24" t="s">
        <v>190</v>
      </c>
      <c r="D15" s="431" t="s">
        <v>781</v>
      </c>
      <c r="E15" s="25" t="s">
        <v>192</v>
      </c>
      <c r="F15" s="25" t="s">
        <v>782</v>
      </c>
      <c r="G15" s="25" t="s">
        <v>783</v>
      </c>
      <c r="H15" s="148" t="s">
        <v>314</v>
      </c>
      <c r="I15" s="25" t="s">
        <v>784</v>
      </c>
      <c r="J15" s="25" t="s">
        <v>191</v>
      </c>
      <c r="K15" s="25" t="s">
        <v>192</v>
      </c>
      <c r="L15" s="25" t="s">
        <v>191</v>
      </c>
      <c r="M15" s="25" t="s">
        <v>785</v>
      </c>
      <c r="N15" s="25" t="s">
        <v>786</v>
      </c>
      <c r="O15" s="25" t="s">
        <v>787</v>
      </c>
      <c r="P15" s="25" t="s">
        <v>323</v>
      </c>
      <c r="Q15" s="34"/>
      <c r="R15" s="32" t="s">
        <v>788</v>
      </c>
      <c r="T15" s="46">
        <v>11</v>
      </c>
      <c r="U15" s="409" t="s">
        <v>789</v>
      </c>
      <c r="V15" s="410" t="s">
        <v>790</v>
      </c>
      <c r="W15" s="340">
        <f t="shared" si="0"/>
        <v>31</v>
      </c>
      <c r="X15" s="411" t="str" cm="1">
        <f t="array" ref="X15" xml:space="preserve"> INDEX(十五音韻母對照表, $W15, X$1)</f>
        <v>更</v>
      </c>
      <c r="Y15" s="25" t="str" cm="1">
        <f t="array" ref="Y15" xml:space="preserve"> INDEX(十五音韻母對照表, $W15, Y$1)</f>
        <v>enn</v>
      </c>
      <c r="Z15" s="25" t="str" cm="1">
        <f t="array" ref="Z15" xml:space="preserve"> INDEX(十五音韻母對照表, $W15, Z$1)</f>
        <v>ennh</v>
      </c>
      <c r="AB15" s="413">
        <v>11</v>
      </c>
      <c r="AC15" s="350" t="s">
        <v>190</v>
      </c>
      <c r="AD15" s="410">
        <f t="shared" si="1"/>
        <v>32</v>
      </c>
      <c r="AE15" s="410" t="str" cm="1">
        <f t="array" ref="AE15" xml:space="preserve"> IF($AD15="", INDEX(十五音韻母對照表, $B15, AE$1), "")</f>
        <v/>
      </c>
    </row>
    <row r="16" spans="2:31" ht="33">
      <c r="B16" s="46">
        <v>12</v>
      </c>
      <c r="C16" s="24" t="s">
        <v>196</v>
      </c>
      <c r="D16" s="25" t="s">
        <v>197</v>
      </c>
      <c r="E16" s="26" t="s">
        <v>198</v>
      </c>
      <c r="F16" s="25" t="s">
        <v>791</v>
      </c>
      <c r="G16" s="39" t="s">
        <v>792</v>
      </c>
      <c r="H16" s="149" t="s">
        <v>197</v>
      </c>
      <c r="I16" s="39" t="s">
        <v>198</v>
      </c>
      <c r="J16" s="25" t="s">
        <v>197</v>
      </c>
      <c r="K16" s="26" t="s">
        <v>198</v>
      </c>
      <c r="L16" s="25" t="s">
        <v>793</v>
      </c>
      <c r="M16" s="26" t="s">
        <v>794</v>
      </c>
      <c r="N16" s="25" t="s">
        <v>795</v>
      </c>
      <c r="O16" s="26" t="s">
        <v>796</v>
      </c>
      <c r="P16" s="25" t="s">
        <v>797</v>
      </c>
      <c r="Q16" s="43" t="s">
        <v>798</v>
      </c>
      <c r="R16" s="27"/>
      <c r="T16" s="46">
        <v>12</v>
      </c>
      <c r="U16" s="409" t="s">
        <v>799</v>
      </c>
      <c r="V16" s="410" t="s">
        <v>800</v>
      </c>
      <c r="W16" s="340">
        <f t="shared" si="0"/>
        <v>29</v>
      </c>
      <c r="X16" s="411" t="str" cm="1">
        <f t="array" ref="X16" xml:space="preserve"> INDEX(十五音韻母對照表, $W16, X$1)</f>
        <v>居</v>
      </c>
      <c r="Y16" s="25" t="str" cm="1">
        <f t="array" ref="Y16" xml:space="preserve"> INDEX(十五音韻母對照表, $W16, Y$1)</f>
        <v>i</v>
      </c>
      <c r="Z16" s="25" t="str" cm="1">
        <f t="array" ref="Z16" xml:space="preserve"> INDEX(十五音韻母對照表, $W16, Z$1)</f>
        <v>ih</v>
      </c>
      <c r="AB16" s="413">
        <v>12</v>
      </c>
      <c r="AC16" s="350" t="s">
        <v>196</v>
      </c>
      <c r="AD16" s="410">
        <f t="shared" si="1"/>
        <v>19</v>
      </c>
      <c r="AE16" s="410" t="str" cm="1">
        <f t="array" ref="AE16" xml:space="preserve"> IF($AD16="", INDEX(十五音韻母對照表, $B16, AE$1), "")</f>
        <v/>
      </c>
    </row>
    <row r="17" spans="2:31" ht="33">
      <c r="B17" s="46">
        <v>13</v>
      </c>
      <c r="C17" s="31" t="s">
        <v>206</v>
      </c>
      <c r="D17" s="25" t="s">
        <v>801</v>
      </c>
      <c r="E17" s="29" t="s">
        <v>802</v>
      </c>
      <c r="F17" s="25" t="s">
        <v>207</v>
      </c>
      <c r="G17" s="29" t="s">
        <v>803</v>
      </c>
      <c r="H17" s="149" t="s">
        <v>207</v>
      </c>
      <c r="I17" s="127" t="s">
        <v>802</v>
      </c>
      <c r="J17" s="35" t="s">
        <v>801</v>
      </c>
      <c r="K17" s="29" t="s">
        <v>802</v>
      </c>
      <c r="L17" s="317" t="s">
        <v>739</v>
      </c>
      <c r="M17" s="317" t="s">
        <v>740</v>
      </c>
      <c r="N17" s="35" t="s">
        <v>804</v>
      </c>
      <c r="O17" s="29" t="s">
        <v>805</v>
      </c>
      <c r="P17" s="25" t="s">
        <v>806</v>
      </c>
      <c r="Q17" s="29"/>
      <c r="R17" s="32" t="s">
        <v>807</v>
      </c>
      <c r="T17" s="46">
        <v>13</v>
      </c>
      <c r="U17" s="409" t="s">
        <v>808</v>
      </c>
      <c r="V17" s="410" t="s">
        <v>809</v>
      </c>
      <c r="W17" s="340">
        <f t="shared" si="0"/>
        <v>34</v>
      </c>
      <c r="X17" s="411" t="str" cm="1">
        <f t="array" ref="X17" xml:space="preserve"> INDEX(十五音韻母對照表, $W17, X$1)</f>
        <v>梔</v>
      </c>
      <c r="Y17" s="25" t="str" cm="1">
        <f t="array" ref="Y17" xml:space="preserve"> INDEX(十五音韻母對照表, $W17, Y$1)</f>
        <v>inn</v>
      </c>
      <c r="Z17" s="25" t="str" cm="1">
        <f t="array" ref="Z17" xml:space="preserve"> INDEX(十五音韻母對照表, $W17, Z$1)</f>
        <v>innh</v>
      </c>
      <c r="AB17" s="413">
        <v>13</v>
      </c>
      <c r="AC17" s="350" t="s">
        <v>206</v>
      </c>
      <c r="AD17" s="410" t="str">
        <f t="shared" si="1"/>
        <v/>
      </c>
      <c r="AE17" s="410" t="str" cm="1">
        <f t="array" ref="AE17" xml:space="preserve"> IF($AD17="", INDEX(十五音韻母對照表, $B17, AE$1), "")</f>
        <v>ei</v>
      </c>
    </row>
    <row r="18" spans="2:31" ht="33">
      <c r="B18" s="46">
        <v>14</v>
      </c>
      <c r="C18" s="24" t="s">
        <v>208</v>
      </c>
      <c r="D18" s="25" t="s">
        <v>209</v>
      </c>
      <c r="E18" s="26" t="s">
        <v>210</v>
      </c>
      <c r="F18" s="25" t="s">
        <v>810</v>
      </c>
      <c r="G18" s="26" t="s">
        <v>811</v>
      </c>
      <c r="H18" s="150" t="s">
        <v>209</v>
      </c>
      <c r="I18" s="37" t="s">
        <v>210</v>
      </c>
      <c r="J18" s="36" t="s">
        <v>209</v>
      </c>
      <c r="K18" s="37" t="s">
        <v>210</v>
      </c>
      <c r="L18" s="25" t="s">
        <v>209</v>
      </c>
      <c r="M18" s="26" t="s">
        <v>210</v>
      </c>
      <c r="N18" s="36" t="s">
        <v>812</v>
      </c>
      <c r="O18" s="250" t="s">
        <v>813</v>
      </c>
      <c r="P18" s="25" t="s">
        <v>814</v>
      </c>
      <c r="Q18" s="43" t="s">
        <v>815</v>
      </c>
      <c r="R18" s="27"/>
      <c r="T18" s="46">
        <v>14</v>
      </c>
      <c r="U18" s="409" t="s">
        <v>816</v>
      </c>
      <c r="V18" s="410" t="s">
        <v>817</v>
      </c>
      <c r="W18" s="340">
        <f t="shared" si="0"/>
        <v>24</v>
      </c>
      <c r="X18" s="411" t="str" cm="1">
        <f t="array" ref="X18" xml:space="preserve"> INDEX(十五音韻母對照表, $W18, X$1)</f>
        <v>迦</v>
      </c>
      <c r="Y18" s="25" t="str" cm="1">
        <f t="array" ref="Y18" xml:space="preserve"> INDEX(十五音韻母對照表, $W18, Y$1)</f>
        <v>ia</v>
      </c>
      <c r="Z18" s="25" t="str" cm="1">
        <f t="array" ref="Z18" xml:space="preserve"> INDEX(十五音韻母對照表, $W18, Z$1)</f>
        <v>iah</v>
      </c>
      <c r="AB18" s="413">
        <v>14</v>
      </c>
      <c r="AC18" s="350" t="s">
        <v>208</v>
      </c>
      <c r="AD18" s="410">
        <f t="shared" si="1"/>
        <v>26</v>
      </c>
      <c r="AE18" s="410" t="str" cm="1">
        <f t="array" ref="AE18" xml:space="preserve"> IF($AD18="", INDEX(十五音韻母對照表, $B18, AE$1), "")</f>
        <v/>
      </c>
    </row>
    <row r="19" spans="2:31" ht="33">
      <c r="B19" s="46">
        <v>15</v>
      </c>
      <c r="C19" s="24" t="s">
        <v>214</v>
      </c>
      <c r="D19" s="25" t="s">
        <v>215</v>
      </c>
      <c r="E19" s="26" t="s">
        <v>216</v>
      </c>
      <c r="F19" s="25" t="s">
        <v>215</v>
      </c>
      <c r="G19" s="39" t="s">
        <v>818</v>
      </c>
      <c r="H19" s="149" t="s">
        <v>215</v>
      </c>
      <c r="I19" s="39" t="s">
        <v>216</v>
      </c>
      <c r="J19" s="25" t="s">
        <v>215</v>
      </c>
      <c r="K19" s="26" t="s">
        <v>216</v>
      </c>
      <c r="L19" s="25" t="s">
        <v>215</v>
      </c>
      <c r="M19" s="26" t="s">
        <v>216</v>
      </c>
      <c r="N19" s="25" t="s">
        <v>819</v>
      </c>
      <c r="O19" s="26" t="s">
        <v>820</v>
      </c>
      <c r="P19" s="25" t="s">
        <v>215</v>
      </c>
      <c r="Q19" s="43" t="s">
        <v>821</v>
      </c>
      <c r="R19" s="27"/>
      <c r="T19" s="46">
        <v>15</v>
      </c>
      <c r="U19" s="409" t="s">
        <v>822</v>
      </c>
      <c r="V19" s="410" t="s">
        <v>823</v>
      </c>
      <c r="W19" s="340">
        <f t="shared" si="0"/>
        <v>36</v>
      </c>
      <c r="X19" s="411" t="str" cm="1">
        <f t="array" ref="X19" xml:space="preserve"> INDEX(十五音韻母對照表, $W19, X$1)</f>
        <v>驚</v>
      </c>
      <c r="Y19" s="25" t="str" cm="1">
        <f t="array" ref="Y19" xml:space="preserve"> INDEX(十五音韻母對照表, $W19, Y$1)</f>
        <v>iann</v>
      </c>
      <c r="Z19" s="25" t="str" cm="1">
        <f t="array" ref="Z19" xml:space="preserve"> INDEX(十五音韻母對照表, $W19, Z$1)</f>
        <v>iannh</v>
      </c>
      <c r="AB19" s="413">
        <v>15</v>
      </c>
      <c r="AC19" s="350" t="s">
        <v>214</v>
      </c>
      <c r="AD19" s="410">
        <f t="shared" si="1"/>
        <v>31</v>
      </c>
      <c r="AE19" s="410" t="str" cm="1">
        <f t="array" ref="AE19" xml:space="preserve"> IF($AD19="", INDEX(十五音韻母對照表, $B19, AE$1), "")</f>
        <v/>
      </c>
    </row>
    <row r="20" spans="2:31" ht="33">
      <c r="B20" s="46">
        <v>16</v>
      </c>
      <c r="C20" s="24" t="s">
        <v>150</v>
      </c>
      <c r="D20" s="25" t="s">
        <v>151</v>
      </c>
      <c r="E20" s="29" t="s">
        <v>152</v>
      </c>
      <c r="F20" s="25" t="s">
        <v>725</v>
      </c>
      <c r="G20" s="29" t="s">
        <v>824</v>
      </c>
      <c r="H20" s="149" t="s">
        <v>151</v>
      </c>
      <c r="I20" s="29" t="s">
        <v>825</v>
      </c>
      <c r="J20" s="25" t="s">
        <v>151</v>
      </c>
      <c r="K20" s="29" t="s">
        <v>152</v>
      </c>
      <c r="L20" s="25" t="s">
        <v>151</v>
      </c>
      <c r="M20" s="29" t="s">
        <v>825</v>
      </c>
      <c r="N20" s="25" t="s">
        <v>826</v>
      </c>
      <c r="O20" s="29" t="s">
        <v>827</v>
      </c>
      <c r="P20" s="25" t="s">
        <v>828</v>
      </c>
      <c r="Q20" s="29"/>
      <c r="R20" s="27"/>
      <c r="T20" s="46">
        <v>16</v>
      </c>
      <c r="U20" s="409" t="s">
        <v>829</v>
      </c>
      <c r="V20" s="410" t="s">
        <v>830</v>
      </c>
      <c r="W20" s="340">
        <f t="shared" si="0"/>
        <v>22</v>
      </c>
      <c r="X20" s="411" t="str" cm="1">
        <f t="array" ref="X20" xml:space="preserve"> INDEX(十五音韻母對照表, $W20, X$1)</f>
        <v>兼</v>
      </c>
      <c r="Y20" s="25" t="str" cm="1">
        <f t="array" ref="Y20" xml:space="preserve"> INDEX(十五音韻母對照表, $W20, Y$1)</f>
        <v>iam</v>
      </c>
      <c r="Z20" s="25" t="str" cm="1">
        <f t="array" ref="Z20" xml:space="preserve"> INDEX(十五音韻母對照表, $W20, Z$1)</f>
        <v>iap</v>
      </c>
      <c r="AB20" s="413">
        <v>16</v>
      </c>
      <c r="AC20" s="350" t="s">
        <v>150</v>
      </c>
      <c r="AD20" s="410">
        <f t="shared" si="1"/>
        <v>3</v>
      </c>
      <c r="AE20" s="410" t="str" cm="1">
        <f t="array" ref="AE20" xml:space="preserve"> IF($AD20="", INDEX(十五音韻母對照表, $B20, AE$1), "")</f>
        <v/>
      </c>
    </row>
    <row r="21" spans="2:31" ht="33">
      <c r="B21" s="46">
        <v>17</v>
      </c>
      <c r="C21" s="24" t="s">
        <v>223</v>
      </c>
      <c r="D21" s="25" t="s">
        <v>224</v>
      </c>
      <c r="E21" s="26" t="s">
        <v>225</v>
      </c>
      <c r="F21" s="25" t="s">
        <v>224</v>
      </c>
      <c r="G21" s="26" t="s">
        <v>831</v>
      </c>
      <c r="H21" s="148" t="s">
        <v>224</v>
      </c>
      <c r="I21" s="26" t="s">
        <v>225</v>
      </c>
      <c r="J21" s="25" t="s">
        <v>224</v>
      </c>
      <c r="K21" s="26" t="s">
        <v>225</v>
      </c>
      <c r="L21" s="25" t="s">
        <v>224</v>
      </c>
      <c r="M21" s="26" t="s">
        <v>225</v>
      </c>
      <c r="N21" s="25" t="s">
        <v>832</v>
      </c>
      <c r="O21" s="26" t="s">
        <v>833</v>
      </c>
      <c r="P21" s="25" t="s">
        <v>224</v>
      </c>
      <c r="Q21" s="43" t="s">
        <v>225</v>
      </c>
      <c r="R21" s="27"/>
      <c r="T21" s="46">
        <v>17</v>
      </c>
      <c r="U21" s="409" t="s">
        <v>834</v>
      </c>
      <c r="V21" s="410" t="s">
        <v>835</v>
      </c>
      <c r="W21" s="340">
        <f t="shared" si="0"/>
        <v>2</v>
      </c>
      <c r="X21" s="411" t="str" cm="1">
        <f t="array" ref="X21" xml:space="preserve"> INDEX(十五音韻母對照表, $W21, X$1)</f>
        <v>堅</v>
      </c>
      <c r="Y21" s="25" t="str" cm="1">
        <f t="array" ref="Y21" xml:space="preserve"> INDEX(十五音韻母對照表, $W21, Y$1)</f>
        <v>ian</v>
      </c>
      <c r="Z21" s="25" t="str" cm="1">
        <f t="array" ref="Z21" xml:space="preserve"> INDEX(十五音韻母對照表, $W21, Z$1)</f>
        <v>iat</v>
      </c>
      <c r="AB21" s="413">
        <v>17</v>
      </c>
      <c r="AC21" s="350" t="s">
        <v>223</v>
      </c>
      <c r="AD21" s="410">
        <f t="shared" si="1"/>
        <v>22</v>
      </c>
      <c r="AE21" s="410" t="str" cm="1">
        <f t="array" ref="AE21" xml:space="preserve"> IF($AD21="", INDEX(十五音韻母對照表, $B21, AE$1), "")</f>
        <v/>
      </c>
    </row>
    <row r="22" spans="2:31" ht="33">
      <c r="B22" s="46">
        <v>18</v>
      </c>
      <c r="C22" s="24" t="s">
        <v>226</v>
      </c>
      <c r="D22" s="25" t="s">
        <v>227</v>
      </c>
      <c r="E22" s="26" t="s">
        <v>228</v>
      </c>
      <c r="F22" s="25" t="s">
        <v>836</v>
      </c>
      <c r="G22" s="39" t="s">
        <v>837</v>
      </c>
      <c r="H22" s="149" t="s">
        <v>227</v>
      </c>
      <c r="I22" s="39" t="s">
        <v>228</v>
      </c>
      <c r="J22" s="25" t="s">
        <v>227</v>
      </c>
      <c r="K22" s="26" t="s">
        <v>228</v>
      </c>
      <c r="L22" s="25" t="s">
        <v>227</v>
      </c>
      <c r="M22" s="26" t="s">
        <v>228</v>
      </c>
      <c r="N22" s="25" t="s">
        <v>838</v>
      </c>
      <c r="O22" s="26" t="s">
        <v>839</v>
      </c>
      <c r="P22" s="25" t="s">
        <v>840</v>
      </c>
      <c r="Q22" s="43" t="s">
        <v>841</v>
      </c>
      <c r="R22" s="27"/>
      <c r="T22" s="46">
        <v>18</v>
      </c>
      <c r="U22" s="409" t="s">
        <v>226</v>
      </c>
      <c r="V22" s="410" t="s">
        <v>842</v>
      </c>
      <c r="W22" s="340">
        <f t="shared" si="0"/>
        <v>18</v>
      </c>
      <c r="X22" s="411" t="str" cm="1">
        <f t="array" ref="X22" xml:space="preserve"> INDEX(十五音韻母對照表, $W22, X$1)</f>
        <v>姜</v>
      </c>
      <c r="Y22" s="25" t="str" cm="1">
        <f t="array" ref="Y22" xml:space="preserve"> INDEX(十五音韻母對照表, $W22, Y$1)</f>
        <v>iang</v>
      </c>
      <c r="Z22" s="25" t="str" cm="1">
        <f t="array" ref="Z22" xml:space="preserve"> INDEX(十五音韻母對照表, $W22, Z$1)</f>
        <v>iak</v>
      </c>
      <c r="AB22" s="413">
        <v>18</v>
      </c>
      <c r="AC22" s="350" t="s">
        <v>226</v>
      </c>
      <c r="AD22" s="410">
        <f t="shared" si="1"/>
        <v>18</v>
      </c>
      <c r="AE22" s="410" t="str" cm="1">
        <f t="array" ref="AE22" xml:space="preserve"> IF($AD22="", INDEX(十五音韻母對照表, $B22, AE$1), "")</f>
        <v/>
      </c>
    </row>
    <row r="23" spans="2:31" ht="33">
      <c r="B23" s="46">
        <v>19</v>
      </c>
      <c r="C23" s="24" t="s">
        <v>162</v>
      </c>
      <c r="D23" s="25" t="s">
        <v>163</v>
      </c>
      <c r="E23" s="26" t="s">
        <v>164</v>
      </c>
      <c r="F23" s="25" t="s">
        <v>163</v>
      </c>
      <c r="G23" s="26" t="s">
        <v>843</v>
      </c>
      <c r="H23" s="148" t="s">
        <v>163</v>
      </c>
      <c r="I23" s="26" t="s">
        <v>164</v>
      </c>
      <c r="J23" s="25" t="s">
        <v>163</v>
      </c>
      <c r="K23" s="26" t="s">
        <v>164</v>
      </c>
      <c r="L23" s="25" t="s">
        <v>163</v>
      </c>
      <c r="M23" s="26" t="s">
        <v>164</v>
      </c>
      <c r="N23" s="25" t="s">
        <v>844</v>
      </c>
      <c r="O23" s="26" t="s">
        <v>845</v>
      </c>
      <c r="P23" s="25" t="s">
        <v>163</v>
      </c>
      <c r="Q23" s="43" t="s">
        <v>164</v>
      </c>
      <c r="R23" s="27"/>
      <c r="T23" s="46">
        <v>19</v>
      </c>
      <c r="U23" s="409" t="s">
        <v>846</v>
      </c>
      <c r="V23" s="410" t="s">
        <v>791</v>
      </c>
      <c r="W23" s="340">
        <f t="shared" si="0"/>
        <v>12</v>
      </c>
      <c r="X23" s="411" t="str" cm="1">
        <f t="array" ref="X23" xml:space="preserve"> INDEX(十五音韻母對照表, $W23, X$1)</f>
        <v>嬌</v>
      </c>
      <c r="Y23" s="25" t="str" cm="1">
        <f t="array" ref="Y23" xml:space="preserve"> INDEX(十五音韻母對照表, $W23, Y$1)</f>
        <v>iau</v>
      </c>
      <c r="Z23" s="25" t="str" cm="1">
        <f t="array" ref="Z23" xml:space="preserve"> INDEX(十五音韻母對照表, $W23, Z$1)</f>
        <v>iauh</v>
      </c>
      <c r="AB23" s="413">
        <v>19</v>
      </c>
      <c r="AC23" s="350" t="s">
        <v>162</v>
      </c>
      <c r="AD23" s="410">
        <f t="shared" si="1"/>
        <v>5</v>
      </c>
      <c r="AE23" s="410" t="str" cm="1">
        <f t="array" ref="AE23" xml:space="preserve"> IF($AD23="", INDEX(十五音韻母對照表, $B23, AE$1), "")</f>
        <v/>
      </c>
    </row>
    <row r="24" spans="2:31" ht="33">
      <c r="B24" s="46">
        <v>20</v>
      </c>
      <c r="C24" s="24" t="s">
        <v>229</v>
      </c>
      <c r="D24" s="25" t="s">
        <v>230</v>
      </c>
      <c r="E24" s="26" t="s">
        <v>231</v>
      </c>
      <c r="F24" s="25" t="s">
        <v>230</v>
      </c>
      <c r="G24" s="39" t="s">
        <v>847</v>
      </c>
      <c r="H24" s="149" t="s">
        <v>315</v>
      </c>
      <c r="I24" s="39" t="s">
        <v>317</v>
      </c>
      <c r="J24" s="25" t="s">
        <v>230</v>
      </c>
      <c r="K24" s="26" t="s">
        <v>231</v>
      </c>
      <c r="L24" s="25" t="s">
        <v>230</v>
      </c>
      <c r="M24" s="26" t="s">
        <v>231</v>
      </c>
      <c r="N24" s="25" t="s">
        <v>848</v>
      </c>
      <c r="O24" s="26" t="s">
        <v>849</v>
      </c>
      <c r="P24" s="25" t="s">
        <v>850</v>
      </c>
      <c r="Q24" s="43" t="s">
        <v>851</v>
      </c>
      <c r="R24" s="27"/>
      <c r="T24" s="46">
        <v>20</v>
      </c>
      <c r="U24" s="409" t="s">
        <v>852</v>
      </c>
      <c r="V24" s="410" t="s">
        <v>853</v>
      </c>
      <c r="W24" s="340">
        <f t="shared" si="0"/>
        <v>46</v>
      </c>
      <c r="X24" s="411" t="str" cm="1">
        <f t="array" ref="X24" xml:space="preserve"> INDEX(十五音韻母對照表, $W24, X$1)</f>
        <v>嘄</v>
      </c>
      <c r="Y24" s="25" t="str" cm="1">
        <f t="array" ref="Y24" xml:space="preserve"> INDEX(十五音韻母對照表, $W24, Y$1)</f>
        <v>iaunn</v>
      </c>
      <c r="Z24" s="25" t="str" cm="1">
        <f t="array" ref="Z24" xml:space="preserve"> INDEX(十五音韻母對照表, $W24, Z$1)</f>
        <v>iaunnh</v>
      </c>
      <c r="AB24" s="413">
        <v>20</v>
      </c>
      <c r="AC24" s="350" t="s">
        <v>229</v>
      </c>
      <c r="AD24" s="410">
        <f t="shared" si="1"/>
        <v>37</v>
      </c>
      <c r="AE24" s="410" t="str" cm="1">
        <f t="array" ref="AE24" xml:space="preserve"> IF($AD24="", INDEX(十五音韻母對照表, $B24, AE$1), "")</f>
        <v/>
      </c>
    </row>
    <row r="25" spans="2:31" ht="33">
      <c r="B25" s="46">
        <v>21</v>
      </c>
      <c r="C25" s="24" t="s">
        <v>171</v>
      </c>
      <c r="D25" s="25" t="s">
        <v>172</v>
      </c>
      <c r="E25" s="26" t="s">
        <v>173</v>
      </c>
      <c r="F25" s="25" t="s">
        <v>854</v>
      </c>
      <c r="G25" s="26" t="s">
        <v>855</v>
      </c>
      <c r="H25" s="148" t="s">
        <v>172</v>
      </c>
      <c r="I25" s="26" t="s">
        <v>173</v>
      </c>
      <c r="J25" s="25" t="s">
        <v>172</v>
      </c>
      <c r="K25" s="26" t="s">
        <v>173</v>
      </c>
      <c r="L25" s="25" t="s">
        <v>172</v>
      </c>
      <c r="M25" s="26" t="s">
        <v>173</v>
      </c>
      <c r="N25" s="25" t="s">
        <v>856</v>
      </c>
      <c r="O25" s="248" t="s">
        <v>857</v>
      </c>
      <c r="P25" s="25" t="s">
        <v>172</v>
      </c>
      <c r="Q25" s="43" t="s">
        <v>173</v>
      </c>
      <c r="R25" s="27"/>
      <c r="T25" s="46">
        <v>21</v>
      </c>
      <c r="U25" s="409" t="s">
        <v>858</v>
      </c>
      <c r="V25" s="410" t="s">
        <v>859</v>
      </c>
      <c r="W25" s="340">
        <f t="shared" si="0"/>
        <v>3</v>
      </c>
      <c r="X25" s="411" t="str" cm="1">
        <f t="array" ref="X25" xml:space="preserve"> INDEX(十五音韻母對照表, $W25, X$1)</f>
        <v>金</v>
      </c>
      <c r="Y25" s="25" t="str" cm="1">
        <f t="array" ref="Y25" xml:space="preserve"> INDEX(十五音韻母對照表, $W25, Y$1)</f>
        <v>im</v>
      </c>
      <c r="Z25" s="25" t="str" cm="1">
        <f t="array" ref="Z25" xml:space="preserve"> INDEX(十五音韻母對照表, $W25, Z$1)</f>
        <v>ip</v>
      </c>
      <c r="AB25" s="413">
        <v>21</v>
      </c>
      <c r="AC25" s="350" t="s">
        <v>171</v>
      </c>
      <c r="AD25" s="410">
        <f t="shared" si="1"/>
        <v>7</v>
      </c>
      <c r="AE25" s="410" t="str" cm="1">
        <f t="array" ref="AE25" xml:space="preserve"> IF($AD25="", INDEX(十五音韻母對照表, $B25, AE$1), "")</f>
        <v/>
      </c>
    </row>
    <row r="26" spans="2:31" ht="33">
      <c r="B26" s="46">
        <v>22</v>
      </c>
      <c r="C26" s="24" t="s">
        <v>220</v>
      </c>
      <c r="D26" s="25" t="s">
        <v>221</v>
      </c>
      <c r="E26" s="26" t="s">
        <v>222</v>
      </c>
      <c r="F26" s="25" t="s">
        <v>830</v>
      </c>
      <c r="G26" s="26" t="s">
        <v>860</v>
      </c>
      <c r="H26" s="148" t="s">
        <v>221</v>
      </c>
      <c r="I26" s="26" t="s">
        <v>222</v>
      </c>
      <c r="J26" s="25" t="s">
        <v>221</v>
      </c>
      <c r="K26" s="26" t="s">
        <v>222</v>
      </c>
      <c r="L26" s="25" t="s">
        <v>221</v>
      </c>
      <c r="M26" s="26" t="s">
        <v>222</v>
      </c>
      <c r="N26" s="25" t="s">
        <v>861</v>
      </c>
      <c r="O26" s="26" t="s">
        <v>862</v>
      </c>
      <c r="P26" s="25" t="s">
        <v>863</v>
      </c>
      <c r="Q26" s="43" t="s">
        <v>864</v>
      </c>
      <c r="R26" s="27"/>
      <c r="T26" s="46">
        <v>22</v>
      </c>
      <c r="U26" s="409" t="s">
        <v>865</v>
      </c>
      <c r="V26" s="410" t="s">
        <v>866</v>
      </c>
      <c r="W26" s="340">
        <f t="shared" si="0"/>
        <v>17</v>
      </c>
      <c r="X26" s="411" t="str" cm="1">
        <f t="array" ref="X26" xml:space="preserve"> INDEX(十五音韻母對照表, $W26, X$1)</f>
        <v>巾</v>
      </c>
      <c r="Y26" s="25" t="str" cm="1">
        <f t="array" ref="Y26" xml:space="preserve"> INDEX(十五音韻母對照表, $W26, Y$1)</f>
        <v>in</v>
      </c>
      <c r="Z26" s="25" t="str" cm="1">
        <f t="array" ref="Z26" xml:space="preserve"> INDEX(十五音韻母對照表, $W26, Z$1)</f>
        <v>it</v>
      </c>
      <c r="AB26" s="413">
        <v>22</v>
      </c>
      <c r="AC26" s="350" t="s">
        <v>220</v>
      </c>
      <c r="AD26" s="410">
        <f t="shared" si="1"/>
        <v>16</v>
      </c>
      <c r="AE26" s="410" t="str" cm="1">
        <f t="array" ref="AE26" xml:space="preserve"> IF($AD26="", INDEX(十五音韻母對照表, $B26, AE$1), "")</f>
        <v/>
      </c>
    </row>
    <row r="27" spans="2:31" ht="33">
      <c r="B27" s="46">
        <v>23</v>
      </c>
      <c r="C27" s="24" t="s">
        <v>177</v>
      </c>
      <c r="D27" s="25" t="s">
        <v>178</v>
      </c>
      <c r="E27" s="26" t="s">
        <v>179</v>
      </c>
      <c r="F27" s="25" t="s">
        <v>768</v>
      </c>
      <c r="G27" s="26" t="s">
        <v>867</v>
      </c>
      <c r="H27" s="148" t="s">
        <v>178</v>
      </c>
      <c r="I27" s="26" t="s">
        <v>179</v>
      </c>
      <c r="J27" s="25" t="s">
        <v>178</v>
      </c>
      <c r="K27" s="26" t="s">
        <v>179</v>
      </c>
      <c r="L27" s="25" t="s">
        <v>868</v>
      </c>
      <c r="M27" s="26" t="s">
        <v>869</v>
      </c>
      <c r="N27" s="25" t="s">
        <v>870</v>
      </c>
      <c r="O27" s="26" t="s">
        <v>871</v>
      </c>
      <c r="P27" s="25" t="s">
        <v>872</v>
      </c>
      <c r="Q27" s="43" t="s">
        <v>873</v>
      </c>
      <c r="R27" s="38" t="s">
        <v>874</v>
      </c>
      <c r="T27" s="46">
        <v>23</v>
      </c>
      <c r="U27" s="409" t="s">
        <v>875</v>
      </c>
      <c r="V27" s="410" t="s">
        <v>876</v>
      </c>
      <c r="W27" s="340">
        <f t="shared" si="0"/>
        <v>9</v>
      </c>
      <c r="X27" s="411" t="str" cm="1">
        <f t="array" ref="X27" xml:space="preserve"> INDEX(十五音韻母對照表, $W27, X$1)</f>
        <v>經</v>
      </c>
      <c r="Y27" s="25" t="str" cm="1">
        <f t="array" ref="Y27" xml:space="preserve"> INDEX(十五音韻母對照表, $W27, Y$1)</f>
        <v>ing</v>
      </c>
      <c r="Z27" s="25" t="str" cm="1">
        <f t="array" ref="Z27" xml:space="preserve"> INDEX(十五音韻母對照表, $W27, Z$1)</f>
        <v>ik</v>
      </c>
      <c r="AB27" s="413">
        <v>23</v>
      </c>
      <c r="AC27" s="350" t="s">
        <v>177</v>
      </c>
      <c r="AD27" s="410">
        <f t="shared" si="1"/>
        <v>8</v>
      </c>
      <c r="AE27" s="410" t="str" cm="1">
        <f t="array" ref="AE27" xml:space="preserve"> IF($AD27="", INDEX(十五音韻母對照表, $B27, AE$1), "")</f>
        <v/>
      </c>
    </row>
    <row r="28" spans="2:31" ht="33">
      <c r="B28" s="46">
        <v>24</v>
      </c>
      <c r="C28" s="24" t="s">
        <v>211</v>
      </c>
      <c r="D28" s="25" t="s">
        <v>212</v>
      </c>
      <c r="E28" s="26" t="s">
        <v>213</v>
      </c>
      <c r="F28" s="25" t="s">
        <v>212</v>
      </c>
      <c r="G28" s="26" t="s">
        <v>877</v>
      </c>
      <c r="H28" s="148" t="s">
        <v>212</v>
      </c>
      <c r="I28" s="26" t="s">
        <v>213</v>
      </c>
      <c r="J28" s="25" t="s">
        <v>212</v>
      </c>
      <c r="K28" s="26" t="s">
        <v>213</v>
      </c>
      <c r="L28" s="25" t="s">
        <v>212</v>
      </c>
      <c r="M28" s="26" t="s">
        <v>213</v>
      </c>
      <c r="N28" s="25" t="s">
        <v>878</v>
      </c>
      <c r="O28" s="26" t="s">
        <v>879</v>
      </c>
      <c r="P28" s="25" t="s">
        <v>880</v>
      </c>
      <c r="Q28" s="43" t="s">
        <v>881</v>
      </c>
      <c r="R28" s="32" t="s">
        <v>882</v>
      </c>
      <c r="T28" s="46">
        <v>24</v>
      </c>
      <c r="U28" s="409" t="s">
        <v>883</v>
      </c>
      <c r="V28" s="410" t="s">
        <v>884</v>
      </c>
      <c r="W28" s="340">
        <f t="shared" si="0"/>
        <v>33</v>
      </c>
      <c r="X28" s="411" t="str" cm="1">
        <f t="array" ref="X28" xml:space="preserve"> INDEX(十五音韻母對照表, $W28, X$1)</f>
        <v>茄</v>
      </c>
      <c r="Y28" s="25" t="str" cm="1">
        <f t="array" ref="Y28" xml:space="preserve"> INDEX(十五音韻母對照表, $W28, Y$1)</f>
        <v>io</v>
      </c>
      <c r="Z28" s="25" t="str" cm="1">
        <f t="array" ref="Z28" xml:space="preserve"> INDEX(十五音韻母對照表, $W28, Z$1)</f>
        <v>ioh</v>
      </c>
      <c r="AB28" s="413">
        <v>24</v>
      </c>
      <c r="AC28" s="350" t="s">
        <v>211</v>
      </c>
      <c r="AD28" s="410">
        <f t="shared" si="1"/>
        <v>14</v>
      </c>
      <c r="AE28" s="410" t="str" cm="1">
        <f t="array" ref="AE28" xml:space="preserve"> IF($AD28="", INDEX(十五音韻母對照表, $B28, AE$1), "")</f>
        <v/>
      </c>
    </row>
    <row r="29" spans="2:31" ht="33">
      <c r="B29" s="46">
        <v>25</v>
      </c>
      <c r="C29" s="24" t="s">
        <v>238</v>
      </c>
      <c r="D29" s="25" t="s">
        <v>239</v>
      </c>
      <c r="E29" s="39" t="s">
        <v>240</v>
      </c>
      <c r="F29" s="30" t="s">
        <v>239</v>
      </c>
      <c r="G29" s="39" t="s">
        <v>885</v>
      </c>
      <c r="H29" s="149" t="s">
        <v>323</v>
      </c>
      <c r="I29" s="39" t="s">
        <v>324</v>
      </c>
      <c r="J29" s="30" t="s">
        <v>239</v>
      </c>
      <c r="K29" s="39" t="s">
        <v>240</v>
      </c>
      <c r="L29" s="30" t="s">
        <v>239</v>
      </c>
      <c r="M29" s="39" t="s">
        <v>240</v>
      </c>
      <c r="N29" s="245" t="s">
        <v>886</v>
      </c>
      <c r="O29" s="246" t="s">
        <v>887</v>
      </c>
      <c r="P29" s="30" t="s">
        <v>888</v>
      </c>
      <c r="Q29" s="44" t="s">
        <v>889</v>
      </c>
      <c r="R29" s="27"/>
      <c r="T29" s="46">
        <v>25</v>
      </c>
      <c r="U29" s="409" t="s">
        <v>890</v>
      </c>
      <c r="V29" s="410" t="s">
        <v>891</v>
      </c>
      <c r="W29" s="340">
        <f t="shared" si="0"/>
        <v>35</v>
      </c>
      <c r="X29" s="411" t="str" cm="1">
        <f t="array" ref="X29" xml:space="preserve"> INDEX(十五音韻母對照表, $W29, X$1)</f>
        <v>薑</v>
      </c>
      <c r="Y29" s="25" t="str" cm="1">
        <f t="array" ref="Y29" xml:space="preserve"> INDEX(十五音韻母對照表, $W29, Y$1)</f>
        <v>ionn</v>
      </c>
      <c r="Z29" s="25" t="str" cm="1">
        <f t="array" ref="Z29" xml:space="preserve"> INDEX(十五音韻母對照表, $W29, Z$1)</f>
        <v>ionnh</v>
      </c>
      <c r="AB29" s="413">
        <v>25</v>
      </c>
      <c r="AC29" s="350" t="s">
        <v>238</v>
      </c>
      <c r="AD29" s="410">
        <f t="shared" si="1"/>
        <v>42</v>
      </c>
      <c r="AE29" s="410" t="str" cm="1">
        <f t="array" ref="AE29" xml:space="preserve"> IF($AD29="", INDEX(十五音韻母對照表, $B29, AE$1), "")</f>
        <v/>
      </c>
    </row>
    <row r="30" spans="2:31" ht="33">
      <c r="B30" s="46">
        <v>26</v>
      </c>
      <c r="C30" s="24" t="s">
        <v>144</v>
      </c>
      <c r="D30" s="25" t="s">
        <v>145</v>
      </c>
      <c r="E30" s="39" t="s">
        <v>146</v>
      </c>
      <c r="F30" s="25" t="s">
        <v>892</v>
      </c>
      <c r="G30" s="26" t="s">
        <v>893</v>
      </c>
      <c r="H30" s="148" t="s">
        <v>296</v>
      </c>
      <c r="I30" s="26" t="s">
        <v>894</v>
      </c>
      <c r="J30" s="25" t="s">
        <v>145</v>
      </c>
      <c r="K30" s="26" t="s">
        <v>146</v>
      </c>
      <c r="L30" s="25" t="s">
        <v>538</v>
      </c>
      <c r="M30" s="26" t="s">
        <v>895</v>
      </c>
      <c r="N30" s="25" t="s">
        <v>896</v>
      </c>
      <c r="O30" s="26" t="s">
        <v>897</v>
      </c>
      <c r="P30" s="25" t="s">
        <v>898</v>
      </c>
      <c r="Q30" s="43" t="s">
        <v>899</v>
      </c>
      <c r="R30" s="27" t="s">
        <v>900</v>
      </c>
      <c r="T30" s="46">
        <v>26</v>
      </c>
      <c r="U30" s="409" t="s">
        <v>901</v>
      </c>
      <c r="V30" s="410" t="s">
        <v>902</v>
      </c>
      <c r="W30" s="340">
        <f t="shared" si="0"/>
        <v>14</v>
      </c>
      <c r="X30" s="411" t="str" cm="1">
        <f t="array" ref="X30" xml:space="preserve"> INDEX(十五音韻母對照表, $W30, X$1)</f>
        <v>恭</v>
      </c>
      <c r="Y30" s="25" t="str" cm="1">
        <f t="array" ref="Y30" xml:space="preserve"> INDEX(十五音韻母對照表, $W30, Y$1)</f>
        <v>iong</v>
      </c>
      <c r="Z30" s="25" t="str" cm="1">
        <f t="array" ref="Z30" xml:space="preserve"> INDEX(十五音韻母對照表, $W30, Z$1)</f>
        <v>iok</v>
      </c>
      <c r="AB30" s="413">
        <v>26</v>
      </c>
      <c r="AC30" s="350" t="s">
        <v>144</v>
      </c>
      <c r="AD30" s="410">
        <f t="shared" si="1"/>
        <v>2</v>
      </c>
      <c r="AE30" s="410" t="str" cm="1">
        <f t="array" ref="AE30" xml:space="preserve"> IF($AD30="", INDEX(十五音韻母對照表, $B30, AE$1), "")</f>
        <v/>
      </c>
    </row>
    <row r="31" spans="2:31" ht="33">
      <c r="B31" s="46">
        <v>27</v>
      </c>
      <c r="C31" s="24" t="s">
        <v>275</v>
      </c>
      <c r="D31" s="25" t="s">
        <v>245</v>
      </c>
      <c r="E31" s="26" t="s">
        <v>246</v>
      </c>
      <c r="F31" s="25" t="s">
        <v>245</v>
      </c>
      <c r="G31" s="26" t="s">
        <v>903</v>
      </c>
      <c r="H31" s="148" t="s">
        <v>245</v>
      </c>
      <c r="I31" s="26" t="s">
        <v>246</v>
      </c>
      <c r="J31" s="25" t="s">
        <v>245</v>
      </c>
      <c r="K31" s="26" t="s">
        <v>246</v>
      </c>
      <c r="L31" s="25" t="s">
        <v>245</v>
      </c>
      <c r="M31" s="26" t="s">
        <v>246</v>
      </c>
      <c r="N31" s="25" t="s">
        <v>904</v>
      </c>
      <c r="O31" s="26" t="s">
        <v>905</v>
      </c>
      <c r="P31" s="25" t="s">
        <v>191</v>
      </c>
      <c r="Q31" s="43" t="s">
        <v>906</v>
      </c>
      <c r="R31" s="32" t="s">
        <v>907</v>
      </c>
      <c r="T31" s="46">
        <v>27</v>
      </c>
      <c r="U31" s="409" t="s">
        <v>908</v>
      </c>
      <c r="V31" s="410" t="s">
        <v>909</v>
      </c>
      <c r="W31" s="340">
        <f t="shared" si="0"/>
        <v>30</v>
      </c>
      <c r="X31" s="411" t="str" cm="1">
        <f t="array" ref="X31" xml:space="preserve"> INDEX(十五音韻母對照表, $W31, X$1)</f>
        <v>丩</v>
      </c>
      <c r="Y31" s="25" t="str" cm="1">
        <f t="array" ref="Y31" xml:space="preserve"> INDEX(十五音韻母對照表, $W31, Y$1)</f>
        <v>iu</v>
      </c>
      <c r="Z31" s="25" t="str" cm="1">
        <f t="array" ref="Z31" xml:space="preserve"> INDEX(十五音韻母對照表, $W31, Z$1)</f>
        <v>iuh</v>
      </c>
      <c r="AB31" s="413">
        <v>27</v>
      </c>
      <c r="AC31" s="350" t="s">
        <v>275</v>
      </c>
      <c r="AD31" s="410">
        <f t="shared" si="1"/>
        <v>36</v>
      </c>
      <c r="AE31" s="410" t="str" cm="1">
        <f t="array" ref="AE31" xml:space="preserve"> IF($AD31="", INDEX(十五音韻母對照表, $B31, AE$1), "")</f>
        <v/>
      </c>
    </row>
    <row r="32" spans="2:31" ht="33">
      <c r="B32" s="46">
        <v>28</v>
      </c>
      <c r="C32" s="24" t="s">
        <v>138</v>
      </c>
      <c r="D32" s="25" t="s">
        <v>139</v>
      </c>
      <c r="E32" s="26" t="s">
        <v>140</v>
      </c>
      <c r="F32" s="25" t="s">
        <v>139</v>
      </c>
      <c r="G32" s="26" t="s">
        <v>910</v>
      </c>
      <c r="H32" s="148" t="s">
        <v>139</v>
      </c>
      <c r="I32" s="26" t="s">
        <v>140</v>
      </c>
      <c r="J32" s="25" t="s">
        <v>139</v>
      </c>
      <c r="K32" s="26" t="s">
        <v>140</v>
      </c>
      <c r="L32" s="25" t="s">
        <v>139</v>
      </c>
      <c r="M32" s="26" t="s">
        <v>140</v>
      </c>
      <c r="N32" s="25" t="s">
        <v>911</v>
      </c>
      <c r="O32" s="26" t="s">
        <v>912</v>
      </c>
      <c r="P32" s="25" t="s">
        <v>139</v>
      </c>
      <c r="Q32" s="43" t="s">
        <v>913</v>
      </c>
      <c r="R32" s="27"/>
      <c r="T32" s="46">
        <v>28</v>
      </c>
      <c r="U32" s="409" t="s">
        <v>914</v>
      </c>
      <c r="V32" s="410" t="s">
        <v>915</v>
      </c>
      <c r="W32" s="340">
        <f t="shared" si="0"/>
        <v>50</v>
      </c>
      <c r="X32" s="411" t="str" cm="1">
        <f t="array" ref="X32" xml:space="preserve"> INDEX(十五音韻母對照表, $W32, X$1)</f>
        <v>牛</v>
      </c>
      <c r="Y32" s="25" t="str" cm="1">
        <f t="array" ref="Y32" xml:space="preserve"> INDEX(十五音韻母對照表, $W32, Y$1)</f>
        <v>iunn</v>
      </c>
      <c r="Z32" s="25" t="str" cm="1">
        <f t="array" ref="Z32" xml:space="preserve"> INDEX(十五音韻母對照表, $W32, Z$1)</f>
        <v>iunnh</v>
      </c>
      <c r="AB32" s="413">
        <v>28</v>
      </c>
      <c r="AC32" s="350" t="s">
        <v>138</v>
      </c>
      <c r="AD32" s="410">
        <f t="shared" si="1"/>
        <v>1</v>
      </c>
      <c r="AE32" s="410" t="str" cm="1">
        <f t="array" ref="AE32" xml:space="preserve"> IF($AD32="", INDEX(十五音韻母對照表, $B32, AE$1), "")</f>
        <v/>
      </c>
    </row>
    <row r="33" spans="2:31" ht="33">
      <c r="B33" s="46">
        <v>29</v>
      </c>
      <c r="C33" s="24" t="s">
        <v>199</v>
      </c>
      <c r="D33" s="25" t="s">
        <v>200</v>
      </c>
      <c r="E33" s="26" t="s">
        <v>201</v>
      </c>
      <c r="F33" s="25" t="s">
        <v>200</v>
      </c>
      <c r="G33" s="26" t="s">
        <v>916</v>
      </c>
      <c r="H33" s="148" t="s">
        <v>200</v>
      </c>
      <c r="I33" s="26" t="s">
        <v>201</v>
      </c>
      <c r="J33" s="25" t="s">
        <v>200</v>
      </c>
      <c r="K33" s="26" t="s">
        <v>201</v>
      </c>
      <c r="L33" s="25" t="s">
        <v>200</v>
      </c>
      <c r="M33" s="26" t="s">
        <v>201</v>
      </c>
      <c r="N33" s="25" t="s">
        <v>917</v>
      </c>
      <c r="O33" s="26" t="s">
        <v>918</v>
      </c>
      <c r="P33" s="25" t="s">
        <v>160</v>
      </c>
      <c r="Q33" s="43" t="s">
        <v>919</v>
      </c>
      <c r="R33" s="27"/>
      <c r="T33" s="46">
        <v>29</v>
      </c>
      <c r="U33" s="409" t="s">
        <v>920</v>
      </c>
      <c r="V33" s="410" t="s">
        <v>36</v>
      </c>
      <c r="W33" s="340">
        <f t="shared" si="0"/>
        <v>42</v>
      </c>
      <c r="X33" s="411" t="str" cm="1">
        <f t="array" ref="X33" xml:space="preserve"> INDEX(十五音韻母對照表, $W33, X$1)</f>
        <v>姆</v>
      </c>
      <c r="Y33" s="25" t="str" cm="1">
        <f t="array" ref="Y33" xml:space="preserve"> INDEX(十五音韻母對照表, $W33, Y$1)</f>
        <v>m</v>
      </c>
      <c r="Z33" s="25" t="str" cm="1">
        <f t="array" ref="Z33" xml:space="preserve"> INDEX(十五音韻母對照表, $W33, Z$1)</f>
        <v>mh</v>
      </c>
      <c r="AB33" s="413">
        <v>29</v>
      </c>
      <c r="AC33" s="350" t="s">
        <v>199</v>
      </c>
      <c r="AD33" s="410">
        <f t="shared" si="1"/>
        <v>12</v>
      </c>
      <c r="AE33" s="410" t="str" cm="1">
        <f t="array" ref="AE33" xml:space="preserve"> IF($AD33="", INDEX(十五音韻母對照表, $B33, AE$1), "")</f>
        <v/>
      </c>
    </row>
    <row r="34" spans="2:31" ht="33">
      <c r="B34" s="46">
        <v>30</v>
      </c>
      <c r="C34" s="24" t="s">
        <v>241</v>
      </c>
      <c r="D34" s="25" t="s">
        <v>242</v>
      </c>
      <c r="E34" s="29" t="s">
        <v>243</v>
      </c>
      <c r="F34" s="25" t="s">
        <v>242</v>
      </c>
      <c r="G34" s="29" t="s">
        <v>921</v>
      </c>
      <c r="H34" s="151" t="s">
        <v>242</v>
      </c>
      <c r="I34" s="29" t="s">
        <v>922</v>
      </c>
      <c r="J34" s="25" t="s">
        <v>242</v>
      </c>
      <c r="K34" s="29" t="s">
        <v>243</v>
      </c>
      <c r="L34" s="25" t="s">
        <v>242</v>
      </c>
      <c r="M34" s="29" t="s">
        <v>922</v>
      </c>
      <c r="N34" s="25" t="s">
        <v>923</v>
      </c>
      <c r="O34" s="29" t="s">
        <v>924</v>
      </c>
      <c r="P34" s="25" t="s">
        <v>925</v>
      </c>
      <c r="Q34" s="29"/>
      <c r="R34" s="27"/>
      <c r="T34" s="46">
        <v>30</v>
      </c>
      <c r="U34" s="409" t="s">
        <v>926</v>
      </c>
      <c r="V34" s="410" t="s">
        <v>68</v>
      </c>
      <c r="W34" s="340">
        <f t="shared" si="0"/>
        <v>38</v>
      </c>
      <c r="X34" s="411" t="str" cm="1">
        <f t="array" ref="X34" xml:space="preserve"> INDEX(十五音韻母對照表, $W34, X$1)</f>
        <v>鋼</v>
      </c>
      <c r="Y34" s="25" t="str" cm="1">
        <f t="array" ref="Y34" xml:space="preserve"> INDEX(十五音韻母對照表, $W34, Y$1)</f>
        <v>ng</v>
      </c>
      <c r="Z34" s="25" t="str" cm="1">
        <f t="array" ref="Z34" xml:space="preserve"> INDEX(十五音韻母對照表, $W34, Z$1)</f>
        <v>ngh</v>
      </c>
      <c r="AB34" s="413">
        <v>30</v>
      </c>
      <c r="AC34" s="350" t="s">
        <v>241</v>
      </c>
      <c r="AD34" s="410">
        <f t="shared" si="1"/>
        <v>27</v>
      </c>
      <c r="AE34" s="410" t="str" cm="1">
        <f t="array" ref="AE34" xml:space="preserve"> IF($AD34="", INDEX(十五音韻母對照表, $B34, AE$1), "")</f>
        <v/>
      </c>
    </row>
    <row r="35" spans="2:31" ht="33">
      <c r="B35" s="46">
        <v>31</v>
      </c>
      <c r="C35" s="24" t="s">
        <v>193</v>
      </c>
      <c r="D35" s="25" t="s">
        <v>194</v>
      </c>
      <c r="E35" s="39" t="s">
        <v>195</v>
      </c>
      <c r="F35" s="25" t="s">
        <v>927</v>
      </c>
      <c r="G35" s="26" t="s">
        <v>928</v>
      </c>
      <c r="H35" s="148" t="s">
        <v>301</v>
      </c>
      <c r="I35" s="26" t="s">
        <v>929</v>
      </c>
      <c r="J35" s="25" t="s">
        <v>194</v>
      </c>
      <c r="K35" s="26" t="s">
        <v>195</v>
      </c>
      <c r="L35" s="25" t="s">
        <v>930</v>
      </c>
      <c r="M35" s="26" t="s">
        <v>931</v>
      </c>
      <c r="N35" s="25" t="s">
        <v>932</v>
      </c>
      <c r="O35" s="26" t="s">
        <v>933</v>
      </c>
      <c r="P35" s="25" t="s">
        <v>934</v>
      </c>
      <c r="Q35" s="43" t="s">
        <v>935</v>
      </c>
      <c r="R35" s="32" t="s">
        <v>936</v>
      </c>
      <c r="T35" s="46">
        <v>31</v>
      </c>
      <c r="U35" s="409" t="s">
        <v>937</v>
      </c>
      <c r="V35" s="410" t="s">
        <v>938</v>
      </c>
      <c r="W35" s="340">
        <f t="shared" si="0"/>
        <v>15</v>
      </c>
      <c r="X35" s="411" t="str" cm="1">
        <f t="array" ref="X35" xml:space="preserve"> INDEX(十五音韻母對照表, $W35, X$1)</f>
        <v>高</v>
      </c>
      <c r="Y35" s="25" t="str" cm="1">
        <f t="array" ref="Y35" xml:space="preserve"> INDEX(十五音韻母對照表, $W35, Y$1)</f>
        <v>o</v>
      </c>
      <c r="Z35" s="25" t="str" cm="1">
        <f t="array" ref="Z35" xml:space="preserve"> INDEX(十五音韻母對照表, $W35, Z$1)</f>
        <v>oh</v>
      </c>
      <c r="AB35" s="413">
        <v>31</v>
      </c>
      <c r="AC35" s="350" t="s">
        <v>193</v>
      </c>
      <c r="AD35" s="410">
        <f t="shared" si="1"/>
        <v>11</v>
      </c>
      <c r="AE35" s="410" t="str" cm="1">
        <f t="array" ref="AE35" xml:space="preserve"> IF($AD35="", INDEX(十五音韻母對照表, $B35, AE$1), "")</f>
        <v/>
      </c>
    </row>
    <row r="36" spans="2:31" ht="33">
      <c r="B36" s="46">
        <v>32</v>
      </c>
      <c r="C36" s="28" t="s">
        <v>253</v>
      </c>
      <c r="D36" s="25" t="s">
        <v>278</v>
      </c>
      <c r="E36" s="29" t="s">
        <v>279</v>
      </c>
      <c r="F36" s="30" t="s">
        <v>939</v>
      </c>
      <c r="G36" s="29" t="s">
        <v>940</v>
      </c>
      <c r="H36" s="151" t="s">
        <v>941</v>
      </c>
      <c r="I36" s="29" t="s">
        <v>942</v>
      </c>
      <c r="J36" s="30" t="s">
        <v>278</v>
      </c>
      <c r="K36" s="29" t="s">
        <v>279</v>
      </c>
      <c r="L36" s="30" t="s">
        <v>943</v>
      </c>
      <c r="M36" s="29" t="s">
        <v>944</v>
      </c>
      <c r="N36" s="30" t="s">
        <v>945</v>
      </c>
      <c r="O36" s="29" t="s">
        <v>946</v>
      </c>
      <c r="P36" s="30" t="s">
        <v>947</v>
      </c>
      <c r="Q36" s="29"/>
      <c r="R36" s="32" t="s">
        <v>948</v>
      </c>
      <c r="T36" s="46">
        <v>32</v>
      </c>
      <c r="U36" s="409" t="s">
        <v>949</v>
      </c>
      <c r="V36" s="410" t="s">
        <v>781</v>
      </c>
      <c r="W36" s="340">
        <f t="shared" si="0"/>
        <v>11</v>
      </c>
      <c r="X36" s="411" t="str" cm="1">
        <f t="array" ref="X36" xml:space="preserve"> INDEX(十五音韻母對照表, $W36, X$1)</f>
        <v>沽</v>
      </c>
      <c r="Y36" s="25" t="str" cm="1">
        <f t="array" ref="Y36" xml:space="preserve"> INDEX(十五音韻母對照表, $W36, Y$1)</f>
        <v>oo</v>
      </c>
      <c r="Z36" s="25" t="str" cm="1">
        <f t="array" ref="Z36" xml:space="preserve"> INDEX(十五音韻母對照表, $W36, Z$1)</f>
        <v>ooh</v>
      </c>
      <c r="AB36" s="413">
        <v>32</v>
      </c>
      <c r="AC36" s="350" t="s">
        <v>253</v>
      </c>
      <c r="AD36" s="410">
        <f t="shared" si="1"/>
        <v>44</v>
      </c>
      <c r="AE36" s="410" t="str" cm="1">
        <f t="array" ref="AE36" xml:space="preserve"> IF($AD36="", INDEX(十五音韻母對照表, $B36, AE$1), "")</f>
        <v/>
      </c>
    </row>
    <row r="37" spans="2:31" ht="33">
      <c r="B37" s="46">
        <v>33</v>
      </c>
      <c r="C37" s="24" t="s">
        <v>235</v>
      </c>
      <c r="D37" s="25" t="s">
        <v>236</v>
      </c>
      <c r="E37" s="26" t="s">
        <v>237</v>
      </c>
      <c r="F37" s="30" t="s">
        <v>236</v>
      </c>
      <c r="G37" s="26" t="s">
        <v>950</v>
      </c>
      <c r="H37" s="148" t="s">
        <v>236</v>
      </c>
      <c r="I37" s="26" t="s">
        <v>237</v>
      </c>
      <c r="J37" s="25" t="s">
        <v>236</v>
      </c>
      <c r="K37" s="26" t="s">
        <v>237</v>
      </c>
      <c r="L37" s="25" t="s">
        <v>236</v>
      </c>
      <c r="M37" s="26" t="s">
        <v>237</v>
      </c>
      <c r="N37" s="25" t="s">
        <v>951</v>
      </c>
      <c r="O37" s="26" t="s">
        <v>952</v>
      </c>
      <c r="P37" s="25" t="s">
        <v>953</v>
      </c>
      <c r="Q37" s="43" t="s">
        <v>954</v>
      </c>
      <c r="R37" s="27"/>
      <c r="T37" s="46">
        <v>33</v>
      </c>
      <c r="U37" s="406" t="s">
        <v>955</v>
      </c>
      <c r="V37" s="407" t="s">
        <v>956</v>
      </c>
      <c r="W37" s="340">
        <f t="shared" si="0"/>
        <v>41</v>
      </c>
      <c r="X37" s="411" t="str" cm="1">
        <f t="array" ref="X37" xml:space="preserve"> INDEX(十五音韻母對照表, $W37, X$1)</f>
        <v>姑</v>
      </c>
      <c r="Y37" s="25" t="str" cm="1">
        <f t="array" ref="Y37" xml:space="preserve"> INDEX(十五音韻母對照表, $W37, Y$1)</f>
        <v>oonn</v>
      </c>
      <c r="Z37" s="25" t="str" cm="1">
        <f t="array" ref="Z37" xml:space="preserve"> INDEX(十五音韻母對照表, $W37, Z$1)</f>
        <v>oonnh</v>
      </c>
      <c r="AB37" s="413">
        <v>33</v>
      </c>
      <c r="AC37" s="350" t="s">
        <v>235</v>
      </c>
      <c r="AD37" s="410">
        <f t="shared" si="1"/>
        <v>24</v>
      </c>
      <c r="AE37" s="410" t="str" cm="1">
        <f t="array" ref="AE37" xml:space="preserve"> IF($AD37="", INDEX(十五音韻母對照表, $B37, AE$1), "")</f>
        <v/>
      </c>
    </row>
    <row r="38" spans="2:31" ht="33">
      <c r="B38" s="46">
        <v>34</v>
      </c>
      <c r="C38" s="24" t="s">
        <v>203</v>
      </c>
      <c r="D38" s="25" t="s">
        <v>204</v>
      </c>
      <c r="E38" s="26" t="s">
        <v>205</v>
      </c>
      <c r="F38" s="25" t="s">
        <v>957</v>
      </c>
      <c r="G38" s="26" t="s">
        <v>958</v>
      </c>
      <c r="H38" s="148" t="s">
        <v>306</v>
      </c>
      <c r="I38" s="26" t="s">
        <v>959</v>
      </c>
      <c r="J38" s="25" t="s">
        <v>204</v>
      </c>
      <c r="K38" s="26" t="s">
        <v>205</v>
      </c>
      <c r="L38" s="25" t="s">
        <v>960</v>
      </c>
      <c r="M38" s="26" t="s">
        <v>961</v>
      </c>
      <c r="N38" s="25" t="s">
        <v>962</v>
      </c>
      <c r="O38" s="26" t="s">
        <v>962</v>
      </c>
      <c r="P38" s="25" t="s">
        <v>963</v>
      </c>
      <c r="Q38" s="43" t="s">
        <v>964</v>
      </c>
      <c r="R38" s="27"/>
      <c r="T38" s="46">
        <v>34</v>
      </c>
      <c r="U38" s="404" t="s">
        <v>965</v>
      </c>
      <c r="V38" s="340" t="s">
        <v>966</v>
      </c>
      <c r="W38" s="340">
        <f t="shared" si="0"/>
        <v>47</v>
      </c>
      <c r="X38" s="411" t="str" cm="1">
        <f t="array" ref="X38" xml:space="preserve"> INDEX(十五音韻母對照表, $W38, X$1)</f>
        <v>箴</v>
      </c>
      <c r="Y38" s="25" t="str" cm="1">
        <f t="array" ref="Y38" xml:space="preserve"> INDEX(十五音韻母對照表, $W38, Y$1)</f>
        <v>om</v>
      </c>
      <c r="Z38" s="25" t="str" cm="1">
        <f t="array" ref="Z38" xml:space="preserve"> INDEX(十五音韻母對照表, $W38, Z$1)</f>
        <v>op</v>
      </c>
      <c r="AB38" s="413">
        <v>34</v>
      </c>
      <c r="AC38" s="350" t="s">
        <v>203</v>
      </c>
      <c r="AD38" s="410">
        <f t="shared" si="1"/>
        <v>13</v>
      </c>
      <c r="AE38" s="410" t="str" cm="1">
        <f t="array" ref="AE38" xml:space="preserve"> IF($AD38="", INDEX(十五音韻母對照表, $B38, AE$1), "")</f>
        <v/>
      </c>
    </row>
    <row r="39" spans="2:31" ht="33">
      <c r="B39" s="46">
        <v>35</v>
      </c>
      <c r="C39" s="31" t="s">
        <v>247</v>
      </c>
      <c r="D39" s="25" t="s">
        <v>250</v>
      </c>
      <c r="E39" s="29" t="s">
        <v>300</v>
      </c>
      <c r="F39" s="42" t="s">
        <v>967</v>
      </c>
      <c r="G39" s="29" t="s">
        <v>968</v>
      </c>
      <c r="H39" s="151" t="s">
        <v>969</v>
      </c>
      <c r="I39" s="29" t="s">
        <v>970</v>
      </c>
      <c r="J39" s="25" t="s">
        <v>250</v>
      </c>
      <c r="K39" s="29" t="s">
        <v>300</v>
      </c>
      <c r="L39" s="25" t="s">
        <v>971</v>
      </c>
      <c r="M39" s="29" t="s">
        <v>972</v>
      </c>
      <c r="N39" s="25" t="s">
        <v>973</v>
      </c>
      <c r="O39" s="29" t="s">
        <v>974</v>
      </c>
      <c r="P39" s="25" t="s">
        <v>975</v>
      </c>
      <c r="Q39" s="29"/>
      <c r="R39" s="32" t="s">
        <v>976</v>
      </c>
      <c r="T39" s="46">
        <v>35</v>
      </c>
      <c r="U39" s="409" t="s">
        <v>977</v>
      </c>
      <c r="V39" s="410" t="s">
        <v>978</v>
      </c>
      <c r="W39" s="340">
        <f t="shared" si="0"/>
        <v>7</v>
      </c>
      <c r="X39" s="411" t="str" cm="1">
        <f t="array" ref="X39" xml:space="preserve"> INDEX(十五音韻母對照表, $W39, X$1)</f>
        <v>公</v>
      </c>
      <c r="Y39" s="25" t="str" cm="1">
        <f t="array" ref="Y39" xml:space="preserve"> INDEX(十五音韻母對照表, $W39, Y$1)</f>
        <v>ong</v>
      </c>
      <c r="Z39" s="25" t="str" cm="1">
        <f t="array" ref="Z39" xml:space="preserve"> INDEX(十五音韻母對照表, $W39, Z$1)</f>
        <v>ok</v>
      </c>
      <c r="AB39" s="413">
        <v>35</v>
      </c>
      <c r="AC39" s="350" t="s">
        <v>247</v>
      </c>
      <c r="AD39" s="410">
        <f t="shared" si="1"/>
        <v>25</v>
      </c>
      <c r="AE39" s="410" t="str" cm="1">
        <f t="array" ref="AE39" xml:space="preserve"> IF($AD39="", INDEX(十五音韻母對照表, $B39, AE$1), "")</f>
        <v/>
      </c>
    </row>
    <row r="40" spans="2:31" ht="33">
      <c r="B40" s="46">
        <v>36</v>
      </c>
      <c r="C40" s="24" t="s">
        <v>217</v>
      </c>
      <c r="D40" s="25" t="s">
        <v>218</v>
      </c>
      <c r="E40" s="29" t="s">
        <v>219</v>
      </c>
      <c r="F40" s="25" t="s">
        <v>979</v>
      </c>
      <c r="G40" s="29" t="s">
        <v>980</v>
      </c>
      <c r="H40" s="148" t="s">
        <v>307</v>
      </c>
      <c r="I40" s="110" t="s">
        <v>981</v>
      </c>
      <c r="J40" s="25" t="s">
        <v>218</v>
      </c>
      <c r="K40" s="110" t="s">
        <v>219</v>
      </c>
      <c r="L40" s="25" t="s">
        <v>982</v>
      </c>
      <c r="M40" s="110" t="s">
        <v>983</v>
      </c>
      <c r="N40" s="25" t="s">
        <v>984</v>
      </c>
      <c r="O40" s="110" t="s">
        <v>985</v>
      </c>
      <c r="P40" s="25" t="s">
        <v>986</v>
      </c>
      <c r="Q40" s="110"/>
      <c r="R40" s="32" t="s">
        <v>987</v>
      </c>
      <c r="T40" s="46">
        <v>36</v>
      </c>
      <c r="U40" s="409" t="s">
        <v>988</v>
      </c>
      <c r="V40" s="410" t="s">
        <v>989</v>
      </c>
      <c r="W40" s="340">
        <f t="shared" si="0"/>
        <v>27</v>
      </c>
      <c r="X40" s="411" t="str" cm="1">
        <f t="array" ref="X40" xml:space="preserve"> INDEX(十五音韻母對照表, $W40, X$1)</f>
        <v>艍</v>
      </c>
      <c r="Y40" s="25" t="str" cm="1">
        <f t="array" ref="Y40" xml:space="preserve"> INDEX(十五音韻母對照表, $W40, Y$1)</f>
        <v>u</v>
      </c>
      <c r="Z40" s="25" t="str" cm="1">
        <f t="array" ref="Z40" xml:space="preserve"> INDEX(十五音韻母對照表, $W40, Z$1)</f>
        <v>uh</v>
      </c>
      <c r="AB40" s="413">
        <v>36</v>
      </c>
      <c r="AC40" s="350" t="s">
        <v>217</v>
      </c>
      <c r="AD40" s="410">
        <f t="shared" si="1"/>
        <v>15</v>
      </c>
      <c r="AE40" s="410" t="str" cm="1">
        <f t="array" ref="AE40" xml:space="preserve"> IF($AD40="", INDEX(十五音韻母對照表, $B40, AE$1), "")</f>
        <v/>
      </c>
    </row>
    <row r="41" spans="2:31" ht="33">
      <c r="B41" s="46">
        <v>37</v>
      </c>
      <c r="C41" s="24" t="s">
        <v>264</v>
      </c>
      <c r="D41" s="25" t="s">
        <v>265</v>
      </c>
      <c r="E41" s="29" t="s">
        <v>266</v>
      </c>
      <c r="F41" s="25" t="s">
        <v>990</v>
      </c>
      <c r="G41" s="29" t="s">
        <v>991</v>
      </c>
      <c r="H41" s="151" t="s">
        <v>316</v>
      </c>
      <c r="I41" s="29" t="s">
        <v>992</v>
      </c>
      <c r="J41" s="25" t="s">
        <v>265</v>
      </c>
      <c r="K41" s="29" t="s">
        <v>266</v>
      </c>
      <c r="L41" s="25" t="s">
        <v>993</v>
      </c>
      <c r="M41" s="29" t="s">
        <v>994</v>
      </c>
      <c r="N41" s="25" t="s">
        <v>995</v>
      </c>
      <c r="O41" s="29" t="s">
        <v>996</v>
      </c>
      <c r="P41" s="25" t="s">
        <v>997</v>
      </c>
      <c r="Q41" s="29"/>
      <c r="R41" s="27"/>
      <c r="T41" s="46">
        <v>37</v>
      </c>
      <c r="U41" s="409" t="s">
        <v>998</v>
      </c>
      <c r="V41" s="410" t="s">
        <v>999</v>
      </c>
      <c r="W41" s="340">
        <f t="shared" si="0"/>
        <v>20</v>
      </c>
      <c r="X41" s="411" t="str" cm="1">
        <f t="array" ref="X41" xml:space="preserve"> INDEX(十五音韻母對照表, $W41, X$1)</f>
        <v>瓜</v>
      </c>
      <c r="Y41" s="25" t="str" cm="1">
        <f t="array" ref="Y41" xml:space="preserve"> INDEX(十五音韻母對照表, $W41, Y$1)</f>
        <v>ua</v>
      </c>
      <c r="Z41" s="25" t="str" cm="1">
        <f t="array" ref="Z41" xml:space="preserve"> INDEX(十五音韻母對照表, $W41, Z$1)</f>
        <v>uah</v>
      </c>
      <c r="AB41" s="413">
        <v>37</v>
      </c>
      <c r="AC41" s="350" t="s">
        <v>264</v>
      </c>
      <c r="AD41" s="410">
        <f t="shared" si="1"/>
        <v>38</v>
      </c>
      <c r="AE41" s="410" t="str" cm="1">
        <f t="array" ref="AE41" xml:space="preserve"> IF($AD41="", INDEX(十五音韻母對照表, $B41, AE$1), "")</f>
        <v/>
      </c>
    </row>
    <row r="42" spans="2:31" ht="33">
      <c r="B42" s="46">
        <v>38</v>
      </c>
      <c r="C42" s="28" t="s">
        <v>260</v>
      </c>
      <c r="D42" s="25" t="s">
        <v>48</v>
      </c>
      <c r="E42" s="29" t="s">
        <v>254</v>
      </c>
      <c r="F42" s="25" t="s">
        <v>1000</v>
      </c>
      <c r="G42" s="29" t="s">
        <v>1001</v>
      </c>
      <c r="H42" s="148" t="s">
        <v>48</v>
      </c>
      <c r="I42" s="110" t="s">
        <v>1002</v>
      </c>
      <c r="J42" s="25" t="s">
        <v>48</v>
      </c>
      <c r="K42" s="110" t="s">
        <v>254</v>
      </c>
      <c r="L42" s="25" t="s">
        <v>48</v>
      </c>
      <c r="M42" s="110" t="s">
        <v>1002</v>
      </c>
      <c r="N42" s="25" t="s">
        <v>1003</v>
      </c>
      <c r="O42" s="110" t="s">
        <v>1004</v>
      </c>
      <c r="P42" s="25" t="s">
        <v>1005</v>
      </c>
      <c r="Q42" s="29"/>
      <c r="R42" s="27"/>
      <c r="T42" s="46">
        <v>38</v>
      </c>
      <c r="U42" s="409" t="s">
        <v>1006</v>
      </c>
      <c r="V42" s="410" t="s">
        <v>1007</v>
      </c>
      <c r="W42" s="340">
        <f t="shared" si="0"/>
        <v>37</v>
      </c>
      <c r="X42" s="411" t="str" cm="1">
        <f t="array" ref="X42" xml:space="preserve"> INDEX(十五音韻母對照表, $W42, X$1)</f>
        <v>官</v>
      </c>
      <c r="Y42" s="25" t="str" cm="1">
        <f t="array" ref="Y42" xml:space="preserve"> INDEX(十五音韻母對照表, $W42, Y$1)</f>
        <v>uann</v>
      </c>
      <c r="Z42" s="25" t="str" cm="1">
        <f t="array" ref="Z42" xml:space="preserve"> INDEX(十五音韻母對照表, $W42, Z$1)</f>
        <v>uannh</v>
      </c>
      <c r="AB42" s="413">
        <v>38</v>
      </c>
      <c r="AC42" s="350" t="s">
        <v>260</v>
      </c>
      <c r="AD42" s="410">
        <f t="shared" si="1"/>
        <v>30</v>
      </c>
      <c r="AE42" s="410" t="str" cm="1">
        <f t="array" ref="AE42" xml:space="preserve"> IF($AD42="", INDEX(十五音韻母對照表, $B42, AE$1), "")</f>
        <v/>
      </c>
    </row>
    <row r="43" spans="2:31" ht="33">
      <c r="B43" s="46">
        <v>39</v>
      </c>
      <c r="C43" s="31" t="s">
        <v>189</v>
      </c>
      <c r="D43" s="25" t="s">
        <v>739</v>
      </c>
      <c r="E43" s="26" t="s">
        <v>740</v>
      </c>
      <c r="F43" s="25" t="s">
        <v>160</v>
      </c>
      <c r="G43" s="26" t="s">
        <v>1008</v>
      </c>
      <c r="H43" s="148" t="s">
        <v>160</v>
      </c>
      <c r="I43" s="26" t="s">
        <v>161</v>
      </c>
      <c r="J43" s="25" t="s">
        <v>160</v>
      </c>
      <c r="K43" s="26" t="s">
        <v>161</v>
      </c>
      <c r="L43" s="25" t="s">
        <v>160</v>
      </c>
      <c r="M43" s="26" t="s">
        <v>161</v>
      </c>
      <c r="N43" s="25" t="s">
        <v>1009</v>
      </c>
      <c r="O43" s="26" t="s">
        <v>1010</v>
      </c>
      <c r="P43" s="25" t="s">
        <v>743</v>
      </c>
      <c r="Q43" s="43" t="s">
        <v>744</v>
      </c>
      <c r="R43" s="27"/>
      <c r="T43" s="46">
        <v>39</v>
      </c>
      <c r="U43" s="409" t="s">
        <v>1011</v>
      </c>
      <c r="V43" s="410" t="s">
        <v>1012</v>
      </c>
      <c r="W43" s="340">
        <f t="shared" si="0"/>
        <v>8</v>
      </c>
      <c r="X43" s="411" t="str" cm="1">
        <f t="array" ref="X43" xml:space="preserve"> INDEX(十五音韻母對照表, $W43, X$1)</f>
        <v>乖</v>
      </c>
      <c r="Y43" s="25" t="str" cm="1">
        <f t="array" ref="Y43" xml:space="preserve"> INDEX(十五音韻母對照表, $W43, Y$1)</f>
        <v>uai</v>
      </c>
      <c r="Z43" s="25" t="str" cm="1">
        <f t="array" ref="Z43" xml:space="preserve"> INDEX(十五音韻母對照表, $W43, Z$1)</f>
        <v>uaih</v>
      </c>
      <c r="AB43" s="413">
        <v>39</v>
      </c>
      <c r="AC43" s="350" t="s">
        <v>189</v>
      </c>
      <c r="AD43" s="410">
        <f t="shared" si="1"/>
        <v>10</v>
      </c>
      <c r="AE43" s="410" t="str" cm="1">
        <f t="array" ref="AE43" xml:space="preserve"> IF($AD43="", INDEX(十五音韻母對照表, $B43, AE$1), "")</f>
        <v/>
      </c>
    </row>
    <row r="44" spans="2:31" ht="33">
      <c r="B44" s="46">
        <v>40</v>
      </c>
      <c r="C44" s="24" t="s">
        <v>156</v>
      </c>
      <c r="D44" s="25" t="s">
        <v>157</v>
      </c>
      <c r="E44" s="29" t="s">
        <v>158</v>
      </c>
      <c r="F44" s="25" t="s">
        <v>1013</v>
      </c>
      <c r="G44" s="29" t="s">
        <v>1014</v>
      </c>
      <c r="H44" s="151" t="s">
        <v>298</v>
      </c>
      <c r="I44" s="29" t="s">
        <v>1015</v>
      </c>
      <c r="J44" s="25" t="s">
        <v>157</v>
      </c>
      <c r="K44" s="29" t="s">
        <v>158</v>
      </c>
      <c r="L44" s="25" t="s">
        <v>1016</v>
      </c>
      <c r="M44" s="29" t="s">
        <v>1017</v>
      </c>
      <c r="N44" s="25" t="s">
        <v>1018</v>
      </c>
      <c r="O44" s="29" t="s">
        <v>1019</v>
      </c>
      <c r="P44" s="25" t="s">
        <v>1020</v>
      </c>
      <c r="Q44" s="29"/>
      <c r="R44" s="32" t="s">
        <v>1021</v>
      </c>
      <c r="T44" s="46">
        <v>40</v>
      </c>
      <c r="U44" s="409" t="s">
        <v>1022</v>
      </c>
      <c r="V44" s="410" t="s">
        <v>1023</v>
      </c>
      <c r="W44" s="340">
        <f t="shared" si="0"/>
        <v>44</v>
      </c>
      <c r="X44" s="411" t="str" cm="1">
        <f t="array" ref="X44" xml:space="preserve"> INDEX(十五音韻母對照表, $W44, X$1)</f>
        <v>閂</v>
      </c>
      <c r="Y44" s="25" t="str" cm="1">
        <f t="array" ref="Y44" xml:space="preserve"> INDEX(十五音韻母對照表, $W44, Y$1)</f>
        <v>uainn</v>
      </c>
      <c r="Z44" s="25" t="str" cm="1">
        <f t="array" ref="Z44" xml:space="preserve"> INDEX(十五音韻母對照表, $W44, Z$1)</f>
        <v>uainnh</v>
      </c>
      <c r="AB44" s="413">
        <v>40</v>
      </c>
      <c r="AC44" s="350" t="s">
        <v>156</v>
      </c>
      <c r="AD44" s="410">
        <f t="shared" si="1"/>
        <v>4</v>
      </c>
      <c r="AE44" s="410" t="str" cm="1">
        <f t="array" ref="AE44" xml:space="preserve"> IF($AD44="", INDEX(十五音韻母對照表, $B44, AE$1), "")</f>
        <v/>
      </c>
    </row>
    <row r="45" spans="2:31" ht="33">
      <c r="B45" s="46">
        <v>41</v>
      </c>
      <c r="C45" s="31" t="s">
        <v>256</v>
      </c>
      <c r="D45" s="25" t="s">
        <v>956</v>
      </c>
      <c r="E45" s="29" t="s">
        <v>1024</v>
      </c>
      <c r="F45" s="25" t="s">
        <v>1025</v>
      </c>
      <c r="G45" s="29" t="s">
        <v>1026</v>
      </c>
      <c r="H45" s="151" t="s">
        <v>313</v>
      </c>
      <c r="I45" s="29" t="s">
        <v>1027</v>
      </c>
      <c r="J45" s="25" t="s">
        <v>257</v>
      </c>
      <c r="K45" s="29" t="s">
        <v>1028</v>
      </c>
      <c r="L45" s="25" t="s">
        <v>1029</v>
      </c>
      <c r="M45" s="29" t="s">
        <v>1030</v>
      </c>
      <c r="N45" s="25" t="s">
        <v>1031</v>
      </c>
      <c r="O45" s="29" t="s">
        <v>1032</v>
      </c>
      <c r="P45" s="25" t="s">
        <v>1033</v>
      </c>
      <c r="Q45" s="29"/>
      <c r="R45" s="32" t="s">
        <v>1034</v>
      </c>
      <c r="T45" s="46">
        <v>41</v>
      </c>
      <c r="U45" s="409" t="s">
        <v>1035</v>
      </c>
      <c r="V45" s="410" t="s">
        <v>1036</v>
      </c>
      <c r="W45" s="340">
        <f t="shared" si="0"/>
        <v>10</v>
      </c>
      <c r="X45" s="411" t="str" cm="1">
        <f t="array" ref="X45" xml:space="preserve"> INDEX(十五音韻母對照表, $W45, X$1)</f>
        <v>觀</v>
      </c>
      <c r="Y45" s="25" t="str" cm="1">
        <f t="array" ref="Y45" xml:space="preserve"> INDEX(十五音韻母對照表, $W45, Y$1)</f>
        <v>uan</v>
      </c>
      <c r="Z45" s="25" t="str" cm="1">
        <f t="array" ref="Z45" xml:space="preserve"> INDEX(十五音韻母對照表, $W45, Z$1)</f>
        <v>uat</v>
      </c>
      <c r="AB45" s="413">
        <v>41</v>
      </c>
      <c r="AC45" s="350" t="s">
        <v>256</v>
      </c>
      <c r="AD45" s="410">
        <f t="shared" si="1"/>
        <v>33</v>
      </c>
      <c r="AE45" s="410" t="str" cm="1">
        <f t="array" ref="AE45" xml:space="preserve"> IF($AD45="", INDEX(十五音韻母對照表, $B45, AE$1), "")</f>
        <v/>
      </c>
    </row>
    <row r="46" spans="2:31" ht="33">
      <c r="B46" s="46">
        <v>42</v>
      </c>
      <c r="C46" s="28" t="s">
        <v>251</v>
      </c>
      <c r="D46" s="25" t="s">
        <v>27</v>
      </c>
      <c r="E46" s="29" t="s">
        <v>252</v>
      </c>
      <c r="F46" s="25" t="s">
        <v>36</v>
      </c>
      <c r="G46" s="29" t="s">
        <v>1037</v>
      </c>
      <c r="H46" s="148" t="s">
        <v>27</v>
      </c>
      <c r="I46" s="110" t="s">
        <v>1037</v>
      </c>
      <c r="J46" s="25" t="s">
        <v>27</v>
      </c>
      <c r="K46" s="110" t="s">
        <v>252</v>
      </c>
      <c r="L46" s="25" t="s">
        <v>27</v>
      </c>
      <c r="M46" s="110" t="s">
        <v>1037</v>
      </c>
      <c r="N46" s="25" t="s">
        <v>1038</v>
      </c>
      <c r="O46" s="110" t="s">
        <v>1039</v>
      </c>
      <c r="P46" s="30" t="s">
        <v>1040</v>
      </c>
      <c r="Q46" s="29"/>
      <c r="R46" s="27"/>
      <c r="T46" s="46">
        <v>42</v>
      </c>
      <c r="U46" s="409" t="s">
        <v>1041</v>
      </c>
      <c r="V46" s="410" t="s">
        <v>1042</v>
      </c>
      <c r="W46" s="340">
        <f t="shared" si="0"/>
        <v>25</v>
      </c>
      <c r="X46" s="411" t="str" cm="1">
        <f t="array" ref="X46" xml:space="preserve"> INDEX(十五音韻母對照表, $W46, X$1)</f>
        <v>檜</v>
      </c>
      <c r="Y46" s="25" t="str" cm="1">
        <f t="array" ref="Y46" xml:space="preserve"> INDEX(十五音韻母對照表, $W46, Y$1)</f>
        <v>ue</v>
      </c>
      <c r="Z46" s="25" t="str" cm="1">
        <f t="array" ref="Z46" xml:space="preserve"> INDEX(十五音韻母對照表, $W46, Z$1)</f>
        <v>ueh</v>
      </c>
      <c r="AB46" s="413">
        <v>42</v>
      </c>
      <c r="AC46" s="350" t="s">
        <v>251</v>
      </c>
      <c r="AD46" s="410">
        <f t="shared" si="1"/>
        <v>29</v>
      </c>
      <c r="AE46" s="410" t="str" cm="1">
        <f t="array" ref="AE46" xml:space="preserve"> IF($AD46="", INDEX(十五音韻母對照表, $B46, AE$1), "")</f>
        <v/>
      </c>
    </row>
    <row r="47" spans="2:31" ht="33">
      <c r="B47" s="46">
        <v>43</v>
      </c>
      <c r="C47" s="24" t="s">
        <v>269</v>
      </c>
      <c r="D47" s="25" t="s">
        <v>270</v>
      </c>
      <c r="E47" s="40" t="s">
        <v>271</v>
      </c>
      <c r="F47" s="30" t="s">
        <v>1043</v>
      </c>
      <c r="G47" s="39" t="s">
        <v>1044</v>
      </c>
      <c r="H47" s="149" t="s">
        <v>321</v>
      </c>
      <c r="I47" s="39" t="s">
        <v>1045</v>
      </c>
      <c r="J47" s="25" t="s">
        <v>270</v>
      </c>
      <c r="K47" s="26" t="s">
        <v>271</v>
      </c>
      <c r="L47" s="25" t="s">
        <v>270</v>
      </c>
      <c r="M47" s="26" t="s">
        <v>271</v>
      </c>
      <c r="N47" s="25" t="s">
        <v>1046</v>
      </c>
      <c r="O47" s="26" t="s">
        <v>1047</v>
      </c>
      <c r="P47" s="25" t="s">
        <v>1048</v>
      </c>
      <c r="Q47" s="43" t="s">
        <v>1049</v>
      </c>
      <c r="R47" s="27"/>
      <c r="T47" s="46">
        <v>43</v>
      </c>
      <c r="U47" s="409" t="s">
        <v>1050</v>
      </c>
      <c r="V47" s="410" t="s">
        <v>727</v>
      </c>
      <c r="W47" s="340">
        <f t="shared" si="0"/>
        <v>4</v>
      </c>
      <c r="X47" s="411" t="str" cm="1">
        <f t="array" ref="X47" xml:space="preserve"> INDEX(十五音韻母對照表, $W47, X$1)</f>
        <v>規</v>
      </c>
      <c r="Y47" s="25" t="str" cm="1">
        <f t="array" ref="Y47" xml:space="preserve"> INDEX(十五音韻母對照表, $W47, Y$1)</f>
        <v>ui</v>
      </c>
      <c r="Z47" s="25" t="str" cm="1">
        <f t="array" ref="Z47" xml:space="preserve"> INDEX(十五音韻母對照表, $W47, Z$1)</f>
        <v>uih</v>
      </c>
      <c r="AB47" s="413">
        <v>43</v>
      </c>
      <c r="AC47" s="350" t="s">
        <v>269</v>
      </c>
      <c r="AD47" s="410" t="str">
        <f t="shared" si="1"/>
        <v/>
      </c>
      <c r="AE47" s="410" t="str" cm="1">
        <f t="array" ref="AE47" xml:space="preserve"> IF($AD47="", INDEX(十五音韻母對照表, $B47, AE$1), "")</f>
        <v>uang</v>
      </c>
    </row>
    <row r="48" spans="2:31" ht="33">
      <c r="B48" s="46">
        <v>44</v>
      </c>
      <c r="C48" s="28" t="s">
        <v>276</v>
      </c>
      <c r="D48" s="25" t="s">
        <v>273</v>
      </c>
      <c r="E48" s="40" t="s">
        <v>274</v>
      </c>
      <c r="F48" s="30" t="s">
        <v>1051</v>
      </c>
      <c r="G48" s="39" t="s">
        <v>1052</v>
      </c>
      <c r="H48" s="149" t="s">
        <v>319</v>
      </c>
      <c r="I48" s="39" t="s">
        <v>1053</v>
      </c>
      <c r="J48" s="30" t="s">
        <v>273</v>
      </c>
      <c r="K48" s="26" t="s">
        <v>274</v>
      </c>
      <c r="L48" s="25" t="s">
        <v>1054</v>
      </c>
      <c r="M48" s="26" t="s">
        <v>1055</v>
      </c>
      <c r="N48" s="30" t="s">
        <v>1056</v>
      </c>
      <c r="O48" s="39" t="s">
        <v>1057</v>
      </c>
      <c r="P48" s="30" t="s">
        <v>1058</v>
      </c>
      <c r="Q48" s="44" t="s">
        <v>1059</v>
      </c>
      <c r="R48" s="32" t="s">
        <v>1060</v>
      </c>
      <c r="T48" s="46">
        <v>44</v>
      </c>
      <c r="U48" s="409" t="s">
        <v>1061</v>
      </c>
      <c r="V48" s="410" t="s">
        <v>1062</v>
      </c>
      <c r="W48" s="340">
        <f t="shared" si="0"/>
        <v>32</v>
      </c>
      <c r="X48" s="411" t="str" cm="1">
        <f t="array" ref="X48" xml:space="preserve"> INDEX(十五音韻母對照表, $W48, X$1)</f>
        <v>褌</v>
      </c>
      <c r="Y48" s="25" t="str" cm="1">
        <f t="array" ref="Y48" xml:space="preserve"> INDEX(十五音韻母對照表, $W48, Y$1)</f>
        <v>uinn</v>
      </c>
      <c r="Z48" s="25" t="str" cm="1">
        <f t="array" ref="Z48" xml:space="preserve"> INDEX(十五音韻母對照表, $W48, Z$1)</f>
        <v>uinnh</v>
      </c>
      <c r="AB48" s="413">
        <v>44</v>
      </c>
      <c r="AC48" s="350" t="s">
        <v>276</v>
      </c>
      <c r="AD48" s="410">
        <f t="shared" si="1"/>
        <v>40</v>
      </c>
      <c r="AE48" s="410" t="str" cm="1">
        <f t="array" ref="AE48" xml:space="preserve"> IF($AD48="", INDEX(十五音韻母對照表, $B48, AE$1), "")</f>
        <v/>
      </c>
    </row>
    <row r="49" spans="2:31" ht="33">
      <c r="B49" s="46">
        <v>45</v>
      </c>
      <c r="C49" s="28" t="s">
        <v>272</v>
      </c>
      <c r="D49" s="25" t="s">
        <v>280</v>
      </c>
      <c r="E49" s="40" t="s">
        <v>304</v>
      </c>
      <c r="F49" s="30" t="s">
        <v>1063</v>
      </c>
      <c r="G49" s="39" t="s">
        <v>1064</v>
      </c>
      <c r="H49" s="151" t="s">
        <v>1065</v>
      </c>
      <c r="I49" s="29" t="s">
        <v>1066</v>
      </c>
      <c r="J49" s="30" t="s">
        <v>280</v>
      </c>
      <c r="K49" s="29" t="s">
        <v>304</v>
      </c>
      <c r="L49" s="30" t="s">
        <v>1067</v>
      </c>
      <c r="M49" s="29" t="s">
        <v>1068</v>
      </c>
      <c r="N49" s="30" t="s">
        <v>1069</v>
      </c>
      <c r="O49" s="29" t="s">
        <v>1070</v>
      </c>
      <c r="P49" s="30" t="s">
        <v>1071</v>
      </c>
      <c r="Q49" s="29"/>
      <c r="R49" s="41" t="s">
        <v>1072</v>
      </c>
      <c r="T49" s="46">
        <v>45</v>
      </c>
      <c r="U49" s="409" t="s">
        <v>1073</v>
      </c>
      <c r="V49" s="410" t="s">
        <v>1074</v>
      </c>
      <c r="W49" s="340">
        <f t="shared" si="0"/>
        <v>1</v>
      </c>
      <c r="X49" s="411" t="str" cm="1">
        <f t="array" ref="X49" xml:space="preserve"> INDEX(十五音韻母對照表, $W49, X$1)</f>
        <v>君</v>
      </c>
      <c r="Y49" s="25" t="str" cm="1">
        <f t="array" ref="Y49" xml:space="preserve"> INDEX(十五音韻母對照表, $W49, Y$1)</f>
        <v>un</v>
      </c>
      <c r="Z49" s="25" t="str" cm="1">
        <f t="array" ref="Z49" xml:space="preserve"> INDEX(十五音韻母對照表, $W49, Z$1)</f>
        <v>ut</v>
      </c>
      <c r="AB49" s="413">
        <v>45</v>
      </c>
      <c r="AC49" s="350" t="s">
        <v>272</v>
      </c>
      <c r="AD49" s="410" t="str">
        <f t="shared" si="1"/>
        <v/>
      </c>
      <c r="AE49" s="410" t="str" cm="1">
        <f t="array" ref="AE49" xml:space="preserve"> IF($AD49="", INDEX(十五音韻母對照表, $B49, AE$1), "")</f>
        <v>uenn</v>
      </c>
    </row>
    <row r="50" spans="2:31" ht="30">
      <c r="B50" s="46">
        <v>46</v>
      </c>
      <c r="C50" s="24" t="s">
        <v>232</v>
      </c>
      <c r="D50" s="25" t="s">
        <v>233</v>
      </c>
      <c r="E50" s="40" t="s">
        <v>234</v>
      </c>
      <c r="F50" s="25" t="s">
        <v>1075</v>
      </c>
      <c r="G50" s="26" t="s">
        <v>1076</v>
      </c>
      <c r="H50" s="148" t="s">
        <v>310</v>
      </c>
      <c r="I50" s="26" t="s">
        <v>1077</v>
      </c>
      <c r="J50" s="25" t="s">
        <v>233</v>
      </c>
      <c r="K50" s="26" t="s">
        <v>234</v>
      </c>
      <c r="L50" s="25" t="s">
        <v>1078</v>
      </c>
      <c r="M50" s="26" t="s">
        <v>1079</v>
      </c>
      <c r="N50" s="25" t="s">
        <v>1080</v>
      </c>
      <c r="O50" s="26" t="s">
        <v>1081</v>
      </c>
      <c r="P50" s="25" t="s">
        <v>1082</v>
      </c>
      <c r="Q50" s="43" t="s">
        <v>1083</v>
      </c>
      <c r="R50" s="27"/>
      <c r="AB50" s="413">
        <v>46</v>
      </c>
      <c r="AC50" s="350" t="s">
        <v>232</v>
      </c>
      <c r="AD50" s="410">
        <f t="shared" si="1"/>
        <v>20</v>
      </c>
      <c r="AE50" s="410" t="str" cm="1">
        <f t="array" ref="AE50" xml:space="preserve"> IF($AD50="", INDEX(十五音韻母對照表, $B50, AE$1), "")</f>
        <v/>
      </c>
    </row>
    <row r="51" spans="2:31" ht="30">
      <c r="B51" s="46">
        <v>47</v>
      </c>
      <c r="C51" s="24" t="s">
        <v>261</v>
      </c>
      <c r="D51" s="25" t="s">
        <v>262</v>
      </c>
      <c r="E51" s="40" t="s">
        <v>263</v>
      </c>
      <c r="F51" s="30" t="s">
        <v>1084</v>
      </c>
      <c r="G51" s="26" t="s">
        <v>1085</v>
      </c>
      <c r="H51" s="148" t="s">
        <v>262</v>
      </c>
      <c r="I51" s="26" t="s">
        <v>263</v>
      </c>
      <c r="J51" s="25" t="s">
        <v>262</v>
      </c>
      <c r="K51" s="26" t="s">
        <v>263</v>
      </c>
      <c r="L51" s="25" t="s">
        <v>262</v>
      </c>
      <c r="M51" s="26" t="s">
        <v>263</v>
      </c>
      <c r="N51" s="25" t="s">
        <v>1086</v>
      </c>
      <c r="O51" s="26" t="s">
        <v>1087</v>
      </c>
      <c r="P51" s="25" t="s">
        <v>262</v>
      </c>
      <c r="Q51" s="43" t="s">
        <v>1088</v>
      </c>
      <c r="R51" s="27"/>
      <c r="AB51" s="413">
        <v>47</v>
      </c>
      <c r="AC51" s="350" t="s">
        <v>261</v>
      </c>
      <c r="AD51" s="410">
        <f t="shared" si="1"/>
        <v>34</v>
      </c>
      <c r="AE51" s="410" t="str" cm="1">
        <f t="array" ref="AE51" xml:space="preserve"> IF($AD51="", INDEX(十五音韻母對照表, $B51, AE$1), "")</f>
        <v/>
      </c>
    </row>
    <row r="52" spans="2:31" ht="30">
      <c r="B52" s="46">
        <v>48</v>
      </c>
      <c r="C52" s="24" t="s">
        <v>183</v>
      </c>
      <c r="D52" s="25" t="s">
        <v>184</v>
      </c>
      <c r="E52" s="29" t="s">
        <v>185</v>
      </c>
      <c r="F52" s="25" t="s">
        <v>1089</v>
      </c>
      <c r="G52" s="29" t="s">
        <v>1090</v>
      </c>
      <c r="H52" s="148" t="s">
        <v>1091</v>
      </c>
      <c r="I52" s="29" t="s">
        <v>1092</v>
      </c>
      <c r="J52" s="148" t="s">
        <v>184</v>
      </c>
      <c r="K52" s="29" t="s">
        <v>185</v>
      </c>
      <c r="L52" s="25" t="s">
        <v>1093</v>
      </c>
      <c r="M52" s="29" t="s">
        <v>1094</v>
      </c>
      <c r="N52" s="25" t="s">
        <v>1095</v>
      </c>
      <c r="O52" s="29" t="s">
        <v>1096</v>
      </c>
      <c r="P52" s="25" t="s">
        <v>1097</v>
      </c>
      <c r="Q52" s="29"/>
      <c r="R52" s="27"/>
      <c r="AB52" s="413">
        <v>48</v>
      </c>
      <c r="AC52" s="350" t="s">
        <v>183</v>
      </c>
      <c r="AD52" s="410">
        <f t="shared" si="1"/>
        <v>9</v>
      </c>
      <c r="AE52" s="410" t="str" cm="1">
        <f t="array" ref="AE52" xml:space="preserve"> IF($AD52="", INDEX(十五音韻母對照表, $B52, AE$1), "")</f>
        <v/>
      </c>
    </row>
    <row r="53" spans="2:31" ht="30">
      <c r="B53" s="46">
        <v>49</v>
      </c>
      <c r="C53" s="31" t="s">
        <v>267</v>
      </c>
      <c r="D53" s="25" t="s">
        <v>257</v>
      </c>
      <c r="E53" s="40" t="s">
        <v>1028</v>
      </c>
      <c r="F53" s="25" t="s">
        <v>1098</v>
      </c>
      <c r="G53" s="26" t="s">
        <v>1099</v>
      </c>
      <c r="H53" s="148" t="s">
        <v>313</v>
      </c>
      <c r="I53" s="26" t="s">
        <v>1027</v>
      </c>
      <c r="J53" s="262" t="s">
        <v>257</v>
      </c>
      <c r="K53" s="262" t="s">
        <v>1028</v>
      </c>
      <c r="L53" s="25" t="s">
        <v>1100</v>
      </c>
      <c r="M53" s="26" t="s">
        <v>1101</v>
      </c>
      <c r="N53" s="25" t="s">
        <v>1031</v>
      </c>
      <c r="O53" s="26" t="s">
        <v>1032</v>
      </c>
      <c r="P53" s="25" t="s">
        <v>1102</v>
      </c>
      <c r="Q53" s="43" t="s">
        <v>1103</v>
      </c>
      <c r="R53" s="32" t="s">
        <v>1104</v>
      </c>
      <c r="AB53" s="413">
        <v>49</v>
      </c>
      <c r="AC53" s="350" t="s">
        <v>267</v>
      </c>
      <c r="AD53" s="410" t="str">
        <f t="shared" si="1"/>
        <v/>
      </c>
      <c r="AE53" s="410" t="str" cm="1">
        <f t="array" ref="AE53" xml:space="preserve"> IF($AD53="", INDEX(十五音韻母對照表, $B53, AE$1), "")</f>
        <v>onn</v>
      </c>
    </row>
    <row r="54" spans="2:31" ht="30">
      <c r="B54" s="46">
        <v>50</v>
      </c>
      <c r="C54" s="412" t="s">
        <v>255</v>
      </c>
      <c r="D54" s="25" t="s">
        <v>248</v>
      </c>
      <c r="E54" s="29" t="s">
        <v>249</v>
      </c>
      <c r="F54" s="25" t="s">
        <v>1105</v>
      </c>
      <c r="G54" s="29" t="s">
        <v>1106</v>
      </c>
      <c r="H54" s="148" t="s">
        <v>311</v>
      </c>
      <c r="I54" s="110" t="s">
        <v>1107</v>
      </c>
      <c r="J54" s="25" t="s">
        <v>248</v>
      </c>
      <c r="K54" s="110" t="s">
        <v>249</v>
      </c>
      <c r="L54" s="25" t="s">
        <v>1108</v>
      </c>
      <c r="M54" s="110" t="s">
        <v>1109</v>
      </c>
      <c r="N54" s="25" t="s">
        <v>1110</v>
      </c>
      <c r="O54" s="110" t="s">
        <v>1111</v>
      </c>
      <c r="P54" s="25" t="s">
        <v>1112</v>
      </c>
      <c r="Q54" s="45"/>
      <c r="R54" s="27"/>
      <c r="AB54" s="413">
        <v>50</v>
      </c>
      <c r="AC54" s="350" t="s">
        <v>255</v>
      </c>
      <c r="AD54" s="410">
        <f t="shared" si="1"/>
        <v>28</v>
      </c>
      <c r="AE54" s="410" t="str" cm="1">
        <f t="array" ref="AE54" xml:space="preserve"> IF($AD54="", INDEX(十五音韻母對照表, $B54, AE$1), "")</f>
        <v/>
      </c>
    </row>
    <row r="56" spans="2:31" ht="30">
      <c r="AC56" s="415">
        <f xml:space="preserve"> COUNTA(AC5:AC54)</f>
        <v>50</v>
      </c>
      <c r="AD56" s="414">
        <f xml:space="preserve"> COUNT(AD5:AD54)</f>
        <v>45</v>
      </c>
      <c r="AE56" s="415">
        <f>AC56 - AD56</f>
        <v>5</v>
      </c>
    </row>
  </sheetData>
  <autoFilter ref="B4:R54" xr:uid="{6786FC37-3934-FE44-AE32-8B0B36FA4B37}"/>
  <dataConsolidate/>
  <phoneticPr fontId="1" type="noConversion"/>
  <conditionalFormatting sqref="AB5:AE54">
    <cfRule type="expression" dxfId="26" priority="1" stopIfTrue="1">
      <formula>$AD5=""</formula>
    </cfRule>
  </conditionalFormatting>
  <conditionalFormatting sqref="AC56:AD56">
    <cfRule type="expression" dxfId="25" priority="12">
      <formula>#REF!=0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BF3C-4DEA-AE42-A98A-4705DAE1A77B}">
  <sheetPr codeName="工作表15">
    <tabColor rgb="FF00B0F0"/>
  </sheetPr>
  <dimension ref="B2:K105"/>
  <sheetViews>
    <sheetView topLeftCell="B1" workbookViewId="0">
      <pane ySplit="5" topLeftCell="A98" activePane="bottomLeft" state="frozen"/>
      <selection pane="bottomLeft" activeCell="I21" sqref="I21"/>
    </sheetView>
  </sheetViews>
  <sheetFormatPr defaultColWidth="10.7265625" defaultRowHeight="12.75" outlineLevelRow="1" outlineLevelCol="1"/>
  <cols>
    <col min="1" max="1" width="3.08984375" style="56" customWidth="1"/>
    <col min="2" max="2" width="5.36328125" style="67" customWidth="1"/>
    <col min="3" max="3" width="7.90625" style="67" customWidth="1" outlineLevel="1"/>
    <col min="4" max="4" width="6.1796875" style="56" bestFit="1" customWidth="1"/>
    <col min="5" max="5" width="6.1796875" style="56" customWidth="1" outlineLevel="1"/>
    <col min="6" max="7" width="10.36328125" style="97" customWidth="1" outlineLevel="1"/>
    <col min="8" max="8" width="10.36328125" style="64" customWidth="1" outlineLevel="1"/>
    <col min="9" max="11" width="10.36328125" style="64" customWidth="1"/>
    <col min="12" max="16384" width="10.7265625" style="56"/>
  </cols>
  <sheetData>
    <row r="2" spans="2:11" s="94" customFormat="1" ht="25.5" outlineLevel="1">
      <c r="B2" s="126"/>
      <c r="C2" s="126"/>
      <c r="D2" s="126"/>
      <c r="E2" s="126"/>
      <c r="F2" s="102">
        <v>3</v>
      </c>
      <c r="G2" s="102">
        <f>F2+2</f>
        <v>5</v>
      </c>
      <c r="H2" s="102">
        <f>G2+2</f>
        <v>7</v>
      </c>
      <c r="I2" s="102">
        <f>H2+2</f>
        <v>9</v>
      </c>
      <c r="J2" s="102">
        <f>I2+2</f>
        <v>11</v>
      </c>
      <c r="K2" s="102">
        <v>13</v>
      </c>
    </row>
    <row r="3" spans="2:11" s="94" customFormat="1" ht="25.5" outlineLevel="1">
      <c r="B3" s="101" cm="1">
        <f t="array" ref="B3">COLUMN()-COLUMN(($A:$A))</f>
        <v>1</v>
      </c>
      <c r="C3" s="101" cm="1">
        <f t="array" ref="C3">COLUMN()-COLUMN(($A:$A))</f>
        <v>2</v>
      </c>
      <c r="D3" s="101" cm="1">
        <f t="array" ref="D3">COLUMN()-COLUMN(($A:$A))</f>
        <v>3</v>
      </c>
      <c r="E3" s="101" cm="1">
        <f t="array" ref="E3">COLUMN()-COLUMN(($A:$A))</f>
        <v>4</v>
      </c>
      <c r="F3" s="101" cm="1">
        <f t="array" ref="F3">COLUMN()-COLUMN(($A:$A))</f>
        <v>5</v>
      </c>
      <c r="G3" s="101" cm="1">
        <f t="array" ref="G3">COLUMN()-COLUMN(($A:$A))</f>
        <v>6</v>
      </c>
      <c r="H3" s="101" cm="1">
        <f t="array" ref="H3">COLUMN()-COLUMN(($A:$A))</f>
        <v>7</v>
      </c>
      <c r="I3" s="101" cm="1">
        <f t="array" ref="I3">COLUMN()-COLUMN(($A:$A))</f>
        <v>8</v>
      </c>
      <c r="J3" s="101" cm="1">
        <f t="array" ref="J3">COLUMN()-COLUMN(($A:$A))</f>
        <v>9</v>
      </c>
      <c r="K3" s="101" cm="1">
        <f t="array" ref="K3">COLUMN()-COLUMN(($A:$A))</f>
        <v>10</v>
      </c>
    </row>
    <row r="5" spans="2:11" s="87" customFormat="1" ht="27" customHeight="1">
      <c r="B5" s="86" t="s">
        <v>287</v>
      </c>
      <c r="C5" s="86" t="s">
        <v>1113</v>
      </c>
      <c r="D5" s="86" t="s">
        <v>290</v>
      </c>
      <c r="E5" s="86" t="s">
        <v>1114</v>
      </c>
      <c r="F5" s="96" t="s">
        <v>288</v>
      </c>
      <c r="G5" s="96" t="s">
        <v>289</v>
      </c>
      <c r="H5" s="96" t="s">
        <v>1115</v>
      </c>
      <c r="I5" s="96" t="s">
        <v>1116</v>
      </c>
      <c r="J5" s="96" t="s">
        <v>1117</v>
      </c>
      <c r="K5" s="96" t="s">
        <v>1118</v>
      </c>
    </row>
    <row r="6" spans="2:11" ht="30">
      <c r="B6" s="88">
        <v>1</v>
      </c>
      <c r="C6" s="88">
        <v>1</v>
      </c>
      <c r="D6" s="89" t="s">
        <v>135</v>
      </c>
      <c r="E6" s="89" t="s">
        <v>1119</v>
      </c>
      <c r="F6" s="103" t="str" cm="1">
        <f t="array" ref="F6" xml:space="preserve"> IF( $E6="舒聲",  INDEX(十五音韻母對照表,$C6,F$2),  INDEX(十五音韻母對照表,$C6,F$2+1))</f>
        <v>un</v>
      </c>
      <c r="G6" s="103" t="str" cm="1">
        <f t="array" ref="G6" xml:space="preserve"> IF( $E6="舒聲",  INDEX(十五音韻母對照表,$C6,G$2),  INDEX(十五音韻母對照表,$C6,G$2+1))</f>
        <v>un</v>
      </c>
      <c r="H6" s="103" t="str" cm="1">
        <f t="array" ref="H6" xml:space="preserve"> IF( $E6="舒聲",  INDEX(十五音韻母對照表,$C6,H$2),  INDEX(十五音韻母對照表,$C6,H$2+1))</f>
        <v>un</v>
      </c>
      <c r="I6" s="103" t="str" cm="1">
        <f t="array" ref="I6" xml:space="preserve"> IF( $E6="舒聲",  INDEX(十五音韻母對照表,$C6,I$2),  INDEX(十五音韻母對照表,$C6,I$2+1))</f>
        <v>un</v>
      </c>
      <c r="J6" s="103" t="str" cm="1">
        <f t="array" ref="J6" xml:space="preserve"> IF( $E6="舒聲",  INDEX(十五音韻母對照表,$C6,J$2),  INDEX(十五音韻母對照表,$C6,J$2+1))</f>
        <v>un</v>
      </c>
      <c r="K6" s="103" t="str" cm="1">
        <f t="array" ref="K6" xml:space="preserve"> IF( $E6="舒聲",  INDEX(十五音韻母對照表,$C6,K$2),  INDEX(十五音韻母對照表,$C6,K$2+1))</f>
        <v>ㄨㄣ</v>
      </c>
    </row>
    <row r="7" spans="2:11" ht="30">
      <c r="B7" s="88">
        <v>2</v>
      </c>
      <c r="C7" s="88">
        <v>1</v>
      </c>
      <c r="D7" s="89" t="s">
        <v>135</v>
      </c>
      <c r="E7" s="89" t="s">
        <v>1120</v>
      </c>
      <c r="F7" s="103" t="str" cm="1">
        <f t="array" ref="F7" xml:space="preserve"> IF( $E7="舒聲",  INDEX(十五音韻母對照表,$C7,F$2),  INDEX(十五音韻母對照表,$C7,F$2+1))</f>
        <v>ut</v>
      </c>
      <c r="G7" s="103" t="str" cm="1">
        <f t="array" ref="G7" xml:space="preserve"> IF( $E7="舒聲",  INDEX(十五音韻母對照表,$C7,G$2),  INDEX(十五音韻母對照表,$C7,G$2+1))</f>
        <v>ut̚</v>
      </c>
      <c r="H7" s="103" t="str" cm="1">
        <f t="array" ref="H7" xml:space="preserve"> IF( $E7="舒聲",  INDEX(十五音韻母對照表,$C7,H$2),  INDEX(十五音韻母對照表,$C7,H$2+1))</f>
        <v>ut</v>
      </c>
      <c r="I7" s="103" t="str" cm="1">
        <f t="array" ref="I7" xml:space="preserve"> IF( $E7="舒聲",  INDEX(十五音韻母對照表,$C7,I$2),  INDEX(十五音韻母對照表,$C7,I$2+1))</f>
        <v>ut</v>
      </c>
      <c r="J7" s="103" t="str" cm="1">
        <f t="array" ref="J7" xml:space="preserve"> IF( $E7="舒聲",  INDEX(十五音韻母對照表,$C7,J$2),  INDEX(十五音韻母對照表,$C7,J$2+1))</f>
        <v>ut</v>
      </c>
      <c r="K7" s="103" t="str" cm="1">
        <f t="array" ref="K7" xml:space="preserve"> IF( $E7="舒聲",  INDEX(十五音韻母對照表,$C7,K$2),  INDEX(十五音韻母對照表,$C7,K$2+1))</f>
        <v>ㄨㆵ</v>
      </c>
    </row>
    <row r="8" spans="2:11" ht="30">
      <c r="B8" s="88">
        <v>3</v>
      </c>
      <c r="C8" s="88">
        <v>2</v>
      </c>
      <c r="D8" s="89" t="s">
        <v>141</v>
      </c>
      <c r="E8" s="89" t="s">
        <v>1119</v>
      </c>
      <c r="F8" s="103" t="str" cm="1">
        <f t="array" ref="F8" xml:space="preserve"> IF( $E8="舒聲",  INDEX(十五音韻母對照表,$C8,F$2),  INDEX(十五音韻母對照表,$C8,F$2+1))</f>
        <v>ian</v>
      </c>
      <c r="G8" s="103" t="str" cm="1">
        <f t="array" ref="G8" xml:space="preserve"> IF( $E8="舒聲",  INDEX(十五音韻母對照表,$C8,G$2),  INDEX(十五音韻母對照表,$C8,G$2+1))</f>
        <v>ian</v>
      </c>
      <c r="H8" s="103" t="str" cm="1">
        <f t="array" ref="H8" xml:space="preserve"> IF( $E8="舒聲",  INDEX(十五音韻母對照表,$C8,H$2),  INDEX(十五音韻母對照表,$C8,H$2+1))</f>
        <v>ian</v>
      </c>
      <c r="I8" s="103" t="str" cm="1">
        <f t="array" ref="I8" xml:space="preserve"> IF( $E8="舒聲",  INDEX(十五音韻母對照表,$C8,I$2),  INDEX(十五音韻母對照表,$C8,I$2+1))</f>
        <v>ian</v>
      </c>
      <c r="J8" s="103" t="str" cm="1">
        <f t="array" ref="J8" xml:space="preserve"> IF( $E8="舒聲",  INDEX(十五音韻母對照表,$C8,J$2),  INDEX(十五音韻母對照表,$C8,J$2+1))</f>
        <v>ian</v>
      </c>
      <c r="K8" s="103" t="str" cm="1">
        <f t="array" ref="K8" xml:space="preserve"> IF( $E8="舒聲",  INDEX(十五音韻母對照表,$C8,K$2),  INDEX(十五音韻母對照表,$C8,K$2+1))</f>
        <v>ㄧㄢ</v>
      </c>
    </row>
    <row r="9" spans="2:11" ht="30">
      <c r="B9" s="88">
        <v>4</v>
      </c>
      <c r="C9" s="88">
        <v>2</v>
      </c>
      <c r="D9" s="89" t="s">
        <v>141</v>
      </c>
      <c r="E9" s="89" t="s">
        <v>1120</v>
      </c>
      <c r="F9" s="103" t="str" cm="1">
        <f t="array" ref="F9" xml:space="preserve"> IF( $E9="舒聲",  INDEX(十五音韻母對照表,$C9,F$2),  INDEX(十五音韻母對照表,$C9,F$2+1))</f>
        <v>iat</v>
      </c>
      <c r="G9" s="103" t="str" cm="1">
        <f t="array" ref="G9" xml:space="preserve"> IF( $E9="舒聲",  INDEX(十五音韻母對照表,$C9,G$2),  INDEX(十五音韻母對照表,$C9,G$2+1))</f>
        <v>iat̚</v>
      </c>
      <c r="H9" s="103" t="str" cm="1">
        <f t="array" ref="H9" xml:space="preserve"> IF( $E9="舒聲",  INDEX(十五音韻母對照表,$C9,H$2),  INDEX(十五音韻母對照表,$C9,H$2+1))</f>
        <v>iat</v>
      </c>
      <c r="I9" s="103" t="str" cm="1">
        <f t="array" ref="I9" xml:space="preserve"> IF( $E9="舒聲",  INDEX(十五音韻母對照表,$C9,I$2),  INDEX(十五音韻母對照表,$C9,I$2+1))</f>
        <v>iat</v>
      </c>
      <c r="J9" s="103" t="str" cm="1">
        <f t="array" ref="J9" xml:space="preserve"> IF( $E9="舒聲",  INDEX(十五音韻母對照表,$C9,J$2),  INDEX(十五音韻母對照表,$C9,J$2+1))</f>
        <v>iat</v>
      </c>
      <c r="K9" s="103" t="str" cm="1">
        <f t="array" ref="K9" xml:space="preserve"> IF( $E9="舒聲",  INDEX(十五音韻母對照表,$C9,K$2),  INDEX(十五音韻母對照表,$C9,K$2+1))</f>
        <v>ㄧㄚㆵ</v>
      </c>
    </row>
    <row r="10" spans="2:11" ht="30">
      <c r="B10" s="88">
        <v>5</v>
      </c>
      <c r="C10" s="88">
        <v>3</v>
      </c>
      <c r="D10" s="89" t="s">
        <v>147</v>
      </c>
      <c r="E10" s="89" t="s">
        <v>1119</v>
      </c>
      <c r="F10" s="103" t="str" cm="1">
        <f t="array" ref="F10" xml:space="preserve"> IF( $E10="舒聲",  INDEX(十五音韻母對照表,$C10,F$2),  INDEX(十五音韻母對照表,$C10,F$2+1))</f>
        <v>im</v>
      </c>
      <c r="G10" s="103" t="str" cm="1">
        <f t="array" ref="G10" xml:space="preserve"> IF( $E10="舒聲",  INDEX(十五音韻母對照表,$C10,G$2),  INDEX(十五音韻母對照表,$C10,G$2+1))</f>
        <v>im</v>
      </c>
      <c r="H10" s="103" t="str" cm="1">
        <f t="array" ref="H10" xml:space="preserve"> IF( $E10="舒聲",  INDEX(十五音韻母對照表,$C10,H$2),  INDEX(十五音韻母對照表,$C10,H$2+1))</f>
        <v>im</v>
      </c>
      <c r="I10" s="103" t="str" cm="1">
        <f t="array" ref="I10" xml:space="preserve"> IF( $E10="舒聲",  INDEX(十五音韻母對照表,$C10,I$2),  INDEX(十五音韻母對照表,$C10,I$2+1))</f>
        <v>im</v>
      </c>
      <c r="J10" s="103" t="str" cm="1">
        <f t="array" ref="J10" xml:space="preserve"> IF( $E10="舒聲",  INDEX(十五音韻母對照表,$C10,J$2),  INDEX(十五音韻母對照表,$C10,J$2+1))</f>
        <v>im</v>
      </c>
      <c r="K10" s="103" t="str" cm="1">
        <f t="array" ref="K10" xml:space="preserve"> IF( $E10="舒聲",  INDEX(十五音韻母對照表,$C10,K$2),  INDEX(十五音韻母對照表,$C10,K$2+1))</f>
        <v>ㄧㆬ</v>
      </c>
    </row>
    <row r="11" spans="2:11" ht="30">
      <c r="B11" s="88">
        <v>6</v>
      </c>
      <c r="C11" s="88">
        <v>3</v>
      </c>
      <c r="D11" s="89" t="s">
        <v>147</v>
      </c>
      <c r="E11" s="89" t="s">
        <v>1120</v>
      </c>
      <c r="F11" s="103" t="str" cm="1">
        <f t="array" ref="F11" xml:space="preserve"> IF( $E11="舒聲",  INDEX(十五音韻母對照表,$C11,F$2),  INDEX(十五音韻母對照表,$C11,F$2+1))</f>
        <v>ip</v>
      </c>
      <c r="G11" s="103" t="str" cm="1">
        <f t="array" ref="G11" xml:space="preserve"> IF( $E11="舒聲",  INDEX(十五音韻母對照表,$C11,G$2),  INDEX(十五音韻母對照表,$C11,G$2+1))</f>
        <v>ip̚</v>
      </c>
      <c r="H11" s="103" t="str" cm="1">
        <f t="array" ref="H11" xml:space="preserve"> IF( $E11="舒聲",  INDEX(十五音韻母對照表,$C11,H$2),  INDEX(十五音韻母對照表,$C11,H$2+1))</f>
        <v>ip</v>
      </c>
      <c r="I11" s="103" t="str" cm="1">
        <f t="array" ref="I11" xml:space="preserve"> IF( $E11="舒聲",  INDEX(十五音韻母對照表,$C11,I$2),  INDEX(十五音韻母對照表,$C11,I$2+1))</f>
        <v>ip</v>
      </c>
      <c r="J11" s="103" t="str" cm="1">
        <f t="array" ref="J11" xml:space="preserve"> IF( $E11="舒聲",  INDEX(十五音韻母對照表,$C11,J$2),  INDEX(十五音韻母對照表,$C11,J$2+1))</f>
        <v>ip</v>
      </c>
      <c r="K11" s="103" t="str" cm="1">
        <f t="array" ref="K11" xml:space="preserve"> IF( $E11="舒聲",  INDEX(十五音韻母對照表,$C11,K$2),  INDEX(十五音韻母對照表,$C11,K$2+1))</f>
        <v>ㄧㆴ</v>
      </c>
    </row>
    <row r="12" spans="2:11" ht="30">
      <c r="B12" s="88">
        <v>7</v>
      </c>
      <c r="C12" s="88">
        <v>4</v>
      </c>
      <c r="D12" s="89" t="s">
        <v>153</v>
      </c>
      <c r="E12" s="89" t="s">
        <v>1119</v>
      </c>
      <c r="F12" s="103" t="str" cm="1">
        <f t="array" ref="F12" xml:space="preserve"> IF( $E12="舒聲",  INDEX(十五音韻母對照表,$C12,F$2),  INDEX(十五音韻母對照表,$C12,F$2+1))</f>
        <v>ui</v>
      </c>
      <c r="G12" s="103" t="str" cm="1">
        <f t="array" ref="G12" xml:space="preserve"> IF( $E12="舒聲",  INDEX(十五音韻母對照表,$C12,G$2),  INDEX(十五音韻母對照表,$C12,G$2+1))</f>
        <v>ui</v>
      </c>
      <c r="H12" s="103" t="str" cm="1">
        <f t="array" ref="H12" xml:space="preserve"> IF( $E12="舒聲",  INDEX(十五音韻母對照表,$C12,H$2),  INDEX(十五音韻母對照表,$C12,H$2+1))</f>
        <v>ui</v>
      </c>
      <c r="I12" s="103" t="str" cm="1">
        <f t="array" ref="I12" xml:space="preserve"> IF( $E12="舒聲",  INDEX(十五音韻母對照表,$C12,I$2),  INDEX(十五音韻母對照表,$C12,I$2+1))</f>
        <v>ui</v>
      </c>
      <c r="J12" s="103" t="str" cm="1">
        <f t="array" ref="J12" xml:space="preserve"> IF( $E12="舒聲",  INDEX(十五音韻母對照表,$C12,J$2),  INDEX(十五音韻母對照表,$C12,J$2+1))</f>
        <v>ui</v>
      </c>
      <c r="K12" s="103" t="str" cm="1">
        <f t="array" ref="K12" xml:space="preserve"> IF( $E12="舒聲",  INDEX(十五音韻母對照表,$C12,K$2),  INDEX(十五音韻母對照表,$C12,K$2+1))</f>
        <v>ㄨㄧ</v>
      </c>
    </row>
    <row r="13" spans="2:11" ht="30">
      <c r="B13" s="88">
        <v>8</v>
      </c>
      <c r="C13" s="88">
        <v>4</v>
      </c>
      <c r="D13" s="89" t="s">
        <v>153</v>
      </c>
      <c r="E13" s="89" t="s">
        <v>1120</v>
      </c>
      <c r="F13" s="103" t="str" cm="1">
        <f t="array" ref="F13" xml:space="preserve"> IF( $E13="舒聲",  INDEX(十五音韻母對照表,$C13,F$2),  INDEX(十五音韻母對照表,$C13,F$2+1))</f>
        <v>uih</v>
      </c>
      <c r="G13" s="103" t="str" cm="1">
        <f t="array" ref="G13" xml:space="preserve"> IF( $E13="舒聲",  INDEX(十五音韻母對照表,$C13,G$2),  INDEX(十五音韻母對照表,$C13,G$2+1))</f>
        <v>ui?</v>
      </c>
      <c r="H13" s="103" t="str" cm="1">
        <f t="array" ref="H13" xml:space="preserve"> IF( $E13="舒聲",  INDEX(十五音韻母對照表,$C13,H$2),  INDEX(十五音韻母對照表,$C13,H$2+1))</f>
        <v>uih</v>
      </c>
      <c r="I13" s="103" t="str" cm="1">
        <f t="array" ref="I13" xml:space="preserve"> IF( $E13="舒聲",  INDEX(十五音韻母對照表,$C13,I$2),  INDEX(十五音韻母對照表,$C13,I$2+1))</f>
        <v>uih</v>
      </c>
      <c r="J13" s="103" t="str" cm="1">
        <f t="array" ref="J13" xml:space="preserve"> IF( $E13="舒聲",  INDEX(十五音韻母對照表,$C13,J$2),  INDEX(十五音韻母對照表,$C13,J$2+1))</f>
        <v>uih</v>
      </c>
      <c r="K13" s="103" t="str" cm="1">
        <f t="array" ref="K13" xml:space="preserve"> IF( $E13="舒聲",  INDEX(十五音韻母對照表,$C13,K$2),  INDEX(十五音韻母對照表,$C13,K$2+1))</f>
        <v>ㄨㄧㆷ</v>
      </c>
    </row>
    <row r="14" spans="2:11" ht="30">
      <c r="B14" s="88">
        <v>9</v>
      </c>
      <c r="C14" s="88">
        <v>5</v>
      </c>
      <c r="D14" s="89" t="s">
        <v>159</v>
      </c>
      <c r="E14" s="89" t="s">
        <v>1119</v>
      </c>
      <c r="F14" s="103" t="str" cm="1">
        <f t="array" ref="F14" xml:space="preserve"> IF( $E14="舒聲",  INDEX(十五音韻母對照表,$C14,F$2),  INDEX(十五音韻母對照表,$C14,F$2+1))</f>
        <v>ee</v>
      </c>
      <c r="G14" s="103" t="str" cm="1">
        <f t="array" ref="G14" xml:space="preserve"> IF( $E14="舒聲",  INDEX(十五音韻母對照表,$C14,G$2),  INDEX(十五音韻母對照表,$C14,G$2+1))</f>
        <v>ɛ</v>
      </c>
      <c r="H14" s="103" t="str" cm="1">
        <f t="array" ref="H14" xml:space="preserve"> IF( $E14="舒聲",  INDEX(十五音韻母對照表,$C14,H$2),  INDEX(十五音韻母對照表,$C14,H$2+1))</f>
        <v>ee</v>
      </c>
      <c r="I14" s="103" t="str" cm="1">
        <f t="array" ref="I14" xml:space="preserve"> IF( $E14="舒聲",  INDEX(十五音韻母對照表,$C14,I$2),  INDEX(十五音韻母對照表,$C14,I$2+1))</f>
        <v>ee</v>
      </c>
      <c r="J14" s="103" t="str" cm="1">
        <f t="array" ref="J14" xml:space="preserve"> IF( $E14="舒聲",  INDEX(十五音韻母對照表,$C14,J$2),  INDEX(十五音韻母對照表,$C14,J$2+1))</f>
        <v>e</v>
      </c>
      <c r="K14" s="103" t="str" cm="1">
        <f t="array" ref="K14" xml:space="preserve"> IF( $E14="舒聲",  INDEX(十五音韻母對照表,$C14,K$2),  INDEX(十五音韻母對照表,$C14,K$2+1))</f>
        <v>ㄝ</v>
      </c>
    </row>
    <row r="15" spans="2:11" ht="30">
      <c r="B15" s="88">
        <v>10</v>
      </c>
      <c r="C15" s="88">
        <v>5</v>
      </c>
      <c r="D15" s="89" t="s">
        <v>159</v>
      </c>
      <c r="E15" s="89" t="s">
        <v>1120</v>
      </c>
      <c r="F15" s="103" t="str" cm="1">
        <f t="array" ref="F15" xml:space="preserve"> IF( $E15="舒聲",  INDEX(十五音韻母對照表,$C15,F$2),  INDEX(十五音韻母對照表,$C15,F$2+1))</f>
        <v>eeh</v>
      </c>
      <c r="G15" s="103" t="str" cm="1">
        <f t="array" ref="G15" xml:space="preserve"> IF( $E15="舒聲",  INDEX(十五音韻母對照表,$C15,G$2),  INDEX(十五音韻母對照表,$C15,G$2+1))</f>
        <v>ɛ?</v>
      </c>
      <c r="H15" s="103" t="str" cm="1">
        <f t="array" ref="H15" xml:space="preserve"> IF( $E15="舒聲",  INDEX(十五音韻母對照表,$C15,H$2),  INDEX(十五音韻母對照表,$C15,H$2+1))</f>
        <v>eeh</v>
      </c>
      <c r="I15" s="103" t="str" cm="1">
        <f t="array" ref="I15" xml:space="preserve"> IF( $E15="舒聲",  INDEX(十五音韻母對照表,$C15,I$2),  INDEX(十五音韻母對照表,$C15,I$2+1))</f>
        <v>eh</v>
      </c>
      <c r="J15" s="103" t="str" cm="1">
        <f t="array" ref="J15" xml:space="preserve"> IF( $E15="舒聲",  INDEX(十五音韻母對照表,$C15,J$2),  INDEX(十五音韻母對照表,$C15,J$2+1))</f>
        <v>eh</v>
      </c>
      <c r="K15" s="103" t="str" cm="1">
        <f t="array" ref="K15" xml:space="preserve"> IF( $E15="舒聲",  INDEX(十五音韻母對照表,$C15,K$2),  INDEX(十五音韻母對照表,$C15,K$2+1))</f>
        <v>ㄝㆷ</v>
      </c>
    </row>
    <row r="16" spans="2:11" ht="30">
      <c r="B16" s="88">
        <v>11</v>
      </c>
      <c r="C16" s="88">
        <v>6</v>
      </c>
      <c r="D16" s="89" t="s">
        <v>165</v>
      </c>
      <c r="E16" s="89" t="s">
        <v>1119</v>
      </c>
      <c r="F16" s="103" t="str" cm="1">
        <f t="array" ref="F16" xml:space="preserve"> IF( $E16="舒聲",  INDEX(十五音韻母對照表,$C16,F$2),  INDEX(十五音韻母對照表,$C16,F$2+1))</f>
        <v>an</v>
      </c>
      <c r="G16" s="103" t="str" cm="1">
        <f t="array" ref="G16" xml:space="preserve"> IF( $E16="舒聲",  INDEX(十五音韻母對照表,$C16,G$2),  INDEX(十五音韻母對照表,$C16,G$2+1))</f>
        <v>an</v>
      </c>
      <c r="H16" s="103" t="str" cm="1">
        <f t="array" ref="H16" xml:space="preserve"> IF( $E16="舒聲",  INDEX(十五音韻母對照表,$C16,H$2),  INDEX(十五音韻母對照表,$C16,H$2+1))</f>
        <v>an</v>
      </c>
      <c r="I16" s="103" t="str" cm="1">
        <f t="array" ref="I16" xml:space="preserve"> IF( $E16="舒聲",  INDEX(十五音韻母對照表,$C16,I$2),  INDEX(十五音韻母對照表,$C16,I$2+1))</f>
        <v>an</v>
      </c>
      <c r="J16" s="103" t="str" cm="1">
        <f t="array" ref="J16" xml:space="preserve"> IF( $E16="舒聲",  INDEX(十五音韻母對照表,$C16,J$2),  INDEX(十五音韻母對照表,$C16,J$2+1))</f>
        <v>an</v>
      </c>
      <c r="K16" s="103" t="str" cm="1">
        <f t="array" ref="K16" xml:space="preserve"> IF( $E16="舒聲",  INDEX(十五音韻母對照表,$C16,K$2),  INDEX(十五音韻母對照表,$C16,K$2+1))</f>
        <v>ㄢ</v>
      </c>
    </row>
    <row r="17" spans="2:11" ht="30">
      <c r="B17" s="88">
        <v>12</v>
      </c>
      <c r="C17" s="88">
        <v>6</v>
      </c>
      <c r="D17" s="89" t="s">
        <v>165</v>
      </c>
      <c r="E17" s="89" t="s">
        <v>1120</v>
      </c>
      <c r="F17" s="103" t="str" cm="1">
        <f t="array" ref="F17" xml:space="preserve"> IF( $E17="舒聲",  INDEX(十五音韻母對照表,$C17,F$2),  INDEX(十五音韻母對照表,$C17,F$2+1))</f>
        <v>at</v>
      </c>
      <c r="G17" s="103" t="str" cm="1">
        <f t="array" ref="G17" xml:space="preserve"> IF( $E17="舒聲",  INDEX(十五音韻母對照表,$C17,G$2),  INDEX(十五音韻母對照表,$C17,G$2+1))</f>
        <v>at̚</v>
      </c>
      <c r="H17" s="103" t="str" cm="1">
        <f t="array" ref="H17" xml:space="preserve"> IF( $E17="舒聲",  INDEX(十五音韻母對照表,$C17,H$2),  INDEX(十五音韻母對照表,$C17,H$2+1))</f>
        <v>at</v>
      </c>
      <c r="I17" s="103" t="str" cm="1">
        <f t="array" ref="I17" xml:space="preserve"> IF( $E17="舒聲",  INDEX(十五音韻母對照表,$C17,I$2),  INDEX(十五音韻母對照表,$C17,I$2+1))</f>
        <v>ap</v>
      </c>
      <c r="J17" s="103" t="str" cm="1">
        <f t="array" ref="J17" xml:space="preserve"> IF( $E17="舒聲",  INDEX(十五音韻母對照表,$C17,J$2),  INDEX(十五音韻母對照表,$C17,J$2+1))</f>
        <v>at</v>
      </c>
      <c r="K17" s="103" t="str" cm="1">
        <f t="array" ref="K17" xml:space="preserve"> IF( $E17="舒聲",  INDEX(十五音韻母對照表,$C17,K$2),  INDEX(十五音韻母對照表,$C17,K$2+1))</f>
        <v>ㄚㆵ</v>
      </c>
    </row>
    <row r="18" spans="2:11" ht="30">
      <c r="B18" s="88">
        <v>13</v>
      </c>
      <c r="C18" s="88">
        <v>7</v>
      </c>
      <c r="D18" s="89" t="s">
        <v>168</v>
      </c>
      <c r="E18" s="89" t="s">
        <v>1119</v>
      </c>
      <c r="F18" s="103" t="str" cm="1">
        <f t="array" ref="F18" xml:space="preserve"> IF( $E18="舒聲",  INDEX(十五音韻母對照表,$C18,F$2),  INDEX(十五音韻母對照表,$C18,F$2+1))</f>
        <v>ong</v>
      </c>
      <c r="G18" s="103" t="str" cm="1">
        <f t="array" ref="G18" xml:space="preserve"> IF( $E18="舒聲",  INDEX(十五音韻母對照表,$C18,G$2),  INDEX(十五音韻母對照表,$C18,G$2+1))</f>
        <v>ɔŋ</v>
      </c>
      <c r="H18" s="103" t="str" cm="1">
        <f t="array" ref="H18" xml:space="preserve"> IF( $E18="舒聲",  INDEX(十五音韻母對照表,$C18,H$2),  INDEX(十五音韻母對照表,$C18,H$2+1))</f>
        <v>ong</v>
      </c>
      <c r="I18" s="103" t="str" cm="1">
        <f t="array" ref="I18" xml:space="preserve"> IF( $E18="舒聲",  INDEX(十五音韻母對照表,$C18,I$2),  INDEX(十五音韻母對照表,$C18,I$2+1))</f>
        <v>ong</v>
      </c>
      <c r="J18" s="103" t="str" cm="1">
        <f t="array" ref="J18" xml:space="preserve"> IF( $E18="舒聲",  INDEX(十五音韻母對照表,$C18,J$2),  INDEX(十五音韻母對照表,$C18,J$2+1))</f>
        <v>ong</v>
      </c>
      <c r="K18" s="103" t="str" cm="1">
        <f t="array" ref="K18" xml:space="preserve"> IF( $E18="舒聲",  INDEX(十五音韻母對照表,$C18,K$2),  INDEX(十五音韻母對照表,$C18,K$2+1))</f>
        <v>ㆲ</v>
      </c>
    </row>
    <row r="19" spans="2:11" ht="30">
      <c r="B19" s="88">
        <v>14</v>
      </c>
      <c r="C19" s="88">
        <v>7</v>
      </c>
      <c r="D19" s="89" t="s">
        <v>168</v>
      </c>
      <c r="E19" s="89" t="s">
        <v>1120</v>
      </c>
      <c r="F19" s="103" t="str" cm="1">
        <f t="array" ref="F19" xml:space="preserve"> IF( $E19="舒聲",  INDEX(十五音韻母對照表,$C19,F$2),  INDEX(十五音韻母對照表,$C19,F$2+1))</f>
        <v>ok</v>
      </c>
      <c r="G19" s="103" t="str" cm="1">
        <f t="array" ref="G19" xml:space="preserve"> IF( $E19="舒聲",  INDEX(十五音韻母對照表,$C19,G$2),  INDEX(十五音韻母對照表,$C19,G$2+1))</f>
        <v>ɔk̚</v>
      </c>
      <c r="H19" s="103" t="str" cm="1">
        <f t="array" ref="H19" xml:space="preserve"> IF( $E19="舒聲",  INDEX(十五音韻母對照表,$C19,H$2),  INDEX(十五音韻母對照表,$C19,H$2+1))</f>
        <v>ok</v>
      </c>
      <c r="I19" s="103" t="str" cm="1">
        <f t="array" ref="I19" xml:space="preserve"> IF( $E19="舒聲",  INDEX(十五音韻母對照表,$C19,I$2),  INDEX(十五音韻母對照表,$C19,I$2+1))</f>
        <v>ok</v>
      </c>
      <c r="J19" s="103" t="str" cm="1">
        <f t="array" ref="J19" xml:space="preserve"> IF( $E19="舒聲",  INDEX(十五音韻母對照表,$C19,J$2),  INDEX(十五音韻母對照表,$C19,J$2+1))</f>
        <v>ok</v>
      </c>
      <c r="K19" s="103" t="str" cm="1">
        <f t="array" ref="K19" xml:space="preserve"> IF( $E19="舒聲",  INDEX(十五音韻母對照表,$C19,K$2),  INDEX(十五音韻母對照表,$C19,K$2+1))</f>
        <v>ㆦㆻ</v>
      </c>
    </row>
    <row r="20" spans="2:11" ht="30">
      <c r="B20" s="88">
        <v>15</v>
      </c>
      <c r="C20" s="88">
        <v>8</v>
      </c>
      <c r="D20" s="89" t="s">
        <v>174</v>
      </c>
      <c r="E20" s="89" t="s">
        <v>1119</v>
      </c>
      <c r="F20" s="103" t="str" cm="1">
        <f t="array" ref="F20" xml:space="preserve"> IF( $E20="舒聲",  INDEX(十五音韻母對照表,$C20,F$2),  INDEX(十五音韻母對照表,$C20,F$2+1))</f>
        <v>uai</v>
      </c>
      <c r="G20" s="103" t="str" cm="1">
        <f t="array" ref="G20" xml:space="preserve"> IF( $E20="舒聲",  INDEX(十五音韻母對照表,$C20,G$2),  INDEX(十五音韻母對照表,$C20,G$2+1))</f>
        <v>uai</v>
      </c>
      <c r="H20" s="103" t="str" cm="1">
        <f t="array" ref="H20" xml:space="preserve"> IF( $E20="舒聲",  INDEX(十五音韻母對照表,$C20,H$2),  INDEX(十五音韻母對照表,$C20,H$2+1))</f>
        <v>oai</v>
      </c>
      <c r="I20" s="103" t="str" cm="1">
        <f t="array" ref="I20" xml:space="preserve"> IF( $E20="舒聲",  INDEX(十五音韻母對照表,$C20,I$2),  INDEX(十五音韻母對照表,$C20,I$2+1))</f>
        <v>uai</v>
      </c>
      <c r="J20" s="103" t="str" cm="1">
        <f t="array" ref="J20" xml:space="preserve"> IF( $E20="舒聲",  INDEX(十五音韻母對照表,$C20,J$2),  INDEX(十五音韻母對照表,$C20,J$2+1))</f>
        <v>uai</v>
      </c>
      <c r="K20" s="103" t="str" cm="1">
        <f t="array" ref="K20" xml:space="preserve"> IF( $E20="舒聲",  INDEX(十五音韻母對照表,$C20,K$2),  INDEX(十五音韻母對照表,$C20,K$2+1))</f>
        <v>ㄨㄞ</v>
      </c>
    </row>
    <row r="21" spans="2:11" ht="30">
      <c r="B21" s="88">
        <v>16</v>
      </c>
      <c r="C21" s="88">
        <v>8</v>
      </c>
      <c r="D21" s="89" t="s">
        <v>174</v>
      </c>
      <c r="E21" s="89" t="s">
        <v>1120</v>
      </c>
      <c r="F21" s="103" t="str" cm="1">
        <f t="array" ref="F21" xml:space="preserve"> IF( $E21="舒聲",  INDEX(十五音韻母對照表,$C21,F$2),  INDEX(十五音韻母對照表,$C21,F$2+1))</f>
        <v>uaih</v>
      </c>
      <c r="G21" s="103" t="str" cm="1">
        <f t="array" ref="G21" xml:space="preserve"> IF( $E21="舒聲",  INDEX(十五音韻母對照表,$C21,G$2),  INDEX(十五音韻母對照表,$C21,G$2+1))</f>
        <v>uai?</v>
      </c>
      <c r="H21" s="103" t="str" cm="1">
        <f t="array" ref="H21" xml:space="preserve"> IF( $E21="舒聲",  INDEX(十五音韻母對照表,$C21,H$2),  INDEX(十五音韻母對照表,$C21,H$2+1))</f>
        <v>oaih</v>
      </c>
      <c r="I21" s="103" t="str" cm="1">
        <f t="array" ref="I21" xml:space="preserve"> IF( $E21="舒聲",  INDEX(十五音韻母對照表,$C21,I$2),  INDEX(十五音韻母對照表,$C21,I$2+1))</f>
        <v>uaih</v>
      </c>
      <c r="J21" s="103" t="str" cm="1">
        <f t="array" ref="J21" xml:space="preserve"> IF( $E21="舒聲",  INDEX(十五音韻母對照表,$C21,J$2),  INDEX(十五音韻母對照表,$C21,J$2+1))</f>
        <v>uaih</v>
      </c>
      <c r="K21" s="103" t="str" cm="1">
        <f t="array" ref="K21" xml:space="preserve"> IF( $E21="舒聲",  INDEX(十五音韻母對照表,$C21,K$2),  INDEX(十五音韻母對照表,$C21,K$2+1))</f>
        <v>ㄨㄞㆷ</v>
      </c>
    </row>
    <row r="22" spans="2:11" ht="30">
      <c r="B22" s="88">
        <v>17</v>
      </c>
      <c r="C22" s="88">
        <v>9</v>
      </c>
      <c r="D22" s="89" t="s">
        <v>180</v>
      </c>
      <c r="E22" s="89" t="s">
        <v>1119</v>
      </c>
      <c r="F22" s="103" t="str" cm="1">
        <f t="array" ref="F22" xml:space="preserve"> IF( $E22="舒聲",  INDEX(十五音韻母對照表,$C22,F$2),  INDEX(十五音韻母對照表,$C22,F$2+1))</f>
        <v>ing</v>
      </c>
      <c r="G22" s="103" t="str" cm="1">
        <f t="array" ref="G22" xml:space="preserve"> IF( $E22="舒聲",  INDEX(十五音韻母對照表,$C22,G$2),  INDEX(十五音韻母對照表,$C22,G$2+1))</f>
        <v>ɪŋ</v>
      </c>
      <c r="H22" s="103" t="str" cm="1">
        <f t="array" ref="H22" xml:space="preserve"> IF( $E22="舒聲",  INDEX(十五音韻母對照表,$C22,H$2),  INDEX(十五音韻母對照表,$C22,H$2+1))</f>
        <v>eng</v>
      </c>
      <c r="I22" s="103" t="str" cm="1">
        <f t="array" ref="I22" xml:space="preserve"> IF( $E22="舒聲",  INDEX(十五音韻母對照表,$C22,I$2),  INDEX(十五音韻母對照表,$C22,I$2+1))</f>
        <v>ing</v>
      </c>
      <c r="J22" s="103" t="str" cm="1">
        <f t="array" ref="J22" xml:space="preserve"> IF( $E22="舒聲",  INDEX(十五音韻母對照表,$C22,J$2),  INDEX(十五音韻母對照表,$C22,J$2+1))</f>
        <v>ing</v>
      </c>
      <c r="K22" s="103" t="str" cm="1">
        <f t="array" ref="K22" xml:space="preserve"> IF( $E22="舒聲",  INDEX(十五音韻母對照表,$C22,K$2),  INDEX(十五音韻母對照表,$C22,K$2+1))</f>
        <v>ㄧㄥ</v>
      </c>
    </row>
    <row r="23" spans="2:11" ht="30">
      <c r="B23" s="88">
        <v>18</v>
      </c>
      <c r="C23" s="88">
        <v>9</v>
      </c>
      <c r="D23" s="89" t="s">
        <v>180</v>
      </c>
      <c r="E23" s="89" t="s">
        <v>1120</v>
      </c>
      <c r="F23" s="103" t="str" cm="1">
        <f t="array" ref="F23" xml:space="preserve"> IF( $E23="舒聲",  INDEX(十五音韻母對照表,$C23,F$2),  INDEX(十五音韻母對照表,$C23,F$2+1))</f>
        <v>ik</v>
      </c>
      <c r="G23" s="103" t="str" cm="1">
        <f t="array" ref="G23" xml:space="preserve"> IF( $E23="舒聲",  INDEX(十五音韻母對照表,$C23,G$2),  INDEX(十五音韻母對照表,$C23,G$2+1))</f>
        <v>ik̚</v>
      </c>
      <c r="H23" s="103" t="str" cm="1">
        <f t="array" ref="H23" xml:space="preserve"> IF( $E23="舒聲",  INDEX(十五音韻母對照表,$C23,H$2),  INDEX(十五音韻母對照表,$C23,H$2+1))</f>
        <v>ek</v>
      </c>
      <c r="I23" s="103" t="str" cm="1">
        <f t="array" ref="I23" xml:space="preserve"> IF( $E23="舒聲",  INDEX(十五音韻母對照表,$C23,I$2),  INDEX(十五音韻母對照表,$C23,I$2+1))</f>
        <v>ik</v>
      </c>
      <c r="J23" s="103" t="str" cm="1">
        <f t="array" ref="J23" xml:space="preserve"> IF( $E23="舒聲",  INDEX(十五音韻母對照表,$C23,J$2),  INDEX(十五音韻母對照表,$C23,J$2+1))</f>
        <v>ik</v>
      </c>
      <c r="K23" s="103" t="str" cm="1">
        <f t="array" ref="K23" xml:space="preserve"> IF( $E23="舒聲",  INDEX(十五音韻母對照表,$C23,K$2),  INDEX(十五音韻母對照表,$C23,K$2+1))</f>
        <v>ㄧㆻ</v>
      </c>
    </row>
    <row r="24" spans="2:11" ht="30">
      <c r="B24" s="88">
        <v>19</v>
      </c>
      <c r="C24" s="88">
        <v>10</v>
      </c>
      <c r="D24" s="89" t="s">
        <v>186</v>
      </c>
      <c r="E24" s="89" t="s">
        <v>1119</v>
      </c>
      <c r="F24" s="103" t="str" cm="1">
        <f t="array" ref="F24" xml:space="preserve"> IF( $E24="舒聲",  INDEX(十五音韻母對照表,$C24,F$2),  INDEX(十五音韻母對照表,$C24,F$2+1))</f>
        <v>uan</v>
      </c>
      <c r="G24" s="103" t="str" cm="1">
        <f t="array" ref="G24" xml:space="preserve"> IF( $E24="舒聲",  INDEX(十五音韻母對照表,$C24,G$2),  INDEX(十五音韻母對照表,$C24,G$2+1))</f>
        <v>uan</v>
      </c>
      <c r="H24" s="103" t="str" cm="1">
        <f t="array" ref="H24" xml:space="preserve"> IF( $E24="舒聲",  INDEX(十五音韻母對照表,$C24,H$2),  INDEX(十五音韻母對照表,$C24,H$2+1))</f>
        <v>oan</v>
      </c>
      <c r="I24" s="103" t="str" cm="1">
        <f t="array" ref="I24" xml:space="preserve"> IF( $E24="舒聲",  INDEX(十五音韻母對照表,$C24,I$2),  INDEX(十五音韻母對照表,$C24,I$2+1))</f>
        <v>uan</v>
      </c>
      <c r="J24" s="103" t="str" cm="1">
        <f t="array" ref="J24" xml:space="preserve"> IF( $E24="舒聲",  INDEX(十五音韻母對照表,$C24,J$2),  INDEX(十五音韻母對照表,$C24,J$2+1))</f>
        <v>uan</v>
      </c>
      <c r="K24" s="103" t="str" cm="1">
        <f t="array" ref="K24" xml:space="preserve"> IF( $E24="舒聲",  INDEX(十五音韻母對照表,$C24,K$2),  INDEX(十五音韻母對照表,$C24,K$2+1))</f>
        <v>ㄨㄢ</v>
      </c>
    </row>
    <row r="25" spans="2:11" ht="30">
      <c r="B25" s="88">
        <v>20</v>
      </c>
      <c r="C25" s="88">
        <v>10</v>
      </c>
      <c r="D25" s="89" t="s">
        <v>186</v>
      </c>
      <c r="E25" s="89" t="s">
        <v>1120</v>
      </c>
      <c r="F25" s="103" t="str" cm="1">
        <f t="array" ref="F25" xml:space="preserve"> IF( $E25="舒聲",  INDEX(十五音韻母對照表,$C25,F$2),  INDEX(十五音韻母對照表,$C25,F$2+1))</f>
        <v>uat</v>
      </c>
      <c r="G25" s="103" t="str" cm="1">
        <f t="array" ref="G25" xml:space="preserve"> IF( $E25="舒聲",  INDEX(十五音韻母對照表,$C25,G$2),  INDEX(十五音韻母對照表,$C25,G$2+1))</f>
        <v>uat̚</v>
      </c>
      <c r="H25" s="103" t="str" cm="1">
        <f t="array" ref="H25" xml:space="preserve"> IF( $E25="舒聲",  INDEX(十五音韻母對照表,$C25,H$2),  INDEX(十五音韻母對照表,$C25,H$2+1))</f>
        <v>oat</v>
      </c>
      <c r="I25" s="103" t="str" cm="1">
        <f t="array" ref="I25" xml:space="preserve"> IF( $E25="舒聲",  INDEX(十五音韻母對照表,$C25,I$2),  INDEX(十五音韻母對照表,$C25,I$2+1))</f>
        <v>uat</v>
      </c>
      <c r="J25" s="103" t="str" cm="1">
        <f t="array" ref="J25" xml:space="preserve"> IF( $E25="舒聲",  INDEX(十五音韻母對照表,$C25,J$2),  INDEX(十五音韻母對照表,$C25,J$2+1))</f>
        <v>uat</v>
      </c>
      <c r="K25" s="103" t="str" cm="1">
        <f t="array" ref="K25" xml:space="preserve"> IF( $E25="舒聲",  INDEX(十五音韻母對照表,$C25,K$2),  INDEX(十五音韻母對照表,$C25,K$2+1))</f>
        <v>ㄨㄚㆵ</v>
      </c>
    </row>
    <row r="26" spans="2:11" ht="30">
      <c r="B26" s="88">
        <v>21</v>
      </c>
      <c r="C26" s="88">
        <v>11</v>
      </c>
      <c r="D26" s="89" t="s">
        <v>190</v>
      </c>
      <c r="E26" s="89" t="s">
        <v>1119</v>
      </c>
      <c r="F26" s="103" t="str" cm="1">
        <f t="array" ref="F26" xml:space="preserve"> IF( $E26="舒聲",  INDEX(十五音韻母對照表,$C26,F$2),  INDEX(十五音韻母對照表,$C26,F$2+1))</f>
        <v>oo</v>
      </c>
      <c r="G26" s="103" t="str" cm="1">
        <f t="array" ref="G26" xml:space="preserve"> IF( $E26="舒聲",  INDEX(十五音韻母對照表,$C26,G$2),  INDEX(十五音韻母對照表,$C26,G$2+1))</f>
        <v>ou</v>
      </c>
      <c r="H26" s="103" t="str" cm="1">
        <f t="array" ref="H26" xml:space="preserve"> IF( $E26="舒聲",  INDEX(十五音韻母對照表,$C26,H$2),  INDEX(十五音韻母對照表,$C26,H$2+1))</f>
        <v>o͘</v>
      </c>
      <c r="I26" s="103" t="str" cm="1">
        <f t="array" ref="I26" xml:space="preserve"> IF( $E26="舒聲",  INDEX(十五音韻母對照表,$C26,I$2),  INDEX(十五音韻母對照表,$C26,I$2+1))</f>
        <v>oo</v>
      </c>
      <c r="J26" s="103" t="str" cm="1">
        <f t="array" ref="J26" xml:space="preserve"> IF( $E26="舒聲",  INDEX(十五音韻母對照表,$C26,J$2),  INDEX(十五音韻母對照表,$C26,J$2+1))</f>
        <v>oo</v>
      </c>
      <c r="K26" s="103" t="str" cm="1">
        <f t="array" ref="K26" xml:space="preserve"> IF( $E26="舒聲",  INDEX(十五音韻母對照表,$C26,K$2),  INDEX(十五音韻母對照表,$C26,K$2+1))</f>
        <v>ㆦ</v>
      </c>
    </row>
    <row r="27" spans="2:11" ht="30">
      <c r="B27" s="88">
        <v>22</v>
      </c>
      <c r="C27" s="88">
        <v>11</v>
      </c>
      <c r="D27" s="89" t="s">
        <v>190</v>
      </c>
      <c r="E27" s="89" t="s">
        <v>1120</v>
      </c>
      <c r="F27" s="103" t="str" cm="1">
        <f t="array" ref="F27" xml:space="preserve"> IF( $E27="舒聲",  INDEX(十五音韻母對照表,$C27,F$2),  INDEX(十五音韻母對照表,$C27,F$2+1))</f>
        <v>ooh</v>
      </c>
      <c r="G27" s="103" t="str" cm="1">
        <f t="array" ref="G27" xml:space="preserve"> IF( $E27="舒聲",  INDEX(十五音韻母對照表,$C27,G$2),  INDEX(十五音韻母對照表,$C27,G$2+1))</f>
        <v>ou?</v>
      </c>
      <c r="H27" s="103" t="str" cm="1">
        <f t="array" ref="H27" xml:space="preserve"> IF( $E27="舒聲",  INDEX(十五音韻母對照表,$C27,H$2),  INDEX(十五音韻母對照表,$C27,H$2+1))</f>
        <v>o͘h</v>
      </c>
      <c r="I27" s="103" t="str" cm="1">
        <f t="array" ref="I27" xml:space="preserve"> IF( $E27="舒聲",  INDEX(十五音韻母對照表,$C27,I$2),  INDEX(十五音韻母對照表,$C27,I$2+1))</f>
        <v>ooh</v>
      </c>
      <c r="J27" s="103" t="str" cm="1">
        <f t="array" ref="J27" xml:space="preserve"> IF( $E27="舒聲",  INDEX(十五音韻母對照表,$C27,J$2),  INDEX(十五音韻母對照表,$C27,J$2+1))</f>
        <v>ooh</v>
      </c>
      <c r="K27" s="103" t="str" cm="1">
        <f t="array" ref="K27" xml:space="preserve"> IF( $E27="舒聲",  INDEX(十五音韻母對照表,$C27,K$2),  INDEX(十五音韻母對照表,$C27,K$2+1))</f>
        <v>ㆦㆷ</v>
      </c>
    </row>
    <row r="28" spans="2:11" ht="30">
      <c r="B28" s="88">
        <v>23</v>
      </c>
      <c r="C28" s="88">
        <v>12</v>
      </c>
      <c r="D28" s="89" t="s">
        <v>196</v>
      </c>
      <c r="E28" s="89" t="s">
        <v>1119</v>
      </c>
      <c r="F28" s="103" t="str" cm="1">
        <f t="array" ref="F28" xml:space="preserve"> IF( $E28="舒聲",  INDEX(十五音韻母對照表,$C28,F$2),  INDEX(十五音韻母對照表,$C28,F$2+1))</f>
        <v>iau</v>
      </c>
      <c r="G28" s="103" t="str" cm="1">
        <f t="array" ref="G28" xml:space="preserve"> IF( $E28="舒聲",  INDEX(十五音韻母對照表,$C28,G$2),  INDEX(十五音韻母對照表,$C28,G$2+1))</f>
        <v>iau</v>
      </c>
      <c r="H28" s="103" t="str" cm="1">
        <f t="array" ref="H28" xml:space="preserve"> IF( $E28="舒聲",  INDEX(十五音韻母對照表,$C28,H$2),  INDEX(十五音韻母對照表,$C28,H$2+1))</f>
        <v>iau</v>
      </c>
      <c r="I28" s="103" t="str" cm="1">
        <f t="array" ref="I28" xml:space="preserve"> IF( $E28="舒聲",  INDEX(十五音韻母對照表,$C28,I$2),  INDEX(十五音韻母對照表,$C28,I$2+1))</f>
        <v>iau</v>
      </c>
      <c r="J28" s="103" t="str" cm="1">
        <f t="array" ref="J28" xml:space="preserve"> IF( $E28="舒聲",  INDEX(十五音韻母對照表,$C28,J$2),  INDEX(十五音韻母對照表,$C28,J$2+1))</f>
        <v>iao</v>
      </c>
      <c r="K28" s="103" t="str" cm="1">
        <f t="array" ref="K28" xml:space="preserve"> IF( $E28="舒聲",  INDEX(十五音韻母對照表,$C28,K$2),  INDEX(十五音韻母對照表,$C28,K$2+1))</f>
        <v>ㄧㄠ</v>
      </c>
    </row>
    <row r="29" spans="2:11" ht="30">
      <c r="B29" s="88">
        <v>24</v>
      </c>
      <c r="C29" s="88">
        <v>12</v>
      </c>
      <c r="D29" s="89" t="s">
        <v>196</v>
      </c>
      <c r="E29" s="89" t="s">
        <v>1120</v>
      </c>
      <c r="F29" s="103" t="str" cm="1">
        <f t="array" ref="F29" xml:space="preserve"> IF( $E29="舒聲",  INDEX(十五音韻母對照表,$C29,F$2),  INDEX(十五音韻母對照表,$C29,F$2+1))</f>
        <v>iauh</v>
      </c>
      <c r="G29" s="103" t="str" cm="1">
        <f t="array" ref="G29" xml:space="preserve"> IF( $E29="舒聲",  INDEX(十五音韻母對照表,$C29,G$2),  INDEX(十五音韻母對照表,$C29,G$2+1))</f>
        <v>iau?</v>
      </c>
      <c r="H29" s="103" t="str" cm="1">
        <f t="array" ref="H29" xml:space="preserve"> IF( $E29="舒聲",  INDEX(十五音韻母對照表,$C29,H$2),  INDEX(十五音韻母對照表,$C29,H$2+1))</f>
        <v>iauh</v>
      </c>
      <c r="I29" s="103" t="str" cm="1">
        <f t="array" ref="I29" xml:space="preserve"> IF( $E29="舒聲",  INDEX(十五音韻母對照表,$C29,I$2),  INDEX(十五音韻母對照表,$C29,I$2+1))</f>
        <v>iauh</v>
      </c>
      <c r="J29" s="103" t="str" cm="1">
        <f t="array" ref="J29" xml:space="preserve"> IF( $E29="舒聲",  INDEX(十五音韻母對照表,$C29,J$2),  INDEX(十五音韻母對照表,$C29,J$2+1))</f>
        <v>iaoh</v>
      </c>
      <c r="K29" s="103" t="str" cm="1">
        <f t="array" ref="K29" xml:space="preserve"> IF( $E29="舒聲",  INDEX(十五音韻母對照表,$C29,K$2),  INDEX(十五音韻母對照表,$C29,K$2+1))</f>
        <v>ㄧㄠㆷ</v>
      </c>
    </row>
    <row r="30" spans="2:11" ht="30">
      <c r="B30" s="88">
        <v>25</v>
      </c>
      <c r="C30" s="88">
        <v>13</v>
      </c>
      <c r="D30" s="89" t="s">
        <v>206</v>
      </c>
      <c r="E30" s="89" t="s">
        <v>1119</v>
      </c>
      <c r="F30" s="103" t="str" cm="1">
        <f t="array" ref="F30" xml:space="preserve"> IF( $E30="舒聲",  INDEX(十五音韻母對照表,$C30,F$2),  INDEX(十五音韻母對照表,$C30,F$2+1))</f>
        <v>ei</v>
      </c>
      <c r="G30" s="103" t="str" cm="1">
        <f t="array" ref="G30" xml:space="preserve"> IF( $E30="舒聲",  INDEX(十五音韻母對照表,$C30,G$2),  INDEX(十五音韻母對照表,$C30,G$2+1))</f>
        <v>ei</v>
      </c>
      <c r="H30" s="103" t="str" cm="1">
        <f t="array" ref="H30" xml:space="preserve"> IF( $E30="舒聲",  INDEX(十五音韻母對照表,$C30,H$2),  INDEX(十五音韻母對照表,$C30,H$2+1))</f>
        <v>ei</v>
      </c>
      <c r="I30" s="103" t="str" cm="1">
        <f t="array" ref="I30" xml:space="preserve"> IF( $E30="舒聲",  INDEX(十五音韻母對照表,$C30,I$2),  INDEX(十五音韻母對照表,$C30,I$2+1))</f>
        <v>ei</v>
      </c>
      <c r="J30" s="103" t="str" cm="1">
        <f t="array" ref="J30" xml:space="preserve"> IF( $E30="舒聲",  INDEX(十五音韻母對照表,$C30,J$2),  INDEX(十五音韻母對照表,$C30,J$2+1))</f>
        <v>e</v>
      </c>
      <c r="K30" s="103" t="str" cm="1">
        <f t="array" ref="K30" xml:space="preserve"> IF( $E30="舒聲",  INDEX(十五音韻母對照表,$C30,K$2),  INDEX(十五音韻母對照表,$C30,K$2+1))</f>
        <v>ㄟ</v>
      </c>
    </row>
    <row r="31" spans="2:11" ht="30">
      <c r="B31" s="88">
        <v>26</v>
      </c>
      <c r="C31" s="88">
        <v>13</v>
      </c>
      <c r="D31" s="89" t="s">
        <v>206</v>
      </c>
      <c r="E31" s="89" t="s">
        <v>1120</v>
      </c>
      <c r="F31" s="103" t="str" cm="1">
        <f t="array" ref="F31" xml:space="preserve"> IF( $E31="舒聲",  INDEX(十五音韻母對照表,$C31,F$2),  INDEX(十五音韻母對照表,$C31,F$2+1))</f>
        <v>eih</v>
      </c>
      <c r="G31" s="103" t="str" cm="1">
        <f t="array" ref="G31" xml:space="preserve"> IF( $E31="舒聲",  INDEX(十五音韻母對照表,$C31,G$2),  INDEX(十五音韻母對照表,$C31,G$2+1))</f>
        <v>ei?</v>
      </c>
      <c r="H31" s="103" t="str" cm="1">
        <f t="array" ref="H31" xml:space="preserve"> IF( $E31="舒聲",  INDEX(十五音韻母對照表,$C31,H$2),  INDEX(十五音韻母對照表,$C31,H$2+1))</f>
        <v>eih</v>
      </c>
      <c r="I31" s="103" t="str" cm="1">
        <f t="array" ref="I31" xml:space="preserve"> IF( $E31="舒聲",  INDEX(十五音韻母對照表,$C31,I$2),  INDEX(十五音韻母對照表,$C31,I$2+1))</f>
        <v>eih</v>
      </c>
      <c r="J31" s="103" t="str" cm="1">
        <f t="array" ref="J31" xml:space="preserve"> IF( $E31="舒聲",  INDEX(十五音韻母對照表,$C31,J$2),  INDEX(十五音韻母對照表,$C31,J$2+1))</f>
        <v>eh</v>
      </c>
      <c r="K31" s="103" t="str" cm="1">
        <f t="array" ref="K31" xml:space="preserve"> IF( $E31="舒聲",  INDEX(十五音韻母對照表,$C31,K$2),  INDEX(十五音韻母對照表,$C31,K$2+1))</f>
        <v>ㄟㆷ</v>
      </c>
    </row>
    <row r="32" spans="2:11" ht="30">
      <c r="B32" s="88">
        <v>27</v>
      </c>
      <c r="C32" s="88">
        <v>14</v>
      </c>
      <c r="D32" s="89" t="s">
        <v>208</v>
      </c>
      <c r="E32" s="89" t="s">
        <v>1119</v>
      </c>
      <c r="F32" s="103" t="str" cm="1">
        <f t="array" ref="F32" xml:space="preserve"> IF( $E32="舒聲",  INDEX(十五音韻母對照表,$C32,F$2),  INDEX(十五音韻母對照表,$C32,F$2+1))</f>
        <v>iong</v>
      </c>
      <c r="G32" s="103" t="str" cm="1">
        <f t="array" ref="G32" xml:space="preserve"> IF( $E32="舒聲",  INDEX(十五音韻母對照表,$C32,G$2),  INDEX(十五音韻母對照表,$C32,G$2+1))</f>
        <v>iɔŋ</v>
      </c>
      <c r="H32" s="103" t="str" cm="1">
        <f t="array" ref="H32" xml:space="preserve"> IF( $E32="舒聲",  INDEX(十五音韻母對照表,$C32,H$2),  INDEX(十五音韻母對照表,$C32,H$2+1))</f>
        <v>iong</v>
      </c>
      <c r="I32" s="103" t="str" cm="1">
        <f t="array" ref="I32" xml:space="preserve"> IF( $E32="舒聲",  INDEX(十五音韻母對照表,$C32,I$2),  INDEX(十五音韻母對照表,$C32,I$2+1))</f>
        <v>iong</v>
      </c>
      <c r="J32" s="103" t="str" cm="1">
        <f t="array" ref="J32" xml:space="preserve"> IF( $E32="舒聲",  INDEX(十五音韻母對照表,$C32,J$2),  INDEX(十五音韻母對照表,$C32,J$2+1))</f>
        <v>iong</v>
      </c>
      <c r="K32" s="103" t="str" cm="1">
        <f t="array" ref="K32" xml:space="preserve"> IF( $E32="舒聲",  INDEX(十五音韻母對照表,$C32,K$2),  INDEX(十五音韻母對照表,$C32,K$2+1))</f>
        <v>ㄧㆲ</v>
      </c>
    </row>
    <row r="33" spans="2:11" ht="30">
      <c r="B33" s="88">
        <v>28</v>
      </c>
      <c r="C33" s="88">
        <v>14</v>
      </c>
      <c r="D33" s="89" t="s">
        <v>208</v>
      </c>
      <c r="E33" s="89" t="s">
        <v>1120</v>
      </c>
      <c r="F33" s="103" t="str" cm="1">
        <f t="array" ref="F33" xml:space="preserve"> IF( $E33="舒聲",  INDEX(十五音韻母對照表,$C33,F$2),  INDEX(十五音韻母對照表,$C33,F$2+1))</f>
        <v>iok</v>
      </c>
      <c r="G33" s="103" t="str" cm="1">
        <f t="array" ref="G33" xml:space="preserve"> IF( $E33="舒聲",  INDEX(十五音韻母對照表,$C33,G$2),  INDEX(十五音韻母對照表,$C33,G$2+1))</f>
        <v>iɔk̚</v>
      </c>
      <c r="H33" s="103" t="str" cm="1">
        <f t="array" ref="H33" xml:space="preserve"> IF( $E33="舒聲",  INDEX(十五音韻母對照表,$C33,H$2),  INDEX(十五音韻母對照表,$C33,H$2+1))</f>
        <v>iok</v>
      </c>
      <c r="I33" s="103" t="str" cm="1">
        <f t="array" ref="I33" xml:space="preserve"> IF( $E33="舒聲",  INDEX(十五音韻母對照表,$C33,I$2),  INDEX(十五音韻母對照表,$C33,I$2+1))</f>
        <v>iok</v>
      </c>
      <c r="J33" s="103" t="str" cm="1">
        <f t="array" ref="J33" xml:space="preserve"> IF( $E33="舒聲",  INDEX(十五音韻母對照表,$C33,J$2),  INDEX(十五音韻母對照表,$C33,J$2+1))</f>
        <v>iok</v>
      </c>
      <c r="K33" s="103" t="str" cm="1">
        <f t="array" ref="K33" xml:space="preserve"> IF( $E33="舒聲",  INDEX(十五音韻母對照表,$C33,K$2),  INDEX(十五音韻母對照表,$C33,K$2+1))</f>
        <v>ㄧㆦㆻ</v>
      </c>
    </row>
    <row r="34" spans="2:11" ht="30">
      <c r="B34" s="88">
        <v>29</v>
      </c>
      <c r="C34" s="88">
        <v>15</v>
      </c>
      <c r="D34" s="89" t="s">
        <v>214</v>
      </c>
      <c r="E34" s="89" t="s">
        <v>1119</v>
      </c>
      <c r="F34" s="103" t="str" cm="1">
        <f t="array" ref="F34" xml:space="preserve"> IF( $E34="舒聲",  INDEX(十五音韻母對照表,$C34,F$2),  INDEX(十五音韻母對照表,$C34,F$2+1))</f>
        <v>o</v>
      </c>
      <c r="G34" s="103" t="str" cm="1">
        <f t="array" ref="G34" xml:space="preserve"> IF( $E34="舒聲",  INDEX(十五音韻母對照表,$C34,G$2),  INDEX(十五音韻母對照表,$C34,G$2+1))</f>
        <v>o</v>
      </c>
      <c r="H34" s="103" t="str" cm="1">
        <f t="array" ref="H34" xml:space="preserve"> IF( $E34="舒聲",  INDEX(十五音韻母對照表,$C34,H$2),  INDEX(十五音韻母對照表,$C34,H$2+1))</f>
        <v>o</v>
      </c>
      <c r="I34" s="103" t="str" cm="1">
        <f t="array" ref="I34" xml:space="preserve"> IF( $E34="舒聲",  INDEX(十五音韻母對照表,$C34,I$2),  INDEX(十五音韻母對照表,$C34,I$2+1))</f>
        <v>o</v>
      </c>
      <c r="J34" s="103" t="str" cm="1">
        <f t="array" ref="J34" xml:space="preserve"> IF( $E34="舒聲",  INDEX(十五音韻母對照表,$C34,J$2),  INDEX(十五音韻母對照表,$C34,J$2+1))</f>
        <v>o</v>
      </c>
      <c r="K34" s="103" t="str" cm="1">
        <f t="array" ref="K34" xml:space="preserve"> IF( $E34="舒聲",  INDEX(十五音韻母對照表,$C34,K$2),  INDEX(十五音韻母對照表,$C34,K$2+1))</f>
        <v>ㄜ</v>
      </c>
    </row>
    <row r="35" spans="2:11" ht="30">
      <c r="B35" s="88">
        <v>30</v>
      </c>
      <c r="C35" s="88">
        <v>15</v>
      </c>
      <c r="D35" s="89" t="s">
        <v>214</v>
      </c>
      <c r="E35" s="89" t="s">
        <v>1120</v>
      </c>
      <c r="F35" s="103" t="str" cm="1">
        <f t="array" ref="F35" xml:space="preserve"> IF( $E35="舒聲",  INDEX(十五音韻母對照表,$C35,F$2),  INDEX(十五音韻母對照表,$C35,F$2+1))</f>
        <v>oh</v>
      </c>
      <c r="G35" s="103" t="str" cm="1">
        <f t="array" ref="G35" xml:space="preserve"> IF( $E35="舒聲",  INDEX(十五音韻母對照表,$C35,G$2),  INDEX(十五音韻母對照表,$C35,G$2+1))</f>
        <v>o?</v>
      </c>
      <c r="H35" s="103" t="str" cm="1">
        <f t="array" ref="H35" xml:space="preserve"> IF( $E35="舒聲",  INDEX(十五音韻母對照表,$C35,H$2),  INDEX(十五音韻母對照表,$C35,H$2+1))</f>
        <v>oh</v>
      </c>
      <c r="I35" s="103" t="str" cm="1">
        <f t="array" ref="I35" xml:space="preserve"> IF( $E35="舒聲",  INDEX(十五音韻母對照表,$C35,I$2),  INDEX(十五音韻母對照表,$C35,I$2+1))</f>
        <v>oh</v>
      </c>
      <c r="J35" s="103" t="str" cm="1">
        <f t="array" ref="J35" xml:space="preserve"> IF( $E35="舒聲",  INDEX(十五音韻母對照表,$C35,J$2),  INDEX(十五音韻母對照表,$C35,J$2+1))</f>
        <v>oh</v>
      </c>
      <c r="K35" s="103" t="str" cm="1">
        <f t="array" ref="K35" xml:space="preserve"> IF( $E35="舒聲",  INDEX(十五音韻母對照表,$C35,K$2),  INDEX(十五音韻母對照表,$C35,K$2+1))</f>
        <v>ㄜㆷ</v>
      </c>
    </row>
    <row r="36" spans="2:11" ht="30">
      <c r="B36" s="88">
        <v>31</v>
      </c>
      <c r="C36" s="88">
        <v>16</v>
      </c>
      <c r="D36" s="89" t="s">
        <v>150</v>
      </c>
      <c r="E36" s="89" t="s">
        <v>1119</v>
      </c>
      <c r="F36" s="103" t="str" cm="1">
        <f t="array" ref="F36" xml:space="preserve"> IF( $E36="舒聲",  INDEX(十五音韻母對照表,$C36,F$2),  INDEX(十五音韻母對照表,$C36,F$2+1))</f>
        <v>ai</v>
      </c>
      <c r="G36" s="103" t="str" cm="1">
        <f t="array" ref="G36" xml:space="preserve"> IF( $E36="舒聲",  INDEX(十五音韻母對照表,$C36,G$2),  INDEX(十五音韻母對照表,$C36,G$2+1))</f>
        <v>ai</v>
      </c>
      <c r="H36" s="103" t="str" cm="1">
        <f t="array" ref="H36" xml:space="preserve"> IF( $E36="舒聲",  INDEX(十五音韻母對照表,$C36,H$2),  INDEX(十五音韻母對照表,$C36,H$2+1))</f>
        <v>ai</v>
      </c>
      <c r="I36" s="103" t="str" cm="1">
        <f t="array" ref="I36" xml:space="preserve"> IF( $E36="舒聲",  INDEX(十五音韻母對照表,$C36,I$2),  INDEX(十五音韻母對照表,$C36,I$2+1))</f>
        <v>ai</v>
      </c>
      <c r="J36" s="103" t="str" cm="1">
        <f t="array" ref="J36" xml:space="preserve"> IF( $E36="舒聲",  INDEX(十五音韻母對照表,$C36,J$2),  INDEX(十五音韻母對照表,$C36,J$2+1))</f>
        <v>ai</v>
      </c>
      <c r="K36" s="103" t="str" cm="1">
        <f t="array" ref="K36" xml:space="preserve"> IF( $E36="舒聲",  INDEX(十五音韻母對照表,$C36,K$2),  INDEX(十五音韻母對照表,$C36,K$2+1))</f>
        <v>ㄞ</v>
      </c>
    </row>
    <row r="37" spans="2:11" ht="30">
      <c r="B37" s="88">
        <v>32</v>
      </c>
      <c r="C37" s="88">
        <v>16</v>
      </c>
      <c r="D37" s="89" t="s">
        <v>150</v>
      </c>
      <c r="E37" s="89" t="s">
        <v>1120</v>
      </c>
      <c r="F37" s="103" t="str" cm="1">
        <f t="array" ref="F37" xml:space="preserve"> IF( $E37="舒聲",  INDEX(十五音韻母對照表,$C37,F$2),  INDEX(十五音韻母對照表,$C37,F$2+1))</f>
        <v>aih</v>
      </c>
      <c r="G37" s="103" t="str" cm="1">
        <f t="array" ref="G37" xml:space="preserve"> IF( $E37="舒聲",  INDEX(十五音韻母對照表,$C37,G$2),  INDEX(十五音韻母對照表,$C37,G$2+1))</f>
        <v>ai?</v>
      </c>
      <c r="H37" s="103" t="str" cm="1">
        <f t="array" ref="H37" xml:space="preserve"> IF( $E37="舒聲",  INDEX(十五音韻母對照表,$C37,H$2),  INDEX(十五音韻母對照表,$C37,H$2+1))</f>
        <v>aih</v>
      </c>
      <c r="I37" s="103" t="str" cm="1">
        <f t="array" ref="I37" xml:space="preserve"> IF( $E37="舒聲",  INDEX(十五音韻母對照表,$C37,I$2),  INDEX(十五音韻母對照表,$C37,I$2+1))</f>
        <v>aih</v>
      </c>
      <c r="J37" s="103" t="str" cm="1">
        <f t="array" ref="J37" xml:space="preserve"> IF( $E37="舒聲",  INDEX(十五音韻母對照表,$C37,J$2),  INDEX(十五音韻母對照表,$C37,J$2+1))</f>
        <v>aih</v>
      </c>
      <c r="K37" s="103" t="str" cm="1">
        <f t="array" ref="K37" xml:space="preserve"> IF( $E37="舒聲",  INDEX(十五音韻母對照表,$C37,K$2),  INDEX(十五音韻母對照表,$C37,K$2+1))</f>
        <v>ㄞㆷ</v>
      </c>
    </row>
    <row r="38" spans="2:11" ht="30">
      <c r="B38" s="88">
        <v>33</v>
      </c>
      <c r="C38" s="88">
        <v>17</v>
      </c>
      <c r="D38" s="89" t="s">
        <v>223</v>
      </c>
      <c r="E38" s="89" t="s">
        <v>1119</v>
      </c>
      <c r="F38" s="103" t="str" cm="1">
        <f t="array" ref="F38" xml:space="preserve"> IF( $E38="舒聲",  INDEX(十五音韻母對照表,$C38,F$2),  INDEX(十五音韻母對照表,$C38,F$2+1))</f>
        <v>in</v>
      </c>
      <c r="G38" s="103" t="str" cm="1">
        <f t="array" ref="G38" xml:space="preserve"> IF( $E38="舒聲",  INDEX(十五音韻母對照表,$C38,G$2),  INDEX(十五音韻母對照表,$C38,G$2+1))</f>
        <v>in</v>
      </c>
      <c r="H38" s="103" t="str" cm="1">
        <f t="array" ref="H38" xml:space="preserve"> IF( $E38="舒聲",  INDEX(十五音韻母對照表,$C38,H$2),  INDEX(十五音韻母對照表,$C38,H$2+1))</f>
        <v>in</v>
      </c>
      <c r="I38" s="103" t="str" cm="1">
        <f t="array" ref="I38" xml:space="preserve"> IF( $E38="舒聲",  INDEX(十五音韻母對照表,$C38,I$2),  INDEX(十五音韻母對照表,$C38,I$2+1))</f>
        <v>in</v>
      </c>
      <c r="J38" s="103" t="str" cm="1">
        <f t="array" ref="J38" xml:space="preserve"> IF( $E38="舒聲",  INDEX(十五音韻母對照表,$C38,J$2),  INDEX(十五音韻母對照表,$C38,J$2+1))</f>
        <v>in</v>
      </c>
      <c r="K38" s="103" t="str" cm="1">
        <f t="array" ref="K38" xml:space="preserve"> IF( $E38="舒聲",  INDEX(十五音韻母對照表,$C38,K$2),  INDEX(十五音韻母對照表,$C38,K$2+1))</f>
        <v>ㄧㄣ</v>
      </c>
    </row>
    <row r="39" spans="2:11" ht="30">
      <c r="B39" s="88">
        <v>34</v>
      </c>
      <c r="C39" s="88">
        <v>17</v>
      </c>
      <c r="D39" s="89" t="s">
        <v>223</v>
      </c>
      <c r="E39" s="89" t="s">
        <v>1120</v>
      </c>
      <c r="F39" s="103" t="str" cm="1">
        <f t="array" ref="F39" xml:space="preserve"> IF( $E39="舒聲",  INDEX(十五音韻母對照表,$C39,F$2),  INDEX(十五音韻母對照表,$C39,F$2+1))</f>
        <v>it</v>
      </c>
      <c r="G39" s="103" t="str" cm="1">
        <f t="array" ref="G39" xml:space="preserve"> IF( $E39="舒聲",  INDEX(十五音韻母對照表,$C39,G$2),  INDEX(十五音韻母對照表,$C39,G$2+1))</f>
        <v>it̚</v>
      </c>
      <c r="H39" s="103" t="str" cm="1">
        <f t="array" ref="H39" xml:space="preserve"> IF( $E39="舒聲",  INDEX(十五音韻母對照表,$C39,H$2),  INDEX(十五音韻母對照表,$C39,H$2+1))</f>
        <v>it</v>
      </c>
      <c r="I39" s="103" t="str" cm="1">
        <f t="array" ref="I39" xml:space="preserve"> IF( $E39="舒聲",  INDEX(十五音韻母對照表,$C39,I$2),  INDEX(十五音韻母對照表,$C39,I$2+1))</f>
        <v>it</v>
      </c>
      <c r="J39" s="103" t="str" cm="1">
        <f t="array" ref="J39" xml:space="preserve"> IF( $E39="舒聲",  INDEX(十五音韻母對照表,$C39,J$2),  INDEX(十五音韻母對照表,$C39,J$2+1))</f>
        <v>it</v>
      </c>
      <c r="K39" s="103" t="str" cm="1">
        <f t="array" ref="K39" xml:space="preserve"> IF( $E39="舒聲",  INDEX(十五音韻母對照表,$C39,K$2),  INDEX(十五音韻母對照表,$C39,K$2+1))</f>
        <v>ㄧㆵ</v>
      </c>
    </row>
    <row r="40" spans="2:11" ht="30">
      <c r="B40" s="88">
        <v>35</v>
      </c>
      <c r="C40" s="88">
        <v>18</v>
      </c>
      <c r="D40" s="89" t="s">
        <v>226</v>
      </c>
      <c r="E40" s="89" t="s">
        <v>1119</v>
      </c>
      <c r="F40" s="103" t="str" cm="1">
        <f t="array" ref="F40" xml:space="preserve"> IF( $E40="舒聲",  INDEX(十五音韻母對照表,$C40,F$2),  INDEX(十五音韻母對照表,$C40,F$2+1))</f>
        <v>iang</v>
      </c>
      <c r="G40" s="103" t="str" cm="1">
        <f t="array" ref="G40" xml:space="preserve"> IF( $E40="舒聲",  INDEX(十五音韻母對照表,$C40,G$2),  INDEX(十五音韻母對照表,$C40,G$2+1))</f>
        <v>iaŋ</v>
      </c>
      <c r="H40" s="103" t="str" cm="1">
        <f t="array" ref="H40" xml:space="preserve"> IF( $E40="舒聲",  INDEX(十五音韻母對照表,$C40,H$2),  INDEX(十五音韻母對照表,$C40,H$2+1))</f>
        <v>iang</v>
      </c>
      <c r="I40" s="103" t="str" cm="1">
        <f t="array" ref="I40" xml:space="preserve"> IF( $E40="舒聲",  INDEX(十五音韻母對照表,$C40,I$2),  INDEX(十五音韻母對照表,$C40,I$2+1))</f>
        <v>iang</v>
      </c>
      <c r="J40" s="103" t="str" cm="1">
        <f t="array" ref="J40" xml:space="preserve"> IF( $E40="舒聲",  INDEX(十五音韻母對照表,$C40,J$2),  INDEX(十五音韻母對照表,$C40,J$2+1))</f>
        <v>iang</v>
      </c>
      <c r="K40" s="103" t="str" cm="1">
        <f t="array" ref="K40" xml:space="preserve"> IF( $E40="舒聲",  INDEX(十五音韻母對照表,$C40,K$2),  INDEX(十五音韻母對照表,$C40,K$2+1))</f>
        <v>ㄧㄤ</v>
      </c>
    </row>
    <row r="41" spans="2:11" ht="30">
      <c r="B41" s="88">
        <v>36</v>
      </c>
      <c r="C41" s="88">
        <v>18</v>
      </c>
      <c r="D41" s="89" t="s">
        <v>226</v>
      </c>
      <c r="E41" s="89" t="s">
        <v>1120</v>
      </c>
      <c r="F41" s="103" t="str" cm="1">
        <f t="array" ref="F41" xml:space="preserve"> IF( $E41="舒聲",  INDEX(十五音韻母對照表,$C41,F$2),  INDEX(十五音韻母對照表,$C41,F$2+1))</f>
        <v>iak</v>
      </c>
      <c r="G41" s="103" t="str" cm="1">
        <f t="array" ref="G41" xml:space="preserve"> IF( $E41="舒聲",  INDEX(十五音韻母對照表,$C41,G$2),  INDEX(十五音韻母對照表,$C41,G$2+1))</f>
        <v>iak̚</v>
      </c>
      <c r="H41" s="103" t="str" cm="1">
        <f t="array" ref="H41" xml:space="preserve"> IF( $E41="舒聲",  INDEX(十五音韻母對照表,$C41,H$2),  INDEX(十五音韻母對照表,$C41,H$2+1))</f>
        <v>iak</v>
      </c>
      <c r="I41" s="103" t="str" cm="1">
        <f t="array" ref="I41" xml:space="preserve"> IF( $E41="舒聲",  INDEX(十五音韻母對照表,$C41,I$2),  INDEX(十五音韻母對照表,$C41,I$2+1))</f>
        <v>iak</v>
      </c>
      <c r="J41" s="103" t="str" cm="1">
        <f t="array" ref="J41" xml:space="preserve"> IF( $E41="舒聲",  INDEX(十五音韻母對照表,$C41,J$2),  INDEX(十五音韻母對照表,$C41,J$2+1))</f>
        <v>iak</v>
      </c>
      <c r="K41" s="103" t="str" cm="1">
        <f t="array" ref="K41" xml:space="preserve"> IF( $E41="舒聲",  INDEX(十五音韻母對照表,$C41,K$2),  INDEX(十五音韻母對照表,$C41,K$2+1))</f>
        <v>ㄧㄚㆻ</v>
      </c>
    </row>
    <row r="42" spans="2:11" ht="30">
      <c r="B42" s="88">
        <v>37</v>
      </c>
      <c r="C42" s="88">
        <v>19</v>
      </c>
      <c r="D42" s="89" t="s">
        <v>162</v>
      </c>
      <c r="E42" s="89" t="s">
        <v>1119</v>
      </c>
      <c r="F42" s="103" t="str" cm="1">
        <f t="array" ref="F42" xml:space="preserve"> IF( $E42="舒聲",  INDEX(十五音韻母對照表,$C42,F$2),  INDEX(十五音韻母對照表,$C42,F$2+1))</f>
        <v>am</v>
      </c>
      <c r="G42" s="103" t="str" cm="1">
        <f t="array" ref="G42" xml:space="preserve"> IF( $E42="舒聲",  INDEX(十五音韻母對照表,$C42,G$2),  INDEX(十五音韻母對照表,$C42,G$2+1))</f>
        <v>am</v>
      </c>
      <c r="H42" s="103" t="str" cm="1">
        <f t="array" ref="H42" xml:space="preserve"> IF( $E42="舒聲",  INDEX(十五音韻母對照表,$C42,H$2),  INDEX(十五音韻母對照表,$C42,H$2+1))</f>
        <v>am</v>
      </c>
      <c r="I42" s="103" t="str" cm="1">
        <f t="array" ref="I42" xml:space="preserve"> IF( $E42="舒聲",  INDEX(十五音韻母對照表,$C42,I$2),  INDEX(十五音韻母對照表,$C42,I$2+1))</f>
        <v>am</v>
      </c>
      <c r="J42" s="103" t="str" cm="1">
        <f t="array" ref="J42" xml:space="preserve"> IF( $E42="舒聲",  INDEX(十五音韻母對照表,$C42,J$2),  INDEX(十五音韻母對照表,$C42,J$2+1))</f>
        <v>am</v>
      </c>
      <c r="K42" s="103" t="str" cm="1">
        <f t="array" ref="K42" xml:space="preserve"> IF( $E42="舒聲",  INDEX(十五音韻母對照表,$C42,K$2),  INDEX(十五音韻母對照表,$C42,K$2+1))</f>
        <v>ㆰ</v>
      </c>
    </row>
    <row r="43" spans="2:11" ht="30">
      <c r="B43" s="88">
        <v>38</v>
      </c>
      <c r="C43" s="88">
        <v>19</v>
      </c>
      <c r="D43" s="89" t="s">
        <v>162</v>
      </c>
      <c r="E43" s="89" t="s">
        <v>1120</v>
      </c>
      <c r="F43" s="103" t="str" cm="1">
        <f t="array" ref="F43" xml:space="preserve"> IF( $E43="舒聲",  INDEX(十五音韻母對照表,$C43,F$2),  INDEX(十五音韻母對照表,$C43,F$2+1))</f>
        <v>ap</v>
      </c>
      <c r="G43" s="103" t="str" cm="1">
        <f t="array" ref="G43" xml:space="preserve"> IF( $E43="舒聲",  INDEX(十五音韻母對照表,$C43,G$2),  INDEX(十五音韻母對照表,$C43,G$2+1))</f>
        <v>ap̚</v>
      </c>
      <c r="H43" s="103" t="str" cm="1">
        <f t="array" ref="H43" xml:space="preserve"> IF( $E43="舒聲",  INDEX(十五音韻母對照表,$C43,H$2),  INDEX(十五音韻母對照表,$C43,H$2+1))</f>
        <v>ap</v>
      </c>
      <c r="I43" s="103" t="str" cm="1">
        <f t="array" ref="I43" xml:space="preserve"> IF( $E43="舒聲",  INDEX(十五音韻母對照表,$C43,I$2),  INDEX(十五音韻母對照表,$C43,I$2+1))</f>
        <v>ap</v>
      </c>
      <c r="J43" s="103" t="str" cm="1">
        <f t="array" ref="J43" xml:space="preserve"> IF( $E43="舒聲",  INDEX(十五音韻母對照表,$C43,J$2),  INDEX(十五音韻母對照表,$C43,J$2+1))</f>
        <v>ap</v>
      </c>
      <c r="K43" s="103" t="str" cm="1">
        <f t="array" ref="K43" xml:space="preserve"> IF( $E43="舒聲",  INDEX(十五音韻母對照表,$C43,K$2),  INDEX(十五音韻母對照表,$C43,K$2+1))</f>
        <v>ㄚㆴ</v>
      </c>
    </row>
    <row r="44" spans="2:11" ht="30">
      <c r="B44" s="88">
        <v>39</v>
      </c>
      <c r="C44" s="88">
        <v>20</v>
      </c>
      <c r="D44" s="89" t="s">
        <v>229</v>
      </c>
      <c r="E44" s="89" t="s">
        <v>1119</v>
      </c>
      <c r="F44" s="103" t="str" cm="1">
        <f t="array" ref="F44" xml:space="preserve"> IF( $E44="舒聲",  INDEX(十五音韻母對照表,$C44,F$2),  INDEX(十五音韻母對照表,$C44,F$2+1))</f>
        <v>ua</v>
      </c>
      <c r="G44" s="103" t="str" cm="1">
        <f t="array" ref="G44" xml:space="preserve"> IF( $E44="舒聲",  INDEX(十五音韻母對照表,$C44,G$2),  INDEX(十五音韻母對照表,$C44,G$2+1))</f>
        <v>ua</v>
      </c>
      <c r="H44" s="103" t="str" cm="1">
        <f t="array" ref="H44" xml:space="preserve"> IF( $E44="舒聲",  INDEX(十五音韻母對照表,$C44,H$2),  INDEX(十五音韻母對照表,$C44,H$2+1))</f>
        <v>oa</v>
      </c>
      <c r="I44" s="103" t="str" cm="1">
        <f t="array" ref="I44" xml:space="preserve"> IF( $E44="舒聲",  INDEX(十五音韻母對照表,$C44,I$2),  INDEX(十五音韻母對照表,$C44,I$2+1))</f>
        <v>ua</v>
      </c>
      <c r="J44" s="103" t="str" cm="1">
        <f t="array" ref="J44" xml:space="preserve"> IF( $E44="舒聲",  INDEX(十五音韻母對照表,$C44,J$2),  INDEX(十五音韻母對照表,$C44,J$2+1))</f>
        <v>ua</v>
      </c>
      <c r="K44" s="103" t="str" cm="1">
        <f t="array" ref="K44" xml:space="preserve"> IF( $E44="舒聲",  INDEX(十五音韻母對照表,$C44,K$2),  INDEX(十五音韻母對照表,$C44,K$2+1))</f>
        <v>ㄨㄚ</v>
      </c>
    </row>
    <row r="45" spans="2:11" ht="30">
      <c r="B45" s="88">
        <v>40</v>
      </c>
      <c r="C45" s="88">
        <v>20</v>
      </c>
      <c r="D45" s="89" t="s">
        <v>229</v>
      </c>
      <c r="E45" s="89" t="s">
        <v>1120</v>
      </c>
      <c r="F45" s="103" t="str" cm="1">
        <f t="array" ref="F45" xml:space="preserve"> IF( $E45="舒聲",  INDEX(十五音韻母對照表,$C45,F$2),  INDEX(十五音韻母對照表,$C45,F$2+1))</f>
        <v>uah</v>
      </c>
      <c r="G45" s="103" t="str" cm="1">
        <f t="array" ref="G45" xml:space="preserve"> IF( $E45="舒聲",  INDEX(十五音韻母對照表,$C45,G$2),  INDEX(十五音韻母對照表,$C45,G$2+1))</f>
        <v>ua?</v>
      </c>
      <c r="H45" s="103" t="str" cm="1">
        <f t="array" ref="H45" xml:space="preserve"> IF( $E45="舒聲",  INDEX(十五音韻母對照表,$C45,H$2),  INDEX(十五音韻母對照表,$C45,H$2+1))</f>
        <v>oah</v>
      </c>
      <c r="I45" s="103" t="str" cm="1">
        <f t="array" ref="I45" xml:space="preserve"> IF( $E45="舒聲",  INDEX(十五音韻母對照表,$C45,I$2),  INDEX(十五音韻母對照表,$C45,I$2+1))</f>
        <v>uah</v>
      </c>
      <c r="J45" s="103" t="str" cm="1">
        <f t="array" ref="J45" xml:space="preserve"> IF( $E45="舒聲",  INDEX(十五音韻母對照表,$C45,J$2),  INDEX(十五音韻母對照表,$C45,J$2+1))</f>
        <v>uah</v>
      </c>
      <c r="K45" s="103" t="str" cm="1">
        <f t="array" ref="K45" xml:space="preserve"> IF( $E45="舒聲",  INDEX(十五音韻母對照表,$C45,K$2),  INDEX(十五音韻母對照表,$C45,K$2+1))</f>
        <v>ㄨㄚㆷ</v>
      </c>
    </row>
    <row r="46" spans="2:11" ht="30">
      <c r="B46" s="88">
        <v>41</v>
      </c>
      <c r="C46" s="88">
        <v>21</v>
      </c>
      <c r="D46" s="89" t="s">
        <v>171</v>
      </c>
      <c r="E46" s="89" t="s">
        <v>1119</v>
      </c>
      <c r="F46" s="103" t="str" cm="1">
        <f t="array" ref="F46" xml:space="preserve"> IF( $E46="舒聲",  INDEX(十五音韻母對照表,$C46,F$2),  INDEX(十五音韻母對照表,$C46,F$2+1))</f>
        <v>ang</v>
      </c>
      <c r="G46" s="103" t="str" cm="1">
        <f t="array" ref="G46" xml:space="preserve"> IF( $E46="舒聲",  INDEX(十五音韻母對照表,$C46,G$2),  INDEX(十五音韻母對照表,$C46,G$2+1))</f>
        <v>aŋ</v>
      </c>
      <c r="H46" s="103" t="str" cm="1">
        <f t="array" ref="H46" xml:space="preserve"> IF( $E46="舒聲",  INDEX(十五音韻母對照表,$C46,H$2),  INDEX(十五音韻母對照表,$C46,H$2+1))</f>
        <v>ang</v>
      </c>
      <c r="I46" s="103" t="str" cm="1">
        <f t="array" ref="I46" xml:space="preserve"> IF( $E46="舒聲",  INDEX(十五音韻母對照表,$C46,I$2),  INDEX(十五音韻母對照表,$C46,I$2+1))</f>
        <v>ang</v>
      </c>
      <c r="J46" s="103" t="str" cm="1">
        <f t="array" ref="J46" xml:space="preserve"> IF( $E46="舒聲",  INDEX(十五音韻母對照表,$C46,J$2),  INDEX(十五音韻母對照表,$C46,J$2+1))</f>
        <v>ang</v>
      </c>
      <c r="K46" s="103" t="str" cm="1">
        <f t="array" ref="K46" xml:space="preserve"> IF( $E46="舒聲",  INDEX(十五音韻母對照表,$C46,K$2),  INDEX(十五音韻母對照表,$C46,K$2+1))</f>
        <v>ㄤ</v>
      </c>
    </row>
    <row r="47" spans="2:11" ht="30">
      <c r="B47" s="88">
        <v>42</v>
      </c>
      <c r="C47" s="88">
        <v>21</v>
      </c>
      <c r="D47" s="89" t="s">
        <v>171</v>
      </c>
      <c r="E47" s="89" t="s">
        <v>1120</v>
      </c>
      <c r="F47" s="103" t="str" cm="1">
        <f t="array" ref="F47" xml:space="preserve"> IF( $E47="舒聲",  INDEX(十五音韻母對照表,$C47,F$2),  INDEX(十五音韻母對照表,$C47,F$2+1))</f>
        <v>ak</v>
      </c>
      <c r="G47" s="103" t="str" cm="1">
        <f t="array" ref="G47" xml:space="preserve"> IF( $E47="舒聲",  INDEX(十五音韻母對照表,$C47,G$2),  INDEX(十五音韻母對照表,$C47,G$2+1))</f>
        <v>ak̚</v>
      </c>
      <c r="H47" s="103" t="str" cm="1">
        <f t="array" ref="H47" xml:space="preserve"> IF( $E47="舒聲",  INDEX(十五音韻母對照表,$C47,H$2),  INDEX(十五音韻母對照表,$C47,H$2+1))</f>
        <v>ak</v>
      </c>
      <c r="I47" s="103" t="str" cm="1">
        <f t="array" ref="I47" xml:space="preserve"> IF( $E47="舒聲",  INDEX(十五音韻母對照表,$C47,I$2),  INDEX(十五音韻母對照表,$C47,I$2+1))</f>
        <v>ak</v>
      </c>
      <c r="J47" s="103" t="str" cm="1">
        <f t="array" ref="J47" xml:space="preserve"> IF( $E47="舒聲",  INDEX(十五音韻母對照表,$C47,J$2),  INDEX(十五音韻母對照表,$C47,J$2+1))</f>
        <v>ak</v>
      </c>
      <c r="K47" s="103" t="str" cm="1">
        <f t="array" ref="K47" xml:space="preserve"> IF( $E47="舒聲",  INDEX(十五音韻母對照表,$C47,K$2),  INDEX(十五音韻母對照表,$C47,K$2+1))</f>
        <v>ㄚㆻ</v>
      </c>
    </row>
    <row r="48" spans="2:11" ht="30">
      <c r="B48" s="88">
        <v>43</v>
      </c>
      <c r="C48" s="88">
        <v>22</v>
      </c>
      <c r="D48" s="89" t="s">
        <v>220</v>
      </c>
      <c r="E48" s="89" t="s">
        <v>1119</v>
      </c>
      <c r="F48" s="103" t="str" cm="1">
        <f t="array" ref="F48" xml:space="preserve"> IF( $E48="舒聲",  INDEX(十五音韻母對照表,$C48,F$2),  INDEX(十五音韻母對照表,$C48,F$2+1))</f>
        <v>iam</v>
      </c>
      <c r="G48" s="103" t="str" cm="1">
        <f t="array" ref="G48" xml:space="preserve"> IF( $E48="舒聲",  INDEX(十五音韻母對照表,$C48,G$2),  INDEX(十五音韻母對照表,$C48,G$2+1))</f>
        <v>iam</v>
      </c>
      <c r="H48" s="103" t="str" cm="1">
        <f t="array" ref="H48" xml:space="preserve"> IF( $E48="舒聲",  INDEX(十五音韻母對照表,$C48,H$2),  INDEX(十五音韻母對照表,$C48,H$2+1))</f>
        <v>iam</v>
      </c>
      <c r="I48" s="103" t="str" cm="1">
        <f t="array" ref="I48" xml:space="preserve"> IF( $E48="舒聲",  INDEX(十五音韻母對照表,$C48,I$2),  INDEX(十五音韻母對照表,$C48,I$2+1))</f>
        <v>iam</v>
      </c>
      <c r="J48" s="103" t="str" cm="1">
        <f t="array" ref="J48" xml:space="preserve"> IF( $E48="舒聲",  INDEX(十五音韻母對照表,$C48,J$2),  INDEX(十五音韻母對照表,$C48,J$2+1))</f>
        <v>iam</v>
      </c>
      <c r="K48" s="103" t="str" cm="1">
        <f t="array" ref="K48" xml:space="preserve"> IF( $E48="舒聲",  INDEX(十五音韻母對照表,$C48,K$2),  INDEX(十五音韻母對照表,$C48,K$2+1))</f>
        <v>ㄧㆰ</v>
      </c>
    </row>
    <row r="49" spans="2:11" ht="30">
      <c r="B49" s="88">
        <v>44</v>
      </c>
      <c r="C49" s="88">
        <v>22</v>
      </c>
      <c r="D49" s="89" t="s">
        <v>220</v>
      </c>
      <c r="E49" s="89" t="s">
        <v>1120</v>
      </c>
      <c r="F49" s="103" t="str" cm="1">
        <f t="array" ref="F49" xml:space="preserve"> IF( $E49="舒聲",  INDEX(十五音韻母對照表,$C49,F$2),  INDEX(十五音韻母對照表,$C49,F$2+1))</f>
        <v>iap</v>
      </c>
      <c r="G49" s="103" t="str" cm="1">
        <f t="array" ref="G49" xml:space="preserve"> IF( $E49="舒聲",  INDEX(十五音韻母對照表,$C49,G$2),  INDEX(十五音韻母對照表,$C49,G$2+1))</f>
        <v>iap̚</v>
      </c>
      <c r="H49" s="103" t="str" cm="1">
        <f t="array" ref="H49" xml:space="preserve"> IF( $E49="舒聲",  INDEX(十五音韻母對照表,$C49,H$2),  INDEX(十五音韻母對照表,$C49,H$2+1))</f>
        <v>iap</v>
      </c>
      <c r="I49" s="103" t="str" cm="1">
        <f t="array" ref="I49" xml:space="preserve"> IF( $E49="舒聲",  INDEX(十五音韻母對照表,$C49,I$2),  INDEX(十五音韻母對照表,$C49,I$2+1))</f>
        <v>iap</v>
      </c>
      <c r="J49" s="103" t="str" cm="1">
        <f t="array" ref="J49" xml:space="preserve"> IF( $E49="舒聲",  INDEX(十五音韻母對照表,$C49,J$2),  INDEX(十五音韻母對照表,$C49,J$2+1))</f>
        <v>iap</v>
      </c>
      <c r="K49" s="103" t="str" cm="1">
        <f t="array" ref="K49" xml:space="preserve"> IF( $E49="舒聲",  INDEX(十五音韻母對照表,$C49,K$2),  INDEX(十五音韻母對照表,$C49,K$2+1))</f>
        <v>ㄧㄚㆴ</v>
      </c>
    </row>
    <row r="50" spans="2:11" ht="30">
      <c r="B50" s="88">
        <v>45</v>
      </c>
      <c r="C50" s="88">
        <v>23</v>
      </c>
      <c r="D50" s="89" t="s">
        <v>177</v>
      </c>
      <c r="E50" s="89" t="s">
        <v>1119</v>
      </c>
      <c r="F50" s="103" t="str" cm="1">
        <f t="array" ref="F50" xml:space="preserve"> IF( $E50="舒聲",  INDEX(十五音韻母對照表,$C50,F$2),  INDEX(十五音韻母對照表,$C50,F$2+1))</f>
        <v>au</v>
      </c>
      <c r="G50" s="103" t="str" cm="1">
        <f t="array" ref="G50" xml:space="preserve"> IF( $E50="舒聲",  INDEX(十五音韻母對照表,$C50,G$2),  INDEX(十五音韻母對照表,$C50,G$2+1))</f>
        <v>au</v>
      </c>
      <c r="H50" s="103" t="str" cm="1">
        <f t="array" ref="H50" xml:space="preserve"> IF( $E50="舒聲",  INDEX(十五音韻母對照表,$C50,H$2),  INDEX(十五音韻母對照表,$C50,H$2+1))</f>
        <v>au</v>
      </c>
      <c r="I50" s="103" t="str" cm="1">
        <f t="array" ref="I50" xml:space="preserve"> IF( $E50="舒聲",  INDEX(十五音韻母對照表,$C50,I$2),  INDEX(十五音韻母對照表,$C50,I$2+1))</f>
        <v>au</v>
      </c>
      <c r="J50" s="103" t="str" cm="1">
        <f t="array" ref="J50" xml:space="preserve"> IF( $E50="舒聲",  INDEX(十五音韻母對照表,$C50,J$2),  INDEX(十五音韻母對照表,$C50,J$2+1))</f>
        <v>ao</v>
      </c>
      <c r="K50" s="103" t="str" cm="1">
        <f t="array" ref="K50" xml:space="preserve"> IF( $E50="舒聲",  INDEX(十五音韻母對照表,$C50,K$2),  INDEX(十五音韻母對照表,$C50,K$2+1))</f>
        <v>ㄠ</v>
      </c>
    </row>
    <row r="51" spans="2:11" ht="30">
      <c r="B51" s="88">
        <v>46</v>
      </c>
      <c r="C51" s="88">
        <v>23</v>
      </c>
      <c r="D51" s="89" t="s">
        <v>177</v>
      </c>
      <c r="E51" s="89" t="s">
        <v>1120</v>
      </c>
      <c r="F51" s="103" t="str" cm="1">
        <f t="array" ref="F51" xml:space="preserve"> IF( $E51="舒聲",  INDEX(十五音韻母對照表,$C51,F$2),  INDEX(十五音韻母對照表,$C51,F$2+1))</f>
        <v>auh</v>
      </c>
      <c r="G51" s="103" t="str" cm="1">
        <f t="array" ref="G51" xml:space="preserve"> IF( $E51="舒聲",  INDEX(十五音韻母對照表,$C51,G$2),  INDEX(十五音韻母對照表,$C51,G$2+1))</f>
        <v>au?</v>
      </c>
      <c r="H51" s="103" t="str" cm="1">
        <f t="array" ref="H51" xml:space="preserve"> IF( $E51="舒聲",  INDEX(十五音韻母對照表,$C51,H$2),  INDEX(十五音韻母對照表,$C51,H$2+1))</f>
        <v>auh</v>
      </c>
      <c r="I51" s="103" t="str" cm="1">
        <f t="array" ref="I51" xml:space="preserve"> IF( $E51="舒聲",  INDEX(十五音韻母對照表,$C51,I$2),  INDEX(十五音韻母對照表,$C51,I$2+1))</f>
        <v>auh</v>
      </c>
      <c r="J51" s="103" t="str" cm="1">
        <f t="array" ref="J51" xml:space="preserve"> IF( $E51="舒聲",  INDEX(十五音韻母對照表,$C51,J$2),  INDEX(十五音韻母對照表,$C51,J$2+1))</f>
        <v>aoh</v>
      </c>
      <c r="K51" s="103" t="str" cm="1">
        <f t="array" ref="K51" xml:space="preserve"> IF( $E51="舒聲",  INDEX(十五音韻母對照表,$C51,K$2),  INDEX(十五音韻母對照表,$C51,K$2+1))</f>
        <v>ㄠㆷ</v>
      </c>
    </row>
    <row r="52" spans="2:11" ht="30">
      <c r="B52" s="88">
        <v>47</v>
      </c>
      <c r="C52" s="88">
        <v>24</v>
      </c>
      <c r="D52" s="89" t="s">
        <v>211</v>
      </c>
      <c r="E52" s="89" t="s">
        <v>1119</v>
      </c>
      <c r="F52" s="103" t="str" cm="1">
        <f t="array" ref="F52" xml:space="preserve"> IF( $E52="舒聲",  INDEX(十五音韻母對照表,$C52,F$2),  INDEX(十五音韻母對照表,$C52,F$2+1))</f>
        <v>ia</v>
      </c>
      <c r="G52" s="103" t="str" cm="1">
        <f t="array" ref="G52" xml:space="preserve"> IF( $E52="舒聲",  INDEX(十五音韻母對照表,$C52,G$2),  INDEX(十五音韻母對照表,$C52,G$2+1))</f>
        <v>ia</v>
      </c>
      <c r="H52" s="103" t="str" cm="1">
        <f t="array" ref="H52" xml:space="preserve"> IF( $E52="舒聲",  INDEX(十五音韻母對照表,$C52,H$2),  INDEX(十五音韻母對照表,$C52,H$2+1))</f>
        <v>ia</v>
      </c>
      <c r="I52" s="103" t="str" cm="1">
        <f t="array" ref="I52" xml:space="preserve"> IF( $E52="舒聲",  INDEX(十五音韻母對照表,$C52,I$2),  INDEX(十五音韻母對照表,$C52,I$2+1))</f>
        <v>ia</v>
      </c>
      <c r="J52" s="103" t="str" cm="1">
        <f t="array" ref="J52" xml:space="preserve"> IF( $E52="舒聲",  INDEX(十五音韻母對照表,$C52,J$2),  INDEX(十五音韻母對照表,$C52,J$2+1))</f>
        <v>ia</v>
      </c>
      <c r="K52" s="103" t="str" cm="1">
        <f t="array" ref="K52" xml:space="preserve"> IF( $E52="舒聲",  INDEX(十五音韻母對照表,$C52,K$2),  INDEX(十五音韻母對照表,$C52,K$2+1))</f>
        <v>ㄧㄚ</v>
      </c>
    </row>
    <row r="53" spans="2:11" ht="30">
      <c r="B53" s="88">
        <v>48</v>
      </c>
      <c r="C53" s="88">
        <v>24</v>
      </c>
      <c r="D53" s="89" t="s">
        <v>211</v>
      </c>
      <c r="E53" s="89" t="s">
        <v>1120</v>
      </c>
      <c r="F53" s="103" t="str" cm="1">
        <f t="array" ref="F53" xml:space="preserve"> IF( $E53="舒聲",  INDEX(十五音韻母對照表,$C53,F$2),  INDEX(十五音韻母對照表,$C53,F$2+1))</f>
        <v>iah</v>
      </c>
      <c r="G53" s="103" t="str" cm="1">
        <f t="array" ref="G53" xml:space="preserve"> IF( $E53="舒聲",  INDEX(十五音韻母對照表,$C53,G$2),  INDEX(十五音韻母對照表,$C53,G$2+1))</f>
        <v>ia?</v>
      </c>
      <c r="H53" s="103" t="str" cm="1">
        <f t="array" ref="H53" xml:space="preserve"> IF( $E53="舒聲",  INDEX(十五音韻母對照表,$C53,H$2),  INDEX(十五音韻母對照表,$C53,H$2+1))</f>
        <v>iah</v>
      </c>
      <c r="I53" s="103" t="str" cm="1">
        <f t="array" ref="I53" xml:space="preserve"> IF( $E53="舒聲",  INDEX(十五音韻母對照表,$C53,I$2),  INDEX(十五音韻母對照表,$C53,I$2+1))</f>
        <v>iah</v>
      </c>
      <c r="J53" s="103" t="str" cm="1">
        <f t="array" ref="J53" xml:space="preserve"> IF( $E53="舒聲",  INDEX(十五音韻母對照表,$C53,J$2),  INDEX(十五音韻母對照表,$C53,J$2+1))</f>
        <v>iah</v>
      </c>
      <c r="K53" s="103" t="str" cm="1">
        <f t="array" ref="K53" xml:space="preserve"> IF( $E53="舒聲",  INDEX(十五音韻母對照表,$C53,K$2),  INDEX(十五音韻母對照表,$C53,K$2+1))</f>
        <v>ㄧㄚㆷ</v>
      </c>
    </row>
    <row r="54" spans="2:11" ht="30">
      <c r="B54" s="88">
        <v>49</v>
      </c>
      <c r="C54" s="88">
        <v>25</v>
      </c>
      <c r="D54" s="89" t="s">
        <v>238</v>
      </c>
      <c r="E54" s="89" t="s">
        <v>1119</v>
      </c>
      <c r="F54" s="103" t="str" cm="1">
        <f t="array" ref="F54" xml:space="preserve"> IF( $E54="舒聲",  INDEX(十五音韻母對照表,$C54,F$2),  INDEX(十五音韻母對照表,$C54,F$2+1))</f>
        <v>ue</v>
      </c>
      <c r="G54" s="103" t="str" cm="1">
        <f t="array" ref="G54" xml:space="preserve"> IF( $E54="舒聲",  INDEX(十五音韻母對照表,$C54,G$2),  INDEX(十五音韻母對照表,$C54,G$2+1))</f>
        <v>ue</v>
      </c>
      <c r="H54" s="103" t="str" cm="1">
        <f t="array" ref="H54" xml:space="preserve"> IF( $E54="舒聲",  INDEX(十五音韻母對照表,$C54,H$2),  INDEX(十五音韻母對照表,$C54,H$2+1))</f>
        <v>oe</v>
      </c>
      <c r="I54" s="103" t="str" cm="1">
        <f t="array" ref="I54" xml:space="preserve"> IF( $E54="舒聲",  INDEX(十五音韻母對照表,$C54,I$2),  INDEX(十五音韻母對照表,$C54,I$2+1))</f>
        <v>ue</v>
      </c>
      <c r="J54" s="103" t="str" cm="1">
        <f t="array" ref="J54" xml:space="preserve"> IF( $E54="舒聲",  INDEX(十五音韻母對照表,$C54,J$2),  INDEX(十五音韻母對照表,$C54,J$2+1))</f>
        <v>ue</v>
      </c>
      <c r="K54" s="103" t="str" cm="1">
        <f t="array" ref="K54" xml:space="preserve"> IF( $E54="舒聲",  INDEX(十五音韻母對照表,$C54,K$2),  INDEX(十五音韻母對照表,$C54,K$2+1))</f>
        <v>ㄨㆤ</v>
      </c>
    </row>
    <row r="55" spans="2:11" ht="30">
      <c r="B55" s="88">
        <v>50</v>
      </c>
      <c r="C55" s="88">
        <v>25</v>
      </c>
      <c r="D55" s="89" t="s">
        <v>238</v>
      </c>
      <c r="E55" s="89" t="s">
        <v>1120</v>
      </c>
      <c r="F55" s="103" t="str" cm="1">
        <f t="array" ref="F55" xml:space="preserve"> IF( $E55="舒聲",  INDEX(十五音韻母對照表,$C55,F$2),  INDEX(十五音韻母對照表,$C55,F$2+1))</f>
        <v>ueh</v>
      </c>
      <c r="G55" s="103" t="str" cm="1">
        <f t="array" ref="G55" xml:space="preserve"> IF( $E55="舒聲",  INDEX(十五音韻母對照表,$C55,G$2),  INDEX(十五音韻母對照表,$C55,G$2+1))</f>
        <v>ue?</v>
      </c>
      <c r="H55" s="103" t="str" cm="1">
        <f t="array" ref="H55" xml:space="preserve"> IF( $E55="舒聲",  INDEX(十五音韻母對照表,$C55,H$2),  INDEX(十五音韻母對照表,$C55,H$2+1))</f>
        <v>oeh</v>
      </c>
      <c r="I55" s="103" t="str" cm="1">
        <f t="array" ref="I55" xml:space="preserve"> IF( $E55="舒聲",  INDEX(十五音韻母對照表,$C55,I$2),  INDEX(十五音韻母對照表,$C55,I$2+1))</f>
        <v>ueh</v>
      </c>
      <c r="J55" s="103" t="str" cm="1">
        <f t="array" ref="J55" xml:space="preserve"> IF( $E55="舒聲",  INDEX(十五音韻母對照表,$C55,J$2),  INDEX(十五音韻母對照表,$C55,J$2+1))</f>
        <v>ueh</v>
      </c>
      <c r="K55" s="103" t="str" cm="1">
        <f t="array" ref="K55" xml:space="preserve"> IF( $E55="舒聲",  INDEX(十五音韻母對照表,$C55,K$2),  INDEX(十五音韻母對照表,$C55,K$2+1))</f>
        <v>ㄨㆤㆷ</v>
      </c>
    </row>
    <row r="56" spans="2:11" ht="30">
      <c r="B56" s="88">
        <v>51</v>
      </c>
      <c r="C56" s="88">
        <v>26</v>
      </c>
      <c r="D56" s="89" t="s">
        <v>144</v>
      </c>
      <c r="E56" s="89" t="s">
        <v>1119</v>
      </c>
      <c r="F56" s="103" t="str" cm="1">
        <f t="array" ref="F56" xml:space="preserve"> IF( $E56="舒聲",  INDEX(十五音韻母對照表,$C56,F$2),  INDEX(十五音韻母對照表,$C56,F$2+1))</f>
        <v>ann</v>
      </c>
      <c r="G56" s="103" t="str" cm="1">
        <f t="array" ref="G56" xml:space="preserve"> IF( $E56="舒聲",  INDEX(十五音韻母對照表,$C56,G$2),  INDEX(十五音韻母對照表,$C56,G$2+1))</f>
        <v>ã</v>
      </c>
      <c r="H56" s="103" t="str" cm="1">
        <f t="array" ref="H56" xml:space="preserve"> IF( $E56="舒聲",  INDEX(十五音韻母對照表,$C56,H$2),  INDEX(十五音韻母對照表,$C56,H$2+1))</f>
        <v>aⁿ</v>
      </c>
      <c r="I56" s="103" t="str" cm="1">
        <f t="array" ref="I56" xml:space="preserve"> IF( $E56="舒聲",  INDEX(十五音韻母對照表,$C56,I$2),  INDEX(十五音韻母對照表,$C56,I$2+1))</f>
        <v>ann</v>
      </c>
      <c r="J56" s="103" t="str" cm="1">
        <f t="array" ref="J56" xml:space="preserve"> IF( $E56="舒聲",  INDEX(十五音韻母對照表,$C56,J$2),  INDEX(十五音韻母對照表,$C56,J$2+1))</f>
        <v>na</v>
      </c>
      <c r="K56" s="103" t="str" cm="1">
        <f t="array" ref="K56" xml:space="preserve"> IF( $E56="舒聲",  INDEX(十五音韻母對照表,$C56,K$2),  INDEX(十五音韻母對照表,$C56,K$2+1))</f>
        <v>ㆩ</v>
      </c>
    </row>
    <row r="57" spans="2:11" ht="30">
      <c r="B57" s="88">
        <v>52</v>
      </c>
      <c r="C57" s="88">
        <v>26</v>
      </c>
      <c r="D57" s="89" t="s">
        <v>144</v>
      </c>
      <c r="E57" s="89" t="s">
        <v>1120</v>
      </c>
      <c r="F57" s="103" t="str" cm="1">
        <f t="array" ref="F57" xml:space="preserve"> IF( $E57="舒聲",  INDEX(十五音韻母對照表,$C57,F$2),  INDEX(十五音韻母對照表,$C57,F$2+1))</f>
        <v>annh</v>
      </c>
      <c r="G57" s="103" t="str" cm="1">
        <f t="array" ref="G57" xml:space="preserve"> IF( $E57="舒聲",  INDEX(十五音韻母對照表,$C57,G$2),  INDEX(十五音韻母對照表,$C57,G$2+1))</f>
        <v>ã?</v>
      </c>
      <c r="H57" s="103" t="str" cm="1">
        <f t="array" ref="H57" xml:space="preserve"> IF( $E57="舒聲",  INDEX(十五音韻母對照表,$C57,H$2),  INDEX(十五音韻母對照表,$C57,H$2+1))</f>
        <v>ahⁿ</v>
      </c>
      <c r="I57" s="103" t="str" cm="1">
        <f t="array" ref="I57" xml:space="preserve"> IF( $E57="舒聲",  INDEX(十五音韻母對照表,$C57,I$2),  INDEX(十五音韻母對照表,$C57,I$2+1))</f>
        <v>annh</v>
      </c>
      <c r="J57" s="103" t="str" cm="1">
        <f t="array" ref="J57" xml:space="preserve"> IF( $E57="舒聲",  INDEX(十五音韻母對照表,$C57,J$2),  INDEX(十五音韻母對照表,$C57,J$2+1))</f>
        <v>nah</v>
      </c>
      <c r="K57" s="103" t="str" cm="1">
        <f t="array" ref="K57" xml:space="preserve"> IF( $E57="舒聲",  INDEX(十五音韻母對照表,$C57,K$2),  INDEX(十五音韻母對照表,$C57,K$2+1))</f>
        <v>ㆩㆷ</v>
      </c>
    </row>
    <row r="58" spans="2:11" ht="30">
      <c r="B58" s="88">
        <v>53</v>
      </c>
      <c r="C58" s="88">
        <v>27</v>
      </c>
      <c r="D58" s="89" t="s">
        <v>275</v>
      </c>
      <c r="E58" s="89" t="s">
        <v>1119</v>
      </c>
      <c r="F58" s="103" t="str" cm="1">
        <f t="array" ref="F58" xml:space="preserve"> IF( $E58="舒聲",  INDEX(十五音韻母對照表,$C58,F$2),  INDEX(十五音韻母對照表,$C58,F$2+1))</f>
        <v>u</v>
      </c>
      <c r="G58" s="103" t="str" cm="1">
        <f t="array" ref="G58" xml:space="preserve"> IF( $E58="舒聲",  INDEX(十五音韻母對照表,$C58,G$2),  INDEX(十五音韻母對照表,$C58,G$2+1))</f>
        <v>u</v>
      </c>
      <c r="H58" s="103" t="str" cm="1">
        <f t="array" ref="H58" xml:space="preserve"> IF( $E58="舒聲",  INDEX(十五音韻母對照表,$C58,H$2),  INDEX(十五音韻母對照表,$C58,H$2+1))</f>
        <v>u</v>
      </c>
      <c r="I58" s="103" t="str" cm="1">
        <f t="array" ref="I58" xml:space="preserve"> IF( $E58="舒聲",  INDEX(十五音韻母對照表,$C58,I$2),  INDEX(十五音韻母對照表,$C58,I$2+1))</f>
        <v>u</v>
      </c>
      <c r="J58" s="103" t="str" cm="1">
        <f t="array" ref="J58" xml:space="preserve"> IF( $E58="舒聲",  INDEX(十五音韻母對照表,$C58,J$2),  INDEX(十五音韻母對照表,$C58,J$2+1))</f>
        <v>u</v>
      </c>
      <c r="K58" s="103" t="str" cm="1">
        <f t="array" ref="K58" xml:space="preserve"> IF( $E58="舒聲",  INDEX(十五音韻母對照表,$C58,K$2),  INDEX(十五音韻母對照表,$C58,K$2+1))</f>
        <v>ㄨ</v>
      </c>
    </row>
    <row r="59" spans="2:11" ht="30">
      <c r="B59" s="88">
        <v>54</v>
      </c>
      <c r="C59" s="88">
        <v>27</v>
      </c>
      <c r="D59" s="89" t="s">
        <v>275</v>
      </c>
      <c r="E59" s="89" t="s">
        <v>1120</v>
      </c>
      <c r="F59" s="103" t="str" cm="1">
        <f t="array" ref="F59" xml:space="preserve"> IF( $E59="舒聲",  INDEX(十五音韻母對照表,$C59,F$2),  INDEX(十五音韻母對照表,$C59,F$2+1))</f>
        <v>uh</v>
      </c>
      <c r="G59" s="103" t="str" cm="1">
        <f t="array" ref="G59" xml:space="preserve"> IF( $E59="舒聲",  INDEX(十五音韻母對照表,$C59,G$2),  INDEX(十五音韻母對照表,$C59,G$2+1))</f>
        <v>u?</v>
      </c>
      <c r="H59" s="103" t="str" cm="1">
        <f t="array" ref="H59" xml:space="preserve"> IF( $E59="舒聲",  INDEX(十五音韻母對照表,$C59,H$2),  INDEX(十五音韻母對照表,$C59,H$2+1))</f>
        <v>uh</v>
      </c>
      <c r="I59" s="103" t="str" cm="1">
        <f t="array" ref="I59" xml:space="preserve"> IF( $E59="舒聲",  INDEX(十五音韻母對照表,$C59,I$2),  INDEX(十五音韻母對照表,$C59,I$2+1))</f>
        <v>uh</v>
      </c>
      <c r="J59" s="103" t="str" cm="1">
        <f t="array" ref="J59" xml:space="preserve"> IF( $E59="舒聲",  INDEX(十五音韻母對照表,$C59,J$2),  INDEX(十五音韻母對照表,$C59,J$2+1))</f>
        <v>uh</v>
      </c>
      <c r="K59" s="103" t="str" cm="1">
        <f t="array" ref="K59" xml:space="preserve"> IF( $E59="舒聲",  INDEX(十五音韻母對照表,$C59,K$2),  INDEX(十五音韻母對照表,$C59,K$2+1))</f>
        <v>ㄨㆷ</v>
      </c>
    </row>
    <row r="60" spans="2:11" ht="30">
      <c r="B60" s="88">
        <v>55</v>
      </c>
      <c r="C60" s="88">
        <v>28</v>
      </c>
      <c r="D60" s="89" t="s">
        <v>138</v>
      </c>
      <c r="E60" s="89" t="s">
        <v>1119</v>
      </c>
      <c r="F60" s="103" t="str" cm="1">
        <f t="array" ref="F60" xml:space="preserve"> IF( $E60="舒聲",  INDEX(十五音韻母對照表,$C60,F$2),  INDEX(十五音韻母對照表,$C60,F$2+1))</f>
        <v>a</v>
      </c>
      <c r="G60" s="103" t="str" cm="1">
        <f t="array" ref="G60" xml:space="preserve"> IF( $E60="舒聲",  INDEX(十五音韻母對照表,$C60,G$2),  INDEX(十五音韻母對照表,$C60,G$2+1))</f>
        <v>a</v>
      </c>
      <c r="H60" s="103" t="str" cm="1">
        <f t="array" ref="H60" xml:space="preserve"> IF( $E60="舒聲",  INDEX(十五音韻母對照表,$C60,H$2),  INDEX(十五音韻母對照表,$C60,H$2+1))</f>
        <v>a</v>
      </c>
      <c r="I60" s="103" t="str" cm="1">
        <f t="array" ref="I60" xml:space="preserve"> IF( $E60="舒聲",  INDEX(十五音韻母對照表,$C60,I$2),  INDEX(十五音韻母對照表,$C60,I$2+1))</f>
        <v>a</v>
      </c>
      <c r="J60" s="103" t="str" cm="1">
        <f t="array" ref="J60" xml:space="preserve"> IF( $E60="舒聲",  INDEX(十五音韻母對照表,$C60,J$2),  INDEX(十五音韻母對照表,$C60,J$2+1))</f>
        <v>a</v>
      </c>
      <c r="K60" s="103" t="str" cm="1">
        <f t="array" ref="K60" xml:space="preserve"> IF( $E60="舒聲",  INDEX(十五音韻母對照表,$C60,K$2),  INDEX(十五音韻母對照表,$C60,K$2+1))</f>
        <v>ㄚ</v>
      </c>
    </row>
    <row r="61" spans="2:11" ht="30">
      <c r="B61" s="88">
        <v>56</v>
      </c>
      <c r="C61" s="88">
        <v>28</v>
      </c>
      <c r="D61" s="89" t="s">
        <v>138</v>
      </c>
      <c r="E61" s="89" t="s">
        <v>1120</v>
      </c>
      <c r="F61" s="103" t="str" cm="1">
        <f t="array" ref="F61" xml:space="preserve"> IF( $E61="舒聲",  INDEX(十五音韻母對照表,$C61,F$2),  INDEX(十五音韻母對照表,$C61,F$2+1))</f>
        <v>ah</v>
      </c>
      <c r="G61" s="103" t="str" cm="1">
        <f t="array" ref="G61" xml:space="preserve"> IF( $E61="舒聲",  INDEX(十五音韻母對照表,$C61,G$2),  INDEX(十五音韻母對照表,$C61,G$2+1))</f>
        <v>a?</v>
      </c>
      <c r="H61" s="103" t="str" cm="1">
        <f t="array" ref="H61" xml:space="preserve"> IF( $E61="舒聲",  INDEX(十五音韻母對照表,$C61,H$2),  INDEX(十五音韻母對照表,$C61,H$2+1))</f>
        <v>ah</v>
      </c>
      <c r="I61" s="103" t="str" cm="1">
        <f t="array" ref="I61" xml:space="preserve"> IF( $E61="舒聲",  INDEX(十五音韻母對照表,$C61,I$2),  INDEX(十五音韻母對照表,$C61,I$2+1))</f>
        <v>ah</v>
      </c>
      <c r="J61" s="103" t="str" cm="1">
        <f t="array" ref="J61" xml:space="preserve"> IF( $E61="舒聲",  INDEX(十五音韻母對照表,$C61,J$2),  INDEX(十五音韻母對照表,$C61,J$2+1))</f>
        <v>ah</v>
      </c>
      <c r="K61" s="103" t="str" cm="1">
        <f t="array" ref="K61" xml:space="preserve"> IF( $E61="舒聲",  INDEX(十五音韻母對照表,$C61,K$2),  INDEX(十五音韻母對照表,$C61,K$2+1))</f>
        <v>ㄚㆷ</v>
      </c>
    </row>
    <row r="62" spans="2:11" ht="30">
      <c r="B62" s="88">
        <v>57</v>
      </c>
      <c r="C62" s="88">
        <v>29</v>
      </c>
      <c r="D62" s="89" t="s">
        <v>199</v>
      </c>
      <c r="E62" s="89" t="s">
        <v>1119</v>
      </c>
      <c r="F62" s="103" t="str" cm="1">
        <f t="array" ref="F62" xml:space="preserve"> IF( $E62="舒聲",  INDEX(十五音韻母對照表,$C62,F$2),  INDEX(十五音韻母對照表,$C62,F$2+1))</f>
        <v>i</v>
      </c>
      <c r="G62" s="103" t="str" cm="1">
        <f t="array" ref="G62" xml:space="preserve"> IF( $E62="舒聲",  INDEX(十五音韻母對照表,$C62,G$2),  INDEX(十五音韻母對照表,$C62,G$2+1))</f>
        <v>i</v>
      </c>
      <c r="H62" s="103" t="str" cm="1">
        <f t="array" ref="H62" xml:space="preserve"> IF( $E62="舒聲",  INDEX(十五音韻母對照表,$C62,H$2),  INDEX(十五音韻母對照表,$C62,H$2+1))</f>
        <v>i</v>
      </c>
      <c r="I62" s="103" t="str" cm="1">
        <f t="array" ref="I62" xml:space="preserve"> IF( $E62="舒聲",  INDEX(十五音韻母對照表,$C62,I$2),  INDEX(十五音韻母對照表,$C62,I$2+1))</f>
        <v>i</v>
      </c>
      <c r="J62" s="103" t="str" cm="1">
        <f t="array" ref="J62" xml:space="preserve"> IF( $E62="舒聲",  INDEX(十五音韻母對照表,$C62,J$2),  INDEX(十五音韻母對照表,$C62,J$2+1))</f>
        <v>i</v>
      </c>
      <c r="K62" s="103" t="str" cm="1">
        <f t="array" ref="K62" xml:space="preserve"> IF( $E62="舒聲",  INDEX(十五音韻母對照表,$C62,K$2),  INDEX(十五音韻母對照表,$C62,K$2+1))</f>
        <v>ㄧ</v>
      </c>
    </row>
    <row r="63" spans="2:11" ht="30">
      <c r="B63" s="88">
        <v>58</v>
      </c>
      <c r="C63" s="88">
        <v>29</v>
      </c>
      <c r="D63" s="89" t="s">
        <v>199</v>
      </c>
      <c r="E63" s="89" t="s">
        <v>1120</v>
      </c>
      <c r="F63" s="103" t="str" cm="1">
        <f t="array" ref="F63" xml:space="preserve"> IF( $E63="舒聲",  INDEX(十五音韻母對照表,$C63,F$2),  INDEX(十五音韻母對照表,$C63,F$2+1))</f>
        <v>ih</v>
      </c>
      <c r="G63" s="103" t="str" cm="1">
        <f t="array" ref="G63" xml:space="preserve"> IF( $E63="舒聲",  INDEX(十五音韻母對照表,$C63,G$2),  INDEX(十五音韻母對照表,$C63,G$2+1))</f>
        <v>i?</v>
      </c>
      <c r="H63" s="103" t="str" cm="1">
        <f t="array" ref="H63" xml:space="preserve"> IF( $E63="舒聲",  INDEX(十五音韻母對照表,$C63,H$2),  INDEX(十五音韻母對照表,$C63,H$2+1))</f>
        <v>ih</v>
      </c>
      <c r="I63" s="103" t="str" cm="1">
        <f t="array" ref="I63" xml:space="preserve"> IF( $E63="舒聲",  INDEX(十五音韻母對照表,$C63,I$2),  INDEX(十五音韻母對照表,$C63,I$2+1))</f>
        <v>ih</v>
      </c>
      <c r="J63" s="103" t="str" cm="1">
        <f t="array" ref="J63" xml:space="preserve"> IF( $E63="舒聲",  INDEX(十五音韻母對照表,$C63,J$2),  INDEX(十五音韻母對照表,$C63,J$2+1))</f>
        <v>ih</v>
      </c>
      <c r="K63" s="103" t="str" cm="1">
        <f t="array" ref="K63" xml:space="preserve"> IF( $E63="舒聲",  INDEX(十五音韻母對照表,$C63,K$2),  INDEX(十五音韻母對照表,$C63,K$2+1))</f>
        <v>ㄧㆷ</v>
      </c>
    </row>
    <row r="64" spans="2:11" ht="30">
      <c r="B64" s="88">
        <v>59</v>
      </c>
      <c r="C64" s="88">
        <v>30</v>
      </c>
      <c r="D64" s="89" t="s">
        <v>241</v>
      </c>
      <c r="E64" s="89" t="s">
        <v>1119</v>
      </c>
      <c r="F64" s="103" t="str" cm="1">
        <f t="array" ref="F64" xml:space="preserve"> IF( $E64="舒聲",  INDEX(十五音韻母對照表,$C64,F$2),  INDEX(十五音韻母對照表,$C64,F$2+1))</f>
        <v>iu</v>
      </c>
      <c r="G64" s="103" t="str" cm="1">
        <f t="array" ref="G64" xml:space="preserve"> IF( $E64="舒聲",  INDEX(十五音韻母對照表,$C64,G$2),  INDEX(十五音韻母對照表,$C64,G$2+1))</f>
        <v>iu</v>
      </c>
      <c r="H64" s="103" t="str" cm="1">
        <f t="array" ref="H64" xml:space="preserve"> IF( $E64="舒聲",  INDEX(十五音韻母對照表,$C64,H$2),  INDEX(十五音韻母對照表,$C64,H$2+1))</f>
        <v>iu</v>
      </c>
      <c r="I64" s="103" t="str" cm="1">
        <f t="array" ref="I64" xml:space="preserve"> IF( $E64="舒聲",  INDEX(十五音韻母對照表,$C64,I$2),  INDEX(十五音韻母對照表,$C64,I$2+1))</f>
        <v>iu</v>
      </c>
      <c r="J64" s="103" t="str" cm="1">
        <f t="array" ref="J64" xml:space="preserve"> IF( $E64="舒聲",  INDEX(十五音韻母對照表,$C64,J$2),  INDEX(十五音韻母對照表,$C64,J$2+1))</f>
        <v>iu</v>
      </c>
      <c r="K64" s="103" t="str" cm="1">
        <f t="array" ref="K64" xml:space="preserve"> IF( $E64="舒聲",  INDEX(十五音韻母對照表,$C64,K$2),  INDEX(十五音韻母對照表,$C64,K$2+1))</f>
        <v>ㄧㄨ</v>
      </c>
    </row>
    <row r="65" spans="2:11" ht="30">
      <c r="B65" s="88">
        <v>60</v>
      </c>
      <c r="C65" s="88">
        <v>30</v>
      </c>
      <c r="D65" s="89" t="s">
        <v>241</v>
      </c>
      <c r="E65" s="89" t="s">
        <v>1120</v>
      </c>
      <c r="F65" s="103" t="str" cm="1">
        <f t="array" ref="F65" xml:space="preserve"> IF( $E65="舒聲",  INDEX(十五音韻母對照表,$C65,F$2),  INDEX(十五音韻母對照表,$C65,F$2+1))</f>
        <v>iuh</v>
      </c>
      <c r="G65" s="103" t="str" cm="1">
        <f t="array" ref="G65" xml:space="preserve"> IF( $E65="舒聲",  INDEX(十五音韻母對照表,$C65,G$2),  INDEX(十五音韻母對照表,$C65,G$2+1))</f>
        <v>iu?</v>
      </c>
      <c r="H65" s="103" t="str" cm="1">
        <f t="array" ref="H65" xml:space="preserve"> IF( $E65="舒聲",  INDEX(十五音韻母對照表,$C65,H$2),  INDEX(十五音韻母對照表,$C65,H$2+1))</f>
        <v>iuh</v>
      </c>
      <c r="I65" s="103" t="str" cm="1">
        <f t="array" ref="I65" xml:space="preserve"> IF( $E65="舒聲",  INDEX(十五音韻母對照表,$C65,I$2),  INDEX(十五音韻母對照表,$C65,I$2+1))</f>
        <v>iuh</v>
      </c>
      <c r="J65" s="103" t="str" cm="1">
        <f t="array" ref="J65" xml:space="preserve"> IF( $E65="舒聲",  INDEX(十五音韻母對照表,$C65,J$2),  INDEX(十五音韻母對照表,$C65,J$2+1))</f>
        <v>iuh</v>
      </c>
      <c r="K65" s="103" t="str" cm="1">
        <f t="array" ref="K65" xml:space="preserve"> IF( $E65="舒聲",  INDEX(十五音韻母對照表,$C65,K$2),  INDEX(十五音韻母對照表,$C65,K$2+1))</f>
        <v>ㄧㄨㆷ</v>
      </c>
    </row>
    <row r="66" spans="2:11" ht="30">
      <c r="B66" s="88">
        <v>61</v>
      </c>
      <c r="C66" s="88">
        <v>31</v>
      </c>
      <c r="D66" s="89" t="s">
        <v>193</v>
      </c>
      <c r="E66" s="89" t="s">
        <v>1119</v>
      </c>
      <c r="F66" s="103" t="str" cm="1">
        <f t="array" ref="F66" xml:space="preserve"> IF( $E66="舒聲",  INDEX(十五音韻母對照表,$C66,F$2),  INDEX(十五音韻母對照表,$C66,F$2+1))</f>
        <v>enn</v>
      </c>
      <c r="G66" s="103" t="str" cm="1">
        <f t="array" ref="G66" xml:space="preserve"> IF( $E66="舒聲",  INDEX(十五音韻母對照表,$C66,G$2),  INDEX(十五音韻母對照表,$C66,G$2+1))</f>
        <v>ɛ̃</v>
      </c>
      <c r="H66" s="103" t="str" cm="1">
        <f t="array" ref="H66" xml:space="preserve"> IF( $E66="舒聲",  INDEX(十五音韻母對照表,$C66,H$2),  INDEX(十五音韻母對照表,$C66,H$2+1))</f>
        <v>eⁿ</v>
      </c>
      <c r="I66" s="103" t="str" cm="1">
        <f t="array" ref="I66" xml:space="preserve"> IF( $E66="舒聲",  INDEX(十五音韻母對照表,$C66,I$2),  INDEX(十五音韻母對照表,$C66,I$2+1))</f>
        <v>enn</v>
      </c>
      <c r="J66" s="103" t="str" cm="1">
        <f t="array" ref="J66" xml:space="preserve"> IF( $E66="舒聲",  INDEX(十五音韻母對照表,$C66,J$2),  INDEX(十五音韻母對照表,$C66,J$2+1))</f>
        <v>ne</v>
      </c>
      <c r="K66" s="103" t="str" cm="1">
        <f t="array" ref="K66" xml:space="preserve"> IF( $E66="舒聲",  INDEX(十五音韻母對照表,$C66,K$2),  INDEX(十五音韻母對照表,$C66,K$2+1))</f>
        <v>ㆥ</v>
      </c>
    </row>
    <row r="67" spans="2:11" ht="30">
      <c r="B67" s="88">
        <v>62</v>
      </c>
      <c r="C67" s="88">
        <v>31</v>
      </c>
      <c r="D67" s="89" t="s">
        <v>193</v>
      </c>
      <c r="E67" s="89" t="s">
        <v>1120</v>
      </c>
      <c r="F67" s="103" t="str" cm="1">
        <f t="array" ref="F67" xml:space="preserve"> IF( $E67="舒聲",  INDEX(十五音韻母對照表,$C67,F$2),  INDEX(十五音韻母對照表,$C67,F$2+1))</f>
        <v>ennh</v>
      </c>
      <c r="G67" s="103" t="str" cm="1">
        <f t="array" ref="G67" xml:space="preserve"> IF( $E67="舒聲",  INDEX(十五音韻母對照表,$C67,G$2),  INDEX(十五音韻母對照表,$C67,G$2+1))</f>
        <v>ɛ̃?</v>
      </c>
      <c r="H67" s="103" t="str" cm="1">
        <f t="array" ref="H67" xml:space="preserve"> IF( $E67="舒聲",  INDEX(十五音韻母對照表,$C67,H$2),  INDEX(十五音韻母對照表,$C67,H$2+1))</f>
        <v>ehⁿ</v>
      </c>
      <c r="I67" s="103" t="str" cm="1">
        <f t="array" ref="I67" xml:space="preserve"> IF( $E67="舒聲",  INDEX(十五音韻母對照表,$C67,I$2),  INDEX(十五音韻母對照表,$C67,I$2+1))</f>
        <v>ennh</v>
      </c>
      <c r="J67" s="103" t="str" cm="1">
        <f t="array" ref="J67" xml:space="preserve"> IF( $E67="舒聲",  INDEX(十五音韻母對照表,$C67,J$2),  INDEX(十五音韻母對照表,$C67,J$2+1))</f>
        <v>neh</v>
      </c>
      <c r="K67" s="103" t="str" cm="1">
        <f t="array" ref="K67" xml:space="preserve"> IF( $E67="舒聲",  INDEX(十五音韻母對照表,$C67,K$2),  INDEX(十五音韻母對照表,$C67,K$2+1))</f>
        <v>ㆥㆷ</v>
      </c>
    </row>
    <row r="68" spans="2:11" ht="30">
      <c r="B68" s="88">
        <v>63</v>
      </c>
      <c r="C68" s="88">
        <v>32</v>
      </c>
      <c r="D68" s="89" t="s">
        <v>253</v>
      </c>
      <c r="E68" s="89" t="s">
        <v>1119</v>
      </c>
      <c r="F68" s="103" t="str" cm="1">
        <f t="array" ref="F68" xml:space="preserve"> IF( $E68="舒聲",  INDEX(十五音韻母對照表,$C68,F$2),  INDEX(十五音韻母對照表,$C68,F$2+1))</f>
        <v>uinn</v>
      </c>
      <c r="G68" s="103" t="str" cm="1">
        <f t="array" ref="G68" xml:space="preserve"> IF( $E68="舒聲",  INDEX(十五音韻母對照表,$C68,G$2),  INDEX(十五音韻母對照表,$C68,G$2+1))</f>
        <v>uĩ</v>
      </c>
      <c r="H68" s="103" t="str" cm="1">
        <f t="array" ref="H68" xml:space="preserve"> IF( $E68="舒聲",  INDEX(十五音韻母對照表,$C68,H$2),  INDEX(十五音韻母對照表,$C68,H$2+1))</f>
        <v>uiⁿ</v>
      </c>
      <c r="I68" s="103" t="str" cm="1">
        <f t="array" ref="I68" xml:space="preserve"> IF( $E68="舒聲",  INDEX(十五音韻母對照表,$C68,I$2),  INDEX(十五音韻母對照表,$C68,I$2+1))</f>
        <v>uinn</v>
      </c>
      <c r="J68" s="103" t="str" cm="1">
        <f t="array" ref="J68" xml:space="preserve"> IF( $E68="舒聲",  INDEX(十五音韻母對照表,$C68,J$2),  INDEX(十五音韻母對照表,$C68,J$2+1))</f>
        <v>nui</v>
      </c>
      <c r="K68" s="103" t="str" cm="1">
        <f t="array" ref="K68" xml:space="preserve"> IF( $E68="舒聲",  INDEX(十五音韻母對照表,$C68,K$2),  INDEX(十五音韻母對照表,$C68,K$2+1))</f>
        <v>ㄨㆪ</v>
      </c>
    </row>
    <row r="69" spans="2:11" ht="30">
      <c r="B69" s="88">
        <v>64</v>
      </c>
      <c r="C69" s="88">
        <v>32</v>
      </c>
      <c r="D69" s="89" t="s">
        <v>253</v>
      </c>
      <c r="E69" s="89" t="s">
        <v>1120</v>
      </c>
      <c r="F69" s="103" t="str" cm="1">
        <f t="array" ref="F69" xml:space="preserve"> IF( $E69="舒聲",  INDEX(十五音韻母對照表,$C69,F$2),  INDEX(十五音韻母對照表,$C69,F$2+1))</f>
        <v>uinnh</v>
      </c>
      <c r="G69" s="103" t="str" cm="1">
        <f t="array" ref="G69" xml:space="preserve"> IF( $E69="舒聲",  INDEX(十五音韻母對照表,$C69,G$2),  INDEX(十五音韻母對照表,$C69,G$2+1))</f>
        <v>uĩ?</v>
      </c>
      <c r="H69" s="103" t="str" cm="1">
        <f t="array" ref="H69" xml:space="preserve"> IF( $E69="舒聲",  INDEX(十五音韻母對照表,$C69,H$2),  INDEX(十五音韻母對照表,$C69,H$2+1))</f>
        <v>uihⁿ</v>
      </c>
      <c r="I69" s="103" t="str" cm="1">
        <f t="array" ref="I69" xml:space="preserve"> IF( $E69="舒聲",  INDEX(十五音韻母對照表,$C69,I$2),  INDEX(十五音韻母對照表,$C69,I$2+1))</f>
        <v>uinnh</v>
      </c>
      <c r="J69" s="103" t="str" cm="1">
        <f t="array" ref="J69" xml:space="preserve"> IF( $E69="舒聲",  INDEX(十五音韻母對照表,$C69,J$2),  INDEX(十五音韻母對照表,$C69,J$2+1))</f>
        <v>nuih</v>
      </c>
      <c r="K69" s="103" t="str" cm="1">
        <f t="array" ref="K69" xml:space="preserve"> IF( $E69="舒聲",  INDEX(十五音韻母對照表,$C69,K$2),  INDEX(十五音韻母對照表,$C69,K$2+1))</f>
        <v>ㄨㆪㆷ</v>
      </c>
    </row>
    <row r="70" spans="2:11" ht="30">
      <c r="B70" s="88">
        <v>65</v>
      </c>
      <c r="C70" s="88">
        <v>33</v>
      </c>
      <c r="D70" s="89" t="s">
        <v>235</v>
      </c>
      <c r="E70" s="89" t="s">
        <v>1119</v>
      </c>
      <c r="F70" s="103" t="str" cm="1">
        <f t="array" ref="F70" xml:space="preserve"> IF( $E70="舒聲",  INDEX(十五音韻母對照表,$C70,F$2),  INDEX(十五音韻母對照表,$C70,F$2+1))</f>
        <v>io</v>
      </c>
      <c r="G70" s="103" t="str" cm="1">
        <f t="array" ref="G70" xml:space="preserve"> IF( $E70="舒聲",  INDEX(十五音韻母對照表,$C70,G$2),  INDEX(十五音韻母對照表,$C70,G$2+1))</f>
        <v>io</v>
      </c>
      <c r="H70" s="103" t="str" cm="1">
        <f t="array" ref="H70" xml:space="preserve"> IF( $E70="舒聲",  INDEX(十五音韻母對照表,$C70,H$2),  INDEX(十五音韻母對照表,$C70,H$2+1))</f>
        <v>io</v>
      </c>
      <c r="I70" s="103" t="str" cm="1">
        <f t="array" ref="I70" xml:space="preserve"> IF( $E70="舒聲",  INDEX(十五音韻母對照表,$C70,I$2),  INDEX(十五音韻母對照表,$C70,I$2+1))</f>
        <v>io</v>
      </c>
      <c r="J70" s="103" t="str" cm="1">
        <f t="array" ref="J70" xml:space="preserve"> IF( $E70="舒聲",  INDEX(十五音韻母對照表,$C70,J$2),  INDEX(十五音韻母對照表,$C70,J$2+1))</f>
        <v>io</v>
      </c>
      <c r="K70" s="103" t="str" cm="1">
        <f t="array" ref="K70" xml:space="preserve"> IF( $E70="舒聲",  INDEX(十五音韻母對照表,$C70,K$2),  INDEX(十五音韻母對照表,$C70,K$2+1))</f>
        <v>ㄧㄜ</v>
      </c>
    </row>
    <row r="71" spans="2:11" ht="30">
      <c r="B71" s="88">
        <v>66</v>
      </c>
      <c r="C71" s="88">
        <v>33</v>
      </c>
      <c r="D71" s="89" t="s">
        <v>235</v>
      </c>
      <c r="E71" s="89" t="s">
        <v>1120</v>
      </c>
      <c r="F71" s="103" t="str" cm="1">
        <f t="array" ref="F71" xml:space="preserve"> IF( $E71="舒聲",  INDEX(十五音韻母對照表,$C71,F$2),  INDEX(十五音韻母對照表,$C71,F$2+1))</f>
        <v>ioh</v>
      </c>
      <c r="G71" s="103" t="str" cm="1">
        <f t="array" ref="G71" xml:space="preserve"> IF( $E71="舒聲",  INDEX(十五音韻母對照表,$C71,G$2),  INDEX(十五音韻母對照表,$C71,G$2+1))</f>
        <v>io?</v>
      </c>
      <c r="H71" s="103" t="str" cm="1">
        <f t="array" ref="H71" xml:space="preserve"> IF( $E71="舒聲",  INDEX(十五音韻母對照表,$C71,H$2),  INDEX(十五音韻母對照表,$C71,H$2+1))</f>
        <v>ioh</v>
      </c>
      <c r="I71" s="103" t="str" cm="1">
        <f t="array" ref="I71" xml:space="preserve"> IF( $E71="舒聲",  INDEX(十五音韻母對照表,$C71,I$2),  INDEX(十五音韻母對照表,$C71,I$2+1))</f>
        <v>ioh</v>
      </c>
      <c r="J71" s="103" t="str" cm="1">
        <f t="array" ref="J71" xml:space="preserve"> IF( $E71="舒聲",  INDEX(十五音韻母對照表,$C71,J$2),  INDEX(十五音韻母對照表,$C71,J$2+1))</f>
        <v>ioh</v>
      </c>
      <c r="K71" s="103" t="str" cm="1">
        <f t="array" ref="K71" xml:space="preserve"> IF( $E71="舒聲",  INDEX(十五音韻母對照表,$C71,K$2),  INDEX(十五音韻母對照表,$C71,K$2+1))</f>
        <v>ㄧㄜㆷ</v>
      </c>
    </row>
    <row r="72" spans="2:11" ht="30">
      <c r="B72" s="88">
        <v>67</v>
      </c>
      <c r="C72" s="88">
        <v>34</v>
      </c>
      <c r="D72" s="89" t="s">
        <v>203</v>
      </c>
      <c r="E72" s="89" t="s">
        <v>1119</v>
      </c>
      <c r="F72" s="103" t="str" cm="1">
        <f t="array" ref="F72" xml:space="preserve"> IF( $E72="舒聲",  INDEX(十五音韻母對照表,$C72,F$2),  INDEX(十五音韻母對照表,$C72,F$2+1))</f>
        <v>inn</v>
      </c>
      <c r="G72" s="103" t="str" cm="1">
        <f t="array" ref="G72" xml:space="preserve"> IF( $E72="舒聲",  INDEX(十五音韻母對照表,$C72,G$2),  INDEX(十五音韻母對照表,$C72,G$2+1))</f>
        <v>ĩ</v>
      </c>
      <c r="H72" s="103" t="str" cm="1">
        <f t="array" ref="H72" xml:space="preserve"> IF( $E72="舒聲",  INDEX(十五音韻母對照表,$C72,H$2),  INDEX(十五音韻母對照表,$C72,H$2+1))</f>
        <v>iⁿ</v>
      </c>
      <c r="I72" s="103" t="str" cm="1">
        <f t="array" ref="I72" xml:space="preserve"> IF( $E72="舒聲",  INDEX(十五音韻母對照表,$C72,I$2),  INDEX(十五音韻母對照表,$C72,I$2+1))</f>
        <v>inn</v>
      </c>
      <c r="J72" s="103" t="str" cm="1">
        <f t="array" ref="J72" xml:space="preserve"> IF( $E72="舒聲",  INDEX(十五音韻母對照表,$C72,J$2),  INDEX(十五音韻母對照表,$C72,J$2+1))</f>
        <v>ni</v>
      </c>
      <c r="K72" s="103" t="str" cm="1">
        <f t="array" ref="K72" xml:space="preserve"> IF( $E72="舒聲",  INDEX(十五音韻母對照表,$C72,K$2),  INDEX(十五音韻母對照表,$C72,K$2+1))</f>
        <v>ㆪ</v>
      </c>
    </row>
    <row r="73" spans="2:11" ht="30">
      <c r="B73" s="88">
        <v>68</v>
      </c>
      <c r="C73" s="88">
        <v>34</v>
      </c>
      <c r="D73" s="89" t="s">
        <v>203</v>
      </c>
      <c r="E73" s="89" t="s">
        <v>1120</v>
      </c>
      <c r="F73" s="103" t="str" cm="1">
        <f t="array" ref="F73" xml:space="preserve"> IF( $E73="舒聲",  INDEX(十五音韻母對照表,$C73,F$2),  INDEX(十五音韻母對照表,$C73,F$2+1))</f>
        <v>innh</v>
      </c>
      <c r="G73" s="103" t="str" cm="1">
        <f t="array" ref="G73" xml:space="preserve"> IF( $E73="舒聲",  INDEX(十五音韻母對照表,$C73,G$2),  INDEX(十五音韻母對照表,$C73,G$2+1))</f>
        <v>ĩ?</v>
      </c>
      <c r="H73" s="103" t="str" cm="1">
        <f t="array" ref="H73" xml:space="preserve"> IF( $E73="舒聲",  INDEX(十五音韻母對照表,$C73,H$2),  INDEX(十五音韻母對照表,$C73,H$2+1))</f>
        <v>iⁿh</v>
      </c>
      <c r="I73" s="103" t="str" cm="1">
        <f t="array" ref="I73" xml:space="preserve"> IF( $E73="舒聲",  INDEX(十五音韻母對照表,$C73,I$2),  INDEX(十五音韻母對照表,$C73,I$2+1))</f>
        <v>innh</v>
      </c>
      <c r="J73" s="103" t="str" cm="1">
        <f t="array" ref="J73" xml:space="preserve"> IF( $E73="舒聲",  INDEX(十五音韻母對照表,$C73,J$2),  INDEX(十五音韻母對照表,$C73,J$2+1))</f>
        <v>nih</v>
      </c>
      <c r="K73" s="103" t="str" cm="1">
        <f t="array" ref="K73" xml:space="preserve"> IF( $E73="舒聲",  INDEX(十五音韻母對照表,$C73,K$2),  INDEX(十五音韻母對照表,$C73,K$2+1))</f>
        <v>ㆪ</v>
      </c>
    </row>
    <row r="74" spans="2:11" ht="30">
      <c r="B74" s="88">
        <v>69</v>
      </c>
      <c r="C74" s="88">
        <v>35</v>
      </c>
      <c r="D74" s="89" t="s">
        <v>247</v>
      </c>
      <c r="E74" s="89" t="s">
        <v>1119</v>
      </c>
      <c r="F74" s="103" t="str" cm="1">
        <f t="array" ref="F74" xml:space="preserve"> IF( $E74="舒聲",  INDEX(十五音韻母對照表,$C74,F$2),  INDEX(十五音韻母對照表,$C74,F$2+1))</f>
        <v>ionn</v>
      </c>
      <c r="G74" s="103" t="str" cm="1">
        <f t="array" ref="G74" xml:space="preserve"> IF( $E74="舒聲",  INDEX(十五音韻母對照表,$C74,G$2),  INDEX(十五音韻母對照表,$C74,G$2+1))</f>
        <v>iɔ̃</v>
      </c>
      <c r="H74" s="103" t="str" cm="1">
        <f t="array" ref="H74" xml:space="preserve"> IF( $E74="舒聲",  INDEX(十五音韻母對照表,$C74,H$2),  INDEX(十五音韻母對照表,$C74,H$2+1))</f>
        <v>ioⁿ</v>
      </c>
      <c r="I74" s="103" t="str" cm="1">
        <f t="array" ref="I74" xml:space="preserve"> IF( $E74="舒聲",  INDEX(十五音韻母對照表,$C74,I$2),  INDEX(十五音韻母對照表,$C74,I$2+1))</f>
        <v>ionn</v>
      </c>
      <c r="J74" s="103" t="str" cm="1">
        <f t="array" ref="J74" xml:space="preserve"> IF( $E74="舒聲",  INDEX(十五音韻母對照表,$C74,J$2),  INDEX(十五音韻母對照表,$C74,J$2+1))</f>
        <v>nioo</v>
      </c>
      <c r="K74" s="103" t="str" cm="1">
        <f t="array" ref="K74" xml:space="preserve"> IF( $E74="舒聲",  INDEX(十五音韻母對照表,$C74,K$2),  INDEX(十五音韻母對照表,$C74,K$2+1))</f>
        <v>ㄧㆧ</v>
      </c>
    </row>
    <row r="75" spans="2:11" ht="30">
      <c r="B75" s="88">
        <v>70</v>
      </c>
      <c r="C75" s="88">
        <v>35</v>
      </c>
      <c r="D75" s="89" t="s">
        <v>247</v>
      </c>
      <c r="E75" s="89" t="s">
        <v>1120</v>
      </c>
      <c r="F75" s="103" t="str" cm="1">
        <f t="array" ref="F75" xml:space="preserve"> IF( $E75="舒聲",  INDEX(十五音韻母對照表,$C75,F$2),  INDEX(十五音韻母對照表,$C75,F$2+1))</f>
        <v>ionnh</v>
      </c>
      <c r="G75" s="103" t="str" cm="1">
        <f t="array" ref="G75" xml:space="preserve"> IF( $E75="舒聲",  INDEX(十五音韻母對照表,$C75,G$2),  INDEX(十五音韻母對照表,$C75,G$2+1))</f>
        <v>iɔ̃?</v>
      </c>
      <c r="H75" s="103" t="str" cm="1">
        <f t="array" ref="H75" xml:space="preserve"> IF( $E75="舒聲",  INDEX(十五音韻母對照表,$C75,H$2),  INDEX(十五音韻母對照表,$C75,H$2+1))</f>
        <v>iohⁿ</v>
      </c>
      <c r="I75" s="103" t="str" cm="1">
        <f t="array" ref="I75" xml:space="preserve"> IF( $E75="舒聲",  INDEX(十五音韻母對照表,$C75,I$2),  INDEX(十五音韻母對照表,$C75,I$2+1))</f>
        <v>ionnh</v>
      </c>
      <c r="J75" s="103" t="str" cm="1">
        <f t="array" ref="J75" xml:space="preserve"> IF( $E75="舒聲",  INDEX(十五音韻母對照表,$C75,J$2),  INDEX(十五音韻母對照表,$C75,J$2+1))</f>
        <v>niooh</v>
      </c>
      <c r="K75" s="103" t="str" cm="1">
        <f t="array" ref="K75" xml:space="preserve"> IF( $E75="舒聲",  INDEX(十五音韻母對照表,$C75,K$2),  INDEX(十五音韻母對照表,$C75,K$2+1))</f>
        <v>ㄧㆧㆷ</v>
      </c>
    </row>
    <row r="76" spans="2:11" ht="30">
      <c r="B76" s="88">
        <v>71</v>
      </c>
      <c r="C76" s="88">
        <v>36</v>
      </c>
      <c r="D76" s="89" t="s">
        <v>217</v>
      </c>
      <c r="E76" s="89" t="s">
        <v>1119</v>
      </c>
      <c r="F76" s="103" t="str" cm="1">
        <f t="array" ref="F76" xml:space="preserve"> IF( $E76="舒聲",  INDEX(十五音韻母對照表,$C76,F$2),  INDEX(十五音韻母對照表,$C76,F$2+1))</f>
        <v>iann</v>
      </c>
      <c r="G76" s="103" t="str" cm="1">
        <f t="array" ref="G76" xml:space="preserve"> IF( $E76="舒聲",  INDEX(十五音韻母對照表,$C76,G$2),  INDEX(十五音韻母對照表,$C76,G$2+1))</f>
        <v>iã</v>
      </c>
      <c r="H76" s="103" t="str" cm="1">
        <f t="array" ref="H76" xml:space="preserve"> IF( $E76="舒聲",  INDEX(十五音韻母對照表,$C76,H$2),  INDEX(十五音韻母對照表,$C76,H$2+1))</f>
        <v>iaⁿ</v>
      </c>
      <c r="I76" s="103" t="str" cm="1">
        <f t="array" ref="I76" xml:space="preserve"> IF( $E76="舒聲",  INDEX(十五音韻母對照表,$C76,I$2),  INDEX(十五音韻母對照表,$C76,I$2+1))</f>
        <v>iann</v>
      </c>
      <c r="J76" s="103" t="str" cm="1">
        <f t="array" ref="J76" xml:space="preserve"> IF( $E76="舒聲",  INDEX(十五音韻母對照表,$C76,J$2),  INDEX(十五音韻母對照表,$C76,J$2+1))</f>
        <v>nia</v>
      </c>
      <c r="K76" s="103" t="str" cm="1">
        <f t="array" ref="K76" xml:space="preserve"> IF( $E76="舒聲",  INDEX(十五音韻母對照表,$C76,K$2),  INDEX(十五音韻母對照表,$C76,K$2+1))</f>
        <v>ㄧㆩ</v>
      </c>
    </row>
    <row r="77" spans="2:11" ht="30">
      <c r="B77" s="88">
        <v>72</v>
      </c>
      <c r="C77" s="88">
        <v>36</v>
      </c>
      <c r="D77" s="89" t="s">
        <v>217</v>
      </c>
      <c r="E77" s="89" t="s">
        <v>1120</v>
      </c>
      <c r="F77" s="103" t="str" cm="1">
        <f t="array" ref="F77" xml:space="preserve"> IF( $E77="舒聲",  INDEX(十五音韻母對照表,$C77,F$2),  INDEX(十五音韻母對照表,$C77,F$2+1))</f>
        <v>iannh</v>
      </c>
      <c r="G77" s="103" t="str" cm="1">
        <f t="array" ref="G77" xml:space="preserve"> IF( $E77="舒聲",  INDEX(十五音韻母對照表,$C77,G$2),  INDEX(十五音韻母對照表,$C77,G$2+1))</f>
        <v>iã?</v>
      </c>
      <c r="H77" s="103" t="str" cm="1">
        <f t="array" ref="H77" xml:space="preserve"> IF( $E77="舒聲",  INDEX(十五音韻母對照表,$C77,H$2),  INDEX(十五音韻母對照表,$C77,H$2+1))</f>
        <v>iahⁿ</v>
      </c>
      <c r="I77" s="103" t="str" cm="1">
        <f t="array" ref="I77" xml:space="preserve"> IF( $E77="舒聲",  INDEX(十五音韻母對照表,$C77,I$2),  INDEX(十五音韻母對照表,$C77,I$2+1))</f>
        <v>iannh</v>
      </c>
      <c r="J77" s="103" t="str" cm="1">
        <f t="array" ref="J77" xml:space="preserve"> IF( $E77="舒聲",  INDEX(十五音韻母對照表,$C77,J$2),  INDEX(十五音韻母對照表,$C77,J$2+1))</f>
        <v>niah</v>
      </c>
      <c r="K77" s="103" t="str" cm="1">
        <f t="array" ref="K77" xml:space="preserve"> IF( $E77="舒聲",  INDEX(十五音韻母對照表,$C77,K$2),  INDEX(十五音韻母對照表,$C77,K$2+1))</f>
        <v>ㄧㆩㆷ</v>
      </c>
    </row>
    <row r="78" spans="2:11" ht="30">
      <c r="B78" s="88">
        <v>73</v>
      </c>
      <c r="C78" s="88">
        <v>37</v>
      </c>
      <c r="D78" s="89" t="s">
        <v>264</v>
      </c>
      <c r="E78" s="89" t="s">
        <v>1119</v>
      </c>
      <c r="F78" s="103" t="str" cm="1">
        <f t="array" ref="F78" xml:space="preserve"> IF( $E78="舒聲",  INDEX(十五音韻母對照表,$C78,F$2),  INDEX(十五音韻母對照表,$C78,F$2+1))</f>
        <v>uann</v>
      </c>
      <c r="G78" s="103" t="str" cm="1">
        <f t="array" ref="G78" xml:space="preserve"> IF( $E78="舒聲",  INDEX(十五音韻母對照表,$C78,G$2),  INDEX(十五音韻母對照表,$C78,G$2+1))</f>
        <v>uã</v>
      </c>
      <c r="H78" s="103" t="str" cm="1">
        <f t="array" ref="H78" xml:space="preserve"> IF( $E78="舒聲",  INDEX(十五音韻母對照表,$C78,H$2),  INDEX(十五音韻母對照表,$C78,H$2+1))</f>
        <v>oaⁿ</v>
      </c>
      <c r="I78" s="103" t="str" cm="1">
        <f t="array" ref="I78" xml:space="preserve"> IF( $E78="舒聲",  INDEX(十五音韻母對照表,$C78,I$2),  INDEX(十五音韻母對照表,$C78,I$2+1))</f>
        <v>uann</v>
      </c>
      <c r="J78" s="103" t="str" cm="1">
        <f t="array" ref="J78" xml:space="preserve"> IF( $E78="舒聲",  INDEX(十五音韻母對照表,$C78,J$2),  INDEX(十五音韻母對照表,$C78,J$2+1))</f>
        <v>nua</v>
      </c>
      <c r="K78" s="103" t="str" cm="1">
        <f t="array" ref="K78" xml:space="preserve"> IF( $E78="舒聲",  INDEX(十五音韻母對照表,$C78,K$2),  INDEX(十五音韻母對照表,$C78,K$2+1))</f>
        <v>ㄨㆩ</v>
      </c>
    </row>
    <row r="79" spans="2:11" ht="30">
      <c r="B79" s="88">
        <v>74</v>
      </c>
      <c r="C79" s="88">
        <v>37</v>
      </c>
      <c r="D79" s="89" t="s">
        <v>264</v>
      </c>
      <c r="E79" s="89" t="s">
        <v>1120</v>
      </c>
      <c r="F79" s="103" t="str" cm="1">
        <f t="array" ref="F79" xml:space="preserve"> IF( $E79="舒聲",  INDEX(十五音韻母對照表,$C79,F$2),  INDEX(十五音韻母對照表,$C79,F$2+1))</f>
        <v>uannh</v>
      </c>
      <c r="G79" s="103" t="str" cm="1">
        <f t="array" ref="G79" xml:space="preserve"> IF( $E79="舒聲",  INDEX(十五音韻母對照表,$C79,G$2),  INDEX(十五音韻母對照表,$C79,G$2+1))</f>
        <v>uã?</v>
      </c>
      <c r="H79" s="103" t="str" cm="1">
        <f t="array" ref="H79" xml:space="preserve"> IF( $E79="舒聲",  INDEX(十五音韻母對照表,$C79,H$2),  INDEX(十五音韻母對照表,$C79,H$2+1))</f>
        <v>oahⁿ</v>
      </c>
      <c r="I79" s="103" t="str" cm="1">
        <f t="array" ref="I79" xml:space="preserve"> IF( $E79="舒聲",  INDEX(十五音韻母對照表,$C79,I$2),  INDEX(十五音韻母對照表,$C79,I$2+1))</f>
        <v>uannh</v>
      </c>
      <c r="J79" s="103" t="str" cm="1">
        <f t="array" ref="J79" xml:space="preserve"> IF( $E79="舒聲",  INDEX(十五音韻母對照表,$C79,J$2),  INDEX(十五音韻母對照表,$C79,J$2+1))</f>
        <v>nuah</v>
      </c>
      <c r="K79" s="103" t="str" cm="1">
        <f t="array" ref="K79" xml:space="preserve"> IF( $E79="舒聲",  INDEX(十五音韻母對照表,$C79,K$2),  INDEX(十五音韻母對照表,$C79,K$2+1))</f>
        <v>ㄨㆩㆷ</v>
      </c>
    </row>
    <row r="80" spans="2:11" ht="30">
      <c r="B80" s="88">
        <v>75</v>
      </c>
      <c r="C80" s="88">
        <v>38</v>
      </c>
      <c r="D80" s="89" t="s">
        <v>260</v>
      </c>
      <c r="E80" s="89" t="s">
        <v>1119</v>
      </c>
      <c r="F80" s="103" t="str" cm="1">
        <f t="array" ref="F80" xml:space="preserve"> IF( $E80="舒聲",  INDEX(十五音韻母對照表,$C80,F$2),  INDEX(十五音韻母對照表,$C80,F$2+1))</f>
        <v>ng</v>
      </c>
      <c r="G80" s="103" t="str" cm="1">
        <f t="array" ref="G80" xml:space="preserve"> IF( $E80="舒聲",  INDEX(十五音韻母對照表,$C80,G$2),  INDEX(十五音韻母對照表,$C80,G$2+1))</f>
        <v>ŋ</v>
      </c>
      <c r="H80" s="103" t="str" cm="1">
        <f t="array" ref="H80" xml:space="preserve"> IF( $E80="舒聲",  INDEX(十五音韻母對照表,$C80,H$2),  INDEX(十五音韻母對照表,$C80,H$2+1))</f>
        <v>ng</v>
      </c>
      <c r="I80" s="103" t="str" cm="1">
        <f t="array" ref="I80" xml:space="preserve"> IF( $E80="舒聲",  INDEX(十五音韻母對照表,$C80,I$2),  INDEX(十五音韻母對照表,$C80,I$2+1))</f>
        <v>ng</v>
      </c>
      <c r="J80" s="103" t="str" cm="1">
        <f t="array" ref="J80" xml:space="preserve"> IF( $E80="舒聲",  INDEX(十五音韻母對照表,$C80,J$2),  INDEX(十五音韻母對照表,$C80,J$2+1))</f>
        <v>ng</v>
      </c>
      <c r="K80" s="103" t="str" cm="1">
        <f t="array" ref="K80" xml:space="preserve"> IF( $E80="舒聲",  INDEX(十五音韻母對照表,$C80,K$2),  INDEX(十五音韻母對照表,$C80,K$2+1))</f>
        <v>ㆭ</v>
      </c>
    </row>
    <row r="81" spans="2:11" ht="30">
      <c r="B81" s="88">
        <v>76</v>
      </c>
      <c r="C81" s="88">
        <v>38</v>
      </c>
      <c r="D81" s="89" t="s">
        <v>260</v>
      </c>
      <c r="E81" s="89" t="s">
        <v>1120</v>
      </c>
      <c r="F81" s="103" t="str" cm="1">
        <f t="array" ref="F81" xml:space="preserve"> IF( $E81="舒聲",  INDEX(十五音韻母對照表,$C81,F$2),  INDEX(十五音韻母對照表,$C81,F$2+1))</f>
        <v>ngh</v>
      </c>
      <c r="G81" s="103" t="str" cm="1">
        <f t="array" ref="G81" xml:space="preserve"> IF( $E81="舒聲",  INDEX(十五音韻母對照表,$C81,G$2),  INDEX(十五音韻母對照表,$C81,G$2+1))</f>
        <v>ŋ?</v>
      </c>
      <c r="H81" s="103" t="str" cm="1">
        <f t="array" ref="H81" xml:space="preserve"> IF( $E81="舒聲",  INDEX(十五音韻母對照表,$C81,H$2),  INDEX(十五音韻母對照表,$C81,H$2+1))</f>
        <v>ngh</v>
      </c>
      <c r="I81" s="103" t="str" cm="1">
        <f t="array" ref="I81" xml:space="preserve"> IF( $E81="舒聲",  INDEX(十五音韻母對照表,$C81,I$2),  INDEX(十五音韻母對照表,$C81,I$2+1))</f>
        <v>ngh</v>
      </c>
      <c r="J81" s="103" t="str" cm="1">
        <f t="array" ref="J81" xml:space="preserve"> IF( $E81="舒聲",  INDEX(十五音韻母對照表,$C81,J$2),  INDEX(十五音韻母對照表,$C81,J$2+1))</f>
        <v>ngh</v>
      </c>
      <c r="K81" s="103" t="str" cm="1">
        <f t="array" ref="K81" xml:space="preserve"> IF( $E81="舒聲",  INDEX(十五音韻母對照表,$C81,K$2),  INDEX(十五音韻母對照表,$C81,K$2+1))</f>
        <v>ㆭㆷ</v>
      </c>
    </row>
    <row r="82" spans="2:11" ht="30">
      <c r="B82" s="88">
        <v>77</v>
      </c>
      <c r="C82" s="88">
        <v>39</v>
      </c>
      <c r="D82" s="89" t="s">
        <v>189</v>
      </c>
      <c r="E82" s="89" t="s">
        <v>1119</v>
      </c>
      <c r="F82" s="103" t="str" cm="1">
        <f t="array" ref="F82" xml:space="preserve"> IF( $E82="舒聲",  INDEX(十五音韻母對照表,$C82,F$2),  INDEX(十五音韻母對照表,$C82,F$2+1))</f>
        <v>e</v>
      </c>
      <c r="G82" s="103" t="str" cm="1">
        <f t="array" ref="G82" xml:space="preserve"> IF( $E82="舒聲",  INDEX(十五音韻母對照表,$C82,G$2),  INDEX(十五音韻母對照表,$C82,G$2+1))</f>
        <v>e</v>
      </c>
      <c r="H82" s="103" t="str" cm="1">
        <f t="array" ref="H82" xml:space="preserve"> IF( $E82="舒聲",  INDEX(十五音韻母對照表,$C82,H$2),  INDEX(十五音韻母對照表,$C82,H$2+1))</f>
        <v>e</v>
      </c>
      <c r="I82" s="103" t="str" cm="1">
        <f t="array" ref="I82" xml:space="preserve"> IF( $E82="舒聲",  INDEX(十五音韻母對照表,$C82,I$2),  INDEX(十五音韻母對照表,$C82,I$2+1))</f>
        <v>e</v>
      </c>
      <c r="J82" s="103" t="str" cm="1">
        <f t="array" ref="J82" xml:space="preserve"> IF( $E82="舒聲",  INDEX(十五音韻母對照表,$C82,J$2),  INDEX(十五音韻母對照表,$C82,J$2+1))</f>
        <v>e</v>
      </c>
      <c r="K82" s="103" t="str" cm="1">
        <f t="array" ref="K82" xml:space="preserve"> IF( $E82="舒聲",  INDEX(十五音韻母對照表,$C82,K$2),  INDEX(十五音韻母對照表,$C82,K$2+1))</f>
        <v>ㆤ</v>
      </c>
    </row>
    <row r="83" spans="2:11" ht="30">
      <c r="B83" s="88">
        <v>78</v>
      </c>
      <c r="C83" s="88">
        <v>39</v>
      </c>
      <c r="D83" s="89" t="s">
        <v>189</v>
      </c>
      <c r="E83" s="89" t="s">
        <v>1120</v>
      </c>
      <c r="F83" s="103" t="str" cm="1">
        <f t="array" ref="F83" xml:space="preserve"> IF( $E83="舒聲",  INDEX(十五音韻母對照表,$C83,F$2),  INDEX(十五音韻母對照表,$C83,F$2+1))</f>
        <v>eh</v>
      </c>
      <c r="G83" s="103" t="str" cm="1">
        <f t="array" ref="G83" xml:space="preserve"> IF( $E83="舒聲",  INDEX(十五音韻母對照表,$C83,G$2),  INDEX(十五音韻母對照表,$C83,G$2+1))</f>
        <v>e?</v>
      </c>
      <c r="H83" s="103" t="str" cm="1">
        <f t="array" ref="H83" xml:space="preserve"> IF( $E83="舒聲",  INDEX(十五音韻母對照表,$C83,H$2),  INDEX(十五音韻母對照表,$C83,H$2+1))</f>
        <v>eh</v>
      </c>
      <c r="I83" s="103" t="str" cm="1">
        <f t="array" ref="I83" xml:space="preserve"> IF( $E83="舒聲",  INDEX(十五音韻母對照表,$C83,I$2),  INDEX(十五音韻母對照表,$C83,I$2+1))</f>
        <v>eh</v>
      </c>
      <c r="J83" s="103" t="str" cm="1">
        <f t="array" ref="J83" xml:space="preserve"> IF( $E83="舒聲",  INDEX(十五音韻母對照表,$C83,J$2),  INDEX(十五音韻母對照表,$C83,J$2+1))</f>
        <v>eh</v>
      </c>
      <c r="K83" s="103" t="str" cm="1">
        <f t="array" ref="K83" xml:space="preserve"> IF( $E83="舒聲",  INDEX(十五音韻母對照表,$C83,K$2),  INDEX(十五音韻母對照表,$C83,K$2+1))</f>
        <v>ㆤㆷ</v>
      </c>
    </row>
    <row r="84" spans="2:11" ht="30">
      <c r="B84" s="88">
        <v>79</v>
      </c>
      <c r="C84" s="88">
        <v>40</v>
      </c>
      <c r="D84" s="89" t="s">
        <v>156</v>
      </c>
      <c r="E84" s="89" t="s">
        <v>1119</v>
      </c>
      <c r="F84" s="103" t="str" cm="1">
        <f t="array" ref="F84" xml:space="preserve"> IF( $E84="舒聲",  INDEX(十五音韻母對照表,$C84,F$2),  INDEX(十五音韻母對照表,$C84,F$2+1))</f>
        <v>ainn</v>
      </c>
      <c r="G84" s="103" t="str" cm="1">
        <f t="array" ref="G84" xml:space="preserve"> IF( $E84="舒聲",  INDEX(十五音韻母對照表,$C84,G$2),  INDEX(十五音韻母對照表,$C84,G$2+1))</f>
        <v>aĩ</v>
      </c>
      <c r="H84" s="103" t="str" cm="1">
        <f t="array" ref="H84" xml:space="preserve"> IF( $E84="舒聲",  INDEX(十五音韻母對照表,$C84,H$2),  INDEX(十五音韻母對照表,$C84,H$2+1))</f>
        <v>aiⁿ</v>
      </c>
      <c r="I84" s="103" t="str" cm="1">
        <f t="array" ref="I84" xml:space="preserve"> IF( $E84="舒聲",  INDEX(十五音韻母對照表,$C84,I$2),  INDEX(十五音韻母對照表,$C84,I$2+1))</f>
        <v>ainn</v>
      </c>
      <c r="J84" s="103" t="str" cm="1">
        <f t="array" ref="J84" xml:space="preserve"> IF( $E84="舒聲",  INDEX(十五音韻母對照表,$C84,J$2),  INDEX(十五音韻母對照表,$C84,J$2+1))</f>
        <v>nai</v>
      </c>
      <c r="K84" s="103" t="str" cm="1">
        <f t="array" ref="K84" xml:space="preserve"> IF( $E84="舒聲",  INDEX(十五音韻母對照表,$C84,K$2),  INDEX(十五音韻母對照表,$C84,K$2+1))</f>
        <v>ㆮ</v>
      </c>
    </row>
    <row r="85" spans="2:11" ht="30">
      <c r="B85" s="88">
        <v>80</v>
      </c>
      <c r="C85" s="88">
        <v>40</v>
      </c>
      <c r="D85" s="89" t="s">
        <v>156</v>
      </c>
      <c r="E85" s="89" t="s">
        <v>1120</v>
      </c>
      <c r="F85" s="103" t="str" cm="1">
        <f t="array" ref="F85" xml:space="preserve"> IF( $E85="舒聲",  INDEX(十五音韻母對照表,$C85,F$2),  INDEX(十五音韻母對照表,$C85,F$2+1))</f>
        <v>ainnh</v>
      </c>
      <c r="G85" s="103" t="str" cm="1">
        <f t="array" ref="G85" xml:space="preserve"> IF( $E85="舒聲",  INDEX(十五音韻母對照表,$C85,G$2),  INDEX(十五音韻母對照表,$C85,G$2+1))</f>
        <v>aĩ?</v>
      </c>
      <c r="H85" s="103" t="str" cm="1">
        <f t="array" ref="H85" xml:space="preserve"> IF( $E85="舒聲",  INDEX(十五音韻母對照表,$C85,H$2),  INDEX(十五音韻母對照表,$C85,H$2+1))</f>
        <v>aihⁿ</v>
      </c>
      <c r="I85" s="103" t="str" cm="1">
        <f t="array" ref="I85" xml:space="preserve"> IF( $E85="舒聲",  INDEX(十五音韻母對照表,$C85,I$2),  INDEX(十五音韻母對照表,$C85,I$2+1))</f>
        <v>ainnh</v>
      </c>
      <c r="J85" s="103" t="str" cm="1">
        <f t="array" ref="J85" xml:space="preserve"> IF( $E85="舒聲",  INDEX(十五音韻母對照表,$C85,J$2),  INDEX(十五音韻母對照表,$C85,J$2+1))</f>
        <v>naih</v>
      </c>
      <c r="K85" s="103" t="str" cm="1">
        <f t="array" ref="K85" xml:space="preserve"> IF( $E85="舒聲",  INDEX(十五音韻母對照表,$C85,K$2),  INDEX(十五音韻母對照表,$C85,K$2+1))</f>
        <v>ㆮㆷ</v>
      </c>
    </row>
    <row r="86" spans="2:11" ht="30">
      <c r="B86" s="88">
        <v>81</v>
      </c>
      <c r="C86" s="88">
        <v>41</v>
      </c>
      <c r="D86" s="89" t="s">
        <v>256</v>
      </c>
      <c r="E86" s="89" t="s">
        <v>1119</v>
      </c>
      <c r="F86" s="103" t="str" cm="1">
        <f t="array" ref="F86" xml:space="preserve"> IF( $E86="舒聲",  INDEX(十五音韻母對照表,$C86,F$2),  INDEX(十五音韻母對照表,$C86,F$2+1))</f>
        <v>oonn</v>
      </c>
      <c r="G86" s="103" t="str" cm="1">
        <f t="array" ref="G86" xml:space="preserve"> IF( $E86="舒聲",  INDEX(十五音韻母對照表,$C86,G$2),  INDEX(十五音韻母對照表,$C86,G$2+1))</f>
        <v>õu</v>
      </c>
      <c r="H86" s="103" t="str" cm="1">
        <f t="array" ref="H86" xml:space="preserve"> IF( $E86="舒聲",  INDEX(十五音韻母對照表,$C86,H$2),  INDEX(十五音韻母對照表,$C86,H$2+1))</f>
        <v>oⁿ</v>
      </c>
      <c r="I86" s="103" t="str" cm="1">
        <f t="array" ref="I86" xml:space="preserve"> IF( $E86="舒聲",  INDEX(十五音韻母對照表,$C86,I$2),  INDEX(十五音韻母對照表,$C86,I$2+1))</f>
        <v>onn</v>
      </c>
      <c r="J86" s="103" t="str" cm="1">
        <f t="array" ref="J86" xml:space="preserve"> IF( $E86="舒聲",  INDEX(十五音韻母對照表,$C86,J$2),  INDEX(十五音韻母對照表,$C86,J$2+1))</f>
        <v>noo</v>
      </c>
      <c r="K86" s="103" t="str" cm="1">
        <f t="array" ref="K86" xml:space="preserve"> IF( $E86="舒聲",  INDEX(十五音韻母對照表,$C86,K$2),  INDEX(十五音韻母對照表,$C86,K$2+1))</f>
        <v>ㆧ</v>
      </c>
    </row>
    <row r="87" spans="2:11" ht="30">
      <c r="B87" s="88">
        <v>82</v>
      </c>
      <c r="C87" s="88">
        <v>41</v>
      </c>
      <c r="D87" s="89" t="s">
        <v>256</v>
      </c>
      <c r="E87" s="89" t="s">
        <v>1120</v>
      </c>
      <c r="F87" s="103" t="str" cm="1">
        <f t="array" ref="F87" xml:space="preserve"> IF( $E87="舒聲",  INDEX(十五音韻母對照表,$C87,F$2),  INDEX(十五音韻母對照表,$C87,F$2+1))</f>
        <v>oonnh</v>
      </c>
      <c r="G87" s="103" t="str" cm="1">
        <f t="array" ref="G87" xml:space="preserve"> IF( $E87="舒聲",  INDEX(十五音韻母對照表,$C87,G$2),  INDEX(十五音韻母對照表,$C87,G$2+1))</f>
        <v>õu?</v>
      </c>
      <c r="H87" s="103" t="str" cm="1">
        <f t="array" ref="H87" xml:space="preserve"> IF( $E87="舒聲",  INDEX(十五音韻母對照表,$C87,H$2),  INDEX(十五音韻母對照表,$C87,H$2+1))</f>
        <v>ohⁿ</v>
      </c>
      <c r="I87" s="103" t="str" cm="1">
        <f t="array" ref="I87" xml:space="preserve"> IF( $E87="舒聲",  INDEX(十五音韻母對照表,$C87,I$2),  INDEX(十五音韻母對照表,$C87,I$2+1))</f>
        <v>onnh</v>
      </c>
      <c r="J87" s="103" t="str" cm="1">
        <f t="array" ref="J87" xml:space="preserve"> IF( $E87="舒聲",  INDEX(十五音韻母對照表,$C87,J$2),  INDEX(十五音韻母對照表,$C87,J$2+1))</f>
        <v>nooh</v>
      </c>
      <c r="K87" s="103" t="str" cm="1">
        <f t="array" ref="K87" xml:space="preserve"> IF( $E87="舒聲",  INDEX(十五音韻母對照表,$C87,K$2),  INDEX(十五音韻母對照表,$C87,K$2+1))</f>
        <v>ㆧㆷ</v>
      </c>
    </row>
    <row r="88" spans="2:11" ht="30">
      <c r="B88" s="88">
        <v>83</v>
      </c>
      <c r="C88" s="88">
        <v>42</v>
      </c>
      <c r="D88" s="89" t="s">
        <v>251</v>
      </c>
      <c r="E88" s="89" t="s">
        <v>1119</v>
      </c>
      <c r="F88" s="103" t="str" cm="1">
        <f t="array" ref="F88" xml:space="preserve"> IF( $E88="舒聲",  INDEX(十五音韻母對照表,$C88,F$2),  INDEX(十五音韻母對照表,$C88,F$2+1))</f>
        <v>m</v>
      </c>
      <c r="G88" s="103" t="str" cm="1">
        <f t="array" ref="G88" xml:space="preserve"> IF( $E88="舒聲",  INDEX(十五音韻母對照表,$C88,G$2),  INDEX(十五音韻母對照表,$C88,G$2+1))</f>
        <v>m</v>
      </c>
      <c r="H88" s="103" t="str" cm="1">
        <f t="array" ref="H88" xml:space="preserve"> IF( $E88="舒聲",  INDEX(十五音韻母對照表,$C88,H$2),  INDEX(十五音韻母對照表,$C88,H$2+1))</f>
        <v>m</v>
      </c>
      <c r="I88" s="103" t="str" cm="1">
        <f t="array" ref="I88" xml:space="preserve"> IF( $E88="舒聲",  INDEX(十五音韻母對照表,$C88,I$2),  INDEX(十五音韻母對照表,$C88,I$2+1))</f>
        <v>m</v>
      </c>
      <c r="J88" s="103" t="str" cm="1">
        <f t="array" ref="J88" xml:space="preserve"> IF( $E88="舒聲",  INDEX(十五音韻母對照表,$C88,J$2),  INDEX(十五音韻母對照表,$C88,J$2+1))</f>
        <v>m</v>
      </c>
      <c r="K88" s="103" t="str" cm="1">
        <f t="array" ref="K88" xml:space="preserve"> IF( $E88="舒聲",  INDEX(十五音韻母對照表,$C88,K$2),  INDEX(十五音韻母對照表,$C88,K$2+1))</f>
        <v>ㆬ</v>
      </c>
    </row>
    <row r="89" spans="2:11" ht="30">
      <c r="B89" s="88">
        <v>84</v>
      </c>
      <c r="C89" s="88">
        <v>42</v>
      </c>
      <c r="D89" s="89" t="s">
        <v>251</v>
      </c>
      <c r="E89" s="89" t="s">
        <v>1120</v>
      </c>
      <c r="F89" s="103" t="str" cm="1">
        <f t="array" ref="F89" xml:space="preserve"> IF( $E89="舒聲",  INDEX(十五音韻母對照表,$C89,F$2),  INDEX(十五音韻母對照表,$C89,F$2+1))</f>
        <v>mh</v>
      </c>
      <c r="G89" s="103" t="str" cm="1">
        <f t="array" ref="G89" xml:space="preserve"> IF( $E89="舒聲",  INDEX(十五音韻母對照表,$C89,G$2),  INDEX(十五音韻母對照表,$C89,G$2+1))</f>
        <v>mh</v>
      </c>
      <c r="H89" s="103" t="str" cm="1">
        <f t="array" ref="H89" xml:space="preserve"> IF( $E89="舒聲",  INDEX(十五音韻母對照表,$C89,H$2),  INDEX(十五音韻母對照表,$C89,H$2+1))</f>
        <v>mh</v>
      </c>
      <c r="I89" s="103" t="str" cm="1">
        <f t="array" ref="I89" xml:space="preserve"> IF( $E89="舒聲",  INDEX(十五音韻母對照表,$C89,I$2),  INDEX(十五音韻母對照表,$C89,I$2+1))</f>
        <v>mh</v>
      </c>
      <c r="J89" s="103" t="str" cm="1">
        <f t="array" ref="J89" xml:space="preserve"> IF( $E89="舒聲",  INDEX(十五音韻母對照表,$C89,J$2),  INDEX(十五音韻母對照表,$C89,J$2+1))</f>
        <v>mh</v>
      </c>
      <c r="K89" s="103" t="str" cm="1">
        <f t="array" ref="K89" xml:space="preserve"> IF( $E89="舒聲",  INDEX(十五音韻母對照表,$C89,K$2),  INDEX(十五音韻母對照表,$C89,K$2+1))</f>
        <v>ㆬㆷ</v>
      </c>
    </row>
    <row r="90" spans="2:11" ht="30">
      <c r="B90" s="88">
        <v>85</v>
      </c>
      <c r="C90" s="88">
        <v>43</v>
      </c>
      <c r="D90" s="89" t="s">
        <v>269</v>
      </c>
      <c r="E90" s="89" t="s">
        <v>1119</v>
      </c>
      <c r="F90" s="103" t="str" cm="1">
        <f t="array" ref="F90" xml:space="preserve"> IF( $E90="舒聲",  INDEX(十五音韻母對照表,$C90,F$2),  INDEX(十五音韻母對照表,$C90,F$2+1))</f>
        <v>uang</v>
      </c>
      <c r="G90" s="103" t="str" cm="1">
        <f t="array" ref="G90" xml:space="preserve"> IF( $E90="舒聲",  INDEX(十五音韻母對照表,$C90,G$2),  INDEX(十五音韻母對照表,$C90,G$2+1))</f>
        <v>uaŋ</v>
      </c>
      <c r="H90" s="103" t="str" cm="1">
        <f t="array" ref="H90" xml:space="preserve"> IF( $E90="舒聲",  INDEX(十五音韻母對照表,$C90,H$2),  INDEX(十五音韻母對照表,$C90,H$2+1))</f>
        <v>oang</v>
      </c>
      <c r="I90" s="103" t="str" cm="1">
        <f t="array" ref="I90" xml:space="preserve"> IF( $E90="舒聲",  INDEX(十五音韻母對照表,$C90,I$2),  INDEX(十五音韻母對照表,$C90,I$2+1))</f>
        <v>uang</v>
      </c>
      <c r="J90" s="103" t="str" cm="1">
        <f t="array" ref="J90" xml:space="preserve"> IF( $E90="舒聲",  INDEX(十五音韻母對照表,$C90,J$2),  INDEX(十五音韻母對照表,$C90,J$2+1))</f>
        <v>uang</v>
      </c>
      <c r="K90" s="103" t="str" cm="1">
        <f t="array" ref="K90" xml:space="preserve"> IF( $E90="舒聲",  INDEX(十五音韻母對照表,$C90,K$2),  INDEX(十五音韻母對照表,$C90,K$2+1))</f>
        <v>ㄨㄤ</v>
      </c>
    </row>
    <row r="91" spans="2:11" ht="30">
      <c r="B91" s="88">
        <v>86</v>
      </c>
      <c r="C91" s="88">
        <v>43</v>
      </c>
      <c r="D91" s="89" t="s">
        <v>269</v>
      </c>
      <c r="E91" s="89" t="s">
        <v>1120</v>
      </c>
      <c r="F91" s="103" t="str" cm="1">
        <f t="array" ref="F91" xml:space="preserve"> IF( $E91="舒聲",  INDEX(十五音韻母對照表,$C91,F$2),  INDEX(十五音韻母對照表,$C91,F$2+1))</f>
        <v>uak</v>
      </c>
      <c r="G91" s="103" t="str" cm="1">
        <f t="array" ref="G91" xml:space="preserve"> IF( $E91="舒聲",  INDEX(十五音韻母對照表,$C91,G$2),  INDEX(十五音韻母對照表,$C91,G$2+1))</f>
        <v>uak̚</v>
      </c>
      <c r="H91" s="103" t="str" cm="1">
        <f t="array" ref="H91" xml:space="preserve"> IF( $E91="舒聲",  INDEX(十五音韻母對照表,$C91,H$2),  INDEX(十五音韻母對照表,$C91,H$2+1))</f>
        <v>oak</v>
      </c>
      <c r="I91" s="103" t="str" cm="1">
        <f t="array" ref="I91" xml:space="preserve"> IF( $E91="舒聲",  INDEX(十五音韻母對照表,$C91,I$2),  INDEX(十五音韻母對照表,$C91,I$2+1))</f>
        <v>uak</v>
      </c>
      <c r="J91" s="103" t="str" cm="1">
        <f t="array" ref="J91" xml:space="preserve"> IF( $E91="舒聲",  INDEX(十五音韻母對照表,$C91,J$2),  INDEX(十五音韻母對照表,$C91,J$2+1))</f>
        <v>uak</v>
      </c>
      <c r="K91" s="103" t="str" cm="1">
        <f t="array" ref="K91" xml:space="preserve"> IF( $E91="舒聲",  INDEX(十五音韻母對照表,$C91,K$2),  INDEX(十五音韻母對照表,$C91,K$2+1))</f>
        <v>ㄨㄚㆻ</v>
      </c>
    </row>
    <row r="92" spans="2:11" ht="30">
      <c r="B92" s="88">
        <v>87</v>
      </c>
      <c r="C92" s="88">
        <v>44</v>
      </c>
      <c r="D92" s="89" t="s">
        <v>276</v>
      </c>
      <c r="E92" s="89" t="s">
        <v>1119</v>
      </c>
      <c r="F92" s="103" t="str" cm="1">
        <f t="array" ref="F92" xml:space="preserve"> IF( $E92="舒聲",  INDEX(十五音韻母對照表,$C92,F$2),  INDEX(十五音韻母對照表,$C92,F$2+1))</f>
        <v>uainn</v>
      </c>
      <c r="G92" s="103" t="str" cm="1">
        <f t="array" ref="G92" xml:space="preserve"> IF( $E92="舒聲",  INDEX(十五音韻母對照表,$C92,G$2),  INDEX(十五音韻母對照表,$C92,G$2+1))</f>
        <v>uãi</v>
      </c>
      <c r="H92" s="103" t="str" cm="1">
        <f t="array" ref="H92" xml:space="preserve"> IF( $E92="舒聲",  INDEX(十五音韻母對照表,$C92,H$2),  INDEX(十五音韻母對照表,$C92,H$2+1))</f>
        <v>oaiⁿ</v>
      </c>
      <c r="I92" s="103" t="str" cm="1">
        <f t="array" ref="I92" xml:space="preserve"> IF( $E92="舒聲",  INDEX(十五音韻母對照表,$C92,I$2),  INDEX(十五音韻母對照表,$C92,I$2+1))</f>
        <v>uainn</v>
      </c>
      <c r="J92" s="103" t="str" cm="1">
        <f t="array" ref="J92" xml:space="preserve"> IF( $E92="舒聲",  INDEX(十五音韻母對照表,$C92,J$2),  INDEX(十五音韻母對照表,$C92,J$2+1))</f>
        <v>nuai</v>
      </c>
      <c r="K92" s="103" t="str" cm="1">
        <f t="array" ref="K92" xml:space="preserve"> IF( $E92="舒聲",  INDEX(十五音韻母對照表,$C92,K$2),  INDEX(十五音韻母對照表,$C92,K$2+1))</f>
        <v>ㄨㆮ</v>
      </c>
    </row>
    <row r="93" spans="2:11" ht="30">
      <c r="B93" s="88">
        <v>88</v>
      </c>
      <c r="C93" s="88">
        <v>44</v>
      </c>
      <c r="D93" s="89" t="s">
        <v>276</v>
      </c>
      <c r="E93" s="89" t="s">
        <v>1120</v>
      </c>
      <c r="F93" s="103" t="str" cm="1">
        <f t="array" ref="F93" xml:space="preserve"> IF( $E93="舒聲",  INDEX(十五音韻母對照表,$C93,F$2),  INDEX(十五音韻母對照表,$C93,F$2+1))</f>
        <v>uainnh</v>
      </c>
      <c r="G93" s="103" t="str" cm="1">
        <f t="array" ref="G93" xml:space="preserve"> IF( $E93="舒聲",  INDEX(十五音韻母對照表,$C93,G$2),  INDEX(十五音韻母對照表,$C93,G$2+1))</f>
        <v>uãi?</v>
      </c>
      <c r="H93" s="103" t="str" cm="1">
        <f t="array" ref="H93" xml:space="preserve"> IF( $E93="舒聲",  INDEX(十五音韻母對照表,$C93,H$2),  INDEX(十五音韻母對照表,$C93,H$2+1))</f>
        <v>oaiⁿh</v>
      </c>
      <c r="I93" s="103" t="str" cm="1">
        <f t="array" ref="I93" xml:space="preserve"> IF( $E93="舒聲",  INDEX(十五音韻母對照表,$C93,I$2),  INDEX(十五音韻母對照表,$C93,I$2+1))</f>
        <v>uainnh</v>
      </c>
      <c r="J93" s="103" t="str" cm="1">
        <f t="array" ref="J93" xml:space="preserve"> IF( $E93="舒聲",  INDEX(十五音韻母對照表,$C93,J$2),  INDEX(十五音韻母對照表,$C93,J$2+1))</f>
        <v>nuaih</v>
      </c>
      <c r="K93" s="103" t="str" cm="1">
        <f t="array" ref="K93" xml:space="preserve"> IF( $E93="舒聲",  INDEX(十五音韻母對照表,$C93,K$2),  INDEX(十五音韻母對照表,$C93,K$2+1))</f>
        <v>ㄨㆮㆷ</v>
      </c>
    </row>
    <row r="94" spans="2:11" ht="30">
      <c r="B94" s="88">
        <v>89</v>
      </c>
      <c r="C94" s="88">
        <v>45</v>
      </c>
      <c r="D94" s="89" t="s">
        <v>272</v>
      </c>
      <c r="E94" s="89" t="s">
        <v>1119</v>
      </c>
      <c r="F94" s="103" t="str" cm="1">
        <f t="array" ref="F94" xml:space="preserve"> IF( $E94="舒聲",  INDEX(十五音韻母對照表,$C94,F$2),  INDEX(十五音韻母對照表,$C94,F$2+1))</f>
        <v>uenn</v>
      </c>
      <c r="G94" s="103" t="str" cm="1">
        <f t="array" ref="G94" xml:space="preserve"> IF( $E94="舒聲",  INDEX(十五音韻母對照表,$C94,G$2),  INDEX(十五音韻母對照表,$C94,G$2+1))</f>
        <v>uẽi</v>
      </c>
      <c r="H94" s="103" t="str" cm="1">
        <f t="array" ref="H94" xml:space="preserve"> IF( $E94="舒聲",  INDEX(十五音韻母對照表,$C94,H$2),  INDEX(十五音韻母對照表,$C94,H$2+1))</f>
        <v>oeⁿ</v>
      </c>
      <c r="I94" s="103" t="str" cm="1">
        <f t="array" ref="I94" xml:space="preserve"> IF( $E94="舒聲",  INDEX(十五音韻母對照表,$C94,I$2),  INDEX(十五音韻母對照表,$C94,I$2+1))</f>
        <v>uenn</v>
      </c>
      <c r="J94" s="103" t="str" cm="1">
        <f t="array" ref="J94" xml:space="preserve"> IF( $E94="舒聲",  INDEX(十五音韻母對照表,$C94,J$2),  INDEX(十五音韻母對照表,$C94,J$2+1))</f>
        <v>nue</v>
      </c>
      <c r="K94" s="103" t="str" cm="1">
        <f t="array" ref="K94" xml:space="preserve"> IF( $E94="舒聲",  INDEX(十五音韻母對照表,$C94,K$2),  INDEX(十五音韻母對照表,$C94,K$2+1))</f>
        <v>ㄨㆥ</v>
      </c>
    </row>
    <row r="95" spans="2:11" ht="30">
      <c r="B95" s="88">
        <v>90</v>
      </c>
      <c r="C95" s="88">
        <v>45</v>
      </c>
      <c r="D95" s="89" t="s">
        <v>272</v>
      </c>
      <c r="E95" s="89" t="s">
        <v>1120</v>
      </c>
      <c r="F95" s="103" t="str" cm="1">
        <f t="array" ref="F95" xml:space="preserve"> IF( $E95="舒聲",  INDEX(十五音韻母對照表,$C95,F$2),  INDEX(十五音韻母對照表,$C95,F$2+1))</f>
        <v>uennh</v>
      </c>
      <c r="G95" s="103" t="str" cm="1">
        <f t="array" ref="G95" xml:space="preserve"> IF( $E95="舒聲",  INDEX(十五音韻母對照表,$C95,G$2),  INDEX(十五音韻母對照表,$C95,G$2+1))</f>
        <v>uẽi?</v>
      </c>
      <c r="H95" s="103" t="str" cm="1">
        <f t="array" ref="H95" xml:space="preserve"> IF( $E95="舒聲",  INDEX(十五音韻母對照表,$C95,H$2),  INDEX(十五音韻母對照表,$C95,H$2+1))</f>
        <v>oehⁿ</v>
      </c>
      <c r="I95" s="103" t="str" cm="1">
        <f t="array" ref="I95" xml:space="preserve"> IF( $E95="舒聲",  INDEX(十五音韻母對照表,$C95,I$2),  INDEX(十五音韻母對照表,$C95,I$2+1))</f>
        <v>uennh</v>
      </c>
      <c r="J95" s="103" t="str" cm="1">
        <f t="array" ref="J95" xml:space="preserve"> IF( $E95="舒聲",  INDEX(十五音韻母對照表,$C95,J$2),  INDEX(十五音韻母對照表,$C95,J$2+1))</f>
        <v>nueh</v>
      </c>
      <c r="K95" s="103" t="str" cm="1">
        <f t="array" ref="K95" xml:space="preserve"> IF( $E95="舒聲",  INDEX(十五音韻母對照表,$C95,K$2),  INDEX(十五音韻母對照表,$C95,K$2+1))</f>
        <v>ㄨㆥㆷ</v>
      </c>
    </row>
    <row r="96" spans="2:11" ht="30">
      <c r="B96" s="88">
        <v>91</v>
      </c>
      <c r="C96" s="88">
        <v>46</v>
      </c>
      <c r="D96" s="89" t="s">
        <v>232</v>
      </c>
      <c r="E96" s="89" t="s">
        <v>1119</v>
      </c>
      <c r="F96" s="103" t="str" cm="1">
        <f t="array" ref="F96" xml:space="preserve"> IF( $E96="舒聲",  INDEX(十五音韻母對照表,$C96,F$2),  INDEX(十五音韻母對照表,$C96,F$2+1))</f>
        <v>iaunn</v>
      </c>
      <c r="G96" s="103" t="str" cm="1">
        <f t="array" ref="G96" xml:space="preserve"> IF( $E96="舒聲",  INDEX(十五音韻母對照表,$C96,G$2),  INDEX(十五音韻母對照表,$C96,G$2+1))</f>
        <v>iãu</v>
      </c>
      <c r="H96" s="103" t="str" cm="1">
        <f t="array" ref="H96" xml:space="preserve"> IF( $E96="舒聲",  INDEX(十五音韻母對照表,$C96,H$2),  INDEX(十五音韻母對照表,$C96,H$2+1))</f>
        <v>iauⁿ</v>
      </c>
      <c r="I96" s="103" t="str" cm="1">
        <f t="array" ref="I96" xml:space="preserve"> IF( $E96="舒聲",  INDEX(十五音韻母對照表,$C96,I$2),  INDEX(十五音韻母對照表,$C96,I$2+1))</f>
        <v>iaunn</v>
      </c>
      <c r="J96" s="103" t="str" cm="1">
        <f t="array" ref="J96" xml:space="preserve"> IF( $E96="舒聲",  INDEX(十五音韻母對照表,$C96,J$2),  INDEX(十五音韻母對照表,$C96,J$2+1))</f>
        <v>niao</v>
      </c>
      <c r="K96" s="103" t="str" cm="1">
        <f t="array" ref="K96" xml:space="preserve"> IF( $E96="舒聲",  INDEX(十五音韻母對照表,$C96,K$2),  INDEX(十五音韻母對照表,$C96,K$2+1))</f>
        <v>ㄧㆯ</v>
      </c>
    </row>
    <row r="97" spans="2:11" ht="30">
      <c r="B97" s="88">
        <v>92</v>
      </c>
      <c r="C97" s="88">
        <v>46</v>
      </c>
      <c r="D97" s="89" t="s">
        <v>232</v>
      </c>
      <c r="E97" s="89" t="s">
        <v>1120</v>
      </c>
      <c r="F97" s="103" t="str" cm="1">
        <f t="array" ref="F97" xml:space="preserve"> IF( $E97="舒聲",  INDEX(十五音韻母對照表,$C97,F$2),  INDEX(十五音韻母對照表,$C97,F$2+1))</f>
        <v>iaunnh</v>
      </c>
      <c r="G97" s="103" t="str" cm="1">
        <f t="array" ref="G97" xml:space="preserve"> IF( $E97="舒聲",  INDEX(十五音韻母對照表,$C97,G$2),  INDEX(十五音韻母對照表,$C97,G$2+1))</f>
        <v>iãu?</v>
      </c>
      <c r="H97" s="103" t="str" cm="1">
        <f t="array" ref="H97" xml:space="preserve"> IF( $E97="舒聲",  INDEX(十五音韻母對照表,$C97,H$2),  INDEX(十五音韻母對照表,$C97,H$2+1))</f>
        <v>iauⁿh</v>
      </c>
      <c r="I97" s="103" t="str" cm="1">
        <f t="array" ref="I97" xml:space="preserve"> IF( $E97="舒聲",  INDEX(十五音韻母對照表,$C97,I$2),  INDEX(十五音韻母對照表,$C97,I$2+1))</f>
        <v>iaunnh</v>
      </c>
      <c r="J97" s="103" t="str" cm="1">
        <f t="array" ref="J97" xml:space="preserve"> IF( $E97="舒聲",  INDEX(十五音韻母對照表,$C97,J$2),  INDEX(十五音韻母對照表,$C97,J$2+1))</f>
        <v>niaoh</v>
      </c>
      <c r="K97" s="103" t="str" cm="1">
        <f t="array" ref="K97" xml:space="preserve"> IF( $E97="舒聲",  INDEX(十五音韻母對照表,$C97,K$2),  INDEX(十五音韻母對照表,$C97,K$2+1))</f>
        <v>ㄧㆯㆷ</v>
      </c>
    </row>
    <row r="98" spans="2:11" ht="30">
      <c r="B98" s="88">
        <v>93</v>
      </c>
      <c r="C98" s="88">
        <v>47</v>
      </c>
      <c r="D98" s="89" t="s">
        <v>261</v>
      </c>
      <c r="E98" s="89" t="s">
        <v>1119</v>
      </c>
      <c r="F98" s="103" t="str" cm="1">
        <f t="array" ref="F98" xml:space="preserve"> IF( $E98="舒聲",  INDEX(十五音韻母對照表,$C98,F$2),  INDEX(十五音韻母對照表,$C98,F$2+1))</f>
        <v>om</v>
      </c>
      <c r="G98" s="103" t="str" cm="1">
        <f t="array" ref="G98" xml:space="preserve"> IF( $E98="舒聲",  INDEX(十五音韻母對照表,$C98,G$2),  INDEX(十五音韻母對照表,$C98,G$2+1))</f>
        <v>ɔm</v>
      </c>
      <c r="H98" s="103" t="str" cm="1">
        <f t="array" ref="H98" xml:space="preserve"> IF( $E98="舒聲",  INDEX(十五音韻母對照表,$C98,H$2),  INDEX(十五音韻母對照表,$C98,H$2+1))</f>
        <v>om</v>
      </c>
      <c r="I98" s="103" t="str" cm="1">
        <f t="array" ref="I98" xml:space="preserve"> IF( $E98="舒聲",  INDEX(十五音韻母對照表,$C98,I$2),  INDEX(十五音韻母對照表,$C98,I$2+1))</f>
        <v>om</v>
      </c>
      <c r="J98" s="103" t="str" cm="1">
        <f t="array" ref="J98" xml:space="preserve"> IF( $E98="舒聲",  INDEX(十五音韻母對照表,$C98,J$2),  INDEX(十五音韻母對照表,$C98,J$2+1))</f>
        <v>om</v>
      </c>
      <c r="K98" s="103" t="str" cm="1">
        <f t="array" ref="K98" xml:space="preserve"> IF( $E98="舒聲",  INDEX(十五音韻母對照表,$C98,K$2),  INDEX(十五音韻母對照表,$C98,K$2+1))</f>
        <v>ㆱ</v>
      </c>
    </row>
    <row r="99" spans="2:11" ht="30">
      <c r="B99" s="88">
        <v>94</v>
      </c>
      <c r="C99" s="88">
        <v>47</v>
      </c>
      <c r="D99" s="89" t="s">
        <v>261</v>
      </c>
      <c r="E99" s="89" t="s">
        <v>1120</v>
      </c>
      <c r="F99" s="103" t="str" cm="1">
        <f t="array" ref="F99" xml:space="preserve"> IF( $E99="舒聲",  INDEX(十五音韻母對照表,$C99,F$2),  INDEX(十五音韻母對照表,$C99,F$2+1))</f>
        <v>op</v>
      </c>
      <c r="G99" s="103" t="str" cm="1">
        <f t="array" ref="G99" xml:space="preserve"> IF( $E99="舒聲",  INDEX(十五音韻母對照表,$C99,G$2),  INDEX(十五音韻母對照表,$C99,G$2+1))</f>
        <v>ɔp̚</v>
      </c>
      <c r="H99" s="103" t="str" cm="1">
        <f t="array" ref="H99" xml:space="preserve"> IF( $E99="舒聲",  INDEX(十五音韻母對照表,$C99,H$2),  INDEX(十五音韻母對照表,$C99,H$2+1))</f>
        <v>op</v>
      </c>
      <c r="I99" s="103" t="str" cm="1">
        <f t="array" ref="I99" xml:space="preserve"> IF( $E99="舒聲",  INDEX(十五音韻母對照表,$C99,I$2),  INDEX(十五音韻母對照表,$C99,I$2+1))</f>
        <v>op</v>
      </c>
      <c r="J99" s="103" t="str" cm="1">
        <f t="array" ref="J99" xml:space="preserve"> IF( $E99="舒聲",  INDEX(十五音韻母對照表,$C99,J$2),  INDEX(十五音韻母對照表,$C99,J$2+1))</f>
        <v>op</v>
      </c>
      <c r="K99" s="103" t="str" cm="1">
        <f t="array" ref="K99" xml:space="preserve"> IF( $E99="舒聲",  INDEX(十五音韻母對照表,$C99,K$2),  INDEX(十五音韻母對照表,$C99,K$2+1))</f>
        <v>ㆦㆴ</v>
      </c>
    </row>
    <row r="100" spans="2:11" ht="30">
      <c r="B100" s="88">
        <v>95</v>
      </c>
      <c r="C100" s="88">
        <v>48</v>
      </c>
      <c r="D100" s="89" t="s">
        <v>183</v>
      </c>
      <c r="E100" s="89" t="s">
        <v>1119</v>
      </c>
      <c r="F100" s="103" t="str" cm="1">
        <f t="array" ref="F100" xml:space="preserve"> IF( $E100="舒聲",  INDEX(十五音韻母對照表,$C100,F$2),  INDEX(十五音韻母對照表,$C100,F$2+1))</f>
        <v>aunn</v>
      </c>
      <c r="G100" s="103" t="str" cm="1">
        <f t="array" ref="G100" xml:space="preserve"> IF( $E100="舒聲",  INDEX(十五音韻母對照表,$C100,G$2),  INDEX(十五音韻母對照表,$C100,G$2+1))</f>
        <v>ãu</v>
      </c>
      <c r="H100" s="103" t="str" cm="1">
        <f t="array" ref="H100" xml:space="preserve"> IF( $E100="舒聲",  INDEX(十五音韻母對照表,$C100,H$2),  INDEX(十五音韻母對照表,$C100,H$2+1))</f>
        <v>auⁿ</v>
      </c>
      <c r="I100" s="103" t="str" cm="1">
        <f t="array" ref="I100" xml:space="preserve"> IF( $E100="舒聲",  INDEX(十五音韻母對照表,$C100,I$2),  INDEX(十五音韻母對照表,$C100,I$2+1))</f>
        <v>aunn</v>
      </c>
      <c r="J100" s="103" t="str" cm="1">
        <f t="array" ref="J100" xml:space="preserve"> IF( $E100="舒聲",  INDEX(十五音韻母對照表,$C100,J$2),  INDEX(十五音韻母對照表,$C100,J$2+1))</f>
        <v>nao</v>
      </c>
      <c r="K100" s="103" t="str" cm="1">
        <f t="array" ref="K100" xml:space="preserve"> IF( $E100="舒聲",  INDEX(十五音韻母對照表,$C100,K$2),  INDEX(十五音韻母對照表,$C100,K$2+1))</f>
        <v>ㆯ</v>
      </c>
    </row>
    <row r="101" spans="2:11" ht="30">
      <c r="B101" s="88">
        <v>96</v>
      </c>
      <c r="C101" s="88">
        <v>48</v>
      </c>
      <c r="D101" s="89" t="s">
        <v>183</v>
      </c>
      <c r="E101" s="89" t="s">
        <v>1120</v>
      </c>
      <c r="F101" s="103" t="str" cm="1">
        <f t="array" ref="F101" xml:space="preserve"> IF( $E101="舒聲",  INDEX(十五音韻母對照表,$C101,F$2),  INDEX(十五音韻母對照表,$C101,F$2+1))</f>
        <v>aunnh</v>
      </c>
      <c r="G101" s="103" t="str" cm="1">
        <f t="array" ref="G101" xml:space="preserve"> IF( $E101="舒聲",  INDEX(十五音韻母對照表,$C101,G$2),  INDEX(十五音韻母對照表,$C101,G$2+1))</f>
        <v>ãu?</v>
      </c>
      <c r="H101" s="103" t="str" cm="1">
        <f t="array" ref="H101" xml:space="preserve"> IF( $E101="舒聲",  INDEX(十五音韻母對照表,$C101,H$2),  INDEX(十五音韻母對照表,$C101,H$2+1))</f>
        <v>auhⁿ</v>
      </c>
      <c r="I101" s="103" t="str" cm="1">
        <f t="array" ref="I101" xml:space="preserve"> IF( $E101="舒聲",  INDEX(十五音韻母對照表,$C101,I$2),  INDEX(十五音韻母對照表,$C101,I$2+1))</f>
        <v>aunnh</v>
      </c>
      <c r="J101" s="103" t="str" cm="1">
        <f t="array" ref="J101" xml:space="preserve"> IF( $E101="舒聲",  INDEX(十五音韻母對照表,$C101,J$2),  INDEX(十五音韻母對照表,$C101,J$2+1))</f>
        <v>naoh</v>
      </c>
      <c r="K101" s="103" t="str" cm="1">
        <f t="array" ref="K101" xml:space="preserve"> IF( $E101="舒聲",  INDEX(十五音韻母對照表,$C101,K$2),  INDEX(十五音韻母對照表,$C101,K$2+1))</f>
        <v>ㆯㆷ</v>
      </c>
    </row>
    <row r="102" spans="2:11" ht="30">
      <c r="B102" s="88">
        <v>97</v>
      </c>
      <c r="C102" s="88">
        <v>49</v>
      </c>
      <c r="D102" s="89" t="s">
        <v>267</v>
      </c>
      <c r="E102" s="89" t="s">
        <v>1119</v>
      </c>
      <c r="F102" s="103" t="str" cm="1">
        <f t="array" ref="F102" xml:space="preserve"> IF( $E102="舒聲",  INDEX(十五音韻母對照表,$C102,F$2),  INDEX(十五音韻母對照表,$C102,F$2+1))</f>
        <v>onn</v>
      </c>
      <c r="G102" s="103" t="str" cm="1">
        <f t="array" ref="G102" xml:space="preserve"> IF( $E102="舒聲",  INDEX(十五音韻母對照表,$C102,G$2),  INDEX(十五音韻母對照表,$C102,G$2+1))</f>
        <v>ɔ̃</v>
      </c>
      <c r="H102" s="103" t="str" cm="1">
        <f t="array" ref="H102" xml:space="preserve"> IF( $E102="舒聲",  INDEX(十五音韻母對照表,$C102,H$2),  INDEX(十五音韻母對照表,$C102,H$2+1))</f>
        <v>oⁿ</v>
      </c>
      <c r="I102" s="103" t="str" cm="1">
        <f t="array" ref="I102" xml:space="preserve"> IF( $E102="舒聲",  INDEX(十五音韻母對照表,$C102,I$2),  INDEX(十五音韻母對照表,$C102,I$2+1))</f>
        <v>onn</v>
      </c>
      <c r="J102" s="103" t="str" cm="1">
        <f t="array" ref="J102" xml:space="preserve"> IF( $E102="舒聲",  INDEX(十五音韻母對照表,$C102,J$2),  INDEX(十五音韻母對照表,$C102,J$2+1))</f>
        <v>no</v>
      </c>
      <c r="K102" s="103" t="str" cm="1">
        <f t="array" ref="K102" xml:space="preserve"> IF( $E102="舒聲",  INDEX(十五音韻母對照表,$C102,K$2),  INDEX(十五音韻母對照表,$C102,K$2+1))</f>
        <v>ㆧ</v>
      </c>
    </row>
    <row r="103" spans="2:11" ht="30">
      <c r="B103" s="88">
        <v>98</v>
      </c>
      <c r="C103" s="88">
        <v>49</v>
      </c>
      <c r="D103" s="89" t="s">
        <v>267</v>
      </c>
      <c r="E103" s="89" t="s">
        <v>1120</v>
      </c>
      <c r="F103" s="103" t="str" cm="1">
        <f t="array" ref="F103" xml:space="preserve"> IF( $E103="舒聲",  INDEX(十五音韻母對照表,$C103,F$2),  INDEX(十五音韻母對照表,$C103,F$2+1))</f>
        <v>onnh</v>
      </c>
      <c r="G103" s="103" t="str" cm="1">
        <f t="array" ref="G103" xml:space="preserve"> IF( $E103="舒聲",  INDEX(十五音韻母對照表,$C103,G$2),  INDEX(十五音韻母對照表,$C103,G$2+1))</f>
        <v>ɔ̃h</v>
      </c>
      <c r="H103" s="103" t="str" cm="1">
        <f t="array" ref="H103" xml:space="preserve"> IF( $E103="舒聲",  INDEX(十五音韻母對照表,$C103,H$2),  INDEX(十五音韻母對照表,$C103,H$2+1))</f>
        <v>ohⁿ</v>
      </c>
      <c r="I103" s="103" t="str" cm="1">
        <f t="array" ref="I103" xml:space="preserve"> IF( $E103="舒聲",  INDEX(十五音韻母對照表,$C103,I$2),  INDEX(十五音韻母對照表,$C103,I$2+1))</f>
        <v>onnh</v>
      </c>
      <c r="J103" s="103" t="str" cm="1">
        <f t="array" ref="J103" xml:space="preserve"> IF( $E103="舒聲",  INDEX(十五音韻母對照表,$C103,J$2),  INDEX(十五音韻母對照表,$C103,J$2+1))</f>
        <v>noh</v>
      </c>
      <c r="K103" s="103" t="str" cm="1">
        <f t="array" ref="K103" xml:space="preserve"> IF( $E103="舒聲",  INDEX(十五音韻母對照表,$C103,K$2),  INDEX(十五音韻母對照表,$C103,K$2+1))</f>
        <v>ㆧㆷ</v>
      </c>
    </row>
    <row r="104" spans="2:11" ht="30">
      <c r="B104" s="88">
        <v>99</v>
      </c>
      <c r="C104" s="88">
        <v>50</v>
      </c>
      <c r="D104" s="89" t="s">
        <v>255</v>
      </c>
      <c r="E104" s="89" t="s">
        <v>1119</v>
      </c>
      <c r="F104" s="103" t="str" cm="1">
        <f t="array" ref="F104" xml:space="preserve"> IF( $E104="舒聲",  INDEX(十五音韻母對照表,$C104,F$2),  INDEX(十五音韻母對照表,$C104,F$2+1))</f>
        <v>iunn</v>
      </c>
      <c r="G104" s="103" t="str" cm="1">
        <f t="array" ref="G104" xml:space="preserve"> IF( $E104="舒聲",  INDEX(十五音韻母對照表,$C104,G$2),  INDEX(十五音韻母對照表,$C104,G$2+1))</f>
        <v>iũ</v>
      </c>
      <c r="H104" s="103" t="str" cm="1">
        <f t="array" ref="H104" xml:space="preserve"> IF( $E104="舒聲",  INDEX(十五音韻母對照表,$C104,H$2),  INDEX(十五音韻母對照表,$C104,H$2+1))</f>
        <v>iuⁿ</v>
      </c>
      <c r="I104" s="103" t="str" cm="1">
        <f t="array" ref="I104" xml:space="preserve"> IF( $E104="舒聲",  INDEX(十五音韻母對照表,$C104,I$2),  INDEX(十五音韻母對照表,$C104,I$2+1))</f>
        <v>iunn</v>
      </c>
      <c r="J104" s="103" t="str" cm="1">
        <f t="array" ref="J104" xml:space="preserve"> IF( $E104="舒聲",  INDEX(十五音韻母對照表,$C104,J$2),  INDEX(十五音韻母對照表,$C104,J$2+1))</f>
        <v>niu</v>
      </c>
      <c r="K104" s="103" t="str" cm="1">
        <f t="array" ref="K104" xml:space="preserve"> IF( $E104="舒聲",  INDEX(十五音韻母對照表,$C104,K$2),  INDEX(十五音韻母對照表,$C104,K$2+1))</f>
        <v>ㄧㆫ</v>
      </c>
    </row>
    <row r="105" spans="2:11" ht="30">
      <c r="B105" s="88">
        <v>100</v>
      </c>
      <c r="C105" s="88">
        <v>50</v>
      </c>
      <c r="D105" s="89" t="s">
        <v>255</v>
      </c>
      <c r="E105" s="89" t="s">
        <v>1120</v>
      </c>
      <c r="F105" s="103" t="str" cm="1">
        <f t="array" ref="F105" xml:space="preserve"> IF( $E105="舒聲",  INDEX(十五音韻母對照表,$C105,F$2),  INDEX(十五音韻母對照表,$C105,F$2+1))</f>
        <v>iunnh</v>
      </c>
      <c r="G105" s="103" t="str" cm="1">
        <f t="array" ref="G105" xml:space="preserve"> IF( $E105="舒聲",  INDEX(十五音韻母對照表,$C105,G$2),  INDEX(十五音韻母對照表,$C105,G$2+1))</f>
        <v>iũh</v>
      </c>
      <c r="H105" s="103" t="str" cm="1">
        <f t="array" ref="H105" xml:space="preserve"> IF( $E105="舒聲",  INDEX(十五音韻母對照表,$C105,H$2),  INDEX(十五音韻母對照表,$C105,H$2+1))</f>
        <v>iuhⁿ</v>
      </c>
      <c r="I105" s="103" t="str" cm="1">
        <f t="array" ref="I105" xml:space="preserve"> IF( $E105="舒聲",  INDEX(十五音韻母對照表,$C105,I$2),  INDEX(十五音韻母對照表,$C105,I$2+1))</f>
        <v>iunnh</v>
      </c>
      <c r="J105" s="103" t="str" cm="1">
        <f t="array" ref="J105" xml:space="preserve"> IF( $E105="舒聲",  INDEX(十五音韻母對照表,$C105,J$2),  INDEX(十五音韻母對照表,$C105,J$2+1))</f>
        <v>niuh</v>
      </c>
      <c r="K105" s="103" t="str" cm="1">
        <f t="array" ref="K105" xml:space="preserve"> IF( $E105="舒聲",  INDEX(十五音韻母對照表,$C105,K$2),  INDEX(十五音韻母對照表,$C105,K$2+1))</f>
        <v>ㄧㆫㆷ</v>
      </c>
    </row>
  </sheetData>
  <autoFilter ref="B5:K105" xr:uid="{AA4CBF3C-4DEA-AE42-A98A-4705DAE1A77B}">
    <sortState xmlns:xlrd2="http://schemas.microsoft.com/office/spreadsheetml/2017/richdata2" ref="B6:K105">
      <sortCondition ref="B6:B105"/>
    </sortState>
  </autoFilter>
  <sortState xmlns:xlrd2="http://schemas.microsoft.com/office/spreadsheetml/2017/richdata2" ref="B6:K105">
    <sortCondition ref="B6:B105"/>
  </sortState>
  <phoneticPr fontId="1" type="noConversion"/>
  <conditionalFormatting sqref="B6:K105">
    <cfRule type="expression" dxfId="24" priority="1">
      <formula>$E6="舒聲"</formula>
    </cfRule>
    <cfRule type="expression" dxfId="23" priority="2">
      <formula>$E6="入聲"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679D-EF0C-FE45-93AE-E3DE3D26CAB8}">
  <sheetPr>
    <tabColor rgb="FF00B0F0"/>
  </sheetPr>
  <dimension ref="B1:G56"/>
  <sheetViews>
    <sheetView workbookViewId="0">
      <pane xSplit="4" ySplit="6" topLeftCell="E18" activePane="bottomRight" state="frozen"/>
      <selection pane="topRight" activeCell="W1" sqref="W1"/>
      <selection pane="bottomLeft" activeCell="S8" sqref="S8"/>
      <selection pane="bottomRight" activeCell="C18" sqref="C18"/>
    </sheetView>
  </sheetViews>
  <sheetFormatPr defaultColWidth="10.90625" defaultRowHeight="25.5" outlineLevelRow="1" outlineLevelCol="2"/>
  <cols>
    <col min="1" max="1" width="3.453125" customWidth="1"/>
    <col min="2" max="2" width="6.08984375" customWidth="1" outlineLevel="1"/>
    <col min="3" max="3" width="10.90625" outlineLevel="1"/>
    <col min="4" max="5" width="10.90625" customWidth="1" outlineLevel="2"/>
    <col min="6" max="7" width="10.90625" outlineLevel="1"/>
    <col min="8" max="8" width="4.36328125" customWidth="1"/>
  </cols>
  <sheetData>
    <row r="1" spans="2:7" s="50" customFormat="1" hidden="1" outlineLevel="1">
      <c r="B1"/>
      <c r="C1"/>
      <c r="D1"/>
      <c r="E1"/>
    </row>
    <row r="2" spans="2:7" ht="27" hidden="1" customHeight="1" outlineLevel="1">
      <c r="F2">
        <v>3</v>
      </c>
      <c r="G2">
        <v>4</v>
      </c>
    </row>
    <row r="3" spans="2:7" s="131" customFormat="1" ht="9.9499999999999993" customHeight="1" collapsed="1">
      <c r="B3"/>
      <c r="C3"/>
      <c r="D3"/>
      <c r="E3"/>
      <c r="F3"/>
      <c r="G3"/>
    </row>
    <row r="4" spans="2:7" ht="38.25">
      <c r="B4" s="419" t="s">
        <v>126</v>
      </c>
      <c r="C4" s="50"/>
      <c r="D4" s="50"/>
      <c r="E4" s="50"/>
      <c r="F4" s="50"/>
      <c r="G4" s="50"/>
    </row>
    <row r="5" spans="2:7" ht="8.1" customHeight="1"/>
    <row r="6" spans="2:7">
      <c r="B6" s="47" t="s">
        <v>133</v>
      </c>
      <c r="C6" s="47" t="s">
        <v>128</v>
      </c>
      <c r="D6" s="47" t="s">
        <v>129</v>
      </c>
      <c r="E6" s="47" t="s">
        <v>134</v>
      </c>
      <c r="F6" s="128" t="s">
        <v>130</v>
      </c>
      <c r="G6" s="128" t="s">
        <v>131</v>
      </c>
    </row>
    <row r="7" spans="2:7" ht="33">
      <c r="B7" s="427">
        <v>1</v>
      </c>
      <c r="C7" s="411" t="s">
        <v>138</v>
      </c>
      <c r="D7" s="340" t="s">
        <v>139</v>
      </c>
      <c r="E7" s="340">
        <f t="shared" ref="E7:E56" si="0" xml:space="preserve"> MATCH($D7, 韻母舒聲碼, 0)</f>
        <v>28</v>
      </c>
      <c r="F7" s="25" t="str" cm="1">
        <f t="array" ref="F7" xml:space="preserve"> INDEX(十五音韻母對照表, $E7, F$2)</f>
        <v>a</v>
      </c>
      <c r="G7" s="25" t="str" cm="1">
        <f t="array" ref="G7" xml:space="preserve"> INDEX(十五音韻母對照表, $E7, G$2)</f>
        <v>ah</v>
      </c>
    </row>
    <row r="8" spans="2:7" ht="33">
      <c r="B8" s="427">
        <v>2</v>
      </c>
      <c r="C8" s="411" t="s">
        <v>150</v>
      </c>
      <c r="D8" s="340" t="s">
        <v>151</v>
      </c>
      <c r="E8" s="340">
        <f t="shared" si="0"/>
        <v>16</v>
      </c>
      <c r="F8" s="25" t="str" cm="1">
        <f t="array" ref="F8" xml:space="preserve"> INDEX(十五音韻母對照表, $E8, F$2)</f>
        <v>ai</v>
      </c>
      <c r="G8" s="25" t="str" cm="1">
        <f t="array" ref="G8" xml:space="preserve"> INDEX(十五音韻母對照表, $E8, G$2)</f>
        <v>aih</v>
      </c>
    </row>
    <row r="9" spans="2:7" ht="33">
      <c r="B9" s="427">
        <v>3</v>
      </c>
      <c r="C9" s="411" t="s">
        <v>156</v>
      </c>
      <c r="D9" s="340" t="s">
        <v>157</v>
      </c>
      <c r="E9" s="340">
        <f t="shared" si="0"/>
        <v>40</v>
      </c>
      <c r="F9" s="25" t="str" cm="1">
        <f t="array" ref="F9" xml:space="preserve"> INDEX(十五音韻母對照表, $E9, F$2)</f>
        <v>ainn</v>
      </c>
      <c r="G9" s="25" t="str" cm="1">
        <f t="array" ref="G9" xml:space="preserve"> INDEX(十五音韻母對照表, $E9, G$2)</f>
        <v>ainnh</v>
      </c>
    </row>
    <row r="10" spans="2:7" ht="33">
      <c r="B10" s="427">
        <v>4</v>
      </c>
      <c r="C10" s="411" t="s">
        <v>162</v>
      </c>
      <c r="D10" s="405" t="s">
        <v>163</v>
      </c>
      <c r="E10" s="340">
        <f t="shared" si="0"/>
        <v>19</v>
      </c>
      <c r="F10" s="25" t="str" cm="1">
        <f t="array" ref="F10" xml:space="preserve"> INDEX(十五音韻母對照表, $E10, F$2)</f>
        <v>am</v>
      </c>
      <c r="G10" s="25" t="str" cm="1">
        <f t="array" ref="G10" xml:space="preserve"> INDEX(十五音韻母對照表, $E10, G$2)</f>
        <v>ap</v>
      </c>
    </row>
    <row r="11" spans="2:7" ht="33">
      <c r="B11" s="427">
        <v>5</v>
      </c>
      <c r="C11" s="411" t="s">
        <v>165</v>
      </c>
      <c r="D11" s="405" t="s">
        <v>166</v>
      </c>
      <c r="E11" s="340">
        <f t="shared" si="0"/>
        <v>6</v>
      </c>
      <c r="F11" s="25" t="str" cm="1">
        <f t="array" ref="F11" xml:space="preserve"> INDEX(十五音韻母對照表, $E11, F$2)</f>
        <v>an</v>
      </c>
      <c r="G11" s="25" t="str" cm="1">
        <f t="array" ref="G11" xml:space="preserve"> INDEX(十五音韻母對照表, $E11, G$2)</f>
        <v>at</v>
      </c>
    </row>
    <row r="12" spans="2:7" ht="33">
      <c r="B12" s="427">
        <v>6</v>
      </c>
      <c r="C12" s="411" t="s">
        <v>171</v>
      </c>
      <c r="D12" s="340" t="s">
        <v>172</v>
      </c>
      <c r="E12" s="340">
        <f t="shared" si="0"/>
        <v>21</v>
      </c>
      <c r="F12" s="25" t="str" cm="1">
        <f t="array" ref="F12" xml:space="preserve"> INDEX(十五音韻母對照表, $E12, F$2)</f>
        <v>ang</v>
      </c>
      <c r="G12" s="25" t="str" cm="1">
        <f t="array" ref="G12" xml:space="preserve"> INDEX(十五音韻母對照表, $E12, G$2)</f>
        <v>ak</v>
      </c>
    </row>
    <row r="13" spans="2:7" ht="33">
      <c r="B13" s="427">
        <v>7</v>
      </c>
      <c r="C13" s="411" t="s">
        <v>144</v>
      </c>
      <c r="D13" s="340" t="s">
        <v>145</v>
      </c>
      <c r="E13" s="340">
        <f t="shared" si="0"/>
        <v>26</v>
      </c>
      <c r="F13" s="25" t="str" cm="1">
        <f t="array" ref="F13" xml:space="preserve"> INDEX(十五音韻母對照表, $E13, F$2)</f>
        <v>ann</v>
      </c>
      <c r="G13" s="25" t="str" cm="1">
        <f t="array" ref="G13" xml:space="preserve"> INDEX(十五音韻母對照表, $E13, G$2)</f>
        <v>annh</v>
      </c>
    </row>
    <row r="14" spans="2:7" ht="33">
      <c r="B14" s="427">
        <v>8</v>
      </c>
      <c r="C14" s="411" t="s">
        <v>177</v>
      </c>
      <c r="D14" s="340" t="s">
        <v>178</v>
      </c>
      <c r="E14" s="340">
        <f t="shared" si="0"/>
        <v>23</v>
      </c>
      <c r="F14" s="25" t="str" cm="1">
        <f t="array" ref="F14" xml:space="preserve"> INDEX(十五音韻母對照表, $E14, F$2)</f>
        <v>au</v>
      </c>
      <c r="G14" s="25" t="str" cm="1">
        <f t="array" ref="G14" xml:space="preserve"> INDEX(十五音韻母對照表, $E14, G$2)</f>
        <v>auh</v>
      </c>
    </row>
    <row r="15" spans="2:7" ht="33">
      <c r="B15" s="427">
        <v>9</v>
      </c>
      <c r="C15" s="411" t="s">
        <v>183</v>
      </c>
      <c r="D15" s="410" t="s">
        <v>184</v>
      </c>
      <c r="E15" s="340">
        <f t="shared" si="0"/>
        <v>48</v>
      </c>
      <c r="F15" s="25" t="str" cm="1">
        <f t="array" ref="F15" xml:space="preserve"> INDEX(十五音韻母對照表, $E15, F$2)</f>
        <v>aunn</v>
      </c>
      <c r="G15" s="25" t="str" cm="1">
        <f t="array" ref="G15" xml:space="preserve"> INDEX(十五音韻母對照表, $E15, G$2)</f>
        <v>aunnh</v>
      </c>
    </row>
    <row r="16" spans="2:7" ht="33">
      <c r="B16" s="427">
        <v>10</v>
      </c>
      <c r="C16" s="411" t="s">
        <v>189</v>
      </c>
      <c r="D16" s="410" t="s">
        <v>160</v>
      </c>
      <c r="E16" s="340">
        <f t="shared" si="0"/>
        <v>39</v>
      </c>
      <c r="F16" s="25" t="str" cm="1">
        <f t="array" ref="F16" xml:space="preserve"> INDEX(十五音韻母對照表, $E16, F$2)</f>
        <v>e</v>
      </c>
      <c r="G16" s="25" t="str" cm="1">
        <f t="array" ref="G16" xml:space="preserve"> INDEX(十五音韻母對照表, $E16, G$2)</f>
        <v>eh</v>
      </c>
    </row>
    <row r="17" spans="2:7" ht="33">
      <c r="B17" s="427">
        <v>11</v>
      </c>
      <c r="C17" s="411" t="s">
        <v>159</v>
      </c>
      <c r="D17" s="410" t="s">
        <v>202</v>
      </c>
      <c r="E17" s="340">
        <f t="shared" si="0"/>
        <v>5</v>
      </c>
      <c r="F17" s="25" t="str" cm="1">
        <f t="array" ref="F17" xml:space="preserve"> INDEX(十五音韻母對照表, $E17, F$2)</f>
        <v>ee</v>
      </c>
      <c r="G17" s="25" t="str" cm="1">
        <f t="array" ref="G17" xml:space="preserve"> INDEX(十五音韻母對照表, $E17, G$2)</f>
        <v>eeh</v>
      </c>
    </row>
    <row r="18" spans="2:7" ht="33">
      <c r="B18" s="427">
        <v>12</v>
      </c>
      <c r="C18" s="411" t="s">
        <v>206</v>
      </c>
      <c r="D18" s="410" t="s">
        <v>207</v>
      </c>
      <c r="E18" s="340">
        <f t="shared" si="0"/>
        <v>13</v>
      </c>
      <c r="F18" s="25" t="str" cm="1">
        <f t="array" ref="F18" xml:space="preserve"> INDEX(十五音韻母對照表, $E18, F$2)</f>
        <v>ei</v>
      </c>
      <c r="G18" s="25" t="str" cm="1">
        <f t="array" ref="G18" xml:space="preserve"> INDEX(十五音韻母對照表, $E18, G$2)</f>
        <v>eih</v>
      </c>
    </row>
    <row r="19" spans="2:7" ht="33">
      <c r="B19" s="427">
        <v>13</v>
      </c>
      <c r="C19" s="411" t="s">
        <v>193</v>
      </c>
      <c r="D19" s="410" t="s">
        <v>194</v>
      </c>
      <c r="E19" s="340">
        <f t="shared" si="0"/>
        <v>31</v>
      </c>
      <c r="F19" s="25" t="str" cm="1">
        <f t="array" ref="F19" xml:space="preserve"> INDEX(十五音韻母對照表, $E19, F$2)</f>
        <v>enn</v>
      </c>
      <c r="G19" s="25" t="str" cm="1">
        <f t="array" ref="G19" xml:space="preserve"> INDEX(十五音韻母對照表, $E19, G$2)</f>
        <v>ennh</v>
      </c>
    </row>
    <row r="20" spans="2:7" ht="33">
      <c r="B20" s="427">
        <v>14</v>
      </c>
      <c r="C20" s="411" t="s">
        <v>199</v>
      </c>
      <c r="D20" s="410" t="s">
        <v>200</v>
      </c>
      <c r="E20" s="340">
        <f t="shared" si="0"/>
        <v>29</v>
      </c>
      <c r="F20" s="25" t="str" cm="1">
        <f t="array" ref="F20" xml:space="preserve"> INDEX(十五音韻母對照表, $E20, F$2)</f>
        <v>i</v>
      </c>
      <c r="G20" s="25" t="str" cm="1">
        <f t="array" ref="G20" xml:space="preserve"> INDEX(十五音韻母對照表, $E20, G$2)</f>
        <v>ih</v>
      </c>
    </row>
    <row r="21" spans="2:7" ht="33">
      <c r="B21" s="427">
        <v>15</v>
      </c>
      <c r="C21" s="411" t="s">
        <v>211</v>
      </c>
      <c r="D21" s="410" t="s">
        <v>212</v>
      </c>
      <c r="E21" s="340">
        <f t="shared" si="0"/>
        <v>24</v>
      </c>
      <c r="F21" s="25" t="str" cm="1">
        <f t="array" ref="F21" xml:space="preserve"> INDEX(十五音韻母對照表, $E21, F$2)</f>
        <v>ia</v>
      </c>
      <c r="G21" s="25" t="str" cm="1">
        <f t="array" ref="G21" xml:space="preserve"> INDEX(十五音韻母對照表, $E21, G$2)</f>
        <v>iah</v>
      </c>
    </row>
    <row r="22" spans="2:7" ht="33">
      <c r="B22" s="427">
        <v>16</v>
      </c>
      <c r="C22" s="411" t="s">
        <v>220</v>
      </c>
      <c r="D22" s="410" t="s">
        <v>221</v>
      </c>
      <c r="E22" s="340">
        <f t="shared" si="0"/>
        <v>22</v>
      </c>
      <c r="F22" s="25" t="str" cm="1">
        <f t="array" ref="F22" xml:space="preserve"> INDEX(十五音韻母對照表, $E22, F$2)</f>
        <v>iam</v>
      </c>
      <c r="G22" s="25" t="str" cm="1">
        <f t="array" ref="G22" xml:space="preserve"> INDEX(十五音韻母對照表, $E22, G$2)</f>
        <v>iap</v>
      </c>
    </row>
    <row r="23" spans="2:7" ht="33">
      <c r="B23" s="427">
        <v>17</v>
      </c>
      <c r="C23" s="411" t="s">
        <v>141</v>
      </c>
      <c r="D23" s="410" t="s">
        <v>142</v>
      </c>
      <c r="E23" s="340">
        <f t="shared" si="0"/>
        <v>2</v>
      </c>
      <c r="F23" s="25" t="str" cm="1">
        <f t="array" ref="F23" xml:space="preserve"> INDEX(十五音韻母對照表, $E23, F$2)</f>
        <v>ian</v>
      </c>
      <c r="G23" s="25" t="str" cm="1">
        <f t="array" ref="G23" xml:space="preserve"> INDEX(十五音韻母對照表, $E23, G$2)</f>
        <v>iat</v>
      </c>
    </row>
    <row r="24" spans="2:7" ht="33">
      <c r="B24" s="427">
        <v>18</v>
      </c>
      <c r="C24" s="411" t="s">
        <v>226</v>
      </c>
      <c r="D24" s="410" t="s">
        <v>227</v>
      </c>
      <c r="E24" s="340">
        <f t="shared" si="0"/>
        <v>18</v>
      </c>
      <c r="F24" s="25" t="str" cm="1">
        <f t="array" ref="F24" xml:space="preserve"> INDEX(十五音韻母對照表, $E24, F$2)</f>
        <v>iang</v>
      </c>
      <c r="G24" s="25" t="str" cm="1">
        <f t="array" ref="G24" xml:space="preserve"> INDEX(十五音韻母對照表, $E24, G$2)</f>
        <v>iak</v>
      </c>
    </row>
    <row r="25" spans="2:7" ht="33">
      <c r="B25" s="427">
        <v>19</v>
      </c>
      <c r="C25" s="411" t="s">
        <v>217</v>
      </c>
      <c r="D25" s="410" t="s">
        <v>218</v>
      </c>
      <c r="E25" s="340">
        <f t="shared" si="0"/>
        <v>36</v>
      </c>
      <c r="F25" s="25" t="str" cm="1">
        <f t="array" ref="F25" xml:space="preserve"> INDEX(十五音韻母對照表, $E25, F$2)</f>
        <v>iann</v>
      </c>
      <c r="G25" s="25" t="str" cm="1">
        <f t="array" ref="G25" xml:space="preserve"> INDEX(十五音韻母對照表, $E25, G$2)</f>
        <v>iannh</v>
      </c>
    </row>
    <row r="26" spans="2:7" ht="33">
      <c r="B26" s="427">
        <v>20</v>
      </c>
      <c r="C26" s="411" t="s">
        <v>196</v>
      </c>
      <c r="D26" s="410" t="s">
        <v>197</v>
      </c>
      <c r="E26" s="340">
        <f t="shared" si="0"/>
        <v>12</v>
      </c>
      <c r="F26" s="25" t="str" cm="1">
        <f t="array" ref="F26" xml:space="preserve"> INDEX(十五音韻母對照表, $E26, F$2)</f>
        <v>iau</v>
      </c>
      <c r="G26" s="25" t="str" cm="1">
        <f t="array" ref="G26" xml:space="preserve"> INDEX(十五音韻母對照表, $E26, G$2)</f>
        <v>iauh</v>
      </c>
    </row>
    <row r="27" spans="2:7" ht="33">
      <c r="B27" s="427">
        <v>21</v>
      </c>
      <c r="C27" s="411" t="s">
        <v>232</v>
      </c>
      <c r="D27" s="410" t="s">
        <v>233</v>
      </c>
      <c r="E27" s="340">
        <f t="shared" si="0"/>
        <v>46</v>
      </c>
      <c r="F27" s="25" t="str" cm="1">
        <f t="array" ref="F27" xml:space="preserve"> INDEX(十五音韻母對照表, $E27, F$2)</f>
        <v>iaunn</v>
      </c>
      <c r="G27" s="25" t="str" cm="1">
        <f t="array" ref="G27" xml:space="preserve"> INDEX(十五音韻母對照表, $E27, G$2)</f>
        <v>iaunnh</v>
      </c>
    </row>
    <row r="28" spans="2:7" ht="33">
      <c r="B28" s="427">
        <v>22</v>
      </c>
      <c r="C28" s="411" t="s">
        <v>147</v>
      </c>
      <c r="D28" s="410" t="s">
        <v>148</v>
      </c>
      <c r="E28" s="340">
        <f t="shared" si="0"/>
        <v>3</v>
      </c>
      <c r="F28" s="25" t="str" cm="1">
        <f t="array" ref="F28" xml:space="preserve"> INDEX(十五音韻母對照表, $E28, F$2)</f>
        <v>im</v>
      </c>
      <c r="G28" s="25" t="str" cm="1">
        <f t="array" ref="G28" xml:space="preserve"> INDEX(十五音韻母對照表, $E28, G$2)</f>
        <v>ip</v>
      </c>
    </row>
    <row r="29" spans="2:7" ht="33">
      <c r="B29" s="427">
        <v>23</v>
      </c>
      <c r="C29" s="411" t="s">
        <v>223</v>
      </c>
      <c r="D29" s="410" t="s">
        <v>224</v>
      </c>
      <c r="E29" s="340">
        <f t="shared" si="0"/>
        <v>17</v>
      </c>
      <c r="F29" s="25" t="str" cm="1">
        <f t="array" ref="F29" xml:space="preserve"> INDEX(十五音韻母對照表, $E29, F$2)</f>
        <v>in</v>
      </c>
      <c r="G29" s="25" t="str" cm="1">
        <f t="array" ref="G29" xml:space="preserve"> INDEX(十五音韻母對照表, $E29, G$2)</f>
        <v>it</v>
      </c>
    </row>
    <row r="30" spans="2:7" ht="33">
      <c r="B30" s="427">
        <v>24</v>
      </c>
      <c r="C30" s="411" t="s">
        <v>180</v>
      </c>
      <c r="D30" s="410" t="s">
        <v>181</v>
      </c>
      <c r="E30" s="340">
        <f t="shared" si="0"/>
        <v>9</v>
      </c>
      <c r="F30" s="25" t="str" cm="1">
        <f t="array" ref="F30" xml:space="preserve"> INDEX(十五音韻母對照表, $E30, F$2)</f>
        <v>ing</v>
      </c>
      <c r="G30" s="25" t="str" cm="1">
        <f t="array" ref="G30" xml:space="preserve"> INDEX(十五音韻母對照表, $E30, G$2)</f>
        <v>ik</v>
      </c>
    </row>
    <row r="31" spans="2:7" ht="33">
      <c r="B31" s="427">
        <v>25</v>
      </c>
      <c r="C31" s="411" t="s">
        <v>203</v>
      </c>
      <c r="D31" s="410" t="s">
        <v>204</v>
      </c>
      <c r="E31" s="340">
        <f t="shared" si="0"/>
        <v>34</v>
      </c>
      <c r="F31" s="25" t="str" cm="1">
        <f t="array" ref="F31" xml:space="preserve"> INDEX(十五音韻母對照表, $E31, F$2)</f>
        <v>inn</v>
      </c>
      <c r="G31" s="25" t="str" cm="1">
        <f t="array" ref="G31" xml:space="preserve"> INDEX(十五音韻母對照表, $E31, G$2)</f>
        <v>innh</v>
      </c>
    </row>
    <row r="32" spans="2:7" ht="33">
      <c r="B32" s="427">
        <v>26</v>
      </c>
      <c r="C32" s="411" t="s">
        <v>235</v>
      </c>
      <c r="D32" s="410" t="s">
        <v>236</v>
      </c>
      <c r="E32" s="340">
        <f t="shared" si="0"/>
        <v>33</v>
      </c>
      <c r="F32" s="25" t="str" cm="1">
        <f t="array" ref="F32" xml:space="preserve"> INDEX(十五音韻母對照表, $E32, F$2)</f>
        <v>io</v>
      </c>
      <c r="G32" s="25" t="str" cm="1">
        <f t="array" ref="G32" xml:space="preserve"> INDEX(十五音韻母對照表, $E32, G$2)</f>
        <v>ioh</v>
      </c>
    </row>
    <row r="33" spans="2:7" ht="33">
      <c r="B33" s="427">
        <v>27</v>
      </c>
      <c r="C33" s="411" t="s">
        <v>208</v>
      </c>
      <c r="D33" s="410" t="s">
        <v>209</v>
      </c>
      <c r="E33" s="340">
        <f t="shared" si="0"/>
        <v>14</v>
      </c>
      <c r="F33" s="25" t="str" cm="1">
        <f t="array" ref="F33" xml:space="preserve"> INDEX(十五音韻母對照表, $E33, F$2)</f>
        <v>iong</v>
      </c>
      <c r="G33" s="25" t="str" cm="1">
        <f t="array" ref="G33" xml:space="preserve"> INDEX(十五音韻母對照表, $E33, G$2)</f>
        <v>iok</v>
      </c>
    </row>
    <row r="34" spans="2:7" ht="33">
      <c r="B34" s="427">
        <v>28</v>
      </c>
      <c r="C34" s="411" t="s">
        <v>247</v>
      </c>
      <c r="D34" s="410" t="s">
        <v>250</v>
      </c>
      <c r="E34" s="340">
        <f t="shared" si="0"/>
        <v>35</v>
      </c>
      <c r="F34" s="25" t="str" cm="1">
        <f t="array" ref="F34" xml:space="preserve"> INDEX(十五音韻母對照表, $E34, F$2)</f>
        <v>ionn</v>
      </c>
      <c r="G34" s="25" t="str" cm="1">
        <f t="array" ref="G34" xml:space="preserve"> INDEX(十五音韻母對照表, $E34, G$2)</f>
        <v>ionnh</v>
      </c>
    </row>
    <row r="35" spans="2:7" ht="33">
      <c r="B35" s="427">
        <v>29</v>
      </c>
      <c r="C35" s="411" t="s">
        <v>241</v>
      </c>
      <c r="D35" s="410" t="s">
        <v>242</v>
      </c>
      <c r="E35" s="340">
        <f t="shared" si="0"/>
        <v>30</v>
      </c>
      <c r="F35" s="25" t="str" cm="1">
        <f t="array" ref="F35" xml:space="preserve"> INDEX(十五音韻母對照表, $E35, F$2)</f>
        <v>iu</v>
      </c>
      <c r="G35" s="25" t="str" cm="1">
        <f t="array" ref="G35" xml:space="preserve"> INDEX(十五音韻母對照表, $E35, G$2)</f>
        <v>iuh</v>
      </c>
    </row>
    <row r="36" spans="2:7" ht="33">
      <c r="B36" s="427">
        <v>30</v>
      </c>
      <c r="C36" s="411" t="s">
        <v>255</v>
      </c>
      <c r="D36" s="410" t="s">
        <v>248</v>
      </c>
      <c r="E36" s="340">
        <f t="shared" si="0"/>
        <v>50</v>
      </c>
      <c r="F36" s="25" t="str" cm="1">
        <f t="array" ref="F36" xml:space="preserve"> INDEX(十五音韻母對照表, $E36, F$2)</f>
        <v>iunn</v>
      </c>
      <c r="G36" s="25" t="str" cm="1">
        <f t="array" ref="G36" xml:space="preserve"> INDEX(十五音韻母對照表, $E36, G$2)</f>
        <v>iunnh</v>
      </c>
    </row>
    <row r="37" spans="2:7" ht="33">
      <c r="B37" s="427">
        <v>31</v>
      </c>
      <c r="C37" s="411" t="s">
        <v>251</v>
      </c>
      <c r="D37" s="410" t="s">
        <v>27</v>
      </c>
      <c r="E37" s="340">
        <f t="shared" si="0"/>
        <v>42</v>
      </c>
      <c r="F37" s="25" t="str" cm="1">
        <f t="array" ref="F37" xml:space="preserve"> INDEX(十五音韻母對照表, $E37, F$2)</f>
        <v>m</v>
      </c>
      <c r="G37" s="25" t="str" cm="1">
        <f t="array" ref="G37" xml:space="preserve"> INDEX(十五音韻母對照表, $E37, G$2)</f>
        <v>mh</v>
      </c>
    </row>
    <row r="38" spans="2:7" ht="33">
      <c r="B38" s="427">
        <v>32</v>
      </c>
      <c r="C38" s="411" t="s">
        <v>260</v>
      </c>
      <c r="D38" s="410" t="s">
        <v>48</v>
      </c>
      <c r="E38" s="340">
        <f t="shared" si="0"/>
        <v>38</v>
      </c>
      <c r="F38" s="25" t="str" cm="1">
        <f t="array" ref="F38" xml:space="preserve"> INDEX(十五音韻母對照表, $E38, F$2)</f>
        <v>ng</v>
      </c>
      <c r="G38" s="25" t="str" cm="1">
        <f t="array" ref="G38" xml:space="preserve"> INDEX(十五音韻母對照表, $E38, G$2)</f>
        <v>ngh</v>
      </c>
    </row>
    <row r="39" spans="2:7" ht="33">
      <c r="B39" s="427">
        <v>33</v>
      </c>
      <c r="C39" s="411" t="s">
        <v>214</v>
      </c>
      <c r="D39" s="407" t="s">
        <v>215</v>
      </c>
      <c r="E39" s="340">
        <f t="shared" si="0"/>
        <v>15</v>
      </c>
      <c r="F39" s="25" t="str" cm="1">
        <f t="array" ref="F39" xml:space="preserve"> INDEX(十五音韻母對照表, $E39, F$2)</f>
        <v>o</v>
      </c>
      <c r="G39" s="25" t="str" cm="1">
        <f t="array" ref="G39" xml:space="preserve"> INDEX(十五音韻母對照表, $E39, G$2)</f>
        <v>oh</v>
      </c>
    </row>
    <row r="40" spans="2:7" ht="33">
      <c r="B40" s="427">
        <v>34</v>
      </c>
      <c r="C40" s="411" t="s">
        <v>261</v>
      </c>
      <c r="D40" s="340" t="s">
        <v>262</v>
      </c>
      <c r="E40" s="340">
        <f t="shared" si="0"/>
        <v>47</v>
      </c>
      <c r="F40" s="25" t="str" cm="1">
        <f t="array" ref="F40" xml:space="preserve"> INDEX(十五音韻母對照表, $E40, F$2)</f>
        <v>om</v>
      </c>
      <c r="G40" s="25" t="str" cm="1">
        <f t="array" ref="G40" xml:space="preserve"> INDEX(十五音韻母對照表, $E40, G$2)</f>
        <v>op</v>
      </c>
    </row>
    <row r="41" spans="2:7" ht="33">
      <c r="B41" s="427">
        <v>35</v>
      </c>
      <c r="C41" s="411" t="s">
        <v>168</v>
      </c>
      <c r="D41" s="410" t="s">
        <v>169</v>
      </c>
      <c r="E41" s="340">
        <f t="shared" si="0"/>
        <v>7</v>
      </c>
      <c r="F41" s="25" t="str" cm="1">
        <f t="array" ref="F41" xml:space="preserve"> INDEX(十五音韻母對照表, $E41, F$2)</f>
        <v>ong</v>
      </c>
      <c r="G41" s="25" t="str" cm="1">
        <f t="array" ref="G41" xml:space="preserve"> INDEX(十五音韻母對照表, $E41, G$2)</f>
        <v>ok</v>
      </c>
    </row>
    <row r="42" spans="2:7" ht="33">
      <c r="B42" s="427">
        <v>36</v>
      </c>
      <c r="C42" s="411" t="s">
        <v>256</v>
      </c>
      <c r="D42" s="410" t="s">
        <v>258</v>
      </c>
      <c r="E42" s="340">
        <f t="shared" si="0"/>
        <v>49</v>
      </c>
      <c r="F42" s="25" t="str" cm="1">
        <f t="array" ref="F42" xml:space="preserve"> INDEX(十五音韻母對照表, $E42, F$2)</f>
        <v>onn</v>
      </c>
      <c r="G42" s="25" t="str" cm="1">
        <f t="array" ref="G42" xml:space="preserve"> INDEX(十五音韻母對照表, $E42, G$2)</f>
        <v>onnh</v>
      </c>
    </row>
    <row r="43" spans="2:7" ht="33">
      <c r="B43" s="427">
        <v>37</v>
      </c>
      <c r="C43" s="411" t="s">
        <v>190</v>
      </c>
      <c r="D43" s="410" t="s">
        <v>191</v>
      </c>
      <c r="E43" s="340">
        <f t="shared" si="0"/>
        <v>11</v>
      </c>
      <c r="F43" s="25" t="str" cm="1">
        <f t="array" ref="F43" xml:space="preserve"> INDEX(十五音韻母對照表, $E43, F$2)</f>
        <v>oo</v>
      </c>
      <c r="G43" s="25" t="str" cm="1">
        <f t="array" ref="G43" xml:space="preserve"> INDEX(十五音韻母對照表, $E43, G$2)</f>
        <v>ooh</v>
      </c>
    </row>
    <row r="44" spans="2:7" ht="33">
      <c r="B44" s="427">
        <v>38</v>
      </c>
      <c r="C44" s="411" t="s">
        <v>267</v>
      </c>
      <c r="D44" s="410" t="s">
        <v>268</v>
      </c>
      <c r="E44" s="340">
        <f t="shared" si="0"/>
        <v>41</v>
      </c>
      <c r="F44" s="25" t="str" cm="1">
        <f t="array" ref="F44" xml:space="preserve"> INDEX(十五音韻母對照表, $E44, F$2)</f>
        <v>oonn</v>
      </c>
      <c r="G44" s="25" t="str" cm="1">
        <f t="array" ref="G44" xml:space="preserve"> INDEX(十五音韻母對照表, $E44, G$2)</f>
        <v>oonnh</v>
      </c>
    </row>
    <row r="45" spans="2:7" ht="33">
      <c r="B45" s="427">
        <v>39</v>
      </c>
      <c r="C45" s="411" t="s">
        <v>275</v>
      </c>
      <c r="D45" s="410" t="s">
        <v>245</v>
      </c>
      <c r="E45" s="340">
        <f t="shared" si="0"/>
        <v>27</v>
      </c>
      <c r="F45" s="25" t="str" cm="1">
        <f t="array" ref="F45" xml:space="preserve"> INDEX(十五音韻母對照表, $E45, F$2)</f>
        <v>u</v>
      </c>
      <c r="G45" s="25" t="str" cm="1">
        <f t="array" ref="G45" xml:space="preserve"> INDEX(十五音韻母對照表, $E45, G$2)</f>
        <v>uh</v>
      </c>
    </row>
    <row r="46" spans="2:7" ht="33">
      <c r="B46" s="427">
        <v>40</v>
      </c>
      <c r="C46" s="411" t="s">
        <v>229</v>
      </c>
      <c r="D46" s="410" t="s">
        <v>230</v>
      </c>
      <c r="E46" s="340">
        <f t="shared" si="0"/>
        <v>20</v>
      </c>
      <c r="F46" s="25" t="str" cm="1">
        <f t="array" ref="F46" xml:space="preserve"> INDEX(十五音韻母對照表, $E46, F$2)</f>
        <v>ua</v>
      </c>
      <c r="G46" s="25" t="str" cm="1">
        <f t="array" ref="G46" xml:space="preserve"> INDEX(十五音韻母對照表, $E46, G$2)</f>
        <v>uah</v>
      </c>
    </row>
    <row r="47" spans="2:7" ht="33">
      <c r="B47" s="427">
        <v>41</v>
      </c>
      <c r="C47" s="411" t="s">
        <v>174</v>
      </c>
      <c r="D47" s="410" t="s">
        <v>175</v>
      </c>
      <c r="E47" s="340">
        <f t="shared" si="0"/>
        <v>8</v>
      </c>
      <c r="F47" s="25" t="str" cm="1">
        <f t="array" ref="F47" xml:space="preserve"> INDEX(十五音韻母對照表, $E47, F$2)</f>
        <v>uai</v>
      </c>
      <c r="G47" s="25" t="str" cm="1">
        <f t="array" ref="G47" xml:space="preserve"> INDEX(十五音韻母對照表, $E47, G$2)</f>
        <v>uaih</v>
      </c>
    </row>
    <row r="48" spans="2:7" ht="33">
      <c r="B48" s="427">
        <v>42</v>
      </c>
      <c r="C48" s="411" t="s">
        <v>276</v>
      </c>
      <c r="D48" s="410" t="s">
        <v>273</v>
      </c>
      <c r="E48" s="340">
        <f t="shared" si="0"/>
        <v>44</v>
      </c>
      <c r="F48" s="25" t="str" cm="1">
        <f t="array" ref="F48" xml:space="preserve"> INDEX(十五音韻母對照表, $E48, F$2)</f>
        <v>uainn</v>
      </c>
      <c r="G48" s="25" t="str" cm="1">
        <f t="array" ref="G48" xml:space="preserve"> INDEX(十五音韻母對照表, $E48, G$2)</f>
        <v>uainnh</v>
      </c>
    </row>
    <row r="49" spans="2:7" ht="33">
      <c r="B49" s="427">
        <v>43</v>
      </c>
      <c r="C49" s="411" t="s">
        <v>186</v>
      </c>
      <c r="D49" s="410" t="s">
        <v>187</v>
      </c>
      <c r="E49" s="340">
        <f t="shared" si="0"/>
        <v>10</v>
      </c>
      <c r="F49" s="25" t="str" cm="1">
        <f t="array" ref="F49" xml:space="preserve"> INDEX(十五音韻母對照表, $E49, F$2)</f>
        <v>uan</v>
      </c>
      <c r="G49" s="25" t="str" cm="1">
        <f t="array" ref="G49" xml:space="preserve"> INDEX(十五音韻母對照表, $E49, G$2)</f>
        <v>uat</v>
      </c>
    </row>
    <row r="50" spans="2:7" ht="33">
      <c r="B50" s="427">
        <v>44</v>
      </c>
      <c r="C50" s="411" t="s">
        <v>269</v>
      </c>
      <c r="D50" s="410" t="s">
        <v>270</v>
      </c>
      <c r="E50" s="340">
        <f t="shared" si="0"/>
        <v>43</v>
      </c>
      <c r="F50" s="25" t="str" cm="1">
        <f t="array" ref="F50" xml:space="preserve"> INDEX(十五音韻母對照表, $E50, F$2)</f>
        <v>uang</v>
      </c>
      <c r="G50" s="25" t="str" cm="1">
        <f t="array" ref="G50" xml:space="preserve"> INDEX(十五音韻母對照表, $E50, G$2)</f>
        <v>uak</v>
      </c>
    </row>
    <row r="51" spans="2:7" ht="33">
      <c r="B51" s="427">
        <v>45</v>
      </c>
      <c r="C51" s="411" t="s">
        <v>264</v>
      </c>
      <c r="D51" s="410" t="s">
        <v>265</v>
      </c>
      <c r="E51" s="340">
        <f t="shared" si="0"/>
        <v>37</v>
      </c>
      <c r="F51" s="25" t="str" cm="1">
        <f t="array" ref="F51" xml:space="preserve"> INDEX(十五音韻母對照表, $E51, F$2)</f>
        <v>uann</v>
      </c>
      <c r="G51" s="25" t="str" cm="1">
        <f t="array" ref="G51" xml:space="preserve"> INDEX(十五音韻母對照表, $E51, G$2)</f>
        <v>uannh</v>
      </c>
    </row>
    <row r="52" spans="2:7" ht="33">
      <c r="B52" s="427">
        <v>46</v>
      </c>
      <c r="C52" s="411" t="s">
        <v>238</v>
      </c>
      <c r="D52" s="410" t="s">
        <v>239</v>
      </c>
      <c r="E52" s="340">
        <f t="shared" si="0"/>
        <v>25</v>
      </c>
      <c r="F52" s="25" t="str" cm="1">
        <f t="array" ref="F52" xml:space="preserve"> INDEX(十五音韻母對照表, $E52, F$2)</f>
        <v>ue</v>
      </c>
      <c r="G52" s="25" t="str" cm="1">
        <f t="array" ref="G52" xml:space="preserve"> INDEX(十五音韻母對照表, $E52, G$2)</f>
        <v>ueh</v>
      </c>
    </row>
    <row r="53" spans="2:7" ht="33">
      <c r="B53" s="427">
        <v>47</v>
      </c>
      <c r="C53" s="411" t="s">
        <v>272</v>
      </c>
      <c r="D53" s="410" t="s">
        <v>280</v>
      </c>
      <c r="E53" s="340">
        <f t="shared" si="0"/>
        <v>45</v>
      </c>
      <c r="F53" s="25" t="str" cm="1">
        <f t="array" ref="F53" xml:space="preserve"> INDEX(十五音韻母對照表, $E53, F$2)</f>
        <v>uenn</v>
      </c>
      <c r="G53" s="25" t="str" cm="1">
        <f t="array" ref="G53" xml:space="preserve"> INDEX(十五音韻母對照表, $E53, G$2)</f>
        <v>uennh</v>
      </c>
    </row>
    <row r="54" spans="2:7" ht="33">
      <c r="B54" s="427">
        <v>48</v>
      </c>
      <c r="C54" s="411" t="s">
        <v>153</v>
      </c>
      <c r="D54" s="410" t="s">
        <v>154</v>
      </c>
      <c r="E54" s="340">
        <f t="shared" si="0"/>
        <v>4</v>
      </c>
      <c r="F54" s="25" t="str" cm="1">
        <f t="array" ref="F54" xml:space="preserve"> INDEX(十五音韻母對照表, $E54, F$2)</f>
        <v>ui</v>
      </c>
      <c r="G54" s="25" t="str" cm="1">
        <f t="array" ref="G54" xml:space="preserve"> INDEX(十五音韻母對照表, $E54, G$2)</f>
        <v>uih</v>
      </c>
    </row>
    <row r="55" spans="2:7" ht="33">
      <c r="B55" s="427">
        <v>49</v>
      </c>
      <c r="C55" s="411" t="s">
        <v>253</v>
      </c>
      <c r="D55" s="410" t="s">
        <v>278</v>
      </c>
      <c r="E55" s="340">
        <f t="shared" si="0"/>
        <v>32</v>
      </c>
      <c r="F55" s="25" t="str" cm="1">
        <f t="array" ref="F55" xml:space="preserve"> INDEX(十五音韻母對照表, $E55, F$2)</f>
        <v>uinn</v>
      </c>
      <c r="G55" s="25" t="str" cm="1">
        <f t="array" ref="G55" xml:space="preserve"> INDEX(十五音韻母對照表, $E55, G$2)</f>
        <v>uinnh</v>
      </c>
    </row>
    <row r="56" spans="2:7" ht="33">
      <c r="B56" s="427">
        <v>50</v>
      </c>
      <c r="C56" s="411" t="s">
        <v>135</v>
      </c>
      <c r="D56" s="410" t="s">
        <v>136</v>
      </c>
      <c r="E56" s="340">
        <f t="shared" si="0"/>
        <v>1</v>
      </c>
      <c r="F56" s="25" t="str" cm="1">
        <f t="array" ref="F56" xml:space="preserve"> INDEX(十五音韻母對照表, $E56, F$2)</f>
        <v>un</v>
      </c>
      <c r="G56" s="25" t="str" cm="1">
        <f t="array" ref="G56" xml:space="preserve"> INDEX(十五音韻母對照表, $E56, G$2)</f>
        <v>ut</v>
      </c>
    </row>
  </sheetData>
  <dataConsolidate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55DC-9A1E-8C40-8C2D-A17B69C9D967}">
  <sheetPr codeName="工作表18">
    <tabColor rgb="FF00B0F0"/>
  </sheetPr>
  <dimension ref="B2:K55"/>
  <sheetViews>
    <sheetView workbookViewId="0"/>
  </sheetViews>
  <sheetFormatPr defaultColWidth="10.90625" defaultRowHeight="25.5"/>
  <cols>
    <col min="1" max="1" width="3.26953125" customWidth="1"/>
    <col min="2" max="11" width="5.90625" customWidth="1"/>
  </cols>
  <sheetData>
    <row r="2" spans="2:11" s="297" customFormat="1" ht="23.25">
      <c r="B2" s="296">
        <v>1</v>
      </c>
      <c r="C2" s="296">
        <v>2</v>
      </c>
      <c r="D2" s="296">
        <v>3</v>
      </c>
      <c r="E2" s="296">
        <v>4</v>
      </c>
      <c r="F2" s="296">
        <v>5</v>
      </c>
      <c r="G2" s="296">
        <v>6</v>
      </c>
      <c r="H2" s="296">
        <v>7</v>
      </c>
      <c r="I2" s="296">
        <v>8</v>
      </c>
      <c r="J2" s="296">
        <v>9</v>
      </c>
      <c r="K2" s="296">
        <v>10</v>
      </c>
    </row>
    <row r="3" spans="2:11">
      <c r="B3" s="295"/>
      <c r="C3" s="283"/>
      <c r="D3" s="283"/>
      <c r="E3" s="283"/>
      <c r="F3" s="283"/>
      <c r="G3" s="283"/>
      <c r="H3" s="283"/>
      <c r="I3" s="283"/>
      <c r="J3" s="283"/>
      <c r="K3" s="283"/>
    </row>
    <row r="4" spans="2:11">
      <c r="B4" s="465" t="s">
        <v>133</v>
      </c>
      <c r="C4" s="467" t="s">
        <v>4</v>
      </c>
      <c r="D4" s="285" t="s">
        <v>1121</v>
      </c>
      <c r="E4" s="285" t="s">
        <v>1122</v>
      </c>
      <c r="F4" s="285" t="s">
        <v>1123</v>
      </c>
      <c r="G4" s="285" t="s">
        <v>1124</v>
      </c>
      <c r="H4" s="285" t="s">
        <v>1125</v>
      </c>
      <c r="I4" s="285" t="s">
        <v>1122</v>
      </c>
      <c r="J4" s="285" t="s">
        <v>1126</v>
      </c>
      <c r="K4" s="285" t="s">
        <v>1127</v>
      </c>
    </row>
    <row r="5" spans="2:11">
      <c r="B5" s="466"/>
      <c r="C5" s="468"/>
      <c r="D5" s="286">
        <v>1</v>
      </c>
      <c r="E5" s="287">
        <v>2</v>
      </c>
      <c r="F5" s="287">
        <v>3</v>
      </c>
      <c r="G5" s="287">
        <v>4</v>
      </c>
      <c r="H5" s="287">
        <v>5</v>
      </c>
      <c r="I5" s="287">
        <v>6</v>
      </c>
      <c r="J5" s="287">
        <v>7</v>
      </c>
      <c r="K5" s="287">
        <v>8</v>
      </c>
    </row>
    <row r="6" spans="2:11" ht="32.25">
      <c r="B6" s="288">
        <v>1</v>
      </c>
      <c r="C6" s="289" t="s">
        <v>135</v>
      </c>
      <c r="D6" s="290" t="s">
        <v>135</v>
      </c>
      <c r="E6" s="291" t="s">
        <v>392</v>
      </c>
      <c r="F6" s="291" t="s">
        <v>413</v>
      </c>
      <c r="G6" s="291" t="s">
        <v>437</v>
      </c>
      <c r="H6" s="291" t="s">
        <v>455</v>
      </c>
      <c r="I6" s="291" t="s">
        <v>392</v>
      </c>
      <c r="J6" s="291" t="s">
        <v>484</v>
      </c>
      <c r="K6" s="291" t="s">
        <v>507</v>
      </c>
    </row>
    <row r="7" spans="2:11" ht="32.25">
      <c r="B7" s="288">
        <v>2</v>
      </c>
      <c r="C7" s="289" t="s">
        <v>141</v>
      </c>
      <c r="D7" s="290" t="s">
        <v>141</v>
      </c>
      <c r="E7" s="291" t="s">
        <v>1128</v>
      </c>
      <c r="F7" s="291" t="s">
        <v>1129</v>
      </c>
      <c r="G7" s="291" t="s">
        <v>1130</v>
      </c>
      <c r="H7" s="292" t="s">
        <v>1131</v>
      </c>
      <c r="I7" s="291" t="s">
        <v>1128</v>
      </c>
      <c r="J7" s="291" t="s">
        <v>1132</v>
      </c>
      <c r="K7" s="291" t="s">
        <v>1133</v>
      </c>
    </row>
    <row r="8" spans="2:11" ht="32.25">
      <c r="B8" s="288">
        <v>3</v>
      </c>
      <c r="C8" s="289" t="s">
        <v>147</v>
      </c>
      <c r="D8" s="290" t="s">
        <v>147</v>
      </c>
      <c r="E8" s="291" t="s">
        <v>1134</v>
      </c>
      <c r="F8" s="291" t="s">
        <v>1135</v>
      </c>
      <c r="G8" s="291" t="s">
        <v>1136</v>
      </c>
      <c r="H8" s="292" t="s">
        <v>1131</v>
      </c>
      <c r="I8" s="291" t="s">
        <v>1134</v>
      </c>
      <c r="J8" s="291" t="s">
        <v>1137</v>
      </c>
      <c r="K8" s="291" t="s">
        <v>1138</v>
      </c>
    </row>
    <row r="9" spans="2:11" ht="32.25">
      <c r="B9" s="288">
        <v>4</v>
      </c>
      <c r="C9" s="289" t="s">
        <v>153</v>
      </c>
      <c r="D9" s="290" t="s">
        <v>153</v>
      </c>
      <c r="E9" s="291" t="s">
        <v>1139</v>
      </c>
      <c r="F9" s="291" t="s">
        <v>1140</v>
      </c>
      <c r="G9" s="292" t="s">
        <v>1131</v>
      </c>
      <c r="H9" s="291" t="s">
        <v>1141</v>
      </c>
      <c r="I9" s="291" t="s">
        <v>1139</v>
      </c>
      <c r="J9" s="291" t="s">
        <v>1142</v>
      </c>
      <c r="K9" s="292" t="s">
        <v>1131</v>
      </c>
    </row>
    <row r="10" spans="2:11" ht="32.25">
      <c r="B10" s="288">
        <v>5</v>
      </c>
      <c r="C10" s="289" t="s">
        <v>159</v>
      </c>
      <c r="D10" s="290" t="s">
        <v>159</v>
      </c>
      <c r="E10" s="291" t="s">
        <v>1143</v>
      </c>
      <c r="F10" s="291" t="s">
        <v>1144</v>
      </c>
      <c r="G10" s="291" t="s">
        <v>1145</v>
      </c>
      <c r="H10" s="291" t="s">
        <v>1146</v>
      </c>
      <c r="I10" s="291" t="s">
        <v>1143</v>
      </c>
      <c r="J10" s="291" t="s">
        <v>1147</v>
      </c>
      <c r="K10" s="291" t="s">
        <v>1148</v>
      </c>
    </row>
    <row r="11" spans="2:11" ht="32.25">
      <c r="B11" s="288">
        <v>6</v>
      </c>
      <c r="C11" s="289" t="s">
        <v>165</v>
      </c>
      <c r="D11" s="290" t="s">
        <v>165</v>
      </c>
      <c r="E11" s="291" t="s">
        <v>1149</v>
      </c>
      <c r="F11" s="291" t="s">
        <v>1150</v>
      </c>
      <c r="G11" s="291" t="s">
        <v>1151</v>
      </c>
      <c r="H11" s="292" t="s">
        <v>1131</v>
      </c>
      <c r="I11" s="291" t="s">
        <v>1149</v>
      </c>
      <c r="J11" s="292" t="s">
        <v>1131</v>
      </c>
      <c r="K11" s="292" t="s">
        <v>1131</v>
      </c>
    </row>
    <row r="12" spans="2:11" ht="32.25">
      <c r="B12" s="288">
        <v>7</v>
      </c>
      <c r="C12" s="289" t="s">
        <v>168</v>
      </c>
      <c r="D12" s="290" t="s">
        <v>168</v>
      </c>
      <c r="E12" s="291" t="s">
        <v>1152</v>
      </c>
      <c r="F12" s="291" t="s">
        <v>1153</v>
      </c>
      <c r="G12" s="291" t="s">
        <v>1154</v>
      </c>
      <c r="H12" s="291" t="s">
        <v>1155</v>
      </c>
      <c r="I12" s="291" t="s">
        <v>1152</v>
      </c>
      <c r="J12" s="291" t="s">
        <v>1155</v>
      </c>
      <c r="K12" s="291" t="s">
        <v>1156</v>
      </c>
    </row>
    <row r="13" spans="2:11" ht="32.25">
      <c r="B13" s="288">
        <v>8</v>
      </c>
      <c r="C13" s="289" t="s">
        <v>174</v>
      </c>
      <c r="D13" s="290" t="s">
        <v>174</v>
      </c>
      <c r="E13" s="291" t="s">
        <v>1157</v>
      </c>
      <c r="F13" s="291" t="s">
        <v>1158</v>
      </c>
      <c r="G13" s="292" t="s">
        <v>1131</v>
      </c>
      <c r="H13" s="292" t="s">
        <v>1131</v>
      </c>
      <c r="I13" s="291" t="s">
        <v>1157</v>
      </c>
      <c r="J13" s="292" t="s">
        <v>1131</v>
      </c>
      <c r="K13" s="292" t="s">
        <v>1131</v>
      </c>
    </row>
    <row r="14" spans="2:11" ht="32.25">
      <c r="B14" s="288">
        <v>9</v>
      </c>
      <c r="C14" s="289" t="s">
        <v>180</v>
      </c>
      <c r="D14" s="290" t="s">
        <v>180</v>
      </c>
      <c r="E14" s="291" t="s">
        <v>1159</v>
      </c>
      <c r="F14" s="291" t="s">
        <v>1160</v>
      </c>
      <c r="G14" s="291" t="s">
        <v>1161</v>
      </c>
      <c r="H14" s="291" t="s">
        <v>1162</v>
      </c>
      <c r="I14" s="291" t="s">
        <v>1159</v>
      </c>
      <c r="J14" s="291" t="s">
        <v>1163</v>
      </c>
      <c r="K14" s="291" t="s">
        <v>1164</v>
      </c>
    </row>
    <row r="15" spans="2:11" ht="32.25">
      <c r="B15" s="288">
        <v>10</v>
      </c>
      <c r="C15" s="289" t="s">
        <v>186</v>
      </c>
      <c r="D15" s="290" t="s">
        <v>186</v>
      </c>
      <c r="E15" s="291" t="s">
        <v>1165</v>
      </c>
      <c r="F15" s="291" t="s">
        <v>1166</v>
      </c>
      <c r="G15" s="291" t="s">
        <v>1167</v>
      </c>
      <c r="H15" s="291" t="s">
        <v>1168</v>
      </c>
      <c r="I15" s="291" t="s">
        <v>1165</v>
      </c>
      <c r="J15" s="291" t="s">
        <v>1169</v>
      </c>
      <c r="K15" s="291" t="s">
        <v>1170</v>
      </c>
    </row>
    <row r="16" spans="2:11" ht="32.25">
      <c r="B16" s="288">
        <v>11</v>
      </c>
      <c r="C16" s="289" t="s">
        <v>190</v>
      </c>
      <c r="D16" s="290" t="s">
        <v>190</v>
      </c>
      <c r="E16" s="291" t="s">
        <v>1171</v>
      </c>
      <c r="F16" s="291" t="s">
        <v>1172</v>
      </c>
      <c r="G16" s="292" t="s">
        <v>1131</v>
      </c>
      <c r="H16" s="291" t="s">
        <v>1173</v>
      </c>
      <c r="I16" s="291" t="s">
        <v>1171</v>
      </c>
      <c r="J16" s="291" t="s">
        <v>1174</v>
      </c>
      <c r="K16" s="292" t="s">
        <v>1131</v>
      </c>
    </row>
    <row r="17" spans="2:11" ht="32.25">
      <c r="B17" s="288">
        <v>12</v>
      </c>
      <c r="C17" s="289" t="s">
        <v>196</v>
      </c>
      <c r="D17" s="290" t="s">
        <v>196</v>
      </c>
      <c r="E17" s="291" t="s">
        <v>1175</v>
      </c>
      <c r="F17" s="291" t="s">
        <v>1176</v>
      </c>
      <c r="G17" s="291" t="s">
        <v>1177</v>
      </c>
      <c r="H17" s="291" t="s">
        <v>1178</v>
      </c>
      <c r="I17" s="291" t="s">
        <v>1175</v>
      </c>
      <c r="J17" s="291" t="s">
        <v>1179</v>
      </c>
      <c r="K17" s="291" t="s">
        <v>1180</v>
      </c>
    </row>
    <row r="18" spans="2:11" ht="32.25">
      <c r="B18" s="288">
        <v>13</v>
      </c>
      <c r="C18" s="289" t="s">
        <v>206</v>
      </c>
      <c r="D18" s="290" t="s">
        <v>206</v>
      </c>
      <c r="E18" s="291" t="s">
        <v>1181</v>
      </c>
      <c r="F18" s="291" t="s">
        <v>1182</v>
      </c>
      <c r="G18" s="291" t="s">
        <v>1183</v>
      </c>
      <c r="H18" s="291" t="s">
        <v>1184</v>
      </c>
      <c r="I18" s="291" t="s">
        <v>1181</v>
      </c>
      <c r="J18" s="291" t="s">
        <v>1185</v>
      </c>
      <c r="K18" s="292"/>
    </row>
    <row r="19" spans="2:11" ht="32.25">
      <c r="B19" s="288">
        <v>14</v>
      </c>
      <c r="C19" s="289" t="s">
        <v>208</v>
      </c>
      <c r="D19" s="290" t="s">
        <v>208</v>
      </c>
      <c r="E19" s="291" t="s">
        <v>1186</v>
      </c>
      <c r="F19" s="291" t="s">
        <v>1187</v>
      </c>
      <c r="G19" s="291" t="s">
        <v>1188</v>
      </c>
      <c r="H19" s="291" t="s">
        <v>1189</v>
      </c>
      <c r="I19" s="291" t="s">
        <v>1186</v>
      </c>
      <c r="J19" s="291" t="s">
        <v>1190</v>
      </c>
      <c r="K19" s="291" t="s">
        <v>1191</v>
      </c>
    </row>
    <row r="20" spans="2:11" ht="32.25">
      <c r="B20" s="288">
        <v>15</v>
      </c>
      <c r="C20" s="289" t="s">
        <v>214</v>
      </c>
      <c r="D20" s="290" t="s">
        <v>214</v>
      </c>
      <c r="E20" s="291" t="s">
        <v>1192</v>
      </c>
      <c r="F20" s="291" t="s">
        <v>1193</v>
      </c>
      <c r="G20" s="291" t="s">
        <v>1194</v>
      </c>
      <c r="H20" s="291" t="s">
        <v>1195</v>
      </c>
      <c r="I20" s="291" t="s">
        <v>1192</v>
      </c>
      <c r="J20" s="291" t="s">
        <v>1196</v>
      </c>
      <c r="K20" s="292" t="s">
        <v>1131</v>
      </c>
    </row>
    <row r="21" spans="2:11" ht="32.25">
      <c r="B21" s="288">
        <v>16</v>
      </c>
      <c r="C21" s="289" t="s">
        <v>150</v>
      </c>
      <c r="D21" s="290" t="s">
        <v>150</v>
      </c>
      <c r="E21" s="291" t="s">
        <v>1181</v>
      </c>
      <c r="F21" s="291" t="s">
        <v>1197</v>
      </c>
      <c r="G21" s="292" t="s">
        <v>1131</v>
      </c>
      <c r="H21" s="292"/>
      <c r="I21" s="291" t="s">
        <v>1181</v>
      </c>
      <c r="J21" s="292"/>
      <c r="K21" s="292" t="s">
        <v>1131</v>
      </c>
    </row>
    <row r="22" spans="2:11" ht="32.25">
      <c r="B22" s="288">
        <v>17</v>
      </c>
      <c r="C22" s="289" t="s">
        <v>223</v>
      </c>
      <c r="D22" s="290" t="s">
        <v>223</v>
      </c>
      <c r="E22" s="291" t="s">
        <v>1198</v>
      </c>
      <c r="F22" s="291" t="s">
        <v>1199</v>
      </c>
      <c r="G22" s="291" t="s">
        <v>1200</v>
      </c>
      <c r="H22" s="292"/>
      <c r="I22" s="291" t="s">
        <v>1198</v>
      </c>
      <c r="J22" s="291" t="s">
        <v>1201</v>
      </c>
      <c r="K22" s="291" t="s">
        <v>1202</v>
      </c>
    </row>
    <row r="23" spans="2:11" ht="32.25">
      <c r="B23" s="288">
        <v>18</v>
      </c>
      <c r="C23" s="289" t="s">
        <v>226</v>
      </c>
      <c r="D23" s="290" t="s">
        <v>226</v>
      </c>
      <c r="E23" s="291" t="s">
        <v>1203</v>
      </c>
      <c r="F23" s="292"/>
      <c r="G23" s="291" t="s">
        <v>1204</v>
      </c>
      <c r="H23" s="291" t="s">
        <v>1205</v>
      </c>
      <c r="I23" s="291" t="s">
        <v>1203</v>
      </c>
      <c r="J23" s="291" t="s">
        <v>1206</v>
      </c>
      <c r="K23" s="291" t="s">
        <v>1207</v>
      </c>
    </row>
    <row r="24" spans="2:11" ht="32.25">
      <c r="B24" s="288">
        <v>19</v>
      </c>
      <c r="C24" s="289" t="s">
        <v>162</v>
      </c>
      <c r="D24" s="290" t="s">
        <v>162</v>
      </c>
      <c r="E24" s="291" t="s">
        <v>1208</v>
      </c>
      <c r="F24" s="291" t="s">
        <v>1209</v>
      </c>
      <c r="G24" s="291" t="s">
        <v>1210</v>
      </c>
      <c r="H24" s="291" t="s">
        <v>1211</v>
      </c>
      <c r="I24" s="291" t="s">
        <v>1208</v>
      </c>
      <c r="J24" s="291" t="s">
        <v>1212</v>
      </c>
      <c r="K24" s="292"/>
    </row>
    <row r="25" spans="2:11" ht="32.25">
      <c r="B25" s="288">
        <v>20</v>
      </c>
      <c r="C25" s="289" t="s">
        <v>229</v>
      </c>
      <c r="D25" s="290" t="s">
        <v>229</v>
      </c>
      <c r="E25" s="292"/>
      <c r="F25" s="291" t="s">
        <v>1213</v>
      </c>
      <c r="G25" s="291" t="s">
        <v>1214</v>
      </c>
      <c r="H25" s="292"/>
      <c r="I25" s="292"/>
      <c r="J25" s="292"/>
      <c r="K25" s="292"/>
    </row>
    <row r="26" spans="2:11" ht="32.25">
      <c r="B26" s="288">
        <v>21</v>
      </c>
      <c r="C26" s="289" t="s">
        <v>171</v>
      </c>
      <c r="D26" s="290" t="s">
        <v>171</v>
      </c>
      <c r="E26" s="291" t="s">
        <v>1215</v>
      </c>
      <c r="F26" s="291" t="s">
        <v>1216</v>
      </c>
      <c r="G26" s="291" t="s">
        <v>1217</v>
      </c>
      <c r="H26" s="292"/>
      <c r="I26" s="291" t="s">
        <v>1215</v>
      </c>
      <c r="J26" s="291" t="s">
        <v>1190</v>
      </c>
      <c r="K26" s="291" t="s">
        <v>1218</v>
      </c>
    </row>
    <row r="27" spans="2:11" ht="32.25">
      <c r="B27" s="288">
        <v>22</v>
      </c>
      <c r="C27" s="289" t="s">
        <v>220</v>
      </c>
      <c r="D27" s="290" t="s">
        <v>220</v>
      </c>
      <c r="E27" s="291" t="s">
        <v>1219</v>
      </c>
      <c r="F27" s="291" t="s">
        <v>1220</v>
      </c>
      <c r="G27" s="291" t="s">
        <v>1221</v>
      </c>
      <c r="H27" s="291" t="s">
        <v>1222</v>
      </c>
      <c r="I27" s="291" t="s">
        <v>1219</v>
      </c>
      <c r="J27" s="291" t="s">
        <v>1223</v>
      </c>
      <c r="K27" s="292"/>
    </row>
    <row r="28" spans="2:11" ht="32.25">
      <c r="B28" s="288">
        <v>23</v>
      </c>
      <c r="C28" s="289" t="s">
        <v>177</v>
      </c>
      <c r="D28" s="290" t="s">
        <v>177</v>
      </c>
      <c r="E28" s="291" t="s">
        <v>1224</v>
      </c>
      <c r="F28" s="291" t="s">
        <v>1225</v>
      </c>
      <c r="G28" s="293" t="s">
        <v>1226</v>
      </c>
      <c r="H28" s="291" t="s">
        <v>1227</v>
      </c>
      <c r="I28" s="291" t="s">
        <v>1224</v>
      </c>
      <c r="J28" s="291" t="s">
        <v>1228</v>
      </c>
      <c r="K28" s="292"/>
    </row>
    <row r="29" spans="2:11" ht="32.25">
      <c r="B29" s="288">
        <v>24</v>
      </c>
      <c r="C29" s="289" t="s">
        <v>211</v>
      </c>
      <c r="D29" s="290" t="s">
        <v>211</v>
      </c>
      <c r="E29" s="292"/>
      <c r="F29" s="291" t="s">
        <v>1229</v>
      </c>
      <c r="G29" s="292"/>
      <c r="H29" s="291" t="s">
        <v>189</v>
      </c>
      <c r="I29" s="292"/>
      <c r="J29" s="291" t="s">
        <v>1230</v>
      </c>
      <c r="K29" s="291" t="s">
        <v>1231</v>
      </c>
    </row>
    <row r="30" spans="2:11" ht="32.25">
      <c r="B30" s="288">
        <v>25</v>
      </c>
      <c r="C30" s="289" t="s">
        <v>238</v>
      </c>
      <c r="D30" s="290" t="s">
        <v>238</v>
      </c>
      <c r="E30" s="291" t="s">
        <v>1232</v>
      </c>
      <c r="F30" s="291" t="s">
        <v>238</v>
      </c>
      <c r="G30" s="291" t="s">
        <v>1233</v>
      </c>
      <c r="H30" s="291" t="s">
        <v>1141</v>
      </c>
      <c r="I30" s="291" t="s">
        <v>1232</v>
      </c>
      <c r="J30" s="291" t="s">
        <v>1234</v>
      </c>
      <c r="K30" s="291" t="s">
        <v>1235</v>
      </c>
    </row>
    <row r="31" spans="2:11" ht="32.25">
      <c r="B31" s="288">
        <v>26</v>
      </c>
      <c r="C31" s="289" t="s">
        <v>144</v>
      </c>
      <c r="D31" s="290" t="s">
        <v>144</v>
      </c>
      <c r="E31" s="291" t="s">
        <v>1208</v>
      </c>
      <c r="F31" s="291" t="s">
        <v>1236</v>
      </c>
      <c r="G31" s="292" t="s">
        <v>1131</v>
      </c>
      <c r="H31" s="291" t="s">
        <v>1237</v>
      </c>
      <c r="I31" s="291" t="s">
        <v>1208</v>
      </c>
      <c r="J31" s="292" t="s">
        <v>1131</v>
      </c>
      <c r="K31" s="292"/>
    </row>
    <row r="32" spans="2:11" ht="32.25">
      <c r="B32" s="288">
        <v>27</v>
      </c>
      <c r="C32" s="289" t="s">
        <v>275</v>
      </c>
      <c r="D32" s="294" t="s">
        <v>275</v>
      </c>
      <c r="E32" s="291" t="s">
        <v>1238</v>
      </c>
      <c r="F32" s="291" t="s">
        <v>1239</v>
      </c>
      <c r="G32" s="293" t="s">
        <v>1240</v>
      </c>
      <c r="H32" s="293" t="s">
        <v>1241</v>
      </c>
      <c r="I32" s="291" t="s">
        <v>1238</v>
      </c>
      <c r="J32" s="291" t="s">
        <v>1242</v>
      </c>
      <c r="K32" s="292"/>
    </row>
    <row r="33" spans="2:11" ht="32.25">
      <c r="B33" s="288">
        <v>28</v>
      </c>
      <c r="C33" s="289" t="s">
        <v>138</v>
      </c>
      <c r="D33" s="290" t="s">
        <v>138</v>
      </c>
      <c r="E33" s="291" t="s">
        <v>1243</v>
      </c>
      <c r="F33" s="291" t="s">
        <v>1225</v>
      </c>
      <c r="G33" s="291" t="s">
        <v>1244</v>
      </c>
      <c r="H33" s="292"/>
      <c r="I33" s="291" t="s">
        <v>1243</v>
      </c>
      <c r="J33" s="291" t="s">
        <v>1245</v>
      </c>
      <c r="K33" s="292"/>
    </row>
    <row r="34" spans="2:11" ht="32.25">
      <c r="B34" s="288">
        <v>29</v>
      </c>
      <c r="C34" s="289" t="s">
        <v>199</v>
      </c>
      <c r="D34" s="290" t="s">
        <v>199</v>
      </c>
      <c r="E34" s="291" t="s">
        <v>1246</v>
      </c>
      <c r="F34" s="291" t="s">
        <v>1247</v>
      </c>
      <c r="G34" s="291" t="s">
        <v>1248</v>
      </c>
      <c r="H34" s="291" t="s">
        <v>1249</v>
      </c>
      <c r="I34" s="291" t="s">
        <v>1246</v>
      </c>
      <c r="J34" s="291" t="s">
        <v>1250</v>
      </c>
      <c r="K34" s="292"/>
    </row>
    <row r="35" spans="2:11" ht="32.25">
      <c r="B35" s="288">
        <v>30</v>
      </c>
      <c r="C35" s="289" t="s">
        <v>241</v>
      </c>
      <c r="D35" s="290" t="s">
        <v>1251</v>
      </c>
      <c r="E35" s="291" t="s">
        <v>1252</v>
      </c>
      <c r="F35" s="291" t="s">
        <v>1253</v>
      </c>
      <c r="G35" s="292" t="s">
        <v>1131</v>
      </c>
      <c r="H35" s="291" t="s">
        <v>39</v>
      </c>
      <c r="I35" s="291" t="s">
        <v>1252</v>
      </c>
      <c r="J35" s="291" t="s">
        <v>1254</v>
      </c>
      <c r="K35" s="292" t="s">
        <v>1131</v>
      </c>
    </row>
    <row r="36" spans="2:11" ht="32.25">
      <c r="B36" s="288">
        <v>31</v>
      </c>
      <c r="C36" s="289" t="s">
        <v>193</v>
      </c>
      <c r="D36" s="290" t="s">
        <v>193</v>
      </c>
      <c r="E36" s="291" t="s">
        <v>1255</v>
      </c>
      <c r="F36" s="291" t="s">
        <v>1256</v>
      </c>
      <c r="G36" s="292" t="s">
        <v>1131</v>
      </c>
      <c r="H36" s="292"/>
      <c r="I36" s="291" t="s">
        <v>1255</v>
      </c>
      <c r="J36" s="292"/>
      <c r="K36" s="292" t="s">
        <v>1131</v>
      </c>
    </row>
    <row r="37" spans="2:11" ht="32.25">
      <c r="B37" s="288">
        <v>32</v>
      </c>
      <c r="C37" s="289" t="s">
        <v>253</v>
      </c>
      <c r="D37" s="290" t="s">
        <v>253</v>
      </c>
      <c r="E37" s="291" t="s">
        <v>1257</v>
      </c>
      <c r="F37" s="291" t="s">
        <v>1258</v>
      </c>
      <c r="G37" s="292" t="s">
        <v>1131</v>
      </c>
      <c r="H37" s="292" t="s">
        <v>1131</v>
      </c>
      <c r="I37" s="291" t="s">
        <v>1257</v>
      </c>
      <c r="J37" s="292" t="s">
        <v>1131</v>
      </c>
      <c r="K37" s="292" t="s">
        <v>1131</v>
      </c>
    </row>
    <row r="38" spans="2:11" ht="32.25">
      <c r="B38" s="288">
        <v>33</v>
      </c>
      <c r="C38" s="289" t="s">
        <v>235</v>
      </c>
      <c r="D38" s="290" t="s">
        <v>235</v>
      </c>
      <c r="E38" s="292"/>
      <c r="F38" s="291" t="s">
        <v>1176</v>
      </c>
      <c r="G38" s="291" t="s">
        <v>1204</v>
      </c>
      <c r="H38" s="291" t="s">
        <v>235</v>
      </c>
      <c r="I38" s="292" t="s">
        <v>1131</v>
      </c>
      <c r="J38" s="291" t="s">
        <v>1179</v>
      </c>
      <c r="K38" s="292" t="s">
        <v>1131</v>
      </c>
    </row>
    <row r="39" spans="2:11" ht="32.25">
      <c r="B39" s="288">
        <v>34</v>
      </c>
      <c r="C39" s="289" t="s">
        <v>203</v>
      </c>
      <c r="D39" s="290" t="s">
        <v>203</v>
      </c>
      <c r="E39" s="292"/>
      <c r="F39" s="291" t="s">
        <v>1129</v>
      </c>
      <c r="G39" s="292" t="s">
        <v>1131</v>
      </c>
      <c r="H39" s="291" t="s">
        <v>1259</v>
      </c>
      <c r="I39" s="292" t="s">
        <v>1131</v>
      </c>
      <c r="J39" s="292" t="s">
        <v>1131</v>
      </c>
      <c r="K39" s="292" t="s">
        <v>1131</v>
      </c>
    </row>
    <row r="40" spans="2:11" ht="32.25">
      <c r="B40" s="288">
        <v>35</v>
      </c>
      <c r="C40" s="289" t="s">
        <v>247</v>
      </c>
      <c r="D40" s="290" t="s">
        <v>247</v>
      </c>
      <c r="E40" s="292" t="s">
        <v>1131</v>
      </c>
      <c r="F40" s="292" t="s">
        <v>1131</v>
      </c>
      <c r="G40" s="292" t="s">
        <v>1131</v>
      </c>
      <c r="H40" s="291" t="s">
        <v>1205</v>
      </c>
      <c r="I40" s="292" t="s">
        <v>1131</v>
      </c>
      <c r="J40" s="291" t="s">
        <v>1260</v>
      </c>
      <c r="K40" s="292" t="s">
        <v>1131</v>
      </c>
    </row>
    <row r="41" spans="2:11" ht="32.25">
      <c r="B41" s="288">
        <v>36</v>
      </c>
      <c r="C41" s="289" t="s">
        <v>217</v>
      </c>
      <c r="D41" s="290" t="s">
        <v>217</v>
      </c>
      <c r="E41" s="291" t="s">
        <v>1261</v>
      </c>
      <c r="F41" s="291" t="s">
        <v>1262</v>
      </c>
      <c r="G41" s="292" t="s">
        <v>1131</v>
      </c>
      <c r="H41" s="291" t="s">
        <v>1263</v>
      </c>
      <c r="I41" s="291" t="s">
        <v>1261</v>
      </c>
      <c r="J41" s="291" t="s">
        <v>1264</v>
      </c>
      <c r="K41" s="292" t="s">
        <v>1131</v>
      </c>
    </row>
    <row r="42" spans="2:11" ht="32.25">
      <c r="B42" s="288">
        <v>37</v>
      </c>
      <c r="C42" s="289" t="s">
        <v>264</v>
      </c>
      <c r="D42" s="290" t="s">
        <v>264</v>
      </c>
      <c r="E42" s="291" t="s">
        <v>1265</v>
      </c>
      <c r="F42" s="291" t="s">
        <v>186</v>
      </c>
      <c r="G42" s="292" t="s">
        <v>1131</v>
      </c>
      <c r="H42" s="291" t="s">
        <v>1266</v>
      </c>
      <c r="I42" s="291" t="s">
        <v>1265</v>
      </c>
      <c r="J42" s="291" t="s">
        <v>1267</v>
      </c>
      <c r="K42" s="292" t="s">
        <v>1131</v>
      </c>
    </row>
    <row r="43" spans="2:11" ht="32.25">
      <c r="B43" s="288">
        <v>38</v>
      </c>
      <c r="C43" s="289" t="s">
        <v>260</v>
      </c>
      <c r="D43" s="290" t="s">
        <v>260</v>
      </c>
      <c r="E43" s="292"/>
      <c r="F43" s="291" t="s">
        <v>1268</v>
      </c>
      <c r="G43" s="292" t="s">
        <v>1131</v>
      </c>
      <c r="H43" s="292" t="s">
        <v>1131</v>
      </c>
      <c r="I43" s="292" t="s">
        <v>1131</v>
      </c>
      <c r="J43" s="292" t="s">
        <v>1131</v>
      </c>
      <c r="K43" s="292" t="s">
        <v>1131</v>
      </c>
    </row>
    <row r="44" spans="2:11" ht="32.25">
      <c r="B44" s="288">
        <v>39</v>
      </c>
      <c r="C44" s="289" t="s">
        <v>189</v>
      </c>
      <c r="D44" s="290" t="s">
        <v>189</v>
      </c>
      <c r="E44" s="292" t="s">
        <v>1131</v>
      </c>
      <c r="F44" s="292" t="s">
        <v>1131</v>
      </c>
      <c r="G44" s="291" t="s">
        <v>1183</v>
      </c>
      <c r="H44" s="291" t="s">
        <v>1269</v>
      </c>
      <c r="I44" s="292" t="s">
        <v>1131</v>
      </c>
      <c r="J44" s="292" t="s">
        <v>1131</v>
      </c>
      <c r="K44" s="292" t="s">
        <v>1131</v>
      </c>
    </row>
    <row r="45" spans="2:11" ht="32.25">
      <c r="B45" s="288">
        <v>40</v>
      </c>
      <c r="C45" s="289" t="s">
        <v>156</v>
      </c>
      <c r="D45" s="290" t="s">
        <v>156</v>
      </c>
      <c r="E45" s="293" t="s">
        <v>1270</v>
      </c>
      <c r="F45" s="292" t="s">
        <v>1131</v>
      </c>
      <c r="G45" s="292" t="s">
        <v>1131</v>
      </c>
      <c r="H45" s="292" t="s">
        <v>1131</v>
      </c>
      <c r="I45" s="293" t="s">
        <v>1270</v>
      </c>
      <c r="J45" s="292" t="s">
        <v>1131</v>
      </c>
      <c r="K45" s="292" t="s">
        <v>1131</v>
      </c>
    </row>
    <row r="46" spans="2:11" ht="32.25">
      <c r="B46" s="288">
        <v>41</v>
      </c>
      <c r="C46" s="289" t="s">
        <v>256</v>
      </c>
      <c r="D46" s="290" t="s">
        <v>256</v>
      </c>
      <c r="E46" s="292" t="s">
        <v>1131</v>
      </c>
      <c r="F46" s="292" t="s">
        <v>1131</v>
      </c>
      <c r="G46" s="292" t="s">
        <v>1131</v>
      </c>
      <c r="H46" s="292" t="s">
        <v>1131</v>
      </c>
      <c r="I46" s="292" t="s">
        <v>1131</v>
      </c>
      <c r="J46" s="292" t="s">
        <v>1131</v>
      </c>
      <c r="K46" s="292" t="s">
        <v>1131</v>
      </c>
    </row>
    <row r="47" spans="2:11" ht="32.25">
      <c r="B47" s="288">
        <v>42</v>
      </c>
      <c r="C47" s="289" t="s">
        <v>251</v>
      </c>
      <c r="D47" s="290" t="s">
        <v>251</v>
      </c>
      <c r="E47" s="292" t="s">
        <v>1131</v>
      </c>
      <c r="F47" s="292" t="s">
        <v>1131</v>
      </c>
      <c r="G47" s="292" t="s">
        <v>1131</v>
      </c>
      <c r="H47" s="292" t="s">
        <v>1131</v>
      </c>
      <c r="I47" s="292" t="s">
        <v>1131</v>
      </c>
      <c r="J47" s="292" t="s">
        <v>1131</v>
      </c>
      <c r="K47" s="292" t="s">
        <v>1131</v>
      </c>
    </row>
    <row r="48" spans="2:11" ht="32.25">
      <c r="B48" s="288">
        <v>43</v>
      </c>
      <c r="C48" s="289" t="s">
        <v>269</v>
      </c>
      <c r="D48" s="290" t="s">
        <v>269</v>
      </c>
      <c r="E48" s="292" t="s">
        <v>1131</v>
      </c>
      <c r="F48" s="292" t="s">
        <v>1131</v>
      </c>
      <c r="G48" s="292" t="s">
        <v>1131</v>
      </c>
      <c r="H48" s="292" t="s">
        <v>1131</v>
      </c>
      <c r="I48" s="292" t="s">
        <v>1131</v>
      </c>
      <c r="J48" s="292" t="s">
        <v>1131</v>
      </c>
      <c r="K48" s="291" t="s">
        <v>1271</v>
      </c>
    </row>
    <row r="49" spans="2:11" ht="32.25">
      <c r="B49" s="288">
        <v>44</v>
      </c>
      <c r="C49" s="289" t="s">
        <v>276</v>
      </c>
      <c r="D49" s="290" t="s">
        <v>276</v>
      </c>
      <c r="E49" s="292" t="s">
        <v>1131</v>
      </c>
      <c r="F49" s="292" t="s">
        <v>1131</v>
      </c>
      <c r="G49" s="292" t="s">
        <v>1131</v>
      </c>
      <c r="H49" s="292" t="s">
        <v>1131</v>
      </c>
      <c r="I49" s="292" t="s">
        <v>1131</v>
      </c>
      <c r="J49" s="292" t="s">
        <v>1131</v>
      </c>
      <c r="K49" s="292" t="s">
        <v>1131</v>
      </c>
    </row>
    <row r="50" spans="2:11" ht="32.25">
      <c r="B50" s="288">
        <v>45</v>
      </c>
      <c r="C50" s="289" t="s">
        <v>272</v>
      </c>
      <c r="D50" s="290" t="s">
        <v>272</v>
      </c>
      <c r="E50" s="292" t="s">
        <v>1131</v>
      </c>
      <c r="F50" s="292" t="s">
        <v>1131</v>
      </c>
      <c r="G50" s="292" t="s">
        <v>1131</v>
      </c>
      <c r="H50" s="292" t="s">
        <v>1131</v>
      </c>
      <c r="I50" s="292" t="s">
        <v>1131</v>
      </c>
      <c r="J50" s="292" t="s">
        <v>1131</v>
      </c>
      <c r="K50" s="292" t="s">
        <v>1131</v>
      </c>
    </row>
    <row r="51" spans="2:11" ht="32.25">
      <c r="B51" s="288">
        <v>46</v>
      </c>
      <c r="C51" s="289" t="s">
        <v>232</v>
      </c>
      <c r="D51" s="290" t="s">
        <v>232</v>
      </c>
      <c r="E51" s="292" t="s">
        <v>1131</v>
      </c>
      <c r="F51" s="292" t="s">
        <v>1131</v>
      </c>
      <c r="G51" s="292" t="s">
        <v>1131</v>
      </c>
      <c r="H51" s="292" t="s">
        <v>1131</v>
      </c>
      <c r="I51" s="292" t="s">
        <v>1131</v>
      </c>
      <c r="J51" s="292" t="s">
        <v>1131</v>
      </c>
      <c r="K51" s="292" t="s">
        <v>1131</v>
      </c>
    </row>
    <row r="52" spans="2:11" ht="32.25">
      <c r="B52" s="288">
        <v>47</v>
      </c>
      <c r="C52" s="289" t="s">
        <v>261</v>
      </c>
      <c r="D52" s="290" t="s">
        <v>261</v>
      </c>
      <c r="E52" s="291" t="s">
        <v>1272</v>
      </c>
      <c r="F52" s="292" t="s">
        <v>1131</v>
      </c>
      <c r="G52" s="292" t="s">
        <v>1131</v>
      </c>
      <c r="H52" s="292" t="s">
        <v>1131</v>
      </c>
      <c r="I52" s="292" t="s">
        <v>1131</v>
      </c>
      <c r="J52" s="292" t="s">
        <v>1131</v>
      </c>
      <c r="K52" s="292" t="s">
        <v>1131</v>
      </c>
    </row>
    <row r="53" spans="2:11" ht="32.25">
      <c r="B53" s="288">
        <v>48</v>
      </c>
      <c r="C53" s="289" t="s">
        <v>183</v>
      </c>
      <c r="D53" s="290" t="s">
        <v>183</v>
      </c>
      <c r="E53" s="292" t="s">
        <v>1131</v>
      </c>
      <c r="F53" s="292" t="s">
        <v>1131</v>
      </c>
      <c r="G53" s="292" t="s">
        <v>1131</v>
      </c>
      <c r="H53" s="292" t="s">
        <v>1131</v>
      </c>
      <c r="I53" s="292" t="s">
        <v>1131</v>
      </c>
      <c r="J53" s="292" t="s">
        <v>1131</v>
      </c>
      <c r="K53" s="292" t="s">
        <v>1131</v>
      </c>
    </row>
    <row r="54" spans="2:11" ht="32.25">
      <c r="B54" s="288">
        <v>49</v>
      </c>
      <c r="C54" s="289" t="s">
        <v>267</v>
      </c>
      <c r="D54" s="290" t="s">
        <v>267</v>
      </c>
      <c r="E54" s="292" t="s">
        <v>1131</v>
      </c>
      <c r="F54" s="292" t="s">
        <v>1131</v>
      </c>
      <c r="G54" s="292" t="s">
        <v>1131</v>
      </c>
      <c r="H54" s="292" t="s">
        <v>1131</v>
      </c>
      <c r="I54" s="292" t="s">
        <v>1131</v>
      </c>
      <c r="J54" s="292" t="s">
        <v>1131</v>
      </c>
      <c r="K54" s="292" t="s">
        <v>1131</v>
      </c>
    </row>
    <row r="55" spans="2:11" ht="32.25">
      <c r="B55" s="288">
        <v>50</v>
      </c>
      <c r="C55" s="289" t="s">
        <v>255</v>
      </c>
      <c r="D55" s="290" t="s">
        <v>255</v>
      </c>
      <c r="E55" s="292" t="s">
        <v>1131</v>
      </c>
      <c r="F55" s="292" t="s">
        <v>1131</v>
      </c>
      <c r="G55" s="292" t="s">
        <v>1131</v>
      </c>
      <c r="H55" s="291" t="s">
        <v>255</v>
      </c>
      <c r="I55" s="292" t="s">
        <v>1131</v>
      </c>
      <c r="J55" s="292" t="s">
        <v>1131</v>
      </c>
      <c r="K55" s="292" t="s">
        <v>1131</v>
      </c>
    </row>
  </sheetData>
  <mergeCells count="2">
    <mergeCell ref="B4:B5"/>
    <mergeCell ref="C4:C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5DAB-AA66-B34C-A8C3-3B196FBE2A02}">
  <sheetPr>
    <tabColor rgb="FF00B0F0"/>
  </sheetPr>
  <dimension ref="B1:Q61"/>
  <sheetViews>
    <sheetView workbookViewId="0">
      <pane xSplit="1" ySplit="7" topLeftCell="C39" activePane="bottomRight" state="frozen"/>
      <selection pane="topRight" activeCell="F1" sqref="F1"/>
      <selection pane="bottomLeft" activeCell="A5" sqref="A5"/>
      <selection pane="bottomRight" activeCell="C39" sqref="C39:D39"/>
    </sheetView>
  </sheetViews>
  <sheetFormatPr defaultColWidth="10.90625" defaultRowHeight="25.5" outlineLevelRow="1" outlineLevelCol="2"/>
  <cols>
    <col min="1" max="1" width="4.26953125" customWidth="1"/>
    <col min="2" max="2" width="6.08984375" customWidth="1" outlineLevel="1"/>
    <col min="3" max="3" width="10.90625" outlineLevel="1"/>
    <col min="4" max="4" width="10.90625" customWidth="1" outlineLevel="2"/>
    <col min="5" max="5" width="8.08984375" customWidth="1" outlineLevel="2"/>
    <col min="6" max="8" width="10.90625" outlineLevel="1"/>
    <col min="9" max="9" width="4.453125" customWidth="1"/>
    <col min="10" max="10" width="5.08984375" style="6" customWidth="1"/>
    <col min="11" max="11" width="10.6328125" style="6" customWidth="1"/>
    <col min="12" max="12" width="12.6328125" style="6" bestFit="1" customWidth="1"/>
    <col min="13" max="13" width="9.36328125" bestFit="1" customWidth="1" outlineLevel="1"/>
  </cols>
  <sheetData>
    <row r="1" spans="2:17" outlineLevel="1">
      <c r="F1">
        <v>2</v>
      </c>
      <c r="G1">
        <v>3</v>
      </c>
      <c r="H1">
        <v>4</v>
      </c>
    </row>
    <row r="2" spans="2:17" outlineLevel="1">
      <c r="O2" s="47" t="s">
        <v>1273</v>
      </c>
    </row>
    <row r="3" spans="2:17" outlineLevel="1">
      <c r="O3" s="165" t="str">
        <f>""</f>
        <v/>
      </c>
    </row>
    <row r="4" spans="2:17" outlineLevel="1"/>
    <row r="5" spans="2:17" s="50" customFormat="1" ht="38.25" outlineLevel="1">
      <c r="B5" s="419" t="s">
        <v>1274</v>
      </c>
      <c r="J5" s="419" t="s">
        <v>1275</v>
      </c>
      <c r="K5" s="6"/>
      <c r="L5" s="6"/>
      <c r="O5" s="419" t="s">
        <v>1276</v>
      </c>
    </row>
    <row r="6" spans="2:17" ht="11.1" customHeight="1">
      <c r="Q6" s="50"/>
    </row>
    <row r="7" spans="2:17" s="131" customFormat="1" ht="24" customHeight="1">
      <c r="B7" s="47" t="s">
        <v>133</v>
      </c>
      <c r="C7" s="47" t="s">
        <v>128</v>
      </c>
      <c r="D7" s="47" t="s">
        <v>129</v>
      </c>
      <c r="E7" s="47" t="s">
        <v>134</v>
      </c>
      <c r="F7" s="47" t="s">
        <v>706</v>
      </c>
      <c r="G7" s="128" t="s">
        <v>130</v>
      </c>
      <c r="H7" s="128" t="s">
        <v>131</v>
      </c>
      <c r="J7" s="47" t="s">
        <v>133</v>
      </c>
      <c r="K7" s="47" t="s">
        <v>706</v>
      </c>
      <c r="L7" s="47" t="s">
        <v>1277</v>
      </c>
      <c r="M7" s="47" t="s">
        <v>1273</v>
      </c>
      <c r="O7" s="47" t="s">
        <v>706</v>
      </c>
      <c r="P7" s="47" t="s">
        <v>1277</v>
      </c>
      <c r="Q7" s="50"/>
    </row>
    <row r="8" spans="2:17" ht="33">
      <c r="B8" s="46">
        <v>1</v>
      </c>
      <c r="C8" s="404" t="s">
        <v>135</v>
      </c>
      <c r="D8" s="340" t="s">
        <v>136</v>
      </c>
      <c r="E8" s="420">
        <f t="shared" ref="E8:E52" si="0" xml:space="preserve"> IFERROR( MATCH($D8, 韻母舒聲碼, 0), "")</f>
        <v>1</v>
      </c>
      <c r="F8" s="411" t="str" cm="1">
        <f t="array" ref="F8" xml:space="preserve"> IF($E8="", "",  INDEX(十五音韻母對照表, $E8, F$1))</f>
        <v>君</v>
      </c>
      <c r="G8" s="25" t="str" cm="1">
        <f t="array" ref="G8" xml:space="preserve"> IF($E8="", "", INDEX(十五音韻母對照表, $E8, G$1))</f>
        <v>un</v>
      </c>
      <c r="H8" s="25" t="str" cm="1">
        <f t="array" ref="H8" xml:space="preserve"> IF($E8="", "",  INDEX(十五音韻母對照表, $E8, H$1))</f>
        <v>ut</v>
      </c>
      <c r="J8" s="413">
        <v>1</v>
      </c>
      <c r="K8" s="350" t="str">
        <f>'十五音-韻母'!C5</f>
        <v>君</v>
      </c>
      <c r="L8" s="410" t="str">
        <f>'十五音-韻母'!D5</f>
        <v>un</v>
      </c>
      <c r="M8" s="425">
        <f xml:space="preserve"> IFERROR( MATCH($L8, $D$8:$D$52, 0), "")</f>
        <v>1</v>
      </c>
      <c r="O8" s="350" t="s">
        <v>159</v>
      </c>
      <c r="P8" s="410" t="s">
        <v>202</v>
      </c>
      <c r="Q8" s="50"/>
    </row>
    <row r="9" spans="2:17" ht="33">
      <c r="B9" s="46">
        <v>2</v>
      </c>
      <c r="C9" s="404" t="s">
        <v>141</v>
      </c>
      <c r="D9" s="340" t="s">
        <v>142</v>
      </c>
      <c r="E9" s="420">
        <f t="shared" si="0"/>
        <v>2</v>
      </c>
      <c r="F9" s="411" t="str" cm="1">
        <f t="array" ref="F9" xml:space="preserve"> IF($E9="", "",  INDEX(十五音韻母對照表, $E9, F$1))</f>
        <v>堅</v>
      </c>
      <c r="G9" s="25" t="str" cm="1">
        <f t="array" ref="G9" xml:space="preserve"> IF($E9="", "", INDEX(十五音韻母對照表, $E9, G$1))</f>
        <v>ian</v>
      </c>
      <c r="H9" s="25" t="str" cm="1">
        <f t="array" ref="H9" xml:space="preserve"> IF($E9="", "",  INDEX(十五音韻母對照表, $E9, H$1))</f>
        <v>iat</v>
      </c>
      <c r="J9" s="413">
        <v>2</v>
      </c>
      <c r="K9" s="350" t="str">
        <f>'十五音-韻母'!C6</f>
        <v>堅</v>
      </c>
      <c r="L9" s="410" t="str">
        <f>'十五音-韻母'!D6</f>
        <v>ian</v>
      </c>
      <c r="M9" s="425">
        <f t="shared" ref="M9:M57" si="1" xml:space="preserve"> IFERROR( MATCH($L9, $D$8:$D$52, 0), "")</f>
        <v>2</v>
      </c>
      <c r="O9" s="350" t="s">
        <v>206</v>
      </c>
      <c r="P9" s="410" t="s">
        <v>207</v>
      </c>
      <c r="Q9" s="50"/>
    </row>
    <row r="10" spans="2:17" ht="33">
      <c r="B10" s="46">
        <v>3</v>
      </c>
      <c r="C10" s="404" t="s">
        <v>147</v>
      </c>
      <c r="D10" s="340" t="s">
        <v>148</v>
      </c>
      <c r="E10" s="420">
        <f t="shared" si="0"/>
        <v>3</v>
      </c>
      <c r="F10" s="411" t="str" cm="1">
        <f t="array" ref="F10" xml:space="preserve"> IF($E10="", "",  INDEX(十五音韻母對照表, $E10, F$1))</f>
        <v>金</v>
      </c>
      <c r="G10" s="25" t="str" cm="1">
        <f t="array" ref="G10" xml:space="preserve"> IF($E10="", "", INDEX(十五音韻母對照表, $E10, G$1))</f>
        <v>im</v>
      </c>
      <c r="H10" s="25" t="str" cm="1">
        <f t="array" ref="H10" xml:space="preserve"> IF($E10="", "",  INDEX(十五音韻母對照表, $E10, H$1))</f>
        <v>ip</v>
      </c>
      <c r="J10" s="413">
        <v>3</v>
      </c>
      <c r="K10" s="350" t="str">
        <f>'十五音-韻母'!C7</f>
        <v>金</v>
      </c>
      <c r="L10" s="410" t="str">
        <f>'十五音-韻母'!D7</f>
        <v>im</v>
      </c>
      <c r="M10" s="425">
        <f t="shared" si="1"/>
        <v>3</v>
      </c>
      <c r="O10" s="350" t="s">
        <v>247</v>
      </c>
      <c r="P10" s="410" t="s">
        <v>250</v>
      </c>
      <c r="Q10" s="50"/>
    </row>
    <row r="11" spans="2:17" ht="33">
      <c r="B11" s="46">
        <v>4</v>
      </c>
      <c r="C11" s="408" t="s">
        <v>153</v>
      </c>
      <c r="D11" s="405" t="s">
        <v>154</v>
      </c>
      <c r="E11" s="420">
        <f t="shared" si="0"/>
        <v>4</v>
      </c>
      <c r="F11" s="411" t="str" cm="1">
        <f t="array" ref="F11" xml:space="preserve"> IF($E11="", "",  INDEX(十五音韻母對照表, $E11, F$1))</f>
        <v>規</v>
      </c>
      <c r="G11" s="25" t="str" cm="1">
        <f t="array" ref="G11" xml:space="preserve"> IF($E11="", "", INDEX(十五音韻母對照表, $E11, G$1))</f>
        <v>ui</v>
      </c>
      <c r="H11" s="25" t="str" cm="1">
        <f t="array" ref="H11" xml:space="preserve"> IF($E11="", "",  INDEX(十五音韻母對照表, $E11, H$1))</f>
        <v>uih</v>
      </c>
      <c r="J11" s="413">
        <v>4</v>
      </c>
      <c r="K11" s="350" t="str">
        <f>'十五音-韻母'!C8</f>
        <v>規</v>
      </c>
      <c r="L11" s="410" t="str">
        <f>'十五音-韻母'!D8</f>
        <v>ui</v>
      </c>
      <c r="M11" s="425">
        <f t="shared" si="1"/>
        <v>4</v>
      </c>
      <c r="O11" s="350" t="s">
        <v>272</v>
      </c>
      <c r="P11" s="410" t="s">
        <v>280</v>
      </c>
      <c r="Q11" s="50"/>
    </row>
    <row r="12" spans="2:17" ht="33">
      <c r="B12" s="46">
        <v>5</v>
      </c>
      <c r="C12" s="409" t="s">
        <v>159</v>
      </c>
      <c r="D12" s="405" t="s">
        <v>160</v>
      </c>
      <c r="E12" s="420">
        <f t="shared" si="0"/>
        <v>39</v>
      </c>
      <c r="F12" s="411" t="str" cm="1">
        <f t="array" ref="F12" xml:space="preserve"> IF($E12="", "",  INDEX(十五音韻母對照表, $E12, F$1))</f>
        <v>伽</v>
      </c>
      <c r="G12" s="25" t="str" cm="1">
        <f t="array" ref="G12" xml:space="preserve"> IF($E12="", "", INDEX(十五音韻母對照表, $E12, G$1))</f>
        <v>e</v>
      </c>
      <c r="H12" s="25" t="str" cm="1">
        <f t="array" ref="H12" xml:space="preserve"> IF($E12="", "",  INDEX(十五音韻母對照表, $E12, H$1))</f>
        <v>eh</v>
      </c>
      <c r="J12" s="413">
        <v>5</v>
      </c>
      <c r="K12" s="350" t="str">
        <f>'十五音-韻母'!C9</f>
        <v>嘉</v>
      </c>
      <c r="L12" s="410" t="str">
        <f>'十五音-韻母'!D9</f>
        <v>ee</v>
      </c>
      <c r="M12" s="425" t="str">
        <f t="shared" si="1"/>
        <v/>
      </c>
      <c r="O12" s="350" t="s">
        <v>267</v>
      </c>
      <c r="P12" s="410" t="s">
        <v>268</v>
      </c>
      <c r="Q12" s="50"/>
    </row>
    <row r="13" spans="2:17" ht="33">
      <c r="B13" s="46">
        <v>6</v>
      </c>
      <c r="C13" s="404" t="s">
        <v>165</v>
      </c>
      <c r="D13" s="340" t="s">
        <v>166</v>
      </c>
      <c r="E13" s="420">
        <f t="shared" si="0"/>
        <v>6</v>
      </c>
      <c r="F13" s="411" t="str" cm="1">
        <f t="array" ref="F13" xml:space="preserve"> IF($E13="", "",  INDEX(十五音韻母對照表, $E13, F$1))</f>
        <v>干</v>
      </c>
      <c r="G13" s="25" t="str" cm="1">
        <f t="array" ref="G13" xml:space="preserve"> IF($E13="", "", INDEX(十五音韻母對照表, $E13, G$1))</f>
        <v>an</v>
      </c>
      <c r="H13" s="25" t="str" cm="1">
        <f t="array" ref="H13" xml:space="preserve"> IF($E13="", "",  INDEX(十五音韻母對照表, $E13, H$1))</f>
        <v>at</v>
      </c>
      <c r="J13" s="413">
        <v>6</v>
      </c>
      <c r="K13" s="350" t="str">
        <f>'十五音-韻母'!C10</f>
        <v>干</v>
      </c>
      <c r="L13" s="410" t="str">
        <f>'十五音-韻母'!D10</f>
        <v>an</v>
      </c>
      <c r="M13" s="425">
        <f t="shared" si="1"/>
        <v>6</v>
      </c>
      <c r="Q13" s="50"/>
    </row>
    <row r="14" spans="2:17" ht="33">
      <c r="B14" s="46">
        <v>7</v>
      </c>
      <c r="C14" s="404" t="s">
        <v>168</v>
      </c>
      <c r="D14" s="340" t="s">
        <v>169</v>
      </c>
      <c r="E14" s="420">
        <f t="shared" si="0"/>
        <v>7</v>
      </c>
      <c r="F14" s="411" t="str" cm="1">
        <f t="array" ref="F14" xml:space="preserve"> IF($E14="", "",  INDEX(十五音韻母對照表, $E14, F$1))</f>
        <v>公</v>
      </c>
      <c r="G14" s="25" t="str" cm="1">
        <f t="array" ref="G14" xml:space="preserve"> IF($E14="", "", INDEX(十五音韻母對照表, $E14, G$1))</f>
        <v>ong</v>
      </c>
      <c r="H14" s="25" t="str" cm="1">
        <f t="array" ref="H14" xml:space="preserve"> IF($E14="", "",  INDEX(十五音韻母對照表, $E14, H$1))</f>
        <v>ok</v>
      </c>
      <c r="J14" s="413">
        <v>7</v>
      </c>
      <c r="K14" s="350" t="str">
        <f>'十五音-韻母'!C11</f>
        <v>公</v>
      </c>
      <c r="L14" s="410" t="str">
        <f>'十五音-韻母'!D11</f>
        <v>ong</v>
      </c>
      <c r="M14" s="425">
        <f t="shared" si="1"/>
        <v>7</v>
      </c>
      <c r="Q14" s="50"/>
    </row>
    <row r="15" spans="2:17" ht="33">
      <c r="B15" s="46">
        <v>8</v>
      </c>
      <c r="C15" s="404" t="s">
        <v>174</v>
      </c>
      <c r="D15" s="340" t="s">
        <v>175</v>
      </c>
      <c r="E15" s="420">
        <f t="shared" si="0"/>
        <v>8</v>
      </c>
      <c r="F15" s="411" t="str" cm="1">
        <f t="array" ref="F15" xml:space="preserve"> IF($E15="", "",  INDEX(十五音韻母對照表, $E15, F$1))</f>
        <v>乖</v>
      </c>
      <c r="G15" s="25" t="str" cm="1">
        <f t="array" ref="G15" xml:space="preserve"> IF($E15="", "", INDEX(十五音韻母對照表, $E15, G$1))</f>
        <v>uai</v>
      </c>
      <c r="H15" s="25" t="str" cm="1">
        <f t="array" ref="H15" xml:space="preserve"> IF($E15="", "",  INDEX(十五音韻母對照表, $E15, H$1))</f>
        <v>uaih</v>
      </c>
      <c r="J15" s="413">
        <v>8</v>
      </c>
      <c r="K15" s="350" t="str">
        <f>'十五音-韻母'!C12</f>
        <v>乖</v>
      </c>
      <c r="L15" s="410" t="str">
        <f>'十五音-韻母'!D12</f>
        <v>uai</v>
      </c>
      <c r="M15" s="425">
        <f t="shared" si="1"/>
        <v>8</v>
      </c>
      <c r="Q15" s="50"/>
    </row>
    <row r="16" spans="2:17" ht="33">
      <c r="B16" s="46">
        <v>9</v>
      </c>
      <c r="C16" s="409" t="s">
        <v>180</v>
      </c>
      <c r="D16" s="410" t="s">
        <v>181</v>
      </c>
      <c r="E16" s="420">
        <f t="shared" si="0"/>
        <v>9</v>
      </c>
      <c r="F16" s="411" t="str" cm="1">
        <f t="array" ref="F16" xml:space="preserve"> IF($E16="", "",  INDEX(十五音韻母對照表, $E16, F$1))</f>
        <v>經</v>
      </c>
      <c r="G16" s="25" t="str" cm="1">
        <f t="array" ref="G16" xml:space="preserve"> IF($E16="", "", INDEX(十五音韻母對照表, $E16, G$1))</f>
        <v>ing</v>
      </c>
      <c r="H16" s="25" t="str" cm="1">
        <f t="array" ref="H16" xml:space="preserve"> IF($E16="", "",  INDEX(十五音韻母對照表, $E16, H$1))</f>
        <v>ik</v>
      </c>
      <c r="J16" s="413">
        <v>9</v>
      </c>
      <c r="K16" s="350" t="str">
        <f>'十五音-韻母'!C13</f>
        <v>經</v>
      </c>
      <c r="L16" s="410" t="str">
        <f>'十五音-韻母'!D13</f>
        <v>ing</v>
      </c>
      <c r="M16" s="425">
        <f t="shared" si="1"/>
        <v>9</v>
      </c>
      <c r="Q16" s="50"/>
    </row>
    <row r="17" spans="2:17" ht="33">
      <c r="B17" s="46">
        <v>10</v>
      </c>
      <c r="C17" s="409" t="s">
        <v>186</v>
      </c>
      <c r="D17" s="410" t="s">
        <v>187</v>
      </c>
      <c r="E17" s="420">
        <f t="shared" si="0"/>
        <v>10</v>
      </c>
      <c r="F17" s="411" t="str" cm="1">
        <f t="array" ref="F17" xml:space="preserve"> IF($E17="", "",  INDEX(十五音韻母對照表, $E17, F$1))</f>
        <v>觀</v>
      </c>
      <c r="G17" s="25" t="str" cm="1">
        <f t="array" ref="G17" xml:space="preserve"> IF($E17="", "", INDEX(十五音韻母對照表, $E17, G$1))</f>
        <v>uan</v>
      </c>
      <c r="H17" s="25" t="str" cm="1">
        <f t="array" ref="H17" xml:space="preserve"> IF($E17="", "",  INDEX(十五音韻母對照表, $E17, H$1))</f>
        <v>uat</v>
      </c>
      <c r="J17" s="413">
        <v>10</v>
      </c>
      <c r="K17" s="350" t="str">
        <f>'十五音-韻母'!C14</f>
        <v>觀</v>
      </c>
      <c r="L17" s="410" t="str">
        <f>'十五音-韻母'!D14</f>
        <v>uan</v>
      </c>
      <c r="M17" s="425">
        <f t="shared" si="1"/>
        <v>10</v>
      </c>
      <c r="Q17" s="50"/>
    </row>
    <row r="18" spans="2:17" ht="33">
      <c r="B18" s="46">
        <v>11</v>
      </c>
      <c r="C18" s="409" t="s">
        <v>190</v>
      </c>
      <c r="D18" s="410" t="s">
        <v>191</v>
      </c>
      <c r="E18" s="420">
        <f t="shared" si="0"/>
        <v>11</v>
      </c>
      <c r="F18" s="411" t="str" cm="1">
        <f t="array" ref="F18" xml:space="preserve"> IF($E18="", "",  INDEX(十五音韻母對照表, $E18, F$1))</f>
        <v>沽</v>
      </c>
      <c r="G18" s="25" t="str" cm="1">
        <f t="array" ref="G18" xml:space="preserve"> IF($E18="", "", INDEX(十五音韻母對照表, $E18, G$1))</f>
        <v>oo</v>
      </c>
      <c r="H18" s="25" t="str" cm="1">
        <f t="array" ref="H18" xml:space="preserve"> IF($E18="", "",  INDEX(十五音韻母對照表, $E18, H$1))</f>
        <v>ooh</v>
      </c>
      <c r="J18" s="413">
        <v>11</v>
      </c>
      <c r="K18" s="350" t="str">
        <f>'十五音-韻母'!C15</f>
        <v>沽</v>
      </c>
      <c r="L18" s="410" t="str">
        <f>'十五音-韻母'!D15</f>
        <v>oo</v>
      </c>
      <c r="M18" s="425">
        <f t="shared" si="1"/>
        <v>11</v>
      </c>
      <c r="Q18" s="50"/>
    </row>
    <row r="19" spans="2:17" ht="33">
      <c r="B19" s="46">
        <v>12</v>
      </c>
      <c r="C19" s="409" t="s">
        <v>196</v>
      </c>
      <c r="D19" s="410" t="s">
        <v>197</v>
      </c>
      <c r="E19" s="420">
        <f t="shared" si="0"/>
        <v>12</v>
      </c>
      <c r="F19" s="411" t="str" cm="1">
        <f t="array" ref="F19" xml:space="preserve"> IF($E19="", "",  INDEX(十五音韻母對照表, $E19, F$1))</f>
        <v>嬌</v>
      </c>
      <c r="G19" s="25" t="str" cm="1">
        <f t="array" ref="G19" xml:space="preserve"> IF($E19="", "", INDEX(十五音韻母對照表, $E19, G$1))</f>
        <v>iau</v>
      </c>
      <c r="H19" s="25" t="str" cm="1">
        <f t="array" ref="H19" xml:space="preserve"> IF($E19="", "",  INDEX(十五音韻母對照表, $E19, H$1))</f>
        <v>iauh</v>
      </c>
      <c r="J19" s="413">
        <v>12</v>
      </c>
      <c r="K19" s="350" t="str">
        <f>'十五音-韻母'!C16</f>
        <v>嬌</v>
      </c>
      <c r="L19" s="410" t="str">
        <f>'十五音-韻母'!D16</f>
        <v>iau</v>
      </c>
      <c r="M19" s="425">
        <f t="shared" si="1"/>
        <v>12</v>
      </c>
      <c r="Q19" s="50"/>
    </row>
    <row r="20" spans="2:17" ht="33">
      <c r="B20" s="46">
        <v>13</v>
      </c>
      <c r="C20" s="409" t="s">
        <v>203</v>
      </c>
      <c r="D20" s="410" t="s">
        <v>204</v>
      </c>
      <c r="E20" s="420">
        <f t="shared" si="0"/>
        <v>34</v>
      </c>
      <c r="F20" s="411" t="str" cm="1">
        <f t="array" ref="F20" xml:space="preserve"> IF($E20="", "",  INDEX(十五音韻母對照表, $E20, F$1))</f>
        <v>梔</v>
      </c>
      <c r="G20" s="25" t="str" cm="1">
        <f t="array" ref="G20" xml:space="preserve"> IF($E20="", "", INDEX(十五音韻母對照表, $E20, G$1))</f>
        <v>inn</v>
      </c>
      <c r="H20" s="25" t="str" cm="1">
        <f t="array" ref="H20" xml:space="preserve"> IF($E20="", "",  INDEX(十五音韻母對照表, $E20, H$1))</f>
        <v>innh</v>
      </c>
      <c r="J20" s="413">
        <v>13</v>
      </c>
      <c r="K20" s="350" t="str">
        <f>'十五音-韻母'!C17</f>
        <v>稽</v>
      </c>
      <c r="L20" s="410" t="str">
        <f>'十五音-韻母'!D17</f>
        <v>ei</v>
      </c>
      <c r="M20" s="425" t="str">
        <f t="shared" si="1"/>
        <v/>
      </c>
      <c r="Q20" s="50"/>
    </row>
    <row r="21" spans="2:17" ht="33">
      <c r="B21" s="46">
        <v>14</v>
      </c>
      <c r="C21" s="409" t="s">
        <v>208</v>
      </c>
      <c r="D21" s="410" t="s">
        <v>209</v>
      </c>
      <c r="E21" s="420">
        <f t="shared" si="0"/>
        <v>14</v>
      </c>
      <c r="F21" s="411" t="str" cm="1">
        <f t="array" ref="F21" xml:space="preserve"> IF($E21="", "",  INDEX(十五音韻母對照表, $E21, F$1))</f>
        <v>恭</v>
      </c>
      <c r="G21" s="25" t="str" cm="1">
        <f t="array" ref="G21" xml:space="preserve"> IF($E21="", "", INDEX(十五音韻母對照表, $E21, G$1))</f>
        <v>iong</v>
      </c>
      <c r="H21" s="25" t="str" cm="1">
        <f t="array" ref="H21" xml:space="preserve"> IF($E21="", "",  INDEX(十五音韻母對照表, $E21, H$1))</f>
        <v>iok</v>
      </c>
      <c r="J21" s="413">
        <v>14</v>
      </c>
      <c r="K21" s="350" t="str">
        <f>'十五音-韻母'!C18</f>
        <v>恭</v>
      </c>
      <c r="L21" s="410" t="str">
        <f>'十五音-韻母'!D18</f>
        <v>iong</v>
      </c>
      <c r="M21" s="425">
        <f t="shared" si="1"/>
        <v>14</v>
      </c>
      <c r="Q21" s="50"/>
    </row>
    <row r="22" spans="2:17" ht="33">
      <c r="B22" s="46">
        <v>15</v>
      </c>
      <c r="C22" s="409" t="s">
        <v>214</v>
      </c>
      <c r="D22" s="410" t="s">
        <v>215</v>
      </c>
      <c r="E22" s="420">
        <f t="shared" si="0"/>
        <v>15</v>
      </c>
      <c r="F22" s="411" t="str" cm="1">
        <f t="array" ref="F22" xml:space="preserve"> IF($E22="", "",  INDEX(十五音韻母對照表, $E22, F$1))</f>
        <v>高</v>
      </c>
      <c r="G22" s="25" t="str" cm="1">
        <f t="array" ref="G22" xml:space="preserve"> IF($E22="", "", INDEX(十五音韻母對照表, $E22, G$1))</f>
        <v>o</v>
      </c>
      <c r="H22" s="25" t="str" cm="1">
        <f t="array" ref="H22" xml:space="preserve"> IF($E22="", "",  INDEX(十五音韻母對照表, $E22, H$1))</f>
        <v>oh</v>
      </c>
      <c r="J22" s="413">
        <v>15</v>
      </c>
      <c r="K22" s="350" t="str">
        <f>'十五音-韻母'!C19</f>
        <v>高</v>
      </c>
      <c r="L22" s="410" t="str">
        <f>'十五音-韻母'!D19</f>
        <v>o</v>
      </c>
      <c r="M22" s="425">
        <f t="shared" si="1"/>
        <v>15</v>
      </c>
      <c r="Q22" s="50"/>
    </row>
    <row r="23" spans="2:17" ht="33">
      <c r="B23" s="46">
        <v>16</v>
      </c>
      <c r="C23" s="409" t="s">
        <v>150</v>
      </c>
      <c r="D23" s="410" t="s">
        <v>151</v>
      </c>
      <c r="E23" s="420">
        <f t="shared" si="0"/>
        <v>16</v>
      </c>
      <c r="F23" s="411" t="str" cm="1">
        <f t="array" ref="F23" xml:space="preserve"> IF($E23="", "",  INDEX(十五音韻母對照表, $E23, F$1))</f>
        <v>皆</v>
      </c>
      <c r="G23" s="25" t="str" cm="1">
        <f t="array" ref="G23" xml:space="preserve"> IF($E23="", "", INDEX(十五音韻母對照表, $E23, G$1))</f>
        <v>ai</v>
      </c>
      <c r="H23" s="25" t="str" cm="1">
        <f t="array" ref="H23" xml:space="preserve"> IF($E23="", "",  INDEX(十五音韻母對照表, $E23, H$1))</f>
        <v>aih</v>
      </c>
      <c r="J23" s="413">
        <v>16</v>
      </c>
      <c r="K23" s="350" t="str">
        <f>'十五音-韻母'!C20</f>
        <v>皆</v>
      </c>
      <c r="L23" s="410" t="str">
        <f>'十五音-韻母'!D20</f>
        <v>ai</v>
      </c>
      <c r="M23" s="425">
        <f t="shared" si="1"/>
        <v>16</v>
      </c>
      <c r="Q23" s="50"/>
    </row>
    <row r="24" spans="2:17" ht="33">
      <c r="B24" s="46">
        <v>17</v>
      </c>
      <c r="C24" s="409" t="s">
        <v>223</v>
      </c>
      <c r="D24" s="410" t="s">
        <v>224</v>
      </c>
      <c r="E24" s="420">
        <f t="shared" si="0"/>
        <v>17</v>
      </c>
      <c r="F24" s="411" t="str" cm="1">
        <f t="array" ref="F24" xml:space="preserve"> IF($E24="", "",  INDEX(十五音韻母對照表, $E24, F$1))</f>
        <v>巾</v>
      </c>
      <c r="G24" s="25" t="str" cm="1">
        <f t="array" ref="G24" xml:space="preserve"> IF($E24="", "", INDEX(十五音韻母對照表, $E24, G$1))</f>
        <v>in</v>
      </c>
      <c r="H24" s="25" t="str" cm="1">
        <f t="array" ref="H24" xml:space="preserve"> IF($E24="", "",  INDEX(十五音韻母對照表, $E24, H$1))</f>
        <v>it</v>
      </c>
      <c r="J24" s="413">
        <v>17</v>
      </c>
      <c r="K24" s="350" t="str">
        <f>'十五音-韻母'!C21</f>
        <v>巾</v>
      </c>
      <c r="L24" s="410" t="str">
        <f>'十五音-韻母'!D21</f>
        <v>in</v>
      </c>
      <c r="M24" s="425">
        <f t="shared" si="1"/>
        <v>17</v>
      </c>
      <c r="Q24" s="50"/>
    </row>
    <row r="25" spans="2:17" ht="33">
      <c r="B25" s="46">
        <v>18</v>
      </c>
      <c r="C25" s="409" t="s">
        <v>226</v>
      </c>
      <c r="D25" s="410" t="s">
        <v>227</v>
      </c>
      <c r="E25" s="420">
        <f t="shared" si="0"/>
        <v>18</v>
      </c>
      <c r="F25" s="411" t="str" cm="1">
        <f t="array" ref="F25" xml:space="preserve"> IF($E25="", "",  INDEX(十五音韻母對照表, $E25, F$1))</f>
        <v>姜</v>
      </c>
      <c r="G25" s="25" t="str" cm="1">
        <f t="array" ref="G25" xml:space="preserve"> IF($E25="", "", INDEX(十五音韻母對照表, $E25, G$1))</f>
        <v>iang</v>
      </c>
      <c r="H25" s="25" t="str" cm="1">
        <f t="array" ref="H25" xml:space="preserve"> IF($E25="", "",  INDEX(十五音韻母對照表, $E25, H$1))</f>
        <v>iak</v>
      </c>
      <c r="J25" s="413">
        <v>18</v>
      </c>
      <c r="K25" s="350" t="str">
        <f>'十五音-韻母'!C22</f>
        <v>姜</v>
      </c>
      <c r="L25" s="410" t="str">
        <f>'十五音-韻母'!D22</f>
        <v>iang</v>
      </c>
      <c r="M25" s="425">
        <f t="shared" si="1"/>
        <v>18</v>
      </c>
      <c r="Q25" s="50"/>
    </row>
    <row r="26" spans="2:17" ht="33">
      <c r="B26" s="46">
        <v>19</v>
      </c>
      <c r="C26" s="409" t="s">
        <v>162</v>
      </c>
      <c r="D26" s="410" t="s">
        <v>163</v>
      </c>
      <c r="E26" s="420">
        <f t="shared" si="0"/>
        <v>19</v>
      </c>
      <c r="F26" s="411" t="str" cm="1">
        <f t="array" ref="F26" xml:space="preserve"> IF($E26="", "",  INDEX(十五音韻母對照表, $E26, F$1))</f>
        <v>甘</v>
      </c>
      <c r="G26" s="25" t="str" cm="1">
        <f t="array" ref="G26" xml:space="preserve"> IF($E26="", "", INDEX(十五音韻母對照表, $E26, G$1))</f>
        <v>am</v>
      </c>
      <c r="H26" s="25" t="str" cm="1">
        <f t="array" ref="H26" xml:space="preserve"> IF($E26="", "",  INDEX(十五音韻母對照表, $E26, H$1))</f>
        <v>ap</v>
      </c>
      <c r="J26" s="413">
        <v>19</v>
      </c>
      <c r="K26" s="350" t="str">
        <f>'十五音-韻母'!C23</f>
        <v>甘</v>
      </c>
      <c r="L26" s="410" t="str">
        <f>'十五音-韻母'!D23</f>
        <v>am</v>
      </c>
      <c r="M26" s="425">
        <f t="shared" si="1"/>
        <v>19</v>
      </c>
      <c r="Q26" s="50"/>
    </row>
    <row r="27" spans="2:17" ht="33">
      <c r="B27" s="46">
        <v>20</v>
      </c>
      <c r="C27" s="409" t="s">
        <v>229</v>
      </c>
      <c r="D27" s="410" t="s">
        <v>230</v>
      </c>
      <c r="E27" s="420">
        <f t="shared" si="0"/>
        <v>20</v>
      </c>
      <c r="F27" s="411" t="str" cm="1">
        <f t="array" ref="F27" xml:space="preserve"> IF($E27="", "",  INDEX(十五音韻母對照表, $E27, F$1))</f>
        <v>瓜</v>
      </c>
      <c r="G27" s="25" t="str" cm="1">
        <f t="array" ref="G27" xml:space="preserve"> IF($E27="", "", INDEX(十五音韻母對照表, $E27, G$1))</f>
        <v>ua</v>
      </c>
      <c r="H27" s="25" t="str" cm="1">
        <f t="array" ref="H27" xml:space="preserve"> IF($E27="", "",  INDEX(十五音韻母對照表, $E27, H$1))</f>
        <v>uah</v>
      </c>
      <c r="J27" s="413">
        <v>20</v>
      </c>
      <c r="K27" s="350" t="str">
        <f>'十五音-韻母'!C24</f>
        <v>瓜</v>
      </c>
      <c r="L27" s="410" t="str">
        <f>'十五音-韻母'!D24</f>
        <v>ua</v>
      </c>
      <c r="M27" s="425">
        <f t="shared" si="1"/>
        <v>20</v>
      </c>
      <c r="Q27" s="50"/>
    </row>
    <row r="28" spans="2:17" ht="33">
      <c r="B28" s="46">
        <v>21</v>
      </c>
      <c r="C28" s="409" t="s">
        <v>171</v>
      </c>
      <c r="D28" s="410" t="s">
        <v>172</v>
      </c>
      <c r="E28" s="420">
        <f t="shared" si="0"/>
        <v>21</v>
      </c>
      <c r="F28" s="411" t="str" cm="1">
        <f t="array" ref="F28" xml:space="preserve"> IF($E28="", "",  INDEX(十五音韻母對照表, $E28, F$1))</f>
        <v>江</v>
      </c>
      <c r="G28" s="25" t="str" cm="1">
        <f t="array" ref="G28" xml:space="preserve"> IF($E28="", "", INDEX(十五音韻母對照表, $E28, G$1))</f>
        <v>ang</v>
      </c>
      <c r="H28" s="25" t="str" cm="1">
        <f t="array" ref="H28" xml:space="preserve"> IF($E28="", "",  INDEX(十五音韻母對照表, $E28, H$1))</f>
        <v>ak</v>
      </c>
      <c r="J28" s="413">
        <v>21</v>
      </c>
      <c r="K28" s="350" t="str">
        <f>'十五音-韻母'!C25</f>
        <v>江</v>
      </c>
      <c r="L28" s="410" t="str">
        <f>'十五音-韻母'!D25</f>
        <v>ang</v>
      </c>
      <c r="M28" s="425">
        <f t="shared" si="1"/>
        <v>21</v>
      </c>
      <c r="Q28" s="50"/>
    </row>
    <row r="29" spans="2:17" ht="33">
      <c r="B29" s="46">
        <v>22</v>
      </c>
      <c r="C29" s="409" t="s">
        <v>220</v>
      </c>
      <c r="D29" s="410" t="s">
        <v>221</v>
      </c>
      <c r="E29" s="420">
        <f t="shared" si="0"/>
        <v>22</v>
      </c>
      <c r="F29" s="411" t="str" cm="1">
        <f t="array" ref="F29" xml:space="preserve"> IF($E29="", "",  INDEX(十五音韻母對照表, $E29, F$1))</f>
        <v>兼</v>
      </c>
      <c r="G29" s="25" t="str" cm="1">
        <f t="array" ref="G29" xml:space="preserve"> IF($E29="", "", INDEX(十五音韻母對照表, $E29, G$1))</f>
        <v>iam</v>
      </c>
      <c r="H29" s="25" t="str" cm="1">
        <f t="array" ref="H29" xml:space="preserve"> IF($E29="", "",  INDEX(十五音韻母對照表, $E29, H$1))</f>
        <v>iap</v>
      </c>
      <c r="J29" s="413">
        <v>22</v>
      </c>
      <c r="K29" s="350" t="str">
        <f>'十五音-韻母'!C26</f>
        <v>兼</v>
      </c>
      <c r="L29" s="410" t="str">
        <f>'十五音-韻母'!D26</f>
        <v>iam</v>
      </c>
      <c r="M29" s="425">
        <f t="shared" si="1"/>
        <v>22</v>
      </c>
      <c r="Q29" s="50"/>
    </row>
    <row r="30" spans="2:17" ht="33">
      <c r="B30" s="46">
        <v>23</v>
      </c>
      <c r="C30" s="409" t="s">
        <v>177</v>
      </c>
      <c r="D30" s="410" t="s">
        <v>178</v>
      </c>
      <c r="E30" s="420">
        <f t="shared" si="0"/>
        <v>23</v>
      </c>
      <c r="F30" s="411" t="str" cm="1">
        <f t="array" ref="F30" xml:space="preserve"> IF($E30="", "",  INDEX(十五音韻母對照表, $E30, F$1))</f>
        <v>交</v>
      </c>
      <c r="G30" s="25" t="str" cm="1">
        <f t="array" ref="G30" xml:space="preserve"> IF($E30="", "", INDEX(十五音韻母對照表, $E30, G$1))</f>
        <v>au</v>
      </c>
      <c r="H30" s="25" t="str" cm="1">
        <f t="array" ref="H30" xml:space="preserve"> IF($E30="", "",  INDEX(十五音韻母對照表, $E30, H$1))</f>
        <v>auh</v>
      </c>
      <c r="J30" s="413">
        <v>23</v>
      </c>
      <c r="K30" s="350" t="str">
        <f>'十五音-韻母'!C27</f>
        <v>交</v>
      </c>
      <c r="L30" s="410" t="str">
        <f>'十五音-韻母'!D27</f>
        <v>au</v>
      </c>
      <c r="M30" s="425">
        <f t="shared" si="1"/>
        <v>23</v>
      </c>
      <c r="Q30" s="50"/>
    </row>
    <row r="31" spans="2:17" ht="33">
      <c r="B31" s="46">
        <v>24</v>
      </c>
      <c r="C31" s="409" t="s">
        <v>211</v>
      </c>
      <c r="D31" s="410" t="s">
        <v>212</v>
      </c>
      <c r="E31" s="420">
        <f t="shared" si="0"/>
        <v>24</v>
      </c>
      <c r="F31" s="411" t="str" cm="1">
        <f t="array" ref="F31" xml:space="preserve"> IF($E31="", "",  INDEX(十五音韻母對照表, $E31, F$1))</f>
        <v>迦</v>
      </c>
      <c r="G31" s="25" t="str" cm="1">
        <f t="array" ref="G31" xml:space="preserve"> IF($E31="", "", INDEX(十五音韻母對照表, $E31, G$1))</f>
        <v>ia</v>
      </c>
      <c r="H31" s="25" t="str" cm="1">
        <f t="array" ref="H31" xml:space="preserve"> IF($E31="", "",  INDEX(十五音韻母對照表, $E31, H$1))</f>
        <v>iah</v>
      </c>
      <c r="J31" s="413">
        <v>24</v>
      </c>
      <c r="K31" s="350" t="str">
        <f>'十五音-韻母'!C28</f>
        <v>迦</v>
      </c>
      <c r="L31" s="410" t="str">
        <f>'十五音-韻母'!D28</f>
        <v>ia</v>
      </c>
      <c r="M31" s="425">
        <f t="shared" si="1"/>
        <v>24</v>
      </c>
      <c r="Q31" s="50"/>
    </row>
    <row r="32" spans="2:17" ht="33">
      <c r="B32" s="46">
        <v>25</v>
      </c>
      <c r="C32" s="409" t="s">
        <v>238</v>
      </c>
      <c r="D32" s="410" t="s">
        <v>239</v>
      </c>
      <c r="E32" s="420">
        <f t="shared" si="0"/>
        <v>25</v>
      </c>
      <c r="F32" s="411" t="str" cm="1">
        <f t="array" ref="F32" xml:space="preserve"> IF($E32="", "",  INDEX(十五音韻母對照表, $E32, F$1))</f>
        <v>檜</v>
      </c>
      <c r="G32" s="25" t="str" cm="1">
        <f t="array" ref="G32" xml:space="preserve"> IF($E32="", "", INDEX(十五音韻母對照表, $E32, G$1))</f>
        <v>ue</v>
      </c>
      <c r="H32" s="25" t="str" cm="1">
        <f t="array" ref="H32" xml:space="preserve"> IF($E32="", "",  INDEX(十五音韻母對照表, $E32, H$1))</f>
        <v>ueh</v>
      </c>
      <c r="J32" s="413">
        <v>25</v>
      </c>
      <c r="K32" s="350" t="str">
        <f>'十五音-韻母'!C29</f>
        <v>檜</v>
      </c>
      <c r="L32" s="410" t="str">
        <f>'十五音-韻母'!D29</f>
        <v>ue</v>
      </c>
      <c r="M32" s="425">
        <f t="shared" si="1"/>
        <v>25</v>
      </c>
      <c r="Q32" s="50"/>
    </row>
    <row r="33" spans="2:17" ht="33">
      <c r="B33" s="46">
        <v>26</v>
      </c>
      <c r="C33" s="409" t="s">
        <v>144</v>
      </c>
      <c r="D33" s="410" t="s">
        <v>145</v>
      </c>
      <c r="E33" s="420">
        <f t="shared" si="0"/>
        <v>26</v>
      </c>
      <c r="F33" s="411" t="str" cm="1">
        <f t="array" ref="F33" xml:space="preserve"> IF($E33="", "",  INDEX(十五音韻母對照表, $E33, F$1))</f>
        <v>監</v>
      </c>
      <c r="G33" s="25" t="str" cm="1">
        <f t="array" ref="G33" xml:space="preserve"> IF($E33="", "", INDEX(十五音韻母對照表, $E33, G$1))</f>
        <v>ann</v>
      </c>
      <c r="H33" s="25" t="str" cm="1">
        <f t="array" ref="H33" xml:space="preserve"> IF($E33="", "",  INDEX(十五音韻母對照表, $E33, H$1))</f>
        <v>annh</v>
      </c>
      <c r="J33" s="413">
        <v>26</v>
      </c>
      <c r="K33" s="350" t="str">
        <f>'十五音-韻母'!C30</f>
        <v>監</v>
      </c>
      <c r="L33" s="410" t="str">
        <f>'十五音-韻母'!D30</f>
        <v>ann</v>
      </c>
      <c r="M33" s="425">
        <f t="shared" si="1"/>
        <v>26</v>
      </c>
      <c r="Q33" s="50"/>
    </row>
    <row r="34" spans="2:17" ht="33">
      <c r="B34" s="46">
        <v>27</v>
      </c>
      <c r="C34" s="409" t="s">
        <v>244</v>
      </c>
      <c r="D34" s="410" t="s">
        <v>245</v>
      </c>
      <c r="E34" s="420">
        <f t="shared" si="0"/>
        <v>27</v>
      </c>
      <c r="F34" s="411" t="str" cm="1">
        <f t="array" ref="F34" xml:space="preserve"> IF($E34="", "",  INDEX(十五音韻母對照表, $E34, F$1))</f>
        <v>艍</v>
      </c>
      <c r="G34" s="25" t="str" cm="1">
        <f t="array" ref="G34" xml:space="preserve"> IF($E34="", "", INDEX(十五音韻母對照表, $E34, G$1))</f>
        <v>u</v>
      </c>
      <c r="H34" s="25" t="str" cm="1">
        <f t="array" ref="H34" xml:space="preserve"> IF($E34="", "",  INDEX(十五音韻母對照表, $E34, H$1))</f>
        <v>uh</v>
      </c>
      <c r="J34" s="413">
        <v>27</v>
      </c>
      <c r="K34" s="350" t="str">
        <f>'十五音-韻母'!C31</f>
        <v>艍</v>
      </c>
      <c r="L34" s="410" t="str">
        <f>'十五音-韻母'!D31</f>
        <v>u</v>
      </c>
      <c r="M34" s="425">
        <f t="shared" si="1"/>
        <v>27</v>
      </c>
      <c r="Q34" s="50"/>
    </row>
    <row r="35" spans="2:17" ht="33">
      <c r="B35" s="46">
        <v>28</v>
      </c>
      <c r="C35" s="409" t="s">
        <v>138</v>
      </c>
      <c r="D35" s="410" t="s">
        <v>139</v>
      </c>
      <c r="E35" s="420">
        <f t="shared" si="0"/>
        <v>28</v>
      </c>
      <c r="F35" s="411" t="str" cm="1">
        <f t="array" ref="F35" xml:space="preserve"> IF($E35="", "",  INDEX(十五音韻母對照表, $E35, F$1))</f>
        <v>膠</v>
      </c>
      <c r="G35" s="25" t="str" cm="1">
        <f t="array" ref="G35" xml:space="preserve"> IF($E35="", "", INDEX(十五音韻母對照表, $E35, G$1))</f>
        <v>a</v>
      </c>
      <c r="H35" s="25" t="str" cm="1">
        <f t="array" ref="H35" xml:space="preserve"> IF($E35="", "",  INDEX(十五音韻母對照表, $E35, H$1))</f>
        <v>ah</v>
      </c>
      <c r="J35" s="413">
        <v>28</v>
      </c>
      <c r="K35" s="350" t="str">
        <f>'十五音-韻母'!C32</f>
        <v>膠</v>
      </c>
      <c r="L35" s="410" t="str">
        <f>'十五音-韻母'!D32</f>
        <v>a</v>
      </c>
      <c r="M35" s="425">
        <f t="shared" si="1"/>
        <v>28</v>
      </c>
      <c r="Q35" s="50"/>
    </row>
    <row r="36" spans="2:17" ht="33">
      <c r="B36" s="46">
        <v>29</v>
      </c>
      <c r="C36" s="409" t="s">
        <v>199</v>
      </c>
      <c r="D36" s="410" t="s">
        <v>200</v>
      </c>
      <c r="E36" s="420">
        <f t="shared" si="0"/>
        <v>29</v>
      </c>
      <c r="F36" s="411" t="str" cm="1">
        <f t="array" ref="F36" xml:space="preserve"> IF($E36="", "",  INDEX(十五音韻母對照表, $E36, F$1))</f>
        <v>居</v>
      </c>
      <c r="G36" s="25" t="str" cm="1">
        <f t="array" ref="G36" xml:space="preserve"> IF($E36="", "", INDEX(十五音韻母對照表, $E36, G$1))</f>
        <v>i</v>
      </c>
      <c r="H36" s="25" t="str" cm="1">
        <f t="array" ref="H36" xml:space="preserve"> IF($E36="", "",  INDEX(十五音韻母對照表, $E36, H$1))</f>
        <v>ih</v>
      </c>
      <c r="J36" s="413">
        <v>29</v>
      </c>
      <c r="K36" s="350" t="str">
        <f>'十五音-韻母'!C33</f>
        <v>居</v>
      </c>
      <c r="L36" s="410" t="str">
        <f>'十五音-韻母'!D33</f>
        <v>i</v>
      </c>
      <c r="M36" s="425">
        <f t="shared" si="1"/>
        <v>29</v>
      </c>
      <c r="Q36" s="50"/>
    </row>
    <row r="37" spans="2:17" ht="33">
      <c r="B37" s="46">
        <v>30</v>
      </c>
      <c r="C37" s="409" t="s">
        <v>241</v>
      </c>
      <c r="D37" s="410" t="s">
        <v>242</v>
      </c>
      <c r="E37" s="420">
        <f t="shared" si="0"/>
        <v>30</v>
      </c>
      <c r="F37" s="411" t="str" cm="1">
        <f t="array" ref="F37" xml:space="preserve"> IF($E37="", "",  INDEX(十五音韻母對照表, $E37, F$1))</f>
        <v>丩</v>
      </c>
      <c r="G37" s="25" t="str" cm="1">
        <f t="array" ref="G37" xml:space="preserve"> IF($E37="", "", INDEX(十五音韻母對照表, $E37, G$1))</f>
        <v>iu</v>
      </c>
      <c r="H37" s="25" t="str" cm="1">
        <f t="array" ref="H37" xml:space="preserve"> IF($E37="", "",  INDEX(十五音韻母對照表, $E37, H$1))</f>
        <v>iuh</v>
      </c>
      <c r="J37" s="413">
        <v>30</v>
      </c>
      <c r="K37" s="350" t="str">
        <f>'十五音-韻母'!C34</f>
        <v>丩</v>
      </c>
      <c r="L37" s="410" t="str">
        <f>'十五音-韻母'!D34</f>
        <v>iu</v>
      </c>
      <c r="M37" s="425">
        <f t="shared" si="1"/>
        <v>30</v>
      </c>
      <c r="Q37" s="50"/>
    </row>
    <row r="38" spans="2:17" ht="33">
      <c r="B38" s="46">
        <v>31</v>
      </c>
      <c r="C38" s="409" t="s">
        <v>193</v>
      </c>
      <c r="D38" s="410" t="s">
        <v>194</v>
      </c>
      <c r="E38" s="420">
        <f t="shared" si="0"/>
        <v>31</v>
      </c>
      <c r="F38" s="411" t="str" cm="1">
        <f t="array" ref="F38" xml:space="preserve"> IF($E38="", "",  INDEX(十五音韻母對照表, $E38, F$1))</f>
        <v>更</v>
      </c>
      <c r="G38" s="25" t="str" cm="1">
        <f t="array" ref="G38" xml:space="preserve"> IF($E38="", "", INDEX(十五音韻母對照表, $E38, G$1))</f>
        <v>enn</v>
      </c>
      <c r="H38" s="25" t="str" cm="1">
        <f t="array" ref="H38" xml:space="preserve"> IF($E38="", "",  INDEX(十五音韻母對照表, $E38, H$1))</f>
        <v>ennh</v>
      </c>
      <c r="J38" s="413">
        <v>31</v>
      </c>
      <c r="K38" s="350" t="str">
        <f>'十五音-韻母'!C35</f>
        <v>更</v>
      </c>
      <c r="L38" s="410" t="str">
        <f>'十五音-韻母'!D35</f>
        <v>enn</v>
      </c>
      <c r="M38" s="425">
        <f t="shared" si="1"/>
        <v>31</v>
      </c>
      <c r="Q38" s="50"/>
    </row>
    <row r="39" spans="2:17" ht="33">
      <c r="B39" s="46">
        <v>32</v>
      </c>
      <c r="C39" s="406" t="s">
        <v>253</v>
      </c>
      <c r="D39" s="407" t="s">
        <v>48</v>
      </c>
      <c r="E39" s="420">
        <f t="shared" si="0"/>
        <v>38</v>
      </c>
      <c r="F39" s="411" t="str" cm="1">
        <f t="array" ref="F39" xml:space="preserve"> IF($E39="", "",  INDEX(十五音韻母對照表, $E39, F$1))</f>
        <v>鋼</v>
      </c>
      <c r="G39" s="25" t="str" cm="1">
        <f t="array" ref="G39" xml:space="preserve"> IF($E39="", "", INDEX(十五音韻母對照表, $E39, G$1))</f>
        <v>ng</v>
      </c>
      <c r="H39" s="25" t="str" cm="1">
        <f t="array" ref="H39" xml:space="preserve"> IF($E39="", "",  INDEX(十五音韻母對照表, $E39, H$1))</f>
        <v>ngh</v>
      </c>
      <c r="J39" s="413">
        <v>32</v>
      </c>
      <c r="K39" s="350" t="str">
        <f>'十五音-韻母'!C36</f>
        <v>褌</v>
      </c>
      <c r="L39" s="410" t="str">
        <f>'十五音-韻母'!D36</f>
        <v>uinn</v>
      </c>
      <c r="M39" s="425">
        <f t="shared" si="1"/>
        <v>45</v>
      </c>
      <c r="Q39" s="50"/>
    </row>
    <row r="40" spans="2:17" ht="33">
      <c r="B40" s="46">
        <v>33</v>
      </c>
      <c r="C40" s="406" t="s">
        <v>235</v>
      </c>
      <c r="D40" s="407" t="s">
        <v>236</v>
      </c>
      <c r="E40" s="420">
        <f t="shared" si="0"/>
        <v>33</v>
      </c>
      <c r="F40" s="411" t="str" cm="1">
        <f t="array" ref="F40" xml:space="preserve"> IF($E40="", "",  INDEX(十五音韻母對照表, $E40, F$1))</f>
        <v>茄</v>
      </c>
      <c r="G40" s="25" t="str" cm="1">
        <f t="array" ref="G40" xml:space="preserve"> IF($E40="", "", INDEX(十五音韻母對照表, $E40, G$1))</f>
        <v>io</v>
      </c>
      <c r="H40" s="25" t="str" cm="1">
        <f t="array" ref="H40" xml:space="preserve"> IF($E40="", "",  INDEX(十五音韻母對照表, $E40, H$1))</f>
        <v>ioh</v>
      </c>
      <c r="J40" s="413">
        <v>33</v>
      </c>
      <c r="K40" s="350" t="str">
        <f>'十五音-韻母'!C37</f>
        <v>茄</v>
      </c>
      <c r="L40" s="410" t="str">
        <f>'十五音-韻母'!D37</f>
        <v>io</v>
      </c>
      <c r="M40" s="425">
        <f t="shared" si="1"/>
        <v>33</v>
      </c>
      <c r="Q40" s="50"/>
    </row>
    <row r="41" spans="2:17" ht="33">
      <c r="B41" s="46">
        <v>34</v>
      </c>
      <c r="C41" s="406" t="s">
        <v>247</v>
      </c>
      <c r="D41" s="407" t="s">
        <v>248</v>
      </c>
      <c r="E41" s="420">
        <f t="shared" si="0"/>
        <v>50</v>
      </c>
      <c r="F41" s="411" t="str" cm="1">
        <f t="array" ref="F41" xml:space="preserve"> IF($E41="", "",  INDEX(十五音韻母對照表, $E41, F$1))</f>
        <v>牛</v>
      </c>
      <c r="G41" s="25" t="str" cm="1">
        <f t="array" ref="G41" xml:space="preserve"> IF($E41="", "", INDEX(十五音韻母對照表, $E41, G$1))</f>
        <v>iunn</v>
      </c>
      <c r="H41" s="25" t="str" cm="1">
        <f t="array" ref="H41" xml:space="preserve"> IF($E41="", "",  INDEX(十五音韻母對照表, $E41, H$1))</f>
        <v>iunnh</v>
      </c>
      <c r="J41" s="413">
        <v>34</v>
      </c>
      <c r="K41" s="350" t="str">
        <f>'十五音-韻母'!C38</f>
        <v>梔</v>
      </c>
      <c r="L41" s="410" t="str">
        <f>'十五音-韻母'!D38</f>
        <v>inn</v>
      </c>
      <c r="M41" s="425">
        <f t="shared" si="1"/>
        <v>13</v>
      </c>
      <c r="Q41" s="50"/>
    </row>
    <row r="42" spans="2:17" ht="33">
      <c r="B42" s="46">
        <v>35</v>
      </c>
      <c r="C42" s="409" t="s">
        <v>264</v>
      </c>
      <c r="D42" s="410" t="s">
        <v>265</v>
      </c>
      <c r="E42" s="420">
        <f t="shared" si="0"/>
        <v>37</v>
      </c>
      <c r="F42" s="411" t="str" cm="1">
        <f t="array" ref="F42" xml:space="preserve"> IF($E42="", "",  INDEX(十五音韻母對照表, $E42, F$1))</f>
        <v>官</v>
      </c>
      <c r="G42" s="25" t="str" cm="1">
        <f t="array" ref="G42" xml:space="preserve"> IF($E42="", "", INDEX(十五音韻母對照表, $E42, G$1))</f>
        <v>uann</v>
      </c>
      <c r="H42" s="25" t="str" cm="1">
        <f t="array" ref="H42" xml:space="preserve"> IF($E42="", "",  INDEX(十五音韻母對照表, $E42, H$1))</f>
        <v>uannh</v>
      </c>
      <c r="J42" s="413">
        <v>35</v>
      </c>
      <c r="K42" s="350" t="str">
        <f>'十五音-韻母'!C39</f>
        <v>薑</v>
      </c>
      <c r="L42" s="410" t="str">
        <f>'十五音-韻母'!D39</f>
        <v>ionn</v>
      </c>
      <c r="M42" s="425" t="str">
        <f t="shared" si="1"/>
        <v/>
      </c>
      <c r="Q42" s="50"/>
    </row>
    <row r="43" spans="2:17" ht="33">
      <c r="B43" s="46">
        <v>36</v>
      </c>
      <c r="C43" s="409" t="s">
        <v>256</v>
      </c>
      <c r="D43" s="410" t="s">
        <v>258</v>
      </c>
      <c r="E43" s="420">
        <f t="shared" si="0"/>
        <v>49</v>
      </c>
      <c r="F43" s="411" t="str" cm="1">
        <f t="array" ref="F43" xml:space="preserve"> IF($E43="", "",  INDEX(十五音韻母對照表, $E43, F$1))</f>
        <v>扛</v>
      </c>
      <c r="G43" s="25" t="str" cm="1">
        <f t="array" ref="G43" xml:space="preserve"> IF($E43="", "", INDEX(十五音韻母對照表, $E43, G$1))</f>
        <v>onn</v>
      </c>
      <c r="H43" s="25" t="str" cm="1">
        <f t="array" ref="H43" xml:space="preserve"> IF($E43="", "",  INDEX(十五音韻母對照表, $E43, H$1))</f>
        <v>onnh</v>
      </c>
      <c r="J43" s="413">
        <v>36</v>
      </c>
      <c r="K43" s="350" t="str">
        <f>'十五音-韻母'!C40</f>
        <v>驚</v>
      </c>
      <c r="L43" s="410" t="str">
        <f>'十五音-韻母'!D40</f>
        <v>iann</v>
      </c>
      <c r="M43" s="425">
        <f t="shared" si="1"/>
        <v>44</v>
      </c>
      <c r="Q43" s="50"/>
    </row>
    <row r="44" spans="2:17" ht="33">
      <c r="B44" s="46">
        <v>37</v>
      </c>
      <c r="C44" s="409" t="s">
        <v>269</v>
      </c>
      <c r="D44" s="410" t="s">
        <v>270</v>
      </c>
      <c r="E44" s="420">
        <f t="shared" si="0"/>
        <v>43</v>
      </c>
      <c r="F44" s="411" t="str" cm="1">
        <f t="array" ref="F44" xml:space="preserve"> IF($E44="", "",  INDEX(十五音韻母對照表, $E44, F$1))</f>
        <v>光</v>
      </c>
      <c r="G44" s="25" t="str" cm="1">
        <f t="array" ref="G44" xml:space="preserve"> IF($E44="", "", INDEX(十五音韻母對照表, $E44, G$1))</f>
        <v>uang</v>
      </c>
      <c r="H44" s="25" t="str" cm="1">
        <f t="array" ref="H44" xml:space="preserve"> IF($E44="", "",  INDEX(十五音韻母對照表, $E44, H$1))</f>
        <v>uak</v>
      </c>
      <c r="J44" s="413">
        <v>37</v>
      </c>
      <c r="K44" s="350" t="str">
        <f>'十五音-韻母'!C41</f>
        <v>官</v>
      </c>
      <c r="L44" s="410" t="str">
        <f>'十五音-韻母'!D41</f>
        <v>uann</v>
      </c>
      <c r="M44" s="425">
        <f t="shared" si="1"/>
        <v>35</v>
      </c>
      <c r="Q44" s="50"/>
    </row>
    <row r="45" spans="2:17" ht="33">
      <c r="B45" s="46">
        <v>38</v>
      </c>
      <c r="C45" s="409" t="s">
        <v>251</v>
      </c>
      <c r="D45" s="410" t="s">
        <v>27</v>
      </c>
      <c r="E45" s="420">
        <f t="shared" si="0"/>
        <v>42</v>
      </c>
      <c r="F45" s="411" t="str" cm="1">
        <f t="array" ref="F45" xml:space="preserve"> IF($E45="", "",  INDEX(十五音韻母對照表, $E45, F$1))</f>
        <v>姆</v>
      </c>
      <c r="G45" s="25" t="str" cm="1">
        <f t="array" ref="G45" xml:space="preserve"> IF($E45="", "", INDEX(十五音韻母對照表, $E45, G$1))</f>
        <v>m</v>
      </c>
      <c r="H45" s="25" t="str" cm="1">
        <f t="array" ref="H45" xml:space="preserve"> IF($E45="", "",  INDEX(十五音韻母對照表, $E45, H$1))</f>
        <v>mh</v>
      </c>
      <c r="J45" s="413">
        <v>38</v>
      </c>
      <c r="K45" s="350" t="str">
        <f>'十五音-韻母'!C42</f>
        <v>鋼</v>
      </c>
      <c r="L45" s="410" t="str">
        <f>'十五音-韻母'!D42</f>
        <v>ng</v>
      </c>
      <c r="M45" s="425">
        <f t="shared" si="1"/>
        <v>32</v>
      </c>
    </row>
    <row r="46" spans="2:17" ht="33">
      <c r="B46" s="46">
        <v>39</v>
      </c>
      <c r="C46" s="406" t="s">
        <v>272</v>
      </c>
      <c r="D46" s="407" t="s">
        <v>273</v>
      </c>
      <c r="E46" s="420">
        <f t="shared" si="0"/>
        <v>44</v>
      </c>
      <c r="F46" s="411" t="str" cm="1">
        <f t="array" ref="F46" xml:space="preserve"> IF($E46="", "",  INDEX(十五音韻母對照表, $E46, F$1))</f>
        <v>閂</v>
      </c>
      <c r="G46" s="25" t="str" cm="1">
        <f t="array" ref="G46" xml:space="preserve"> IF($E46="", "", INDEX(十五音韻母對照表, $E46, G$1))</f>
        <v>uainn</v>
      </c>
      <c r="H46" s="25" t="str" cm="1">
        <f t="array" ref="H46" xml:space="preserve"> IF($E46="", "",  INDEX(十五音韻母對照表, $E46, H$1))</f>
        <v>uainnh</v>
      </c>
      <c r="J46" s="413">
        <v>39</v>
      </c>
      <c r="K46" s="350" t="str">
        <f>'十五音-韻母'!C43</f>
        <v>伽</v>
      </c>
      <c r="L46" s="410" t="str">
        <f>'十五音-韻母'!D43</f>
        <v>e</v>
      </c>
      <c r="M46" s="425">
        <f t="shared" si="1"/>
        <v>5</v>
      </c>
    </row>
    <row r="47" spans="2:17" ht="33">
      <c r="B47" s="46">
        <v>40</v>
      </c>
      <c r="C47" s="409" t="s">
        <v>156</v>
      </c>
      <c r="D47" s="410" t="s">
        <v>157</v>
      </c>
      <c r="E47" s="420">
        <f t="shared" si="0"/>
        <v>40</v>
      </c>
      <c r="F47" s="411" t="str" cm="1">
        <f t="array" ref="F47" xml:space="preserve"> IF($E47="", "",  INDEX(十五音韻母對照表, $E47, F$1))</f>
        <v>閒</v>
      </c>
      <c r="G47" s="25" t="str" cm="1">
        <f t="array" ref="G47" xml:space="preserve"> IF($E47="", "", INDEX(十五音韻母對照表, $E47, G$1))</f>
        <v>ainn</v>
      </c>
      <c r="H47" s="25" t="str" cm="1">
        <f t="array" ref="H47" xml:space="preserve"> IF($E47="", "",  INDEX(十五音韻母對照表, $E47, H$1))</f>
        <v>ainnh</v>
      </c>
      <c r="J47" s="413">
        <v>40</v>
      </c>
      <c r="K47" s="350" t="str">
        <f>'十五音-韻母'!C44</f>
        <v>閒</v>
      </c>
      <c r="L47" s="410" t="str">
        <f>'十五音-韻母'!D44</f>
        <v>ainn</v>
      </c>
      <c r="M47" s="425">
        <f t="shared" si="1"/>
        <v>40</v>
      </c>
    </row>
    <row r="48" spans="2:17" ht="33">
      <c r="B48" s="46">
        <v>41</v>
      </c>
      <c r="C48" s="409" t="s">
        <v>232</v>
      </c>
      <c r="D48" s="410" t="s">
        <v>233</v>
      </c>
      <c r="E48" s="420">
        <f t="shared" si="0"/>
        <v>46</v>
      </c>
      <c r="F48" s="411" t="str" cm="1">
        <f t="array" ref="F48" xml:space="preserve"> IF($E48="", "",  INDEX(十五音韻母對照表, $E48, F$1))</f>
        <v>嘄</v>
      </c>
      <c r="G48" s="25" t="str" cm="1">
        <f t="array" ref="G48" xml:space="preserve"> IF($E48="", "", INDEX(十五音韻母對照表, $E48, G$1))</f>
        <v>iaunn</v>
      </c>
      <c r="H48" s="25" t="str" cm="1">
        <f t="array" ref="H48" xml:space="preserve"> IF($E48="", "",  INDEX(十五音韻母對照表, $E48, H$1))</f>
        <v>iaunnh</v>
      </c>
      <c r="J48" s="413">
        <v>41</v>
      </c>
      <c r="K48" s="350" t="str">
        <f>'十五音-韻母'!C45</f>
        <v>姑</v>
      </c>
      <c r="L48" s="410" t="str">
        <f>'十五音-韻母'!D45</f>
        <v>oonn</v>
      </c>
      <c r="M48" s="425" t="str">
        <f t="shared" si="1"/>
        <v/>
      </c>
    </row>
    <row r="49" spans="2:13" ht="33">
      <c r="B49" s="46">
        <v>42</v>
      </c>
      <c r="C49" s="409" t="s">
        <v>261</v>
      </c>
      <c r="D49" s="410" t="s">
        <v>262</v>
      </c>
      <c r="E49" s="420">
        <f t="shared" si="0"/>
        <v>47</v>
      </c>
      <c r="F49" s="411" t="str" cm="1">
        <f t="array" ref="F49" xml:space="preserve"> IF($E49="", "",  INDEX(十五音韻母對照表, $E49, F$1))</f>
        <v>箴</v>
      </c>
      <c r="G49" s="25" t="str" cm="1">
        <f t="array" ref="G49" xml:space="preserve"> IF($E49="", "", INDEX(十五音韻母對照表, $E49, G$1))</f>
        <v>om</v>
      </c>
      <c r="H49" s="25" t="str" cm="1">
        <f t="array" ref="H49" xml:space="preserve"> IF($E49="", "",  INDEX(十五音韻母對照表, $E49, H$1))</f>
        <v>op</v>
      </c>
      <c r="J49" s="413">
        <v>42</v>
      </c>
      <c r="K49" s="350" t="str">
        <f>'十五音-韻母'!C46</f>
        <v>姆</v>
      </c>
      <c r="L49" s="410" t="str">
        <f>'十五音-韻母'!D46</f>
        <v>m</v>
      </c>
      <c r="M49" s="425">
        <f t="shared" si="1"/>
        <v>38</v>
      </c>
    </row>
    <row r="50" spans="2:13" ht="33">
      <c r="B50" s="46">
        <v>43</v>
      </c>
      <c r="C50" s="409" t="s">
        <v>183</v>
      </c>
      <c r="D50" s="410" t="s">
        <v>184</v>
      </c>
      <c r="E50" s="420">
        <f t="shared" si="0"/>
        <v>48</v>
      </c>
      <c r="F50" s="411" t="str" cm="1">
        <f t="array" ref="F50" xml:space="preserve"> IF($E50="", "",  INDEX(十五音韻母對照表, $E50, F$1))</f>
        <v>爻</v>
      </c>
      <c r="G50" s="25" t="str" cm="1">
        <f t="array" ref="G50" xml:space="preserve"> IF($E50="", "", INDEX(十五音韻母對照表, $E50, G$1))</f>
        <v>aunn</v>
      </c>
      <c r="H50" s="25" t="str" cm="1">
        <f t="array" ref="H50" xml:space="preserve"> IF($E50="", "",  INDEX(十五音韻母對照表, $E50, H$1))</f>
        <v>aunnh</v>
      </c>
      <c r="J50" s="413">
        <v>43</v>
      </c>
      <c r="K50" s="350" t="str">
        <f>'十五音-韻母'!C47</f>
        <v>光</v>
      </c>
      <c r="L50" s="410" t="str">
        <f>'十五音-韻母'!D47</f>
        <v>uang</v>
      </c>
      <c r="M50" s="425">
        <f t="shared" si="1"/>
        <v>37</v>
      </c>
    </row>
    <row r="51" spans="2:13" ht="33">
      <c r="B51" s="46">
        <v>44</v>
      </c>
      <c r="C51" s="409" t="s">
        <v>217</v>
      </c>
      <c r="D51" s="410" t="s">
        <v>218</v>
      </c>
      <c r="E51" s="420">
        <f t="shared" si="0"/>
        <v>36</v>
      </c>
      <c r="F51" s="411" t="str" cm="1">
        <f t="array" ref="F51" xml:space="preserve"> IF($E51="", "",  INDEX(十五音韻母對照表, $E51, F$1))</f>
        <v>驚</v>
      </c>
      <c r="G51" s="25" t="str" cm="1">
        <f t="array" ref="G51" xml:space="preserve"> IF($E51="", "", INDEX(十五音韻母對照表, $E51, G$1))</f>
        <v>iann</v>
      </c>
      <c r="H51" s="25" t="str" cm="1">
        <f t="array" ref="H51" xml:space="preserve"> IF($E51="", "",  INDEX(十五音韻母對照表, $E51, H$1))</f>
        <v>iannh</v>
      </c>
      <c r="J51" s="413">
        <v>44</v>
      </c>
      <c r="K51" s="350" t="str">
        <f>'十五音-韻母'!C48</f>
        <v>閂</v>
      </c>
      <c r="L51" s="410" t="str">
        <f>'十五音-韻母'!D48</f>
        <v>uainn</v>
      </c>
      <c r="M51" s="425">
        <f t="shared" si="1"/>
        <v>39</v>
      </c>
    </row>
    <row r="52" spans="2:13" ht="33">
      <c r="B52" s="46">
        <v>45</v>
      </c>
      <c r="C52" s="409" t="s">
        <v>277</v>
      </c>
      <c r="D52" s="410" t="s">
        <v>278</v>
      </c>
      <c r="E52" s="420">
        <f t="shared" si="0"/>
        <v>32</v>
      </c>
      <c r="F52" s="411" t="str" cm="1">
        <f t="array" ref="F52" xml:space="preserve"> IF($E52="", "",  INDEX(十五音韻母對照表, $E52, F$1))</f>
        <v>褌</v>
      </c>
      <c r="G52" s="25" t="str" cm="1">
        <f t="array" ref="G52" xml:space="preserve"> IF($E52="", "", INDEX(十五音韻母對照表, $E52, G$1))</f>
        <v>uinn</v>
      </c>
      <c r="H52" s="25" t="str" cm="1">
        <f t="array" ref="H52" xml:space="preserve"> IF($E52="", "",  INDEX(十五音韻母對照表, $E52, H$1))</f>
        <v>uinnh</v>
      </c>
      <c r="J52" s="413">
        <v>45</v>
      </c>
      <c r="K52" s="350" t="str">
        <f>'十五音-韻母'!C49</f>
        <v>糜</v>
      </c>
      <c r="L52" s="410" t="str">
        <f>'十五音-韻母'!D49</f>
        <v>uenn</v>
      </c>
      <c r="M52" s="425" t="str">
        <f t="shared" si="1"/>
        <v/>
      </c>
    </row>
    <row r="53" spans="2:13" ht="30">
      <c r="J53" s="413">
        <v>46</v>
      </c>
      <c r="K53" s="350" t="str">
        <f>'十五音-韻母'!C50</f>
        <v>嘄</v>
      </c>
      <c r="L53" s="410" t="str">
        <f>'十五音-韻母'!D50</f>
        <v>iaunn</v>
      </c>
      <c r="M53" s="425">
        <f t="shared" si="1"/>
        <v>41</v>
      </c>
    </row>
    <row r="54" spans="2:13" ht="30">
      <c r="J54" s="413">
        <v>47</v>
      </c>
      <c r="K54" s="350" t="str">
        <f>'十五音-韻母'!C51</f>
        <v>箴</v>
      </c>
      <c r="L54" s="410" t="str">
        <f>'十五音-韻母'!D51</f>
        <v>om</v>
      </c>
      <c r="M54" s="425">
        <f t="shared" si="1"/>
        <v>42</v>
      </c>
    </row>
    <row r="55" spans="2:13" ht="30">
      <c r="J55" s="413">
        <v>48</v>
      </c>
      <c r="K55" s="350" t="str">
        <f>'十五音-韻母'!C52</f>
        <v>爻</v>
      </c>
      <c r="L55" s="410" t="str">
        <f>'十五音-韻母'!D52</f>
        <v>aunn</v>
      </c>
      <c r="M55" s="425">
        <f t="shared" si="1"/>
        <v>43</v>
      </c>
    </row>
    <row r="56" spans="2:13" ht="30">
      <c r="J56" s="413">
        <v>49</v>
      </c>
      <c r="K56" s="350" t="str">
        <f>'十五音-韻母'!C53</f>
        <v>扛</v>
      </c>
      <c r="L56" s="410" t="str">
        <f>'十五音-韻母'!D53</f>
        <v>onn</v>
      </c>
      <c r="M56" s="425">
        <f t="shared" si="1"/>
        <v>36</v>
      </c>
    </row>
    <row r="57" spans="2:13" ht="30">
      <c r="J57" s="413">
        <v>50</v>
      </c>
      <c r="K57" s="350" t="str">
        <f>'十五音-韻母'!C54</f>
        <v>牛</v>
      </c>
      <c r="L57" s="410" t="str">
        <f>'十五音-韻母'!D54</f>
        <v>iunn</v>
      </c>
      <c r="M57" s="425">
        <f t="shared" si="1"/>
        <v>34</v>
      </c>
    </row>
    <row r="59" spans="2:13" ht="30">
      <c r="L59" s="423" t="s">
        <v>1278</v>
      </c>
      <c r="M59" s="422">
        <f xml:space="preserve"> COUNTA(K8:K57)</f>
        <v>50</v>
      </c>
    </row>
    <row r="60" spans="2:13" ht="30">
      <c r="L60" s="424" t="s">
        <v>1279</v>
      </c>
      <c r="M60" s="422">
        <f xml:space="preserve"> COUNT(M8:M57)</f>
        <v>45</v>
      </c>
    </row>
    <row r="61" spans="2:13" ht="30">
      <c r="L61" s="424" t="s">
        <v>1280</v>
      </c>
      <c r="M61" s="422">
        <f>M59 - M60</f>
        <v>5</v>
      </c>
    </row>
  </sheetData>
  <dataConsolidate/>
  <phoneticPr fontId="1" type="noConversion"/>
  <conditionalFormatting sqref="J8:M57">
    <cfRule type="expression" dxfId="22" priority="1" stopIfTrue="1">
      <formula>$M8=""</formula>
    </cfRule>
  </conditionalFormatting>
  <conditionalFormatting sqref="L59:M59 M60:M61">
    <cfRule type="expression" dxfId="21" priority="2">
      <formula>#REF!=0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B0EC-7BCE-FD42-A6B1-DD70917C9CEA}">
  <sheetPr>
    <tabColor rgb="FF00B0F0"/>
  </sheetPr>
  <dimension ref="B1:Q61"/>
  <sheetViews>
    <sheetView workbookViewId="0">
      <pane xSplit="1" ySplit="7" topLeftCell="B20" activePane="bottomRight" state="frozen"/>
      <selection pane="topRight" activeCell="F1" sqref="F1"/>
      <selection pane="bottomLeft" activeCell="A5" sqref="A5"/>
      <selection pane="bottomRight" sqref="A1:A1048576"/>
    </sheetView>
  </sheetViews>
  <sheetFormatPr defaultColWidth="10.90625" defaultRowHeight="25.5" outlineLevelRow="1" outlineLevelCol="2"/>
  <cols>
    <col min="1" max="1" width="1.26953125" customWidth="1"/>
    <col min="2" max="2" width="6.08984375" customWidth="1" outlineLevel="1"/>
    <col min="3" max="3" width="10.90625" outlineLevel="1"/>
    <col min="4" max="4" width="10.90625" customWidth="1" outlineLevel="2"/>
    <col min="5" max="5" width="8.08984375" customWidth="1" outlineLevel="2"/>
    <col min="6" max="8" width="10.90625" outlineLevel="1"/>
    <col min="9" max="9" width="4.453125" customWidth="1"/>
    <col min="10" max="10" width="5.08984375" style="6" customWidth="1"/>
    <col min="11" max="11" width="10.6328125" style="6" customWidth="1"/>
    <col min="12" max="12" width="12.6328125" style="6" bestFit="1" customWidth="1"/>
    <col min="13" max="13" width="9.36328125" bestFit="1" customWidth="1" outlineLevel="1"/>
  </cols>
  <sheetData>
    <row r="1" spans="2:17" outlineLevel="1">
      <c r="F1">
        <v>2</v>
      </c>
      <c r="G1">
        <v>3</v>
      </c>
      <c r="H1">
        <v>4</v>
      </c>
    </row>
    <row r="2" spans="2:17" outlineLevel="1">
      <c r="O2" s="47" t="s">
        <v>1273</v>
      </c>
    </row>
    <row r="3" spans="2:17" outlineLevel="1">
      <c r="O3" s="165" t="str">
        <f>""</f>
        <v/>
      </c>
    </row>
    <row r="4" spans="2:17" outlineLevel="1"/>
    <row r="5" spans="2:17" s="50" customFormat="1" ht="38.25" outlineLevel="1">
      <c r="B5" s="419" t="s">
        <v>124</v>
      </c>
      <c r="J5" s="419" t="s">
        <v>1275</v>
      </c>
      <c r="K5" s="6"/>
      <c r="L5" s="6"/>
      <c r="O5" s="419" t="s">
        <v>1276</v>
      </c>
    </row>
    <row r="6" spans="2:17" ht="11.1" customHeight="1">
      <c r="Q6" s="50"/>
    </row>
    <row r="7" spans="2:17" s="131" customFormat="1" ht="24" customHeight="1">
      <c r="B7" s="47" t="s">
        <v>133</v>
      </c>
      <c r="C7" s="47" t="s">
        <v>128</v>
      </c>
      <c r="D7" s="47" t="s">
        <v>129</v>
      </c>
      <c r="E7" s="47" t="s">
        <v>134</v>
      </c>
      <c r="F7" s="47" t="s">
        <v>706</v>
      </c>
      <c r="G7" s="128" t="s">
        <v>130</v>
      </c>
      <c r="H7" s="128" t="s">
        <v>131</v>
      </c>
      <c r="J7" s="47" t="s">
        <v>133</v>
      </c>
      <c r="K7" s="47" t="s">
        <v>706</v>
      </c>
      <c r="L7" s="47" t="s">
        <v>1277</v>
      </c>
      <c r="M7" s="47" t="s">
        <v>1273</v>
      </c>
      <c r="O7" s="47" t="s">
        <v>706</v>
      </c>
      <c r="P7" s="47" t="s">
        <v>1277</v>
      </c>
      <c r="Q7" s="50"/>
    </row>
    <row r="8" spans="2:17" ht="33">
      <c r="B8" s="46">
        <v>1</v>
      </c>
      <c r="C8" s="404" t="s">
        <v>135</v>
      </c>
      <c r="D8" s="340" t="s">
        <v>136</v>
      </c>
      <c r="E8" s="420">
        <f t="shared" ref="E8:E52" si="0" xml:space="preserve"> IFERROR( MATCH($D8, 韻母舒聲碼, 0), "")</f>
        <v>1</v>
      </c>
      <c r="F8" s="411" t="str" cm="1">
        <f t="array" ref="F8" xml:space="preserve"> IF($E8="", "",  INDEX(十五音韻母對照表, $E8, F$1))</f>
        <v>君</v>
      </c>
      <c r="G8" s="25" t="str" cm="1">
        <f t="array" ref="G8" xml:space="preserve"> IF($E8="", "", INDEX(十五音韻母對照表, $E8, G$1))</f>
        <v>un</v>
      </c>
      <c r="H8" s="25" t="str" cm="1">
        <f t="array" ref="H8" xml:space="preserve"> IF($E8="", "",  INDEX(十五音韻母對照表, $E8, H$1))</f>
        <v>ut</v>
      </c>
      <c r="J8" s="413">
        <v>1</v>
      </c>
      <c r="K8" s="350" t="str">
        <f>'十五音-韻母'!C5</f>
        <v>君</v>
      </c>
      <c r="L8" s="410" t="str">
        <f>'十五音-韻母'!D5</f>
        <v>un</v>
      </c>
      <c r="M8" s="425">
        <f xml:space="preserve"> IFERROR( MATCH($L8, $D$8:$D$52, 0), "")</f>
        <v>1</v>
      </c>
      <c r="O8" s="350" t="s">
        <v>159</v>
      </c>
      <c r="P8" s="410" t="s">
        <v>202</v>
      </c>
      <c r="Q8" s="50"/>
    </row>
    <row r="9" spans="2:17" ht="33">
      <c r="B9" s="46">
        <v>2</v>
      </c>
      <c r="C9" s="404" t="s">
        <v>141</v>
      </c>
      <c r="D9" s="340" t="s">
        <v>142</v>
      </c>
      <c r="E9" s="420">
        <f t="shared" si="0"/>
        <v>2</v>
      </c>
      <c r="F9" s="411" t="str" cm="1">
        <f t="array" ref="F9" xml:space="preserve"> IF($E9="", "",  INDEX(十五音韻母對照表, $E9, F$1))</f>
        <v>堅</v>
      </c>
      <c r="G9" s="25" t="str" cm="1">
        <f t="array" ref="G9" xml:space="preserve"> IF($E9="", "", INDEX(十五音韻母對照表, $E9, G$1))</f>
        <v>ian</v>
      </c>
      <c r="H9" s="25" t="str" cm="1">
        <f t="array" ref="H9" xml:space="preserve"> IF($E9="", "",  INDEX(十五音韻母對照表, $E9, H$1))</f>
        <v>iat</v>
      </c>
      <c r="J9" s="413">
        <v>2</v>
      </c>
      <c r="K9" s="350" t="str">
        <f>'十五音-韻母'!C6</f>
        <v>堅</v>
      </c>
      <c r="L9" s="410" t="str">
        <f>'十五音-韻母'!D6</f>
        <v>ian</v>
      </c>
      <c r="M9" s="425">
        <f t="shared" ref="M9:M57" si="1" xml:space="preserve"> IFERROR( MATCH($L9, $D$8:$D$52, 0), "")</f>
        <v>2</v>
      </c>
      <c r="O9" s="350" t="s">
        <v>206</v>
      </c>
      <c r="P9" s="410" t="s">
        <v>207</v>
      </c>
      <c r="Q9" s="50"/>
    </row>
    <row r="10" spans="2:17" ht="33">
      <c r="B10" s="46">
        <v>3</v>
      </c>
      <c r="C10" s="404" t="s">
        <v>147</v>
      </c>
      <c r="D10" s="340" t="s">
        <v>148</v>
      </c>
      <c r="E10" s="420">
        <f t="shared" si="0"/>
        <v>3</v>
      </c>
      <c r="F10" s="411" t="str" cm="1">
        <f t="array" ref="F10" xml:space="preserve"> IF($E10="", "",  INDEX(十五音韻母對照表, $E10, F$1))</f>
        <v>金</v>
      </c>
      <c r="G10" s="25" t="str" cm="1">
        <f t="array" ref="G10" xml:space="preserve"> IF($E10="", "", INDEX(十五音韻母對照表, $E10, G$1))</f>
        <v>im</v>
      </c>
      <c r="H10" s="25" t="str" cm="1">
        <f t="array" ref="H10" xml:space="preserve"> IF($E10="", "",  INDEX(十五音韻母對照表, $E10, H$1))</f>
        <v>ip</v>
      </c>
      <c r="J10" s="413">
        <v>3</v>
      </c>
      <c r="K10" s="350" t="str">
        <f>'十五音-韻母'!C7</f>
        <v>金</v>
      </c>
      <c r="L10" s="410" t="str">
        <f>'十五音-韻母'!D7</f>
        <v>im</v>
      </c>
      <c r="M10" s="425">
        <f t="shared" si="1"/>
        <v>3</v>
      </c>
      <c r="O10" s="350" t="s">
        <v>247</v>
      </c>
      <c r="P10" s="410" t="s">
        <v>250</v>
      </c>
      <c r="Q10" s="50"/>
    </row>
    <row r="11" spans="2:17" ht="33">
      <c r="B11" s="46">
        <v>4</v>
      </c>
      <c r="C11" s="408" t="s">
        <v>153</v>
      </c>
      <c r="D11" s="405" t="s">
        <v>154</v>
      </c>
      <c r="E11" s="420">
        <f t="shared" si="0"/>
        <v>4</v>
      </c>
      <c r="F11" s="411" t="str" cm="1">
        <f t="array" ref="F11" xml:space="preserve"> IF($E11="", "",  INDEX(十五音韻母對照表, $E11, F$1))</f>
        <v>規</v>
      </c>
      <c r="G11" s="25" t="str" cm="1">
        <f t="array" ref="G11" xml:space="preserve"> IF($E11="", "", INDEX(十五音韻母對照表, $E11, G$1))</f>
        <v>ui</v>
      </c>
      <c r="H11" s="25" t="str" cm="1">
        <f t="array" ref="H11" xml:space="preserve"> IF($E11="", "",  INDEX(十五音韻母對照表, $E11, H$1))</f>
        <v>uih</v>
      </c>
      <c r="J11" s="413">
        <v>4</v>
      </c>
      <c r="K11" s="350" t="str">
        <f>'十五音-韻母'!C8</f>
        <v>規</v>
      </c>
      <c r="L11" s="410" t="str">
        <f>'十五音-韻母'!D8</f>
        <v>ui</v>
      </c>
      <c r="M11" s="425">
        <f t="shared" si="1"/>
        <v>4</v>
      </c>
      <c r="O11" s="350" t="s">
        <v>272</v>
      </c>
      <c r="P11" s="410" t="s">
        <v>280</v>
      </c>
      <c r="Q11" s="50"/>
    </row>
    <row r="12" spans="2:17" ht="33">
      <c r="B12" s="46">
        <v>5</v>
      </c>
      <c r="C12" s="409" t="s">
        <v>159</v>
      </c>
      <c r="D12" s="405" t="s">
        <v>160</v>
      </c>
      <c r="E12" s="420">
        <f t="shared" si="0"/>
        <v>39</v>
      </c>
      <c r="F12" s="411" t="str" cm="1">
        <f t="array" ref="F12" xml:space="preserve"> IF($E12="", "",  INDEX(十五音韻母對照表, $E12, F$1))</f>
        <v>伽</v>
      </c>
      <c r="G12" s="25" t="str" cm="1">
        <f t="array" ref="G12" xml:space="preserve"> IF($E12="", "", INDEX(十五音韻母對照表, $E12, G$1))</f>
        <v>e</v>
      </c>
      <c r="H12" s="25" t="str" cm="1">
        <f t="array" ref="H12" xml:space="preserve"> IF($E12="", "",  INDEX(十五音韻母對照表, $E12, H$1))</f>
        <v>eh</v>
      </c>
      <c r="J12" s="413">
        <v>5</v>
      </c>
      <c r="K12" s="350" t="str">
        <f>'十五音-韻母'!C9</f>
        <v>嘉</v>
      </c>
      <c r="L12" s="410" t="str">
        <f>'十五音-韻母'!D9</f>
        <v>ee</v>
      </c>
      <c r="M12" s="425" t="str">
        <f t="shared" si="1"/>
        <v/>
      </c>
      <c r="O12" s="350" t="s">
        <v>267</v>
      </c>
      <c r="P12" s="410" t="s">
        <v>268</v>
      </c>
      <c r="Q12" s="50"/>
    </row>
    <row r="13" spans="2:17" ht="33">
      <c r="B13" s="46">
        <v>6</v>
      </c>
      <c r="C13" s="404" t="s">
        <v>165</v>
      </c>
      <c r="D13" s="340" t="s">
        <v>166</v>
      </c>
      <c r="E13" s="420">
        <f t="shared" si="0"/>
        <v>6</v>
      </c>
      <c r="F13" s="411" t="str" cm="1">
        <f t="array" ref="F13" xml:space="preserve"> IF($E13="", "",  INDEX(十五音韻母對照表, $E13, F$1))</f>
        <v>干</v>
      </c>
      <c r="G13" s="25" t="str" cm="1">
        <f t="array" ref="G13" xml:space="preserve"> IF($E13="", "", INDEX(十五音韻母對照表, $E13, G$1))</f>
        <v>an</v>
      </c>
      <c r="H13" s="25" t="str" cm="1">
        <f t="array" ref="H13" xml:space="preserve"> IF($E13="", "",  INDEX(十五音韻母對照表, $E13, H$1))</f>
        <v>at</v>
      </c>
      <c r="J13" s="413">
        <v>6</v>
      </c>
      <c r="K13" s="350" t="str">
        <f>'十五音-韻母'!C10</f>
        <v>干</v>
      </c>
      <c r="L13" s="410" t="str">
        <f>'十五音-韻母'!D10</f>
        <v>an</v>
      </c>
      <c r="M13" s="425">
        <f t="shared" si="1"/>
        <v>6</v>
      </c>
      <c r="Q13" s="50"/>
    </row>
    <row r="14" spans="2:17" ht="33">
      <c r="B14" s="46">
        <v>7</v>
      </c>
      <c r="C14" s="404" t="s">
        <v>168</v>
      </c>
      <c r="D14" s="340" t="s">
        <v>169</v>
      </c>
      <c r="E14" s="420">
        <f t="shared" si="0"/>
        <v>7</v>
      </c>
      <c r="F14" s="411" t="str" cm="1">
        <f t="array" ref="F14" xml:space="preserve"> IF($E14="", "",  INDEX(十五音韻母對照表, $E14, F$1))</f>
        <v>公</v>
      </c>
      <c r="G14" s="25" t="str" cm="1">
        <f t="array" ref="G14" xml:space="preserve"> IF($E14="", "", INDEX(十五音韻母對照表, $E14, G$1))</f>
        <v>ong</v>
      </c>
      <c r="H14" s="25" t="str" cm="1">
        <f t="array" ref="H14" xml:space="preserve"> IF($E14="", "",  INDEX(十五音韻母對照表, $E14, H$1))</f>
        <v>ok</v>
      </c>
      <c r="J14" s="413">
        <v>7</v>
      </c>
      <c r="K14" s="350" t="str">
        <f>'十五音-韻母'!C11</f>
        <v>公</v>
      </c>
      <c r="L14" s="410" t="str">
        <f>'十五音-韻母'!D11</f>
        <v>ong</v>
      </c>
      <c r="M14" s="425">
        <f t="shared" si="1"/>
        <v>7</v>
      </c>
      <c r="Q14" s="50"/>
    </row>
    <row r="15" spans="2:17" ht="33">
      <c r="B15" s="46">
        <v>8</v>
      </c>
      <c r="C15" s="404" t="s">
        <v>174</v>
      </c>
      <c r="D15" s="340" t="s">
        <v>175</v>
      </c>
      <c r="E15" s="420">
        <f t="shared" si="0"/>
        <v>8</v>
      </c>
      <c r="F15" s="411" t="str" cm="1">
        <f t="array" ref="F15" xml:space="preserve"> IF($E15="", "",  INDEX(十五音韻母對照表, $E15, F$1))</f>
        <v>乖</v>
      </c>
      <c r="G15" s="25" t="str" cm="1">
        <f t="array" ref="G15" xml:space="preserve"> IF($E15="", "", INDEX(十五音韻母對照表, $E15, G$1))</f>
        <v>uai</v>
      </c>
      <c r="H15" s="25" t="str" cm="1">
        <f t="array" ref="H15" xml:space="preserve"> IF($E15="", "",  INDEX(十五音韻母對照表, $E15, H$1))</f>
        <v>uaih</v>
      </c>
      <c r="J15" s="413">
        <v>8</v>
      </c>
      <c r="K15" s="350" t="str">
        <f>'十五音-韻母'!C12</f>
        <v>乖</v>
      </c>
      <c r="L15" s="410" t="str">
        <f>'十五音-韻母'!D12</f>
        <v>uai</v>
      </c>
      <c r="M15" s="425">
        <f t="shared" si="1"/>
        <v>8</v>
      </c>
      <c r="Q15" s="50"/>
    </row>
    <row r="16" spans="2:17" ht="33">
      <c r="B16" s="46">
        <v>9</v>
      </c>
      <c r="C16" s="409" t="s">
        <v>180</v>
      </c>
      <c r="D16" s="410" t="s">
        <v>181</v>
      </c>
      <c r="E16" s="420">
        <f t="shared" si="0"/>
        <v>9</v>
      </c>
      <c r="F16" s="411" t="str" cm="1">
        <f t="array" ref="F16" xml:space="preserve"> IF($E16="", "",  INDEX(十五音韻母對照表, $E16, F$1))</f>
        <v>經</v>
      </c>
      <c r="G16" s="25" t="str" cm="1">
        <f t="array" ref="G16" xml:space="preserve"> IF($E16="", "", INDEX(十五音韻母對照表, $E16, G$1))</f>
        <v>ing</v>
      </c>
      <c r="H16" s="25" t="str" cm="1">
        <f t="array" ref="H16" xml:space="preserve"> IF($E16="", "",  INDEX(十五音韻母對照表, $E16, H$1))</f>
        <v>ik</v>
      </c>
      <c r="J16" s="413">
        <v>9</v>
      </c>
      <c r="K16" s="350" t="str">
        <f>'十五音-韻母'!C13</f>
        <v>經</v>
      </c>
      <c r="L16" s="410" t="str">
        <f>'十五音-韻母'!D13</f>
        <v>ing</v>
      </c>
      <c r="M16" s="425">
        <f t="shared" si="1"/>
        <v>9</v>
      </c>
      <c r="Q16" s="50"/>
    </row>
    <row r="17" spans="2:17" ht="33">
      <c r="B17" s="46">
        <v>10</v>
      </c>
      <c r="C17" s="409" t="s">
        <v>186</v>
      </c>
      <c r="D17" s="410" t="s">
        <v>187</v>
      </c>
      <c r="E17" s="420">
        <f t="shared" si="0"/>
        <v>10</v>
      </c>
      <c r="F17" s="411" t="str" cm="1">
        <f t="array" ref="F17" xml:space="preserve"> IF($E17="", "",  INDEX(十五音韻母對照表, $E17, F$1))</f>
        <v>觀</v>
      </c>
      <c r="G17" s="25" t="str" cm="1">
        <f t="array" ref="G17" xml:space="preserve"> IF($E17="", "", INDEX(十五音韻母對照表, $E17, G$1))</f>
        <v>uan</v>
      </c>
      <c r="H17" s="25" t="str" cm="1">
        <f t="array" ref="H17" xml:space="preserve"> IF($E17="", "",  INDEX(十五音韻母對照表, $E17, H$1))</f>
        <v>uat</v>
      </c>
      <c r="J17" s="413">
        <v>10</v>
      </c>
      <c r="K17" s="350" t="str">
        <f>'十五音-韻母'!C14</f>
        <v>觀</v>
      </c>
      <c r="L17" s="410" t="str">
        <f>'十五音-韻母'!D14</f>
        <v>uan</v>
      </c>
      <c r="M17" s="425">
        <f t="shared" si="1"/>
        <v>10</v>
      </c>
      <c r="Q17" s="50"/>
    </row>
    <row r="18" spans="2:17" ht="33">
      <c r="B18" s="46">
        <v>11</v>
      </c>
      <c r="C18" s="409" t="s">
        <v>190</v>
      </c>
      <c r="D18" s="410" t="s">
        <v>191</v>
      </c>
      <c r="E18" s="420">
        <f t="shared" si="0"/>
        <v>11</v>
      </c>
      <c r="F18" s="411" t="str" cm="1">
        <f t="array" ref="F18" xml:space="preserve"> IF($E18="", "",  INDEX(十五音韻母對照表, $E18, F$1))</f>
        <v>沽</v>
      </c>
      <c r="G18" s="25" t="str" cm="1">
        <f t="array" ref="G18" xml:space="preserve"> IF($E18="", "", INDEX(十五音韻母對照表, $E18, G$1))</f>
        <v>oo</v>
      </c>
      <c r="H18" s="25" t="str" cm="1">
        <f t="array" ref="H18" xml:space="preserve"> IF($E18="", "",  INDEX(十五音韻母對照表, $E18, H$1))</f>
        <v>ooh</v>
      </c>
      <c r="J18" s="413">
        <v>11</v>
      </c>
      <c r="K18" s="350" t="str">
        <f>'十五音-韻母'!C15</f>
        <v>沽</v>
      </c>
      <c r="L18" s="410" t="str">
        <f>'十五音-韻母'!D15</f>
        <v>oo</v>
      </c>
      <c r="M18" s="425">
        <f t="shared" si="1"/>
        <v>11</v>
      </c>
      <c r="Q18" s="50"/>
    </row>
    <row r="19" spans="2:17" ht="33">
      <c r="B19" s="46">
        <v>12</v>
      </c>
      <c r="C19" s="409" t="s">
        <v>196</v>
      </c>
      <c r="D19" s="410" t="s">
        <v>197</v>
      </c>
      <c r="E19" s="420">
        <f t="shared" si="0"/>
        <v>12</v>
      </c>
      <c r="F19" s="411" t="str" cm="1">
        <f t="array" ref="F19" xml:space="preserve"> IF($E19="", "",  INDEX(十五音韻母對照表, $E19, F$1))</f>
        <v>嬌</v>
      </c>
      <c r="G19" s="25" t="str" cm="1">
        <f t="array" ref="G19" xml:space="preserve"> IF($E19="", "", INDEX(十五音韻母對照表, $E19, G$1))</f>
        <v>iau</v>
      </c>
      <c r="H19" s="25" t="str" cm="1">
        <f t="array" ref="H19" xml:space="preserve"> IF($E19="", "",  INDEX(十五音韻母對照表, $E19, H$1))</f>
        <v>iauh</v>
      </c>
      <c r="J19" s="413">
        <v>12</v>
      </c>
      <c r="K19" s="350" t="str">
        <f>'十五音-韻母'!C16</f>
        <v>嬌</v>
      </c>
      <c r="L19" s="410" t="str">
        <f>'十五音-韻母'!D16</f>
        <v>iau</v>
      </c>
      <c r="M19" s="425">
        <f t="shared" si="1"/>
        <v>12</v>
      </c>
      <c r="Q19" s="50"/>
    </row>
    <row r="20" spans="2:17" ht="33">
      <c r="B20" s="46">
        <v>13</v>
      </c>
      <c r="C20" s="409" t="s">
        <v>203</v>
      </c>
      <c r="D20" s="410" t="s">
        <v>204</v>
      </c>
      <c r="E20" s="420">
        <f t="shared" si="0"/>
        <v>34</v>
      </c>
      <c r="F20" s="411" t="str" cm="1">
        <f t="array" ref="F20" xml:space="preserve"> IF($E20="", "",  INDEX(十五音韻母對照表, $E20, F$1))</f>
        <v>梔</v>
      </c>
      <c r="G20" s="25" t="str" cm="1">
        <f t="array" ref="G20" xml:space="preserve"> IF($E20="", "", INDEX(十五音韻母對照表, $E20, G$1))</f>
        <v>inn</v>
      </c>
      <c r="H20" s="25" t="str" cm="1">
        <f t="array" ref="H20" xml:space="preserve"> IF($E20="", "",  INDEX(十五音韻母對照表, $E20, H$1))</f>
        <v>innh</v>
      </c>
      <c r="J20" s="413">
        <v>13</v>
      </c>
      <c r="K20" s="350" t="str">
        <f>'十五音-韻母'!C17</f>
        <v>稽</v>
      </c>
      <c r="L20" s="410" t="str">
        <f>'十五音-韻母'!D17</f>
        <v>ei</v>
      </c>
      <c r="M20" s="425" t="str">
        <f t="shared" si="1"/>
        <v/>
      </c>
      <c r="Q20" s="50"/>
    </row>
    <row r="21" spans="2:17" ht="33">
      <c r="B21" s="46">
        <v>14</v>
      </c>
      <c r="C21" s="409" t="s">
        <v>208</v>
      </c>
      <c r="D21" s="410" t="s">
        <v>209</v>
      </c>
      <c r="E21" s="420">
        <f t="shared" si="0"/>
        <v>14</v>
      </c>
      <c r="F21" s="411" t="str" cm="1">
        <f t="array" ref="F21" xml:space="preserve"> IF($E21="", "",  INDEX(十五音韻母對照表, $E21, F$1))</f>
        <v>恭</v>
      </c>
      <c r="G21" s="25" t="str" cm="1">
        <f t="array" ref="G21" xml:space="preserve"> IF($E21="", "", INDEX(十五音韻母對照表, $E21, G$1))</f>
        <v>iong</v>
      </c>
      <c r="H21" s="25" t="str" cm="1">
        <f t="array" ref="H21" xml:space="preserve"> IF($E21="", "",  INDEX(十五音韻母對照表, $E21, H$1))</f>
        <v>iok</v>
      </c>
      <c r="J21" s="413">
        <v>14</v>
      </c>
      <c r="K21" s="350" t="str">
        <f>'十五音-韻母'!C18</f>
        <v>恭</v>
      </c>
      <c r="L21" s="410" t="str">
        <f>'十五音-韻母'!D18</f>
        <v>iong</v>
      </c>
      <c r="M21" s="425">
        <f t="shared" si="1"/>
        <v>14</v>
      </c>
      <c r="Q21" s="50"/>
    </row>
    <row r="22" spans="2:17" ht="33">
      <c r="B22" s="46">
        <v>15</v>
      </c>
      <c r="C22" s="409" t="s">
        <v>214</v>
      </c>
      <c r="D22" s="410" t="s">
        <v>215</v>
      </c>
      <c r="E22" s="420">
        <f t="shared" si="0"/>
        <v>15</v>
      </c>
      <c r="F22" s="411" t="str" cm="1">
        <f t="array" ref="F22" xml:space="preserve"> IF($E22="", "",  INDEX(十五音韻母對照表, $E22, F$1))</f>
        <v>高</v>
      </c>
      <c r="G22" s="25" t="str" cm="1">
        <f t="array" ref="G22" xml:space="preserve"> IF($E22="", "", INDEX(十五音韻母對照表, $E22, G$1))</f>
        <v>o</v>
      </c>
      <c r="H22" s="25" t="str" cm="1">
        <f t="array" ref="H22" xml:space="preserve"> IF($E22="", "",  INDEX(十五音韻母對照表, $E22, H$1))</f>
        <v>oh</v>
      </c>
      <c r="J22" s="413">
        <v>15</v>
      </c>
      <c r="K22" s="350" t="str">
        <f>'十五音-韻母'!C19</f>
        <v>高</v>
      </c>
      <c r="L22" s="410" t="str">
        <f>'十五音-韻母'!D19</f>
        <v>o</v>
      </c>
      <c r="M22" s="425">
        <f t="shared" si="1"/>
        <v>15</v>
      </c>
      <c r="Q22" s="50"/>
    </row>
    <row r="23" spans="2:17" ht="33">
      <c r="B23" s="46">
        <v>16</v>
      </c>
      <c r="C23" s="409" t="s">
        <v>150</v>
      </c>
      <c r="D23" s="410" t="s">
        <v>151</v>
      </c>
      <c r="E23" s="420">
        <f t="shared" si="0"/>
        <v>16</v>
      </c>
      <c r="F23" s="411" t="str" cm="1">
        <f t="array" ref="F23" xml:space="preserve"> IF($E23="", "",  INDEX(十五音韻母對照表, $E23, F$1))</f>
        <v>皆</v>
      </c>
      <c r="G23" s="25" t="str" cm="1">
        <f t="array" ref="G23" xml:space="preserve"> IF($E23="", "", INDEX(十五音韻母對照表, $E23, G$1))</f>
        <v>ai</v>
      </c>
      <c r="H23" s="25" t="str" cm="1">
        <f t="array" ref="H23" xml:space="preserve"> IF($E23="", "",  INDEX(十五音韻母對照表, $E23, H$1))</f>
        <v>aih</v>
      </c>
      <c r="J23" s="413">
        <v>16</v>
      </c>
      <c r="K23" s="350" t="str">
        <f>'十五音-韻母'!C20</f>
        <v>皆</v>
      </c>
      <c r="L23" s="410" t="str">
        <f>'十五音-韻母'!D20</f>
        <v>ai</v>
      </c>
      <c r="M23" s="425">
        <f t="shared" si="1"/>
        <v>16</v>
      </c>
      <c r="Q23" s="50"/>
    </row>
    <row r="24" spans="2:17" ht="33">
      <c r="B24" s="46">
        <v>17</v>
      </c>
      <c r="C24" s="409" t="s">
        <v>223</v>
      </c>
      <c r="D24" s="410" t="s">
        <v>224</v>
      </c>
      <c r="E24" s="420">
        <f t="shared" si="0"/>
        <v>17</v>
      </c>
      <c r="F24" s="411" t="str" cm="1">
        <f t="array" ref="F24" xml:space="preserve"> IF($E24="", "",  INDEX(十五音韻母對照表, $E24, F$1))</f>
        <v>巾</v>
      </c>
      <c r="G24" s="25" t="str" cm="1">
        <f t="array" ref="G24" xml:space="preserve"> IF($E24="", "", INDEX(十五音韻母對照表, $E24, G$1))</f>
        <v>in</v>
      </c>
      <c r="H24" s="25" t="str" cm="1">
        <f t="array" ref="H24" xml:space="preserve"> IF($E24="", "",  INDEX(十五音韻母對照表, $E24, H$1))</f>
        <v>it</v>
      </c>
      <c r="J24" s="413">
        <v>17</v>
      </c>
      <c r="K24" s="350" t="str">
        <f>'十五音-韻母'!C21</f>
        <v>巾</v>
      </c>
      <c r="L24" s="410" t="str">
        <f>'十五音-韻母'!D21</f>
        <v>in</v>
      </c>
      <c r="M24" s="425">
        <f t="shared" si="1"/>
        <v>17</v>
      </c>
      <c r="Q24" s="50"/>
    </row>
    <row r="25" spans="2:17" ht="33">
      <c r="B25" s="46">
        <v>18</v>
      </c>
      <c r="C25" s="409" t="s">
        <v>226</v>
      </c>
      <c r="D25" s="410" t="s">
        <v>227</v>
      </c>
      <c r="E25" s="420">
        <f t="shared" si="0"/>
        <v>18</v>
      </c>
      <c r="F25" s="411" t="str" cm="1">
        <f t="array" ref="F25" xml:space="preserve"> IF($E25="", "",  INDEX(十五音韻母對照表, $E25, F$1))</f>
        <v>姜</v>
      </c>
      <c r="G25" s="25" t="str" cm="1">
        <f t="array" ref="G25" xml:space="preserve"> IF($E25="", "", INDEX(十五音韻母對照表, $E25, G$1))</f>
        <v>iang</v>
      </c>
      <c r="H25" s="25" t="str" cm="1">
        <f t="array" ref="H25" xml:space="preserve"> IF($E25="", "",  INDEX(十五音韻母對照表, $E25, H$1))</f>
        <v>iak</v>
      </c>
      <c r="J25" s="413">
        <v>18</v>
      </c>
      <c r="K25" s="350" t="str">
        <f>'十五音-韻母'!C22</f>
        <v>姜</v>
      </c>
      <c r="L25" s="410" t="str">
        <f>'十五音-韻母'!D22</f>
        <v>iang</v>
      </c>
      <c r="M25" s="425">
        <f t="shared" si="1"/>
        <v>18</v>
      </c>
      <c r="Q25" s="50"/>
    </row>
    <row r="26" spans="2:17" ht="33">
      <c r="B26" s="46">
        <v>19</v>
      </c>
      <c r="C26" s="409" t="s">
        <v>162</v>
      </c>
      <c r="D26" s="410" t="s">
        <v>163</v>
      </c>
      <c r="E26" s="420">
        <f t="shared" si="0"/>
        <v>19</v>
      </c>
      <c r="F26" s="411" t="str" cm="1">
        <f t="array" ref="F26" xml:space="preserve"> IF($E26="", "",  INDEX(十五音韻母對照表, $E26, F$1))</f>
        <v>甘</v>
      </c>
      <c r="G26" s="25" t="str" cm="1">
        <f t="array" ref="G26" xml:space="preserve"> IF($E26="", "", INDEX(十五音韻母對照表, $E26, G$1))</f>
        <v>am</v>
      </c>
      <c r="H26" s="25" t="str" cm="1">
        <f t="array" ref="H26" xml:space="preserve"> IF($E26="", "",  INDEX(十五音韻母對照表, $E26, H$1))</f>
        <v>ap</v>
      </c>
      <c r="J26" s="413">
        <v>19</v>
      </c>
      <c r="K26" s="350" t="str">
        <f>'十五音-韻母'!C23</f>
        <v>甘</v>
      </c>
      <c r="L26" s="410" t="str">
        <f>'十五音-韻母'!D23</f>
        <v>am</v>
      </c>
      <c r="M26" s="425">
        <f t="shared" si="1"/>
        <v>19</v>
      </c>
      <c r="Q26" s="50"/>
    </row>
    <row r="27" spans="2:17" ht="33">
      <c r="B27" s="46">
        <v>20</v>
      </c>
      <c r="C27" s="409" t="s">
        <v>229</v>
      </c>
      <c r="D27" s="410" t="s">
        <v>230</v>
      </c>
      <c r="E27" s="420">
        <f t="shared" si="0"/>
        <v>20</v>
      </c>
      <c r="F27" s="411" t="str" cm="1">
        <f t="array" ref="F27" xml:space="preserve"> IF($E27="", "",  INDEX(十五音韻母對照表, $E27, F$1))</f>
        <v>瓜</v>
      </c>
      <c r="G27" s="25" t="str" cm="1">
        <f t="array" ref="G27" xml:space="preserve"> IF($E27="", "", INDEX(十五音韻母對照表, $E27, G$1))</f>
        <v>ua</v>
      </c>
      <c r="H27" s="25" t="str" cm="1">
        <f t="array" ref="H27" xml:space="preserve"> IF($E27="", "",  INDEX(十五音韻母對照表, $E27, H$1))</f>
        <v>uah</v>
      </c>
      <c r="J27" s="413">
        <v>20</v>
      </c>
      <c r="K27" s="350" t="str">
        <f>'十五音-韻母'!C24</f>
        <v>瓜</v>
      </c>
      <c r="L27" s="410" t="str">
        <f>'十五音-韻母'!D24</f>
        <v>ua</v>
      </c>
      <c r="M27" s="425">
        <f t="shared" si="1"/>
        <v>20</v>
      </c>
      <c r="Q27" s="50"/>
    </row>
    <row r="28" spans="2:17" ht="33">
      <c r="B28" s="46">
        <v>21</v>
      </c>
      <c r="C28" s="409" t="s">
        <v>171</v>
      </c>
      <c r="D28" s="410" t="s">
        <v>172</v>
      </c>
      <c r="E28" s="420">
        <f t="shared" si="0"/>
        <v>21</v>
      </c>
      <c r="F28" s="411" t="str" cm="1">
        <f t="array" ref="F28" xml:space="preserve"> IF($E28="", "",  INDEX(十五音韻母對照表, $E28, F$1))</f>
        <v>江</v>
      </c>
      <c r="G28" s="25" t="str" cm="1">
        <f t="array" ref="G28" xml:space="preserve"> IF($E28="", "", INDEX(十五音韻母對照表, $E28, G$1))</f>
        <v>ang</v>
      </c>
      <c r="H28" s="25" t="str" cm="1">
        <f t="array" ref="H28" xml:space="preserve"> IF($E28="", "",  INDEX(十五音韻母對照表, $E28, H$1))</f>
        <v>ak</v>
      </c>
      <c r="J28" s="413">
        <v>21</v>
      </c>
      <c r="K28" s="350" t="str">
        <f>'十五音-韻母'!C25</f>
        <v>江</v>
      </c>
      <c r="L28" s="410" t="str">
        <f>'十五音-韻母'!D25</f>
        <v>ang</v>
      </c>
      <c r="M28" s="425">
        <f t="shared" si="1"/>
        <v>21</v>
      </c>
      <c r="Q28" s="50"/>
    </row>
    <row r="29" spans="2:17" ht="33">
      <c r="B29" s="46">
        <v>22</v>
      </c>
      <c r="C29" s="409" t="s">
        <v>220</v>
      </c>
      <c r="D29" s="410" t="s">
        <v>221</v>
      </c>
      <c r="E29" s="420">
        <f t="shared" si="0"/>
        <v>22</v>
      </c>
      <c r="F29" s="411" t="str" cm="1">
        <f t="array" ref="F29" xml:space="preserve"> IF($E29="", "",  INDEX(十五音韻母對照表, $E29, F$1))</f>
        <v>兼</v>
      </c>
      <c r="G29" s="25" t="str" cm="1">
        <f t="array" ref="G29" xml:space="preserve"> IF($E29="", "", INDEX(十五音韻母對照表, $E29, G$1))</f>
        <v>iam</v>
      </c>
      <c r="H29" s="25" t="str" cm="1">
        <f t="array" ref="H29" xml:space="preserve"> IF($E29="", "",  INDEX(十五音韻母對照表, $E29, H$1))</f>
        <v>iap</v>
      </c>
      <c r="J29" s="413">
        <v>22</v>
      </c>
      <c r="K29" s="350" t="str">
        <f>'十五音-韻母'!C26</f>
        <v>兼</v>
      </c>
      <c r="L29" s="410" t="str">
        <f>'十五音-韻母'!D26</f>
        <v>iam</v>
      </c>
      <c r="M29" s="425">
        <f t="shared" si="1"/>
        <v>22</v>
      </c>
      <c r="Q29" s="50"/>
    </row>
    <row r="30" spans="2:17" ht="33">
      <c r="B30" s="46">
        <v>23</v>
      </c>
      <c r="C30" s="409" t="s">
        <v>177</v>
      </c>
      <c r="D30" s="410" t="s">
        <v>178</v>
      </c>
      <c r="E30" s="420">
        <f t="shared" si="0"/>
        <v>23</v>
      </c>
      <c r="F30" s="411" t="str" cm="1">
        <f t="array" ref="F30" xml:space="preserve"> IF($E30="", "",  INDEX(十五音韻母對照表, $E30, F$1))</f>
        <v>交</v>
      </c>
      <c r="G30" s="25" t="str" cm="1">
        <f t="array" ref="G30" xml:space="preserve"> IF($E30="", "", INDEX(十五音韻母對照表, $E30, G$1))</f>
        <v>au</v>
      </c>
      <c r="H30" s="25" t="str" cm="1">
        <f t="array" ref="H30" xml:space="preserve"> IF($E30="", "",  INDEX(十五音韻母對照表, $E30, H$1))</f>
        <v>auh</v>
      </c>
      <c r="J30" s="413">
        <v>23</v>
      </c>
      <c r="K30" s="350" t="str">
        <f>'十五音-韻母'!C27</f>
        <v>交</v>
      </c>
      <c r="L30" s="410" t="str">
        <f>'十五音-韻母'!D27</f>
        <v>au</v>
      </c>
      <c r="M30" s="425">
        <f t="shared" si="1"/>
        <v>23</v>
      </c>
      <c r="Q30" s="50"/>
    </row>
    <row r="31" spans="2:17" ht="33">
      <c r="B31" s="46">
        <v>24</v>
      </c>
      <c r="C31" s="409" t="s">
        <v>211</v>
      </c>
      <c r="D31" s="410" t="s">
        <v>212</v>
      </c>
      <c r="E31" s="420">
        <f t="shared" si="0"/>
        <v>24</v>
      </c>
      <c r="F31" s="411" t="str" cm="1">
        <f t="array" ref="F31" xml:space="preserve"> IF($E31="", "",  INDEX(十五音韻母對照表, $E31, F$1))</f>
        <v>迦</v>
      </c>
      <c r="G31" s="25" t="str" cm="1">
        <f t="array" ref="G31" xml:space="preserve"> IF($E31="", "", INDEX(十五音韻母對照表, $E31, G$1))</f>
        <v>ia</v>
      </c>
      <c r="H31" s="25" t="str" cm="1">
        <f t="array" ref="H31" xml:space="preserve"> IF($E31="", "",  INDEX(十五音韻母對照表, $E31, H$1))</f>
        <v>iah</v>
      </c>
      <c r="J31" s="413">
        <v>24</v>
      </c>
      <c r="K31" s="350" t="str">
        <f>'十五音-韻母'!C28</f>
        <v>迦</v>
      </c>
      <c r="L31" s="410" t="str">
        <f>'十五音-韻母'!D28</f>
        <v>ia</v>
      </c>
      <c r="M31" s="425">
        <f t="shared" si="1"/>
        <v>24</v>
      </c>
      <c r="Q31" s="50"/>
    </row>
    <row r="32" spans="2:17" ht="33">
      <c r="B32" s="46">
        <v>25</v>
      </c>
      <c r="C32" s="409" t="s">
        <v>238</v>
      </c>
      <c r="D32" s="410" t="s">
        <v>239</v>
      </c>
      <c r="E32" s="420">
        <f t="shared" si="0"/>
        <v>25</v>
      </c>
      <c r="F32" s="411" t="str" cm="1">
        <f t="array" ref="F32" xml:space="preserve"> IF($E32="", "",  INDEX(十五音韻母對照表, $E32, F$1))</f>
        <v>檜</v>
      </c>
      <c r="G32" s="25" t="str" cm="1">
        <f t="array" ref="G32" xml:space="preserve"> IF($E32="", "", INDEX(十五音韻母對照表, $E32, G$1))</f>
        <v>ue</v>
      </c>
      <c r="H32" s="25" t="str" cm="1">
        <f t="array" ref="H32" xml:space="preserve"> IF($E32="", "",  INDEX(十五音韻母對照表, $E32, H$1))</f>
        <v>ueh</v>
      </c>
      <c r="J32" s="413">
        <v>25</v>
      </c>
      <c r="K32" s="350" t="str">
        <f>'十五音-韻母'!C29</f>
        <v>檜</v>
      </c>
      <c r="L32" s="410" t="str">
        <f>'十五音-韻母'!D29</f>
        <v>ue</v>
      </c>
      <c r="M32" s="425">
        <f t="shared" si="1"/>
        <v>25</v>
      </c>
      <c r="Q32" s="50"/>
    </row>
    <row r="33" spans="2:17" ht="33">
      <c r="B33" s="46">
        <v>26</v>
      </c>
      <c r="C33" s="409" t="s">
        <v>144</v>
      </c>
      <c r="D33" s="410" t="s">
        <v>145</v>
      </c>
      <c r="E33" s="420">
        <f t="shared" si="0"/>
        <v>26</v>
      </c>
      <c r="F33" s="411" t="str" cm="1">
        <f t="array" ref="F33" xml:space="preserve"> IF($E33="", "",  INDEX(十五音韻母對照表, $E33, F$1))</f>
        <v>監</v>
      </c>
      <c r="G33" s="25" t="str" cm="1">
        <f t="array" ref="G33" xml:space="preserve"> IF($E33="", "", INDEX(十五音韻母對照表, $E33, G$1))</f>
        <v>ann</v>
      </c>
      <c r="H33" s="25" t="str" cm="1">
        <f t="array" ref="H33" xml:space="preserve"> IF($E33="", "",  INDEX(十五音韻母對照表, $E33, H$1))</f>
        <v>annh</v>
      </c>
      <c r="J33" s="413">
        <v>26</v>
      </c>
      <c r="K33" s="350" t="str">
        <f>'十五音-韻母'!C30</f>
        <v>監</v>
      </c>
      <c r="L33" s="410" t="str">
        <f>'十五音-韻母'!D30</f>
        <v>ann</v>
      </c>
      <c r="M33" s="425">
        <f t="shared" si="1"/>
        <v>26</v>
      </c>
      <c r="Q33" s="50"/>
    </row>
    <row r="34" spans="2:17" ht="33">
      <c r="B34" s="46">
        <v>27</v>
      </c>
      <c r="C34" s="409" t="s">
        <v>244</v>
      </c>
      <c r="D34" s="410" t="s">
        <v>245</v>
      </c>
      <c r="E34" s="420">
        <f t="shared" si="0"/>
        <v>27</v>
      </c>
      <c r="F34" s="411" t="str" cm="1">
        <f t="array" ref="F34" xml:space="preserve"> IF($E34="", "",  INDEX(十五音韻母對照表, $E34, F$1))</f>
        <v>艍</v>
      </c>
      <c r="G34" s="25" t="str" cm="1">
        <f t="array" ref="G34" xml:space="preserve"> IF($E34="", "", INDEX(十五音韻母對照表, $E34, G$1))</f>
        <v>u</v>
      </c>
      <c r="H34" s="25" t="str" cm="1">
        <f t="array" ref="H34" xml:space="preserve"> IF($E34="", "",  INDEX(十五音韻母對照表, $E34, H$1))</f>
        <v>uh</v>
      </c>
      <c r="J34" s="413">
        <v>27</v>
      </c>
      <c r="K34" s="350" t="str">
        <f>'十五音-韻母'!C31</f>
        <v>艍</v>
      </c>
      <c r="L34" s="410" t="str">
        <f>'十五音-韻母'!D31</f>
        <v>u</v>
      </c>
      <c r="M34" s="425">
        <f t="shared" si="1"/>
        <v>27</v>
      </c>
      <c r="Q34" s="50"/>
    </row>
    <row r="35" spans="2:17" ht="33">
      <c r="B35" s="46">
        <v>28</v>
      </c>
      <c r="C35" s="409" t="s">
        <v>138</v>
      </c>
      <c r="D35" s="410" t="s">
        <v>139</v>
      </c>
      <c r="E35" s="420">
        <f t="shared" si="0"/>
        <v>28</v>
      </c>
      <c r="F35" s="411" t="str" cm="1">
        <f t="array" ref="F35" xml:space="preserve"> IF($E35="", "",  INDEX(十五音韻母對照表, $E35, F$1))</f>
        <v>膠</v>
      </c>
      <c r="G35" s="25" t="str" cm="1">
        <f t="array" ref="G35" xml:space="preserve"> IF($E35="", "", INDEX(十五音韻母對照表, $E35, G$1))</f>
        <v>a</v>
      </c>
      <c r="H35" s="25" t="str" cm="1">
        <f t="array" ref="H35" xml:space="preserve"> IF($E35="", "",  INDEX(十五音韻母對照表, $E35, H$1))</f>
        <v>ah</v>
      </c>
      <c r="J35" s="413">
        <v>28</v>
      </c>
      <c r="K35" s="350" t="str">
        <f>'十五音-韻母'!C32</f>
        <v>膠</v>
      </c>
      <c r="L35" s="410" t="str">
        <f>'十五音-韻母'!D32</f>
        <v>a</v>
      </c>
      <c r="M35" s="425">
        <f t="shared" si="1"/>
        <v>28</v>
      </c>
      <c r="Q35" s="50"/>
    </row>
    <row r="36" spans="2:17" ht="33">
      <c r="B36" s="46">
        <v>29</v>
      </c>
      <c r="C36" s="409" t="s">
        <v>199</v>
      </c>
      <c r="D36" s="410" t="s">
        <v>200</v>
      </c>
      <c r="E36" s="420">
        <f t="shared" si="0"/>
        <v>29</v>
      </c>
      <c r="F36" s="411" t="str" cm="1">
        <f t="array" ref="F36" xml:space="preserve"> IF($E36="", "",  INDEX(十五音韻母對照表, $E36, F$1))</f>
        <v>居</v>
      </c>
      <c r="G36" s="25" t="str" cm="1">
        <f t="array" ref="G36" xml:space="preserve"> IF($E36="", "", INDEX(十五音韻母對照表, $E36, G$1))</f>
        <v>i</v>
      </c>
      <c r="H36" s="25" t="str" cm="1">
        <f t="array" ref="H36" xml:space="preserve"> IF($E36="", "",  INDEX(十五音韻母對照表, $E36, H$1))</f>
        <v>ih</v>
      </c>
      <c r="J36" s="413">
        <v>29</v>
      </c>
      <c r="K36" s="350" t="str">
        <f>'十五音-韻母'!C33</f>
        <v>居</v>
      </c>
      <c r="L36" s="410" t="str">
        <f>'十五音-韻母'!D33</f>
        <v>i</v>
      </c>
      <c r="M36" s="425">
        <f t="shared" si="1"/>
        <v>29</v>
      </c>
      <c r="Q36" s="50"/>
    </row>
    <row r="37" spans="2:17" ht="33">
      <c r="B37" s="46">
        <v>30</v>
      </c>
      <c r="C37" s="409" t="s">
        <v>241</v>
      </c>
      <c r="D37" s="410" t="s">
        <v>242</v>
      </c>
      <c r="E37" s="420">
        <f t="shared" si="0"/>
        <v>30</v>
      </c>
      <c r="F37" s="411" t="str" cm="1">
        <f t="array" ref="F37" xml:space="preserve"> IF($E37="", "",  INDEX(十五音韻母對照表, $E37, F$1))</f>
        <v>丩</v>
      </c>
      <c r="G37" s="25" t="str" cm="1">
        <f t="array" ref="G37" xml:space="preserve"> IF($E37="", "", INDEX(十五音韻母對照表, $E37, G$1))</f>
        <v>iu</v>
      </c>
      <c r="H37" s="25" t="str" cm="1">
        <f t="array" ref="H37" xml:space="preserve"> IF($E37="", "",  INDEX(十五音韻母對照表, $E37, H$1))</f>
        <v>iuh</v>
      </c>
      <c r="J37" s="413">
        <v>30</v>
      </c>
      <c r="K37" s="350" t="str">
        <f>'十五音-韻母'!C34</f>
        <v>丩</v>
      </c>
      <c r="L37" s="410" t="str">
        <f>'十五音-韻母'!D34</f>
        <v>iu</v>
      </c>
      <c r="M37" s="425">
        <f t="shared" si="1"/>
        <v>30</v>
      </c>
      <c r="Q37" s="50"/>
    </row>
    <row r="38" spans="2:17" ht="33">
      <c r="B38" s="46">
        <v>31</v>
      </c>
      <c r="C38" s="409" t="s">
        <v>193</v>
      </c>
      <c r="D38" s="410" t="s">
        <v>194</v>
      </c>
      <c r="E38" s="420">
        <f t="shared" si="0"/>
        <v>31</v>
      </c>
      <c r="F38" s="411" t="str" cm="1">
        <f t="array" ref="F38" xml:space="preserve"> IF($E38="", "",  INDEX(十五音韻母對照表, $E38, F$1))</f>
        <v>更</v>
      </c>
      <c r="G38" s="25" t="str" cm="1">
        <f t="array" ref="G38" xml:space="preserve"> IF($E38="", "", INDEX(十五音韻母對照表, $E38, G$1))</f>
        <v>enn</v>
      </c>
      <c r="H38" s="25" t="str" cm="1">
        <f t="array" ref="H38" xml:space="preserve"> IF($E38="", "",  INDEX(十五音韻母對照表, $E38, H$1))</f>
        <v>ennh</v>
      </c>
      <c r="J38" s="413">
        <v>31</v>
      </c>
      <c r="K38" s="350" t="str">
        <f>'十五音-韻母'!C35</f>
        <v>更</v>
      </c>
      <c r="L38" s="410" t="str">
        <f>'十五音-韻母'!D35</f>
        <v>enn</v>
      </c>
      <c r="M38" s="425">
        <f t="shared" si="1"/>
        <v>31</v>
      </c>
      <c r="Q38" s="50"/>
    </row>
    <row r="39" spans="2:17" ht="33">
      <c r="B39" s="46">
        <v>32</v>
      </c>
      <c r="C39" s="409" t="s">
        <v>253</v>
      </c>
      <c r="D39" s="410" t="s">
        <v>48</v>
      </c>
      <c r="E39" s="420">
        <f t="shared" si="0"/>
        <v>38</v>
      </c>
      <c r="F39" s="411" t="str" cm="1">
        <f t="array" ref="F39" xml:space="preserve"> IF($E39="", "",  INDEX(十五音韻母對照表, $E39, F$1))</f>
        <v>鋼</v>
      </c>
      <c r="G39" s="25" t="str" cm="1">
        <f t="array" ref="G39" xml:space="preserve"> IF($E39="", "", INDEX(十五音韻母對照表, $E39, G$1))</f>
        <v>ng</v>
      </c>
      <c r="H39" s="25" t="str" cm="1">
        <f t="array" ref="H39" xml:space="preserve"> IF($E39="", "",  INDEX(十五音韻母對照表, $E39, H$1))</f>
        <v>ngh</v>
      </c>
      <c r="J39" s="413">
        <v>32</v>
      </c>
      <c r="K39" s="350" t="str">
        <f>'十五音-韻母'!C36</f>
        <v>褌</v>
      </c>
      <c r="L39" s="410" t="str">
        <f>'十五音-韻母'!D36</f>
        <v>uinn</v>
      </c>
      <c r="M39" s="425">
        <f t="shared" si="1"/>
        <v>45</v>
      </c>
      <c r="Q39" s="50"/>
    </row>
    <row r="40" spans="2:17" ht="33">
      <c r="B40" s="46">
        <v>33</v>
      </c>
      <c r="C40" s="406" t="s">
        <v>235</v>
      </c>
      <c r="D40" s="407" t="s">
        <v>236</v>
      </c>
      <c r="E40" s="420">
        <f t="shared" si="0"/>
        <v>33</v>
      </c>
      <c r="F40" s="411" t="str" cm="1">
        <f t="array" ref="F40" xml:space="preserve"> IF($E40="", "",  INDEX(十五音韻母對照表, $E40, F$1))</f>
        <v>茄</v>
      </c>
      <c r="G40" s="25" t="str" cm="1">
        <f t="array" ref="G40" xml:space="preserve"> IF($E40="", "", INDEX(十五音韻母對照表, $E40, G$1))</f>
        <v>io</v>
      </c>
      <c r="H40" s="25" t="str" cm="1">
        <f t="array" ref="H40" xml:space="preserve"> IF($E40="", "",  INDEX(十五音韻母對照表, $E40, H$1))</f>
        <v>ioh</v>
      </c>
      <c r="J40" s="413">
        <v>33</v>
      </c>
      <c r="K40" s="350" t="str">
        <f>'十五音-韻母'!C37</f>
        <v>茄</v>
      </c>
      <c r="L40" s="410" t="str">
        <f>'十五音-韻母'!D37</f>
        <v>io</v>
      </c>
      <c r="M40" s="425">
        <f t="shared" si="1"/>
        <v>33</v>
      </c>
      <c r="Q40" s="50"/>
    </row>
    <row r="41" spans="2:17" ht="33">
      <c r="B41" s="46">
        <v>34</v>
      </c>
      <c r="C41" s="404" t="s">
        <v>247</v>
      </c>
      <c r="D41" s="340" t="s">
        <v>248</v>
      </c>
      <c r="E41" s="420">
        <f t="shared" si="0"/>
        <v>50</v>
      </c>
      <c r="F41" s="411" t="str" cm="1">
        <f t="array" ref="F41" xml:space="preserve"> IF($E41="", "",  INDEX(十五音韻母對照表, $E41, F$1))</f>
        <v>牛</v>
      </c>
      <c r="G41" s="25" t="str" cm="1">
        <f t="array" ref="G41" xml:space="preserve"> IF($E41="", "", INDEX(十五音韻母對照表, $E41, G$1))</f>
        <v>iunn</v>
      </c>
      <c r="H41" s="25" t="str" cm="1">
        <f t="array" ref="H41" xml:space="preserve"> IF($E41="", "",  INDEX(十五音韻母對照表, $E41, H$1))</f>
        <v>iunnh</v>
      </c>
      <c r="J41" s="413">
        <v>34</v>
      </c>
      <c r="K41" s="350" t="str">
        <f>'十五音-韻母'!C38</f>
        <v>梔</v>
      </c>
      <c r="L41" s="410" t="str">
        <f>'十五音-韻母'!D38</f>
        <v>inn</v>
      </c>
      <c r="M41" s="425">
        <f t="shared" si="1"/>
        <v>13</v>
      </c>
      <c r="Q41" s="50"/>
    </row>
    <row r="42" spans="2:17" ht="33">
      <c r="B42" s="46">
        <v>35</v>
      </c>
      <c r="C42" s="409" t="s">
        <v>264</v>
      </c>
      <c r="D42" s="410" t="s">
        <v>265</v>
      </c>
      <c r="E42" s="420">
        <f t="shared" si="0"/>
        <v>37</v>
      </c>
      <c r="F42" s="411" t="str" cm="1">
        <f t="array" ref="F42" xml:space="preserve"> IF($E42="", "",  INDEX(十五音韻母對照表, $E42, F$1))</f>
        <v>官</v>
      </c>
      <c r="G42" s="25" t="str" cm="1">
        <f t="array" ref="G42" xml:space="preserve"> IF($E42="", "", INDEX(十五音韻母對照表, $E42, G$1))</f>
        <v>uann</v>
      </c>
      <c r="H42" s="25" t="str" cm="1">
        <f t="array" ref="H42" xml:space="preserve"> IF($E42="", "",  INDEX(十五音韻母對照表, $E42, H$1))</f>
        <v>uannh</v>
      </c>
      <c r="J42" s="413">
        <v>35</v>
      </c>
      <c r="K42" s="350" t="str">
        <f>'十五音-韻母'!C39</f>
        <v>薑</v>
      </c>
      <c r="L42" s="410" t="str">
        <f>'十五音-韻母'!D39</f>
        <v>ionn</v>
      </c>
      <c r="M42" s="425" t="str">
        <f t="shared" si="1"/>
        <v/>
      </c>
      <c r="Q42" s="50"/>
    </row>
    <row r="43" spans="2:17" ht="33">
      <c r="B43" s="46">
        <v>36</v>
      </c>
      <c r="C43" s="409" t="s">
        <v>256</v>
      </c>
      <c r="D43" s="410" t="s">
        <v>258</v>
      </c>
      <c r="E43" s="420">
        <f t="shared" si="0"/>
        <v>49</v>
      </c>
      <c r="F43" s="411" t="str" cm="1">
        <f t="array" ref="F43" xml:space="preserve"> IF($E43="", "",  INDEX(十五音韻母對照表, $E43, F$1))</f>
        <v>扛</v>
      </c>
      <c r="G43" s="25" t="str" cm="1">
        <f t="array" ref="G43" xml:space="preserve"> IF($E43="", "", INDEX(十五音韻母對照表, $E43, G$1))</f>
        <v>onn</v>
      </c>
      <c r="H43" s="25" t="str" cm="1">
        <f t="array" ref="H43" xml:space="preserve"> IF($E43="", "",  INDEX(十五音韻母對照表, $E43, H$1))</f>
        <v>onnh</v>
      </c>
      <c r="J43" s="413">
        <v>36</v>
      </c>
      <c r="K43" s="350" t="str">
        <f>'十五音-韻母'!C40</f>
        <v>驚</v>
      </c>
      <c r="L43" s="410" t="str">
        <f>'十五音-韻母'!D40</f>
        <v>iann</v>
      </c>
      <c r="M43" s="425">
        <f t="shared" si="1"/>
        <v>44</v>
      </c>
      <c r="Q43" s="50"/>
    </row>
    <row r="44" spans="2:17" ht="33">
      <c r="B44" s="46">
        <v>37</v>
      </c>
      <c r="C44" s="409" t="s">
        <v>269</v>
      </c>
      <c r="D44" s="410" t="s">
        <v>270</v>
      </c>
      <c r="E44" s="420">
        <f t="shared" si="0"/>
        <v>43</v>
      </c>
      <c r="F44" s="411" t="str" cm="1">
        <f t="array" ref="F44" xml:space="preserve"> IF($E44="", "",  INDEX(十五音韻母對照表, $E44, F$1))</f>
        <v>光</v>
      </c>
      <c r="G44" s="25" t="str" cm="1">
        <f t="array" ref="G44" xml:space="preserve"> IF($E44="", "", INDEX(十五音韻母對照表, $E44, G$1))</f>
        <v>uang</v>
      </c>
      <c r="H44" s="25" t="str" cm="1">
        <f t="array" ref="H44" xml:space="preserve"> IF($E44="", "",  INDEX(十五音韻母對照表, $E44, H$1))</f>
        <v>uak</v>
      </c>
      <c r="J44" s="413">
        <v>37</v>
      </c>
      <c r="K44" s="350" t="str">
        <f>'十五音-韻母'!C41</f>
        <v>官</v>
      </c>
      <c r="L44" s="410" t="str">
        <f>'十五音-韻母'!D41</f>
        <v>uann</v>
      </c>
      <c r="M44" s="425">
        <f t="shared" si="1"/>
        <v>35</v>
      </c>
      <c r="Q44" s="50"/>
    </row>
    <row r="45" spans="2:17" ht="33">
      <c r="B45" s="46">
        <v>38</v>
      </c>
      <c r="C45" s="409" t="s">
        <v>251</v>
      </c>
      <c r="D45" s="410" t="s">
        <v>27</v>
      </c>
      <c r="E45" s="420">
        <f t="shared" si="0"/>
        <v>42</v>
      </c>
      <c r="F45" s="411" t="str" cm="1">
        <f t="array" ref="F45" xml:space="preserve"> IF($E45="", "",  INDEX(十五音韻母對照表, $E45, F$1))</f>
        <v>姆</v>
      </c>
      <c r="G45" s="25" t="str" cm="1">
        <f t="array" ref="G45" xml:space="preserve"> IF($E45="", "", INDEX(十五音韻母對照表, $E45, G$1))</f>
        <v>m</v>
      </c>
      <c r="H45" s="25" t="str" cm="1">
        <f t="array" ref="H45" xml:space="preserve"> IF($E45="", "",  INDEX(十五音韻母對照表, $E45, H$1))</f>
        <v>mh</v>
      </c>
      <c r="J45" s="413">
        <v>38</v>
      </c>
      <c r="K45" s="350" t="str">
        <f>'十五音-韻母'!C42</f>
        <v>鋼</v>
      </c>
      <c r="L45" s="410" t="str">
        <f>'十五音-韻母'!D42</f>
        <v>ng</v>
      </c>
      <c r="M45" s="425">
        <f t="shared" si="1"/>
        <v>32</v>
      </c>
    </row>
    <row r="46" spans="2:17" ht="33">
      <c r="B46" s="46">
        <v>39</v>
      </c>
      <c r="C46" s="409" t="s">
        <v>272</v>
      </c>
      <c r="D46" s="410" t="s">
        <v>273</v>
      </c>
      <c r="E46" s="420">
        <f t="shared" si="0"/>
        <v>44</v>
      </c>
      <c r="F46" s="411" t="str" cm="1">
        <f t="array" ref="F46" xml:space="preserve"> IF($E46="", "",  INDEX(十五音韻母對照表, $E46, F$1))</f>
        <v>閂</v>
      </c>
      <c r="G46" s="25" t="str" cm="1">
        <f t="array" ref="G46" xml:space="preserve"> IF($E46="", "", INDEX(十五音韻母對照表, $E46, G$1))</f>
        <v>uainn</v>
      </c>
      <c r="H46" s="25" t="str" cm="1">
        <f t="array" ref="H46" xml:space="preserve"> IF($E46="", "",  INDEX(十五音韻母對照表, $E46, H$1))</f>
        <v>uainnh</v>
      </c>
      <c r="J46" s="413">
        <v>39</v>
      </c>
      <c r="K46" s="350" t="str">
        <f>'十五音-韻母'!C43</f>
        <v>伽</v>
      </c>
      <c r="L46" s="410" t="str">
        <f>'十五音-韻母'!D43</f>
        <v>e</v>
      </c>
      <c r="M46" s="425">
        <f t="shared" si="1"/>
        <v>5</v>
      </c>
    </row>
    <row r="47" spans="2:17" ht="33">
      <c r="B47" s="46">
        <v>40</v>
      </c>
      <c r="C47" s="409" t="s">
        <v>156</v>
      </c>
      <c r="D47" s="410" t="s">
        <v>157</v>
      </c>
      <c r="E47" s="420">
        <f t="shared" si="0"/>
        <v>40</v>
      </c>
      <c r="F47" s="411" t="str" cm="1">
        <f t="array" ref="F47" xml:space="preserve"> IF($E47="", "",  INDEX(十五音韻母對照表, $E47, F$1))</f>
        <v>閒</v>
      </c>
      <c r="G47" s="25" t="str" cm="1">
        <f t="array" ref="G47" xml:space="preserve"> IF($E47="", "", INDEX(十五音韻母對照表, $E47, G$1))</f>
        <v>ainn</v>
      </c>
      <c r="H47" s="25" t="str" cm="1">
        <f t="array" ref="H47" xml:space="preserve"> IF($E47="", "",  INDEX(十五音韻母對照表, $E47, H$1))</f>
        <v>ainnh</v>
      </c>
      <c r="J47" s="413">
        <v>40</v>
      </c>
      <c r="K47" s="350" t="str">
        <f>'十五音-韻母'!C44</f>
        <v>閒</v>
      </c>
      <c r="L47" s="410" t="str">
        <f>'十五音-韻母'!D44</f>
        <v>ainn</v>
      </c>
      <c r="M47" s="425">
        <f t="shared" si="1"/>
        <v>40</v>
      </c>
    </row>
    <row r="48" spans="2:17" ht="33">
      <c r="B48" s="46">
        <v>41</v>
      </c>
      <c r="C48" s="409" t="s">
        <v>232</v>
      </c>
      <c r="D48" s="410" t="s">
        <v>233</v>
      </c>
      <c r="E48" s="420">
        <f t="shared" si="0"/>
        <v>46</v>
      </c>
      <c r="F48" s="411" t="str" cm="1">
        <f t="array" ref="F48" xml:space="preserve"> IF($E48="", "",  INDEX(十五音韻母對照表, $E48, F$1))</f>
        <v>嘄</v>
      </c>
      <c r="G48" s="25" t="str" cm="1">
        <f t="array" ref="G48" xml:space="preserve"> IF($E48="", "", INDEX(十五音韻母對照表, $E48, G$1))</f>
        <v>iaunn</v>
      </c>
      <c r="H48" s="25" t="str" cm="1">
        <f t="array" ref="H48" xml:space="preserve"> IF($E48="", "",  INDEX(十五音韻母對照表, $E48, H$1))</f>
        <v>iaunnh</v>
      </c>
      <c r="J48" s="413">
        <v>41</v>
      </c>
      <c r="K48" s="350" t="str">
        <f>'十五音-韻母'!C45</f>
        <v>姑</v>
      </c>
      <c r="L48" s="410" t="str">
        <f>'十五音-韻母'!D45</f>
        <v>oonn</v>
      </c>
      <c r="M48" s="425" t="str">
        <f t="shared" si="1"/>
        <v/>
      </c>
    </row>
    <row r="49" spans="2:13" ht="33">
      <c r="B49" s="46">
        <v>42</v>
      </c>
      <c r="C49" s="409" t="s">
        <v>261</v>
      </c>
      <c r="D49" s="410" t="s">
        <v>262</v>
      </c>
      <c r="E49" s="420">
        <f t="shared" si="0"/>
        <v>47</v>
      </c>
      <c r="F49" s="411" t="str" cm="1">
        <f t="array" ref="F49" xml:space="preserve"> IF($E49="", "",  INDEX(十五音韻母對照表, $E49, F$1))</f>
        <v>箴</v>
      </c>
      <c r="G49" s="25" t="str" cm="1">
        <f t="array" ref="G49" xml:space="preserve"> IF($E49="", "", INDEX(十五音韻母對照表, $E49, G$1))</f>
        <v>om</v>
      </c>
      <c r="H49" s="25" t="str" cm="1">
        <f t="array" ref="H49" xml:space="preserve"> IF($E49="", "",  INDEX(十五音韻母對照表, $E49, H$1))</f>
        <v>op</v>
      </c>
      <c r="J49" s="413">
        <v>42</v>
      </c>
      <c r="K49" s="350" t="str">
        <f>'十五音-韻母'!C46</f>
        <v>姆</v>
      </c>
      <c r="L49" s="410" t="str">
        <f>'十五音-韻母'!D46</f>
        <v>m</v>
      </c>
      <c r="M49" s="425">
        <f t="shared" si="1"/>
        <v>38</v>
      </c>
    </row>
    <row r="50" spans="2:13" ht="33">
      <c r="B50" s="46">
        <v>43</v>
      </c>
      <c r="C50" s="409" t="s">
        <v>183</v>
      </c>
      <c r="D50" s="410" t="s">
        <v>184</v>
      </c>
      <c r="E50" s="420">
        <f t="shared" si="0"/>
        <v>48</v>
      </c>
      <c r="F50" s="411" t="str" cm="1">
        <f t="array" ref="F50" xml:space="preserve"> IF($E50="", "",  INDEX(十五音韻母對照表, $E50, F$1))</f>
        <v>爻</v>
      </c>
      <c r="G50" s="25" t="str" cm="1">
        <f t="array" ref="G50" xml:space="preserve"> IF($E50="", "", INDEX(十五音韻母對照表, $E50, G$1))</f>
        <v>aunn</v>
      </c>
      <c r="H50" s="25" t="str" cm="1">
        <f t="array" ref="H50" xml:space="preserve"> IF($E50="", "",  INDEX(十五音韻母對照表, $E50, H$1))</f>
        <v>aunnh</v>
      </c>
      <c r="J50" s="413">
        <v>43</v>
      </c>
      <c r="K50" s="350" t="str">
        <f>'十五音-韻母'!C47</f>
        <v>光</v>
      </c>
      <c r="L50" s="410" t="str">
        <f>'十五音-韻母'!D47</f>
        <v>uang</v>
      </c>
      <c r="M50" s="425">
        <f t="shared" si="1"/>
        <v>37</v>
      </c>
    </row>
    <row r="51" spans="2:13" ht="33">
      <c r="B51" s="46">
        <v>44</v>
      </c>
      <c r="C51" s="409" t="s">
        <v>217</v>
      </c>
      <c r="D51" s="410" t="s">
        <v>218</v>
      </c>
      <c r="E51" s="420">
        <f t="shared" si="0"/>
        <v>36</v>
      </c>
      <c r="F51" s="411" t="str" cm="1">
        <f t="array" ref="F51" xml:space="preserve"> IF($E51="", "",  INDEX(十五音韻母對照表, $E51, F$1))</f>
        <v>驚</v>
      </c>
      <c r="G51" s="25" t="str" cm="1">
        <f t="array" ref="G51" xml:space="preserve"> IF($E51="", "", INDEX(十五音韻母對照表, $E51, G$1))</f>
        <v>iann</v>
      </c>
      <c r="H51" s="25" t="str" cm="1">
        <f t="array" ref="H51" xml:space="preserve"> IF($E51="", "",  INDEX(十五音韻母對照表, $E51, H$1))</f>
        <v>iannh</v>
      </c>
      <c r="J51" s="413">
        <v>44</v>
      </c>
      <c r="K51" s="350" t="str">
        <f>'十五音-韻母'!C48</f>
        <v>閂</v>
      </c>
      <c r="L51" s="410" t="str">
        <f>'十五音-韻母'!D48</f>
        <v>uainn</v>
      </c>
      <c r="M51" s="425">
        <f t="shared" si="1"/>
        <v>39</v>
      </c>
    </row>
    <row r="52" spans="2:13" ht="33">
      <c r="B52" s="46">
        <v>45</v>
      </c>
      <c r="C52" s="409" t="s">
        <v>277</v>
      </c>
      <c r="D52" s="410" t="s">
        <v>278</v>
      </c>
      <c r="E52" s="420">
        <f t="shared" si="0"/>
        <v>32</v>
      </c>
      <c r="F52" s="411" t="str" cm="1">
        <f t="array" ref="F52" xml:space="preserve"> IF($E52="", "",  INDEX(十五音韻母對照表, $E52, F$1))</f>
        <v>褌</v>
      </c>
      <c r="G52" s="25" t="str" cm="1">
        <f t="array" ref="G52" xml:space="preserve"> IF($E52="", "", INDEX(十五音韻母對照表, $E52, G$1))</f>
        <v>uinn</v>
      </c>
      <c r="H52" s="25" t="str" cm="1">
        <f t="array" ref="H52" xml:space="preserve"> IF($E52="", "",  INDEX(十五音韻母對照表, $E52, H$1))</f>
        <v>uinnh</v>
      </c>
      <c r="J52" s="413">
        <v>45</v>
      </c>
      <c r="K52" s="350" t="str">
        <f>'十五音-韻母'!C49</f>
        <v>糜</v>
      </c>
      <c r="L52" s="410" t="str">
        <f>'十五音-韻母'!D49</f>
        <v>uenn</v>
      </c>
      <c r="M52" s="425" t="str">
        <f t="shared" si="1"/>
        <v/>
      </c>
    </row>
    <row r="53" spans="2:13" ht="30">
      <c r="J53" s="413">
        <v>46</v>
      </c>
      <c r="K53" s="350" t="str">
        <f>'十五音-韻母'!C50</f>
        <v>嘄</v>
      </c>
      <c r="L53" s="410" t="str">
        <f>'十五音-韻母'!D50</f>
        <v>iaunn</v>
      </c>
      <c r="M53" s="425">
        <f t="shared" si="1"/>
        <v>41</v>
      </c>
    </row>
    <row r="54" spans="2:13" ht="30">
      <c r="J54" s="413">
        <v>47</v>
      </c>
      <c r="K54" s="350" t="str">
        <f>'十五音-韻母'!C51</f>
        <v>箴</v>
      </c>
      <c r="L54" s="410" t="str">
        <f>'十五音-韻母'!D51</f>
        <v>om</v>
      </c>
      <c r="M54" s="425">
        <f t="shared" si="1"/>
        <v>42</v>
      </c>
    </row>
    <row r="55" spans="2:13" ht="30">
      <c r="J55" s="413">
        <v>48</v>
      </c>
      <c r="K55" s="350" t="str">
        <f>'十五音-韻母'!C52</f>
        <v>爻</v>
      </c>
      <c r="L55" s="410" t="str">
        <f>'十五音-韻母'!D52</f>
        <v>aunn</v>
      </c>
      <c r="M55" s="425">
        <f t="shared" si="1"/>
        <v>43</v>
      </c>
    </row>
    <row r="56" spans="2:13" ht="30">
      <c r="J56" s="413">
        <v>49</v>
      </c>
      <c r="K56" s="350" t="str">
        <f>'十五音-韻母'!C53</f>
        <v>扛</v>
      </c>
      <c r="L56" s="410" t="str">
        <f>'十五音-韻母'!D53</f>
        <v>onn</v>
      </c>
      <c r="M56" s="425">
        <f t="shared" si="1"/>
        <v>36</v>
      </c>
    </row>
    <row r="57" spans="2:13" ht="30">
      <c r="J57" s="413">
        <v>50</v>
      </c>
      <c r="K57" s="350" t="str">
        <f>'十五音-韻母'!C54</f>
        <v>牛</v>
      </c>
      <c r="L57" s="410" t="str">
        <f>'十五音-韻母'!D54</f>
        <v>iunn</v>
      </c>
      <c r="M57" s="425">
        <f t="shared" si="1"/>
        <v>34</v>
      </c>
    </row>
    <row r="59" spans="2:13" ht="30">
      <c r="L59" s="423" t="s">
        <v>1278</v>
      </c>
      <c r="M59" s="422">
        <f xml:space="preserve"> COUNTA(K8:K57)</f>
        <v>50</v>
      </c>
    </row>
    <row r="60" spans="2:13" ht="30">
      <c r="L60" s="424" t="s">
        <v>1279</v>
      </c>
      <c r="M60" s="422">
        <f xml:space="preserve"> COUNT(M8:M57)</f>
        <v>45</v>
      </c>
    </row>
    <row r="61" spans="2:13" ht="30">
      <c r="L61" s="424" t="s">
        <v>1280</v>
      </c>
      <c r="M61" s="422">
        <f>M59 - M60</f>
        <v>5</v>
      </c>
    </row>
  </sheetData>
  <dataConsolidate/>
  <phoneticPr fontId="1" type="noConversion"/>
  <conditionalFormatting sqref="J8:M57">
    <cfRule type="expression" dxfId="20" priority="2" stopIfTrue="1">
      <formula>$M8=""</formula>
    </cfRule>
  </conditionalFormatting>
  <conditionalFormatting sqref="L59:M59 M60:M61">
    <cfRule type="expression" dxfId="19" priority="3">
      <formula>#REF!=0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6386-6DC9-644D-8FF9-A0D670313E74}">
  <sheetPr>
    <tabColor rgb="FF00B0F0"/>
  </sheetPr>
  <dimension ref="B1:U61"/>
  <sheetViews>
    <sheetView workbookViewId="0">
      <pane xSplit="1" ySplit="7" topLeftCell="B8" activePane="bottomRight" state="frozen"/>
      <selection pane="topRight" activeCell="F1" sqref="F1"/>
      <selection pane="bottomLeft" activeCell="A5" sqref="A5"/>
      <selection pane="bottomRight" activeCell="M8" sqref="M8"/>
    </sheetView>
  </sheetViews>
  <sheetFormatPr defaultColWidth="10.90625" defaultRowHeight="25.5" outlineLevelRow="1" outlineLevelCol="2"/>
  <cols>
    <col min="1" max="1" width="4.26953125" customWidth="1"/>
    <col min="2" max="2" width="5.81640625" customWidth="1" outlineLevel="1"/>
    <col min="3" max="3" width="7" customWidth="1" outlineLevel="1"/>
    <col min="4" max="4" width="10.90625" customWidth="1" outlineLevel="2"/>
    <col min="5" max="5" width="9.26953125" customWidth="1" outlineLevel="2"/>
    <col min="6" max="8" width="10.90625" outlineLevel="1"/>
    <col min="9" max="9" width="4.453125" customWidth="1"/>
    <col min="10" max="10" width="4.90625" style="6" customWidth="1"/>
    <col min="11" max="11" width="11.1796875" style="6" customWidth="1"/>
    <col min="12" max="12" width="11.1796875" customWidth="1" outlineLevel="1"/>
    <col min="13" max="13" width="11.1796875" customWidth="1"/>
    <col min="14" max="14" width="5.08984375" customWidth="1"/>
    <col min="15" max="16" width="11.1796875" customWidth="1"/>
    <col min="17" max="17" width="5.08984375" customWidth="1"/>
  </cols>
  <sheetData>
    <row r="1" spans="2:21" outlineLevel="1">
      <c r="F1">
        <v>2</v>
      </c>
      <c r="G1">
        <v>3</v>
      </c>
      <c r="H1">
        <v>4</v>
      </c>
      <c r="M1">
        <v>3</v>
      </c>
    </row>
    <row r="2" spans="2:21" outlineLevel="1">
      <c r="O2" s="47" t="s">
        <v>1273</v>
      </c>
      <c r="R2" s="421" t="s">
        <v>134</v>
      </c>
    </row>
    <row r="3" spans="2:21" outlineLevel="1">
      <c r="O3" s="165" t="str">
        <f>""</f>
        <v/>
      </c>
      <c r="R3" s="165" t="str">
        <f>""</f>
        <v/>
      </c>
    </row>
    <row r="4" spans="2:21" outlineLevel="1"/>
    <row r="5" spans="2:21" s="50" customFormat="1" ht="38.25" outlineLevel="1">
      <c r="B5" s="419" t="s">
        <v>1281</v>
      </c>
      <c r="J5" s="419" t="s">
        <v>1275</v>
      </c>
      <c r="K5" s="6"/>
      <c r="L5" s="6"/>
      <c r="O5" s="419" t="s">
        <v>1276</v>
      </c>
      <c r="P5"/>
      <c r="R5" s="419" t="s">
        <v>1282</v>
      </c>
      <c r="U5"/>
    </row>
    <row r="6" spans="2:21" ht="11.1" customHeight="1">
      <c r="L6" s="6"/>
      <c r="P6" s="50"/>
      <c r="U6" s="50"/>
    </row>
    <row r="7" spans="2:21" s="131" customFormat="1" ht="27.95" customHeight="1">
      <c r="B7" s="47" t="s">
        <v>133</v>
      </c>
      <c r="C7" s="47" t="s">
        <v>128</v>
      </c>
      <c r="D7" s="47" t="s">
        <v>129</v>
      </c>
      <c r="E7" s="47" t="s">
        <v>134</v>
      </c>
      <c r="F7" s="47" t="s">
        <v>706</v>
      </c>
      <c r="G7" s="128" t="s">
        <v>130</v>
      </c>
      <c r="H7" s="128" t="s">
        <v>131</v>
      </c>
      <c r="J7" s="47" t="s">
        <v>133</v>
      </c>
      <c r="K7" s="47" t="s">
        <v>706</v>
      </c>
      <c r="L7" s="47" t="s">
        <v>1277</v>
      </c>
      <c r="M7" s="47" t="s">
        <v>1273</v>
      </c>
      <c r="O7" s="47" t="s">
        <v>706</v>
      </c>
      <c r="P7" s="47" t="s">
        <v>1277</v>
      </c>
      <c r="R7" s="47" t="s">
        <v>133</v>
      </c>
      <c r="S7" s="47" t="s">
        <v>128</v>
      </c>
      <c r="T7" s="47" t="s">
        <v>129</v>
      </c>
      <c r="U7" s="50"/>
    </row>
    <row r="8" spans="2:21" ht="33">
      <c r="B8" s="426">
        <v>1</v>
      </c>
      <c r="C8" s="369" t="s">
        <v>1283</v>
      </c>
      <c r="D8" s="371" t="s">
        <v>136</v>
      </c>
      <c r="E8" s="420">
        <f t="shared" ref="E8:E39" si="0" xml:space="preserve"> IFERROR( MATCH($D8, 韻母舒聲碼, 0), "")</f>
        <v>1</v>
      </c>
      <c r="F8" s="411" t="str" cm="1">
        <f t="array" ref="F8" xml:space="preserve"> IF($E8="", "",  INDEX(十五音韻母對照表, $E8, F$1))</f>
        <v>君</v>
      </c>
      <c r="G8" s="25" t="str" cm="1">
        <f t="array" ref="G8" xml:space="preserve"> IF($E8="", "", INDEX(十五音韻母對照表, $E8, G$1))</f>
        <v>un</v>
      </c>
      <c r="H8" s="25" t="str" cm="1">
        <f t="array" ref="H8" xml:space="preserve"> IF($E8="", "",  INDEX(十五音韻母對照表, $E8, H$1))</f>
        <v>ut</v>
      </c>
      <c r="J8" s="413">
        <v>1</v>
      </c>
      <c r="K8" s="350" t="str">
        <f>'十五音-韻母'!C5</f>
        <v>君</v>
      </c>
      <c r="L8" s="410" t="str">
        <f>'十五音-韻母'!D5</f>
        <v>un</v>
      </c>
      <c r="M8" s="425">
        <f xml:space="preserve"> IFERROR( MATCH($L8, $D$8:$D$52, 0), "")</f>
        <v>1</v>
      </c>
      <c r="O8" s="350" t="s">
        <v>159</v>
      </c>
      <c r="P8" s="410" t="s">
        <v>202</v>
      </c>
      <c r="R8" s="46">
        <v>14</v>
      </c>
      <c r="S8" s="369" t="s">
        <v>199</v>
      </c>
      <c r="T8" s="371" t="s">
        <v>1284</v>
      </c>
      <c r="U8" s="50"/>
    </row>
    <row r="9" spans="2:21" ht="33">
      <c r="B9" s="426">
        <v>2</v>
      </c>
      <c r="C9" s="369" t="s">
        <v>1285</v>
      </c>
      <c r="D9" s="371" t="s">
        <v>197</v>
      </c>
      <c r="E9" s="420">
        <f t="shared" si="0"/>
        <v>12</v>
      </c>
      <c r="F9" s="411" t="str" cm="1">
        <f t="array" ref="F9" xml:space="preserve"> IF($E9="", "",  INDEX(十五音韻母對照表, $E9, F$1))</f>
        <v>嬌</v>
      </c>
      <c r="G9" s="25" t="str" cm="1">
        <f t="array" ref="G9" xml:space="preserve"> IF($E9="", "", INDEX(十五音韻母對照表, $E9, G$1))</f>
        <v>iau</v>
      </c>
      <c r="H9" s="25" t="str" cm="1">
        <f t="array" ref="H9" xml:space="preserve"> IF($E9="", "",  INDEX(十五音韻母對照表, $E9, H$1))</f>
        <v>iauh</v>
      </c>
      <c r="J9" s="413">
        <v>2</v>
      </c>
      <c r="K9" s="350" t="str">
        <f>'十五音-韻母'!C6</f>
        <v>堅</v>
      </c>
      <c r="L9" s="410" t="str">
        <f>'十五音-韻母'!D6</f>
        <v>ian</v>
      </c>
      <c r="M9" s="425">
        <f t="shared" ref="M9:M56" si="1" xml:space="preserve"> IFERROR( MATCH($L9, $D$8:$D$57, 0), "")</f>
        <v>22</v>
      </c>
      <c r="O9" s="350" t="s">
        <v>165</v>
      </c>
      <c r="P9" s="410" t="s">
        <v>166</v>
      </c>
      <c r="R9" s="46">
        <v>20</v>
      </c>
      <c r="S9" s="369" t="s">
        <v>1286</v>
      </c>
      <c r="T9" s="371" t="s">
        <v>1287</v>
      </c>
      <c r="U9" s="50"/>
    </row>
    <row r="10" spans="2:21" ht="33">
      <c r="B10" s="426">
        <v>3</v>
      </c>
      <c r="C10" s="369" t="s">
        <v>1288</v>
      </c>
      <c r="D10" s="371" t="s">
        <v>154</v>
      </c>
      <c r="E10" s="420">
        <f t="shared" si="0"/>
        <v>4</v>
      </c>
      <c r="F10" s="411" t="str" cm="1">
        <f t="array" ref="F10" xml:space="preserve"> IF($E10="", "",  INDEX(十五音韻母對照表, $E10, F$1))</f>
        <v>規</v>
      </c>
      <c r="G10" s="25" t="str" cm="1">
        <f t="array" ref="G10" xml:space="preserve"> IF($E10="", "", INDEX(十五音韻母對照表, $E10, G$1))</f>
        <v>ui</v>
      </c>
      <c r="H10" s="25" t="str" cm="1">
        <f t="array" ref="H10" xml:space="preserve"> IF($E10="", "",  INDEX(十五音韻母對照表, $E10, H$1))</f>
        <v>uih</v>
      </c>
      <c r="J10" s="413">
        <v>3</v>
      </c>
      <c r="K10" s="350" t="str">
        <f>'十五音-韻母'!C7</f>
        <v>金</v>
      </c>
      <c r="L10" s="410" t="str">
        <f>'十五音-韻母'!D7</f>
        <v>im</v>
      </c>
      <c r="M10" s="425">
        <f t="shared" si="1"/>
        <v>29</v>
      </c>
      <c r="O10" s="350" t="s">
        <v>206</v>
      </c>
      <c r="P10" s="410" t="s">
        <v>207</v>
      </c>
      <c r="R10" s="46">
        <v>30</v>
      </c>
      <c r="S10" s="369" t="s">
        <v>1289</v>
      </c>
      <c r="T10" s="371" t="s">
        <v>1290</v>
      </c>
      <c r="U10" s="50"/>
    </row>
    <row r="11" spans="2:21" ht="33">
      <c r="B11" s="426">
        <v>4</v>
      </c>
      <c r="C11" s="369" t="s">
        <v>1291</v>
      </c>
      <c r="D11" s="371" t="s">
        <v>230</v>
      </c>
      <c r="E11" s="420">
        <f t="shared" si="0"/>
        <v>20</v>
      </c>
      <c r="F11" s="411" t="str" cm="1">
        <f t="array" ref="F11" xml:space="preserve"> IF($E11="", "",  INDEX(十五音韻母對照表, $E11, F$1))</f>
        <v>瓜</v>
      </c>
      <c r="G11" s="25" t="str" cm="1">
        <f t="array" ref="G11" xml:space="preserve"> IF($E11="", "", INDEX(十五音韻母對照表, $E11, G$1))</f>
        <v>ua</v>
      </c>
      <c r="H11" s="25" t="str" cm="1">
        <f t="array" ref="H11" xml:space="preserve"> IF($E11="", "",  INDEX(十五音韻母對照表, $E11, H$1))</f>
        <v>uah</v>
      </c>
      <c r="J11" s="413">
        <v>4</v>
      </c>
      <c r="K11" s="350" t="str">
        <f>'十五音-韻母'!C8</f>
        <v>規</v>
      </c>
      <c r="L11" s="410" t="str">
        <f>'十五音-韻母'!D8</f>
        <v>ui</v>
      </c>
      <c r="M11" s="425">
        <f t="shared" si="1"/>
        <v>3</v>
      </c>
      <c r="O11" s="350" t="s">
        <v>193</v>
      </c>
      <c r="P11" s="410" t="s">
        <v>194</v>
      </c>
      <c r="R11" s="46">
        <v>35</v>
      </c>
      <c r="S11" s="369" t="s">
        <v>1292</v>
      </c>
      <c r="T11" s="371" t="s">
        <v>305</v>
      </c>
      <c r="U11" s="50"/>
    </row>
    <row r="12" spans="2:21" ht="33">
      <c r="B12" s="426">
        <v>5</v>
      </c>
      <c r="C12" s="369" t="s">
        <v>1293</v>
      </c>
      <c r="D12" s="371" t="s">
        <v>209</v>
      </c>
      <c r="E12" s="420">
        <f t="shared" si="0"/>
        <v>14</v>
      </c>
      <c r="F12" s="411" t="str" cm="1">
        <f t="array" ref="F12" xml:space="preserve"> IF($E12="", "",  INDEX(十五音韻母對照表, $E12, F$1))</f>
        <v>恭</v>
      </c>
      <c r="G12" s="25" t="str" cm="1">
        <f t="array" ref="G12" xml:space="preserve"> IF($E12="", "", INDEX(十五音韻母對照表, $E12, G$1))</f>
        <v>iong</v>
      </c>
      <c r="H12" s="25" t="str" cm="1">
        <f t="array" ref="H12" xml:space="preserve"> IF($E12="", "",  INDEX(十五音韻母對照表, $E12, H$1))</f>
        <v>iok</v>
      </c>
      <c r="J12" s="413">
        <v>5</v>
      </c>
      <c r="K12" s="350" t="str">
        <f>'十五音-韻母'!C9</f>
        <v>嘉</v>
      </c>
      <c r="L12" s="410" t="str">
        <f>'十五音-韻母'!D9</f>
        <v>ee</v>
      </c>
      <c r="M12" s="425" t="str">
        <f t="shared" si="1"/>
        <v/>
      </c>
      <c r="O12" s="350" t="s">
        <v>247</v>
      </c>
      <c r="P12" s="410" t="s">
        <v>250</v>
      </c>
      <c r="R12" s="46">
        <v>39</v>
      </c>
      <c r="S12" s="369" t="s">
        <v>1294</v>
      </c>
      <c r="T12" s="371" t="s">
        <v>1295</v>
      </c>
      <c r="U12" s="50"/>
    </row>
    <row r="13" spans="2:21" ht="33">
      <c r="B13" s="426">
        <v>6</v>
      </c>
      <c r="C13" s="369" t="s">
        <v>1296</v>
      </c>
      <c r="D13" s="371" t="s">
        <v>265</v>
      </c>
      <c r="E13" s="420">
        <f t="shared" si="0"/>
        <v>37</v>
      </c>
      <c r="F13" s="411" t="str" cm="1">
        <f t="array" ref="F13" xml:space="preserve"> IF($E13="", "",  INDEX(十五音韻母對照表, $E13, F$1))</f>
        <v>官</v>
      </c>
      <c r="G13" s="25" t="str" cm="1">
        <f t="array" ref="G13" xml:space="preserve"> IF($E13="", "", INDEX(十五音韻母對照表, $E13, G$1))</f>
        <v>uann</v>
      </c>
      <c r="H13" s="25" t="str" cm="1">
        <f t="array" ref="H13" xml:space="preserve"> IF($E13="", "",  INDEX(十五音韻母對照表, $E13, H$1))</f>
        <v>uannh</v>
      </c>
      <c r="J13" s="413">
        <v>6</v>
      </c>
      <c r="K13" s="350" t="str">
        <f>'十五音-韻母'!C10</f>
        <v>干</v>
      </c>
      <c r="L13" s="410" t="str">
        <f>'十五音-韻母'!D10</f>
        <v>an</v>
      </c>
      <c r="M13" s="425" t="str">
        <f t="shared" si="1"/>
        <v/>
      </c>
      <c r="O13" s="350" t="s">
        <v>276</v>
      </c>
      <c r="P13" s="410" t="s">
        <v>273</v>
      </c>
      <c r="R13" s="46">
        <v>42</v>
      </c>
      <c r="S13" s="369" t="s">
        <v>1297</v>
      </c>
      <c r="T13" s="371" t="s">
        <v>1298</v>
      </c>
      <c r="U13" s="50"/>
    </row>
    <row r="14" spans="2:21" ht="33">
      <c r="B14" s="426">
        <v>7</v>
      </c>
      <c r="C14" s="369" t="s">
        <v>214</v>
      </c>
      <c r="D14" s="371" t="s">
        <v>191</v>
      </c>
      <c r="E14" s="420">
        <f t="shared" si="0"/>
        <v>11</v>
      </c>
      <c r="F14" s="411" t="str" cm="1">
        <f t="array" ref="F14" xml:space="preserve"> IF($E14="", "",  INDEX(十五音韻母對照表, $E14, F$1))</f>
        <v>沽</v>
      </c>
      <c r="G14" s="25" t="str" cm="1">
        <f t="array" ref="G14" xml:space="preserve"> IF($E14="", "", INDEX(十五音韻母對照表, $E14, G$1))</f>
        <v>oo</v>
      </c>
      <c r="H14" s="25" t="str" cm="1">
        <f t="array" ref="H14" xml:space="preserve"> IF($E14="", "",  INDEX(十五音韻母對照表, $E14, H$1))</f>
        <v>ooh</v>
      </c>
      <c r="J14" s="413">
        <v>7</v>
      </c>
      <c r="K14" s="350" t="str">
        <f>'十五音-韻母'!C11</f>
        <v>公</v>
      </c>
      <c r="L14" s="410" t="str">
        <f>'十五音-韻母'!D11</f>
        <v>ong</v>
      </c>
      <c r="M14" s="425">
        <f t="shared" si="1"/>
        <v>11</v>
      </c>
      <c r="O14" s="350" t="s">
        <v>267</v>
      </c>
      <c r="P14" s="410" t="s">
        <v>268</v>
      </c>
    </row>
    <row r="15" spans="2:21" ht="33">
      <c r="B15" s="426">
        <v>8</v>
      </c>
      <c r="C15" s="369" t="s">
        <v>1299</v>
      </c>
      <c r="D15" s="371" t="s">
        <v>181</v>
      </c>
      <c r="E15" s="420">
        <f t="shared" si="0"/>
        <v>9</v>
      </c>
      <c r="F15" s="411" t="str" cm="1">
        <f t="array" ref="F15" xml:space="preserve"> IF($E15="", "",  INDEX(十五音韻母對照表, $E15, F$1))</f>
        <v>經</v>
      </c>
      <c r="G15" s="25" t="str" cm="1">
        <f t="array" ref="G15" xml:space="preserve"> IF($E15="", "", INDEX(十五音韻母對照表, $E15, G$1))</f>
        <v>ing</v>
      </c>
      <c r="H15" s="25" t="str" cm="1">
        <f t="array" ref="H15" xml:space="preserve"> IF($E15="", "",  INDEX(十五音韻母對照表, $E15, H$1))</f>
        <v>ik</v>
      </c>
      <c r="J15" s="413">
        <v>8</v>
      </c>
      <c r="K15" s="350" t="str">
        <f>'十五音-韻母'!C12</f>
        <v>乖</v>
      </c>
      <c r="L15" s="410" t="str">
        <f>'十五音-韻母'!D12</f>
        <v>uai</v>
      </c>
      <c r="M15" s="425">
        <f t="shared" si="1"/>
        <v>32</v>
      </c>
      <c r="O15" s="350" t="s">
        <v>255</v>
      </c>
      <c r="P15" s="410" t="s">
        <v>248</v>
      </c>
    </row>
    <row r="16" spans="2:21" ht="33">
      <c r="B16" s="426">
        <v>9</v>
      </c>
      <c r="C16" s="369" t="s">
        <v>1300</v>
      </c>
      <c r="D16" s="371" t="s">
        <v>239</v>
      </c>
      <c r="E16" s="420">
        <f t="shared" si="0"/>
        <v>25</v>
      </c>
      <c r="F16" s="411" t="str" cm="1">
        <f t="array" ref="F16" xml:space="preserve"> IF($E16="", "",  INDEX(十五音韻母對照表, $E16, F$1))</f>
        <v>檜</v>
      </c>
      <c r="G16" s="25" t="str" cm="1">
        <f t="array" ref="G16" xml:space="preserve"> IF($E16="", "", INDEX(十五音韻母對照表, $E16, G$1))</f>
        <v>ue</v>
      </c>
      <c r="H16" s="25" t="str" cm="1">
        <f t="array" ref="H16" xml:space="preserve"> IF($E16="", "",  INDEX(十五音韻母對照表, $E16, H$1))</f>
        <v>ueh</v>
      </c>
      <c r="J16" s="413">
        <v>9</v>
      </c>
      <c r="K16" s="350" t="str">
        <f>'十五音-韻母'!C13</f>
        <v>經</v>
      </c>
      <c r="L16" s="410" t="str">
        <f>'十五音-韻母'!D13</f>
        <v>ing</v>
      </c>
      <c r="M16" s="425">
        <f t="shared" si="1"/>
        <v>8</v>
      </c>
    </row>
    <row r="17" spans="2:13" ht="33">
      <c r="B17" s="426">
        <v>10</v>
      </c>
      <c r="C17" s="369" t="s">
        <v>1301</v>
      </c>
      <c r="D17" s="371" t="s">
        <v>227</v>
      </c>
      <c r="E17" s="420">
        <f t="shared" si="0"/>
        <v>18</v>
      </c>
      <c r="F17" s="411" t="str" cm="1">
        <f t="array" ref="F17" xml:space="preserve"> IF($E17="", "",  INDEX(十五音韻母對照表, $E17, F$1))</f>
        <v>姜</v>
      </c>
      <c r="G17" s="25" t="str" cm="1">
        <f t="array" ref="G17" xml:space="preserve"> IF($E17="", "", INDEX(十五音韻母對照表, $E17, G$1))</f>
        <v>iang</v>
      </c>
      <c r="H17" s="25" t="str" cm="1">
        <f t="array" ref="H17" xml:space="preserve"> IF($E17="", "",  INDEX(十五音韻母對照表, $E17, H$1))</f>
        <v>iak</v>
      </c>
      <c r="J17" s="413">
        <v>10</v>
      </c>
      <c r="K17" s="350" t="str">
        <f>'十五音-韻母'!C14</f>
        <v>觀</v>
      </c>
      <c r="L17" s="410" t="str">
        <f>'十五音-韻母'!D14</f>
        <v>uan</v>
      </c>
      <c r="M17" s="425">
        <f t="shared" si="1"/>
        <v>31</v>
      </c>
    </row>
    <row r="18" spans="2:13" ht="33">
      <c r="B18" s="426">
        <v>11</v>
      </c>
      <c r="C18" s="369" t="s">
        <v>566</v>
      </c>
      <c r="D18" s="371" t="s">
        <v>169</v>
      </c>
      <c r="E18" s="420">
        <f t="shared" si="0"/>
        <v>7</v>
      </c>
      <c r="F18" s="411" t="str" cm="1">
        <f t="array" ref="F18" xml:space="preserve"> IF($E18="", "",  INDEX(十五音韻母對照表, $E18, F$1))</f>
        <v>公</v>
      </c>
      <c r="G18" s="25" t="str" cm="1">
        <f t="array" ref="G18" xml:space="preserve"> IF($E18="", "", INDEX(十五音韻母對照表, $E18, G$1))</f>
        <v>ong</v>
      </c>
      <c r="H18" s="25" t="str" cm="1">
        <f t="array" ref="H18" xml:space="preserve"> IF($E18="", "",  INDEX(十五音韻母對照表, $E18, H$1))</f>
        <v>ok</v>
      </c>
      <c r="J18" s="413">
        <v>11</v>
      </c>
      <c r="K18" s="350" t="str">
        <f>'十五音-韻母'!C15</f>
        <v>沽</v>
      </c>
      <c r="L18" s="410" t="str">
        <f>'十五音-韻母'!D15</f>
        <v>oo</v>
      </c>
      <c r="M18" s="425">
        <f t="shared" si="1"/>
        <v>7</v>
      </c>
    </row>
    <row r="19" spans="2:13" ht="33">
      <c r="B19" s="426">
        <v>12</v>
      </c>
      <c r="C19" s="369" t="s">
        <v>1302</v>
      </c>
      <c r="D19" s="371" t="s">
        <v>178</v>
      </c>
      <c r="E19" s="420">
        <f t="shared" si="0"/>
        <v>23</v>
      </c>
      <c r="F19" s="411" t="str" cm="1">
        <f t="array" ref="F19" xml:space="preserve"> IF($E19="", "",  INDEX(十五音韻母對照表, $E19, F$1))</f>
        <v>交</v>
      </c>
      <c r="G19" s="25" t="str" cm="1">
        <f t="array" ref="G19" xml:space="preserve"> IF($E19="", "", INDEX(十五音韻母對照表, $E19, G$1))</f>
        <v>au</v>
      </c>
      <c r="H19" s="25" t="str" cm="1">
        <f t="array" ref="H19" xml:space="preserve"> IF($E19="", "",  INDEX(十五音韻母對照表, $E19, H$1))</f>
        <v>auh</v>
      </c>
      <c r="J19" s="413">
        <v>12</v>
      </c>
      <c r="K19" s="350" t="str">
        <f>'十五音-韻母'!C16</f>
        <v>嬌</v>
      </c>
      <c r="L19" s="410" t="str">
        <f>'十五音-韻母'!D16</f>
        <v>iau</v>
      </c>
      <c r="M19" s="425">
        <f t="shared" si="1"/>
        <v>2</v>
      </c>
    </row>
    <row r="20" spans="2:13" ht="33">
      <c r="B20" s="426">
        <v>13</v>
      </c>
      <c r="C20" s="369" t="s">
        <v>1303</v>
      </c>
      <c r="D20" s="371" t="s">
        <v>151</v>
      </c>
      <c r="E20" s="420">
        <f t="shared" si="0"/>
        <v>16</v>
      </c>
      <c r="F20" s="411" t="str" cm="1">
        <f t="array" ref="F20" xml:space="preserve"> IF($E20="", "",  INDEX(十五音韻母對照表, $E20, F$1))</f>
        <v>皆</v>
      </c>
      <c r="G20" s="25" t="str" cm="1">
        <f t="array" ref="G20" xml:space="preserve"> IF($E20="", "", INDEX(十五音韻母對照表, $E20, G$1))</f>
        <v>ai</v>
      </c>
      <c r="H20" s="25" t="str" cm="1">
        <f t="array" ref="H20" xml:space="preserve"> IF($E20="", "",  INDEX(十五音韻母對照表, $E20, H$1))</f>
        <v>aih</v>
      </c>
      <c r="J20" s="413">
        <v>13</v>
      </c>
      <c r="K20" s="350" t="str">
        <f>'十五音-韻母'!C17</f>
        <v>稽</v>
      </c>
      <c r="L20" s="410" t="str">
        <f>'十五音-韻母'!D17</f>
        <v>ei</v>
      </c>
      <c r="M20" s="425" t="str">
        <f t="shared" si="1"/>
        <v/>
      </c>
    </row>
    <row r="21" spans="2:13" ht="33">
      <c r="B21" s="426">
        <v>14</v>
      </c>
      <c r="C21" s="369" t="s">
        <v>199</v>
      </c>
      <c r="D21" s="371" t="s">
        <v>1284</v>
      </c>
      <c r="E21" s="420" t="str">
        <f t="shared" si="0"/>
        <v/>
      </c>
      <c r="F21" s="411" t="str" cm="1">
        <f t="array" ref="F21" xml:space="preserve"> IF($E21="", "",  INDEX(十五音韻母對照表, $E21, F$1))</f>
        <v/>
      </c>
      <c r="G21" s="25" t="str" cm="1">
        <f t="array" ref="G21" xml:space="preserve"> IF($E21="", "", INDEX(十五音韻母對照表, $E21, G$1))</f>
        <v/>
      </c>
      <c r="H21" s="25" t="str" cm="1">
        <f t="array" ref="H21" xml:space="preserve"> IF($E21="", "",  INDEX(十五音韻母對照表, $E21, H$1))</f>
        <v/>
      </c>
      <c r="J21" s="413">
        <v>14</v>
      </c>
      <c r="K21" s="350" t="str">
        <f>'十五音-韻母'!C18</f>
        <v>恭</v>
      </c>
      <c r="L21" s="410" t="str">
        <f>'十五音-韻母'!D18</f>
        <v>iong</v>
      </c>
      <c r="M21" s="425">
        <f t="shared" si="1"/>
        <v>5</v>
      </c>
    </row>
    <row r="22" spans="2:13" ht="33">
      <c r="B22" s="426">
        <v>15</v>
      </c>
      <c r="C22" s="369" t="s">
        <v>1304</v>
      </c>
      <c r="D22" s="371" t="s">
        <v>245</v>
      </c>
      <c r="E22" s="420">
        <f t="shared" si="0"/>
        <v>27</v>
      </c>
      <c r="F22" s="411" t="str" cm="1">
        <f t="array" ref="F22" xml:space="preserve"> IF($E22="", "",  INDEX(十五音韻母對照表, $E22, F$1))</f>
        <v>艍</v>
      </c>
      <c r="G22" s="25" t="str" cm="1">
        <f t="array" ref="G22" xml:space="preserve"> IF($E22="", "", INDEX(十五音韻母對照表, $E22, G$1))</f>
        <v>u</v>
      </c>
      <c r="H22" s="25" t="str" cm="1">
        <f t="array" ref="H22" xml:space="preserve"> IF($E22="", "",  INDEX(十五音韻母對照表, $E22, H$1))</f>
        <v>uh</v>
      </c>
      <c r="J22" s="413">
        <v>15</v>
      </c>
      <c r="K22" s="350" t="str">
        <f>'十五音-韻母'!C19</f>
        <v>高</v>
      </c>
      <c r="L22" s="410" t="str">
        <f>'十五音-韻母'!D19</f>
        <v>o</v>
      </c>
      <c r="M22" s="425">
        <f t="shared" si="1"/>
        <v>38</v>
      </c>
    </row>
    <row r="23" spans="2:13" ht="33">
      <c r="B23" s="426">
        <v>16</v>
      </c>
      <c r="C23" s="369" t="s">
        <v>159</v>
      </c>
      <c r="D23" s="371" t="s">
        <v>139</v>
      </c>
      <c r="E23" s="420">
        <f t="shared" si="0"/>
        <v>28</v>
      </c>
      <c r="F23" s="411" t="str" cm="1">
        <f t="array" ref="F23" xml:space="preserve"> IF($E23="", "",  INDEX(十五音韻母對照表, $E23, F$1))</f>
        <v>膠</v>
      </c>
      <c r="G23" s="25" t="str" cm="1">
        <f t="array" ref="G23" xml:space="preserve"> IF($E23="", "", INDEX(十五音韻母對照表, $E23, G$1))</f>
        <v>a</v>
      </c>
      <c r="H23" s="25" t="str" cm="1">
        <f t="array" ref="H23" xml:space="preserve"> IF($E23="", "",  INDEX(十五音韻母對照表, $E23, H$1))</f>
        <v>ah</v>
      </c>
      <c r="J23" s="413">
        <v>16</v>
      </c>
      <c r="K23" s="350" t="str">
        <f>'十五音-韻母'!C20</f>
        <v>皆</v>
      </c>
      <c r="L23" s="410" t="str">
        <f>'十五音-韻母'!D20</f>
        <v>ai</v>
      </c>
      <c r="M23" s="425">
        <f t="shared" si="1"/>
        <v>13</v>
      </c>
    </row>
    <row r="24" spans="2:13" ht="33">
      <c r="B24" s="426">
        <v>17</v>
      </c>
      <c r="C24" s="369" t="s">
        <v>1305</v>
      </c>
      <c r="D24" s="371" t="s">
        <v>224</v>
      </c>
      <c r="E24" s="420">
        <f t="shared" si="0"/>
        <v>17</v>
      </c>
      <c r="F24" s="411" t="str" cm="1">
        <f t="array" ref="F24" xml:space="preserve"> IF($E24="", "",  INDEX(十五音韻母對照表, $E24, F$1))</f>
        <v>巾</v>
      </c>
      <c r="G24" s="25" t="str" cm="1">
        <f t="array" ref="G24" xml:space="preserve"> IF($E24="", "", INDEX(十五音韻母對照表, $E24, G$1))</f>
        <v>in</v>
      </c>
      <c r="H24" s="25" t="str" cm="1">
        <f t="array" ref="H24" xml:space="preserve"> IF($E24="", "",  INDEX(十五音韻母對照表, $E24, H$1))</f>
        <v>it</v>
      </c>
      <c r="J24" s="413">
        <v>17</v>
      </c>
      <c r="K24" s="350" t="str">
        <f>'十五音-韻母'!C21</f>
        <v>巾</v>
      </c>
      <c r="L24" s="410" t="str">
        <f>'十五音-韻母'!D21</f>
        <v>in</v>
      </c>
      <c r="M24" s="425">
        <f t="shared" si="1"/>
        <v>17</v>
      </c>
    </row>
    <row r="25" spans="2:13" ht="33">
      <c r="B25" s="426">
        <v>18</v>
      </c>
      <c r="C25" s="369" t="s">
        <v>1306</v>
      </c>
      <c r="D25" s="371" t="s">
        <v>258</v>
      </c>
      <c r="E25" s="420">
        <f t="shared" si="0"/>
        <v>49</v>
      </c>
      <c r="F25" s="411" t="str" cm="1">
        <f t="array" ref="F25" xml:space="preserve"> IF($E25="", "",  INDEX(十五音韻母對照表, $E25, F$1))</f>
        <v>扛</v>
      </c>
      <c r="G25" s="25" t="str" cm="1">
        <f t="array" ref="G25" xml:space="preserve"> IF($E25="", "", INDEX(十五音韻母對照表, $E25, G$1))</f>
        <v>onn</v>
      </c>
      <c r="H25" s="25" t="str" cm="1">
        <f t="array" ref="H25" xml:space="preserve"> IF($E25="", "",  INDEX(十五音韻母對照表, $E25, H$1))</f>
        <v>onnh</v>
      </c>
      <c r="J25" s="413">
        <v>18</v>
      </c>
      <c r="K25" s="350" t="str">
        <f>'十五音-韻母'!C22</f>
        <v>姜</v>
      </c>
      <c r="L25" s="410" t="str">
        <f>'十五音-韻母'!D22</f>
        <v>iang</v>
      </c>
      <c r="M25" s="425">
        <f t="shared" si="1"/>
        <v>10</v>
      </c>
    </row>
    <row r="26" spans="2:13" ht="33">
      <c r="B26" s="426">
        <v>19</v>
      </c>
      <c r="C26" s="369" t="s">
        <v>1307</v>
      </c>
      <c r="D26" s="371" t="s">
        <v>212</v>
      </c>
      <c r="E26" s="420">
        <f t="shared" si="0"/>
        <v>24</v>
      </c>
      <c r="F26" s="411" t="str" cm="1">
        <f t="array" ref="F26" xml:space="preserve"> IF($E26="", "",  INDEX(十五音韻母對照表, $E26, F$1))</f>
        <v>迦</v>
      </c>
      <c r="G26" s="25" t="str" cm="1">
        <f t="array" ref="G26" xml:space="preserve"> IF($E26="", "", INDEX(十五音韻母對照表, $E26, G$1))</f>
        <v>ia</v>
      </c>
      <c r="H26" s="25" t="str" cm="1">
        <f t="array" ref="H26" xml:space="preserve"> IF($E26="", "",  INDEX(十五音韻母對照表, $E26, H$1))</f>
        <v>iah</v>
      </c>
      <c r="J26" s="413">
        <v>19</v>
      </c>
      <c r="K26" s="350" t="str">
        <f>'十五音-韻母'!C23</f>
        <v>甘</v>
      </c>
      <c r="L26" s="410" t="str">
        <f>'十五音-韻母'!D23</f>
        <v>am</v>
      </c>
      <c r="M26" s="425">
        <f t="shared" si="1"/>
        <v>23</v>
      </c>
    </row>
    <row r="27" spans="2:13" ht="33">
      <c r="B27" s="426">
        <v>20</v>
      </c>
      <c r="C27" s="369" t="s">
        <v>1286</v>
      </c>
      <c r="D27" s="371" t="s">
        <v>1287</v>
      </c>
      <c r="E27" s="420" t="str">
        <f t="shared" si="0"/>
        <v/>
      </c>
      <c r="F27" s="411" t="str" cm="1">
        <f t="array" ref="F27" xml:space="preserve"> IF($E27="", "",  INDEX(十五音韻母對照表, $E27, F$1))</f>
        <v/>
      </c>
      <c r="G27" s="25" t="str" cm="1">
        <f t="array" ref="G27" xml:space="preserve"> IF($E27="", "", INDEX(十五音韻母對照表, $E27, G$1))</f>
        <v/>
      </c>
      <c r="H27" s="25" t="str" cm="1">
        <f t="array" ref="H27" xml:space="preserve"> IF($E27="", "",  INDEX(十五音韻母對照表, $E27, H$1))</f>
        <v/>
      </c>
      <c r="J27" s="413">
        <v>20</v>
      </c>
      <c r="K27" s="350" t="str">
        <f>'十五音-韻母'!C24</f>
        <v>瓜</v>
      </c>
      <c r="L27" s="410" t="str">
        <f>'十五音-韻母'!D24</f>
        <v>ua</v>
      </c>
      <c r="M27" s="425">
        <f t="shared" si="1"/>
        <v>4</v>
      </c>
    </row>
    <row r="28" spans="2:13" ht="33">
      <c r="B28" s="426">
        <v>21</v>
      </c>
      <c r="C28" s="369" t="s">
        <v>1308</v>
      </c>
      <c r="D28" s="371" t="s">
        <v>160</v>
      </c>
      <c r="E28" s="420">
        <f t="shared" si="0"/>
        <v>39</v>
      </c>
      <c r="F28" s="411" t="str" cm="1">
        <f t="array" ref="F28" xml:space="preserve"> IF($E28="", "",  INDEX(十五音韻母對照表, $E28, F$1))</f>
        <v>伽</v>
      </c>
      <c r="G28" s="25" t="str" cm="1">
        <f t="array" ref="G28" xml:space="preserve"> IF($E28="", "", INDEX(十五音韻母對照表, $E28, G$1))</f>
        <v>e</v>
      </c>
      <c r="H28" s="25" t="str" cm="1">
        <f t="array" ref="H28" xml:space="preserve"> IF($E28="", "",  INDEX(十五音韻母對照表, $E28, H$1))</f>
        <v>eh</v>
      </c>
      <c r="J28" s="413">
        <v>21</v>
      </c>
      <c r="K28" s="350" t="str">
        <f>'十五音-韻母'!C25</f>
        <v>江</v>
      </c>
      <c r="L28" s="410" t="str">
        <f>'十五音-韻母'!D25</f>
        <v>ang</v>
      </c>
      <c r="M28" s="425">
        <f t="shared" si="1"/>
        <v>26</v>
      </c>
    </row>
    <row r="29" spans="2:13" ht="33">
      <c r="B29" s="426">
        <v>22</v>
      </c>
      <c r="C29" s="369" t="s">
        <v>1309</v>
      </c>
      <c r="D29" s="371" t="s">
        <v>142</v>
      </c>
      <c r="E29" s="420">
        <f t="shared" si="0"/>
        <v>2</v>
      </c>
      <c r="F29" s="411" t="str" cm="1">
        <f t="array" ref="F29" xml:space="preserve"> IF($E29="", "",  INDEX(十五音韻母對照表, $E29, F$1))</f>
        <v>堅</v>
      </c>
      <c r="G29" s="25" t="str" cm="1">
        <f t="array" ref="G29" xml:space="preserve"> IF($E29="", "", INDEX(十五音韻母對照表, $E29, G$1))</f>
        <v>ian</v>
      </c>
      <c r="H29" s="25" t="str" cm="1">
        <f t="array" ref="H29" xml:space="preserve"> IF($E29="", "",  INDEX(十五音韻母對照表, $E29, H$1))</f>
        <v>iat</v>
      </c>
      <c r="J29" s="413">
        <v>22</v>
      </c>
      <c r="K29" s="350" t="str">
        <f>'十五音-韻母'!C26</f>
        <v>兼</v>
      </c>
      <c r="L29" s="410" t="str">
        <f>'十五音-韻母'!D26</f>
        <v>iam</v>
      </c>
      <c r="M29" s="425">
        <f t="shared" si="1"/>
        <v>33</v>
      </c>
    </row>
    <row r="30" spans="2:13" ht="33">
      <c r="B30" s="426">
        <v>23</v>
      </c>
      <c r="C30" s="369" t="s">
        <v>1310</v>
      </c>
      <c r="D30" s="371" t="s">
        <v>163</v>
      </c>
      <c r="E30" s="420">
        <f t="shared" si="0"/>
        <v>19</v>
      </c>
      <c r="F30" s="411" t="str" cm="1">
        <f t="array" ref="F30" xml:space="preserve"> IF($E30="", "",  INDEX(十五音韻母對照表, $E30, F$1))</f>
        <v>甘</v>
      </c>
      <c r="G30" s="25" t="str" cm="1">
        <f t="array" ref="G30" xml:space="preserve"> IF($E30="", "", INDEX(十五音韻母對照表, $E30, G$1))</f>
        <v>am</v>
      </c>
      <c r="H30" s="25" t="str" cm="1">
        <f t="array" ref="H30" xml:space="preserve"> IF($E30="", "",  INDEX(十五音韻母對照表, $E30, H$1))</f>
        <v>ap</v>
      </c>
      <c r="J30" s="413">
        <v>23</v>
      </c>
      <c r="K30" s="350" t="str">
        <f>'十五音-韻母'!C27</f>
        <v>交</v>
      </c>
      <c r="L30" s="410" t="str">
        <f>'十五音-韻母'!D27</f>
        <v>au</v>
      </c>
      <c r="M30" s="425">
        <f t="shared" si="1"/>
        <v>12</v>
      </c>
    </row>
    <row r="31" spans="2:13" ht="33">
      <c r="B31" s="426">
        <v>24</v>
      </c>
      <c r="C31" s="369" t="s">
        <v>1311</v>
      </c>
      <c r="D31" s="371" t="s">
        <v>242</v>
      </c>
      <c r="E31" s="420">
        <f t="shared" si="0"/>
        <v>30</v>
      </c>
      <c r="F31" s="411" t="str" cm="1">
        <f t="array" ref="F31" xml:space="preserve"> IF($E31="", "",  INDEX(十五音韻母對照表, $E31, F$1))</f>
        <v>丩</v>
      </c>
      <c r="G31" s="25" t="str" cm="1">
        <f t="array" ref="G31" xml:space="preserve"> IF($E31="", "", INDEX(十五音韻母對照表, $E31, G$1))</f>
        <v>iu</v>
      </c>
      <c r="H31" s="25" t="str" cm="1">
        <f t="array" ref="H31" xml:space="preserve"> IF($E31="", "",  INDEX(十五音韻母對照表, $E31, H$1))</f>
        <v>iuh</v>
      </c>
      <c r="J31" s="413">
        <v>24</v>
      </c>
      <c r="K31" s="350" t="str">
        <f>'十五音-韻母'!C28</f>
        <v>迦</v>
      </c>
      <c r="L31" s="410" t="str">
        <f>'十五音-韻母'!D28</f>
        <v>ia</v>
      </c>
      <c r="M31" s="425">
        <f t="shared" si="1"/>
        <v>19</v>
      </c>
    </row>
    <row r="32" spans="2:13" ht="33">
      <c r="B32" s="426">
        <v>25</v>
      </c>
      <c r="C32" s="369" t="s">
        <v>261</v>
      </c>
      <c r="D32" s="371" t="s">
        <v>262</v>
      </c>
      <c r="E32" s="420">
        <f t="shared" si="0"/>
        <v>47</v>
      </c>
      <c r="F32" s="411" t="str" cm="1">
        <f t="array" ref="F32" xml:space="preserve"> IF($E32="", "",  INDEX(十五音韻母對照表, $E32, F$1))</f>
        <v>箴</v>
      </c>
      <c r="G32" s="25" t="str" cm="1">
        <f t="array" ref="G32" xml:space="preserve"> IF($E32="", "", INDEX(十五音韻母對照表, $E32, G$1))</f>
        <v>om</v>
      </c>
      <c r="H32" s="25" t="str" cm="1">
        <f t="array" ref="H32" xml:space="preserve"> IF($E32="", "",  INDEX(十五音韻母對照表, $E32, H$1))</f>
        <v>op</v>
      </c>
      <c r="J32" s="413">
        <v>25</v>
      </c>
      <c r="K32" s="350" t="str">
        <f>'十五音-韻母'!C29</f>
        <v>檜</v>
      </c>
      <c r="L32" s="410" t="str">
        <f>'十五音-韻母'!D29</f>
        <v>ue</v>
      </c>
      <c r="M32" s="425">
        <f t="shared" si="1"/>
        <v>9</v>
      </c>
    </row>
    <row r="33" spans="2:13" ht="33">
      <c r="B33" s="426">
        <v>26</v>
      </c>
      <c r="C33" s="369" t="s">
        <v>171</v>
      </c>
      <c r="D33" s="371" t="s">
        <v>172</v>
      </c>
      <c r="E33" s="420">
        <f t="shared" si="0"/>
        <v>21</v>
      </c>
      <c r="F33" s="411" t="str" cm="1">
        <f t="array" ref="F33" xml:space="preserve"> IF($E33="", "",  INDEX(十五音韻母對照表, $E33, F$1))</f>
        <v>江</v>
      </c>
      <c r="G33" s="25" t="str" cm="1">
        <f t="array" ref="G33" xml:space="preserve"> IF($E33="", "", INDEX(十五音韻母對照表, $E33, G$1))</f>
        <v>ang</v>
      </c>
      <c r="H33" s="25" t="str" cm="1">
        <f t="array" ref="H33" xml:space="preserve"> IF($E33="", "",  INDEX(十五音韻母對照表, $E33, H$1))</f>
        <v>ak</v>
      </c>
      <c r="J33" s="413">
        <v>26</v>
      </c>
      <c r="K33" s="350" t="str">
        <f>'十五音-韻母'!C30</f>
        <v>監</v>
      </c>
      <c r="L33" s="410" t="str">
        <f>'十五音-韻母'!D30</f>
        <v>ann</v>
      </c>
      <c r="M33" s="425">
        <f t="shared" si="1"/>
        <v>48</v>
      </c>
    </row>
    <row r="34" spans="2:13" ht="33">
      <c r="B34" s="426">
        <v>27</v>
      </c>
      <c r="C34" s="369" t="s">
        <v>277</v>
      </c>
      <c r="D34" s="371" t="s">
        <v>278</v>
      </c>
      <c r="E34" s="420">
        <f t="shared" si="0"/>
        <v>32</v>
      </c>
      <c r="F34" s="411" t="str" cm="1">
        <f t="array" ref="F34" xml:space="preserve"> IF($E34="", "",  INDEX(十五音韻母對照表, $E34, F$1))</f>
        <v>褌</v>
      </c>
      <c r="G34" s="25" t="str" cm="1">
        <f t="array" ref="G34" xml:space="preserve"> IF($E34="", "", INDEX(十五音韻母對照表, $E34, G$1))</f>
        <v>uinn</v>
      </c>
      <c r="H34" s="25" t="str" cm="1">
        <f t="array" ref="H34" xml:space="preserve"> IF($E34="", "",  INDEX(十五音韻母對照表, $E34, H$1))</f>
        <v>uinnh</v>
      </c>
      <c r="J34" s="413">
        <v>27</v>
      </c>
      <c r="K34" s="350" t="str">
        <f>'十五音-韻母'!C31</f>
        <v>艍</v>
      </c>
      <c r="L34" s="410" t="str">
        <f>'十五音-韻母'!D31</f>
        <v>u</v>
      </c>
      <c r="M34" s="425">
        <f t="shared" si="1"/>
        <v>15</v>
      </c>
    </row>
    <row r="35" spans="2:13" ht="33">
      <c r="B35" s="426">
        <v>28</v>
      </c>
      <c r="C35" s="369" t="s">
        <v>1312</v>
      </c>
      <c r="D35" s="371" t="s">
        <v>163</v>
      </c>
      <c r="E35" s="420">
        <f t="shared" si="0"/>
        <v>19</v>
      </c>
      <c r="F35" s="411" t="str" cm="1">
        <f t="array" ref="F35" xml:space="preserve"> IF($E35="", "",  INDEX(十五音韻母對照表, $E35, F$1))</f>
        <v>甘</v>
      </c>
      <c r="G35" s="25" t="str" cm="1">
        <f t="array" ref="G35" xml:space="preserve"> IF($E35="", "", INDEX(十五音韻母對照表, $E35, G$1))</f>
        <v>am</v>
      </c>
      <c r="H35" s="25" t="str" cm="1">
        <f t="array" ref="H35" xml:space="preserve"> IF($E35="", "",  INDEX(十五音韻母對照表, $E35, H$1))</f>
        <v>ap</v>
      </c>
      <c r="J35" s="413">
        <v>28</v>
      </c>
      <c r="K35" s="350" t="str">
        <f>'十五音-韻母'!C32</f>
        <v>膠</v>
      </c>
      <c r="L35" s="410" t="str">
        <f>'十五音-韻母'!D32</f>
        <v>a</v>
      </c>
      <c r="M35" s="425">
        <f t="shared" si="1"/>
        <v>16</v>
      </c>
    </row>
    <row r="36" spans="2:13" ht="33">
      <c r="B36" s="426">
        <v>29</v>
      </c>
      <c r="C36" s="369" t="s">
        <v>147</v>
      </c>
      <c r="D36" s="371" t="s">
        <v>148</v>
      </c>
      <c r="E36" s="420">
        <f t="shared" si="0"/>
        <v>3</v>
      </c>
      <c r="F36" s="411" t="str" cm="1">
        <f t="array" ref="F36" xml:space="preserve"> IF($E36="", "",  INDEX(十五音韻母對照表, $E36, F$1))</f>
        <v>金</v>
      </c>
      <c r="G36" s="25" t="str" cm="1">
        <f t="array" ref="G36" xml:space="preserve"> IF($E36="", "", INDEX(十五音韻母對照表, $E36, G$1))</f>
        <v>im</v>
      </c>
      <c r="H36" s="25" t="str" cm="1">
        <f t="array" ref="H36" xml:space="preserve"> IF($E36="", "",  INDEX(十五音韻母對照表, $E36, H$1))</f>
        <v>ip</v>
      </c>
      <c r="J36" s="413">
        <v>29</v>
      </c>
      <c r="K36" s="350" t="str">
        <f>'十五音-韻母'!C33</f>
        <v>居</v>
      </c>
      <c r="L36" s="410" t="str">
        <f>'十五音-韻母'!D33</f>
        <v>i</v>
      </c>
      <c r="M36" s="425">
        <f t="shared" si="1"/>
        <v>36</v>
      </c>
    </row>
    <row r="37" spans="2:13" ht="33">
      <c r="B37" s="426">
        <v>30</v>
      </c>
      <c r="C37" s="369" t="s">
        <v>1289</v>
      </c>
      <c r="D37" s="371" t="s">
        <v>1290</v>
      </c>
      <c r="E37" s="420" t="str">
        <f t="shared" si="0"/>
        <v/>
      </c>
      <c r="F37" s="411" t="str" cm="1">
        <f t="array" ref="F37" xml:space="preserve"> IF($E37="", "",  INDEX(十五音韻母對照表, $E37, F$1))</f>
        <v/>
      </c>
      <c r="G37" s="25" t="str" cm="1">
        <f t="array" ref="G37" xml:space="preserve"> IF($E37="", "", INDEX(十五音韻母對照表, $E37, G$1))</f>
        <v/>
      </c>
      <c r="H37" s="25" t="str" cm="1">
        <f t="array" ref="H37" xml:space="preserve"> IF($E37="", "",  INDEX(十五音韻母對照表, $E37, H$1))</f>
        <v/>
      </c>
      <c r="J37" s="413">
        <v>30</v>
      </c>
      <c r="K37" s="350" t="str">
        <f>'十五音-韻母'!C34</f>
        <v>丩</v>
      </c>
      <c r="L37" s="410" t="str">
        <f>'十五音-韻母'!D34</f>
        <v>iu</v>
      </c>
      <c r="M37" s="425">
        <f t="shared" si="1"/>
        <v>24</v>
      </c>
    </row>
    <row r="38" spans="2:13" ht="33">
      <c r="B38" s="426">
        <v>31</v>
      </c>
      <c r="C38" s="370" t="s">
        <v>1313</v>
      </c>
      <c r="D38" s="371" t="s">
        <v>187</v>
      </c>
      <c r="E38" s="420">
        <f t="shared" si="0"/>
        <v>10</v>
      </c>
      <c r="F38" s="411" t="str" cm="1">
        <f t="array" ref="F38" xml:space="preserve"> IF($E38="", "",  INDEX(十五音韻母對照表, $E38, F$1))</f>
        <v>觀</v>
      </c>
      <c r="G38" s="25" t="str" cm="1">
        <f t="array" ref="G38" xml:space="preserve"> IF($E38="", "", INDEX(十五音韻母對照表, $E38, G$1))</f>
        <v>uan</v>
      </c>
      <c r="H38" s="25" t="str" cm="1">
        <f t="array" ref="H38" xml:space="preserve"> IF($E38="", "",  INDEX(十五音韻母對照表, $E38, H$1))</f>
        <v>uat</v>
      </c>
      <c r="J38" s="413">
        <v>31</v>
      </c>
      <c r="K38" s="350" t="str">
        <f>'十五音-韻母'!C35</f>
        <v>更</v>
      </c>
      <c r="L38" s="410" t="str">
        <f>'十五音-韻母'!D35</f>
        <v>enn</v>
      </c>
      <c r="M38" s="425" t="str">
        <f t="shared" si="1"/>
        <v/>
      </c>
    </row>
    <row r="39" spans="2:13" ht="33">
      <c r="B39" s="426">
        <v>32</v>
      </c>
      <c r="C39" s="369" t="s">
        <v>174</v>
      </c>
      <c r="D39" s="371" t="s">
        <v>175</v>
      </c>
      <c r="E39" s="420">
        <f t="shared" si="0"/>
        <v>8</v>
      </c>
      <c r="F39" s="411" t="str" cm="1">
        <f t="array" ref="F39" xml:space="preserve"> IF($E39="", "",  INDEX(十五音韻母對照表, $E39, F$1))</f>
        <v>乖</v>
      </c>
      <c r="G39" s="25" t="str" cm="1">
        <f t="array" ref="G39" xml:space="preserve"> IF($E39="", "", INDEX(十五音韻母對照表, $E39, G$1))</f>
        <v>uai</v>
      </c>
      <c r="H39" s="25" t="str" cm="1">
        <f t="array" ref="H39" xml:space="preserve"> IF($E39="", "",  INDEX(十五音韻母對照表, $E39, H$1))</f>
        <v>uaih</v>
      </c>
      <c r="J39" s="413">
        <v>32</v>
      </c>
      <c r="K39" s="350" t="str">
        <f>'十五音-韻母'!C36</f>
        <v>褌</v>
      </c>
      <c r="L39" s="410" t="str">
        <f>'十五音-韻母'!D36</f>
        <v>uinn</v>
      </c>
      <c r="M39" s="425">
        <f t="shared" si="1"/>
        <v>27</v>
      </c>
    </row>
    <row r="40" spans="2:13" ht="33">
      <c r="B40" s="426">
        <v>33</v>
      </c>
      <c r="C40" s="370" t="s">
        <v>220</v>
      </c>
      <c r="D40" s="371" t="s">
        <v>221</v>
      </c>
      <c r="E40" s="420">
        <f t="shared" ref="E40:E57" si="2" xml:space="preserve"> IFERROR( MATCH($D40, 韻母舒聲碼, 0), "")</f>
        <v>22</v>
      </c>
      <c r="F40" s="411" t="str" cm="1">
        <f t="array" ref="F40" xml:space="preserve"> IF($E40="", "",  INDEX(十五音韻母對照表, $E40, F$1))</f>
        <v>兼</v>
      </c>
      <c r="G40" s="25" t="str" cm="1">
        <f t="array" ref="G40" xml:space="preserve"> IF($E40="", "", INDEX(十五音韻母對照表, $E40, G$1))</f>
        <v>iam</v>
      </c>
      <c r="H40" s="25" t="str" cm="1">
        <f t="array" ref="H40" xml:space="preserve"> IF($E40="", "",  INDEX(十五音韻母對照表, $E40, H$1))</f>
        <v>iap</v>
      </c>
      <c r="J40" s="413">
        <v>33</v>
      </c>
      <c r="K40" s="350" t="str">
        <f>'十五音-韻母'!C37</f>
        <v>茄</v>
      </c>
      <c r="L40" s="410" t="str">
        <f>'十五音-韻母'!D37</f>
        <v>io</v>
      </c>
      <c r="M40" s="425">
        <f t="shared" si="1"/>
        <v>45</v>
      </c>
    </row>
    <row r="41" spans="2:13" ht="33">
      <c r="B41" s="426">
        <v>34</v>
      </c>
      <c r="C41" s="369" t="s">
        <v>1314</v>
      </c>
      <c r="D41" s="371" t="s">
        <v>280</v>
      </c>
      <c r="E41" s="420">
        <f t="shared" si="2"/>
        <v>45</v>
      </c>
      <c r="F41" s="411" t="str" cm="1">
        <f t="array" ref="F41" xml:space="preserve"> IF($E41="", "",  INDEX(十五音韻母對照表, $E41, F$1))</f>
        <v>糜</v>
      </c>
      <c r="G41" s="25" t="str" cm="1">
        <f t="array" ref="G41" xml:space="preserve"> IF($E41="", "", INDEX(十五音韻母對照表, $E41, G$1))</f>
        <v>uenn</v>
      </c>
      <c r="H41" s="25" t="str" cm="1">
        <f t="array" ref="H41" xml:space="preserve"> IF($E41="", "",  INDEX(十五音韻母對照表, $E41, H$1))</f>
        <v>uennh</v>
      </c>
      <c r="J41" s="413">
        <v>34</v>
      </c>
      <c r="K41" s="350" t="str">
        <f>'十五音-韻母'!C38</f>
        <v>梔</v>
      </c>
      <c r="L41" s="410" t="str">
        <f>'十五音-韻母'!D38</f>
        <v>inn</v>
      </c>
      <c r="M41" s="425">
        <f t="shared" si="1"/>
        <v>44</v>
      </c>
    </row>
    <row r="42" spans="2:13" ht="33">
      <c r="B42" s="426">
        <v>35</v>
      </c>
      <c r="C42" s="369" t="s">
        <v>1292</v>
      </c>
      <c r="D42" s="371" t="s">
        <v>305</v>
      </c>
      <c r="E42" s="420" t="str">
        <f t="shared" si="2"/>
        <v/>
      </c>
      <c r="F42" s="411" t="str" cm="1">
        <f t="array" ref="F42" xml:space="preserve"> IF($E42="", "",  INDEX(十五音韻母對照表, $E42, F$1))</f>
        <v/>
      </c>
      <c r="G42" s="25" t="str" cm="1">
        <f t="array" ref="G42" xml:space="preserve"> IF($E42="", "", INDEX(十五音韻母對照表, $E42, G$1))</f>
        <v/>
      </c>
      <c r="H42" s="25" t="str" cm="1">
        <f t="array" ref="H42" xml:space="preserve"> IF($E42="", "",  INDEX(十五音韻母對照表, $E42, H$1))</f>
        <v/>
      </c>
      <c r="J42" s="413">
        <v>35</v>
      </c>
      <c r="K42" s="350" t="str">
        <f>'十五音-韻母'!C39</f>
        <v>薑</v>
      </c>
      <c r="L42" s="410" t="str">
        <f>'十五音-韻母'!D39</f>
        <v>ionn</v>
      </c>
      <c r="M42" s="425" t="str">
        <f t="shared" si="1"/>
        <v/>
      </c>
    </row>
    <row r="43" spans="2:13" ht="33">
      <c r="B43" s="426">
        <v>36</v>
      </c>
      <c r="C43" s="369" t="s">
        <v>1315</v>
      </c>
      <c r="D43" s="371" t="s">
        <v>200</v>
      </c>
      <c r="E43" s="420">
        <f t="shared" si="2"/>
        <v>29</v>
      </c>
      <c r="F43" s="411" t="str" cm="1">
        <f t="array" ref="F43" xml:space="preserve"> IF($E43="", "",  INDEX(十五音韻母對照表, $E43, F$1))</f>
        <v>居</v>
      </c>
      <c r="G43" s="25" t="str" cm="1">
        <f t="array" ref="G43" xml:space="preserve"> IF($E43="", "", INDEX(十五音韻母對照表, $E43, G$1))</f>
        <v>i</v>
      </c>
      <c r="H43" s="25" t="str" cm="1">
        <f t="array" ref="H43" xml:space="preserve"> IF($E43="", "",  INDEX(十五音韻母對照表, $E43, H$1))</f>
        <v>ih</v>
      </c>
      <c r="J43" s="413">
        <v>36</v>
      </c>
      <c r="K43" s="350" t="str">
        <f>'十五音-韻母'!C40</f>
        <v>驚</v>
      </c>
      <c r="L43" s="410" t="str">
        <f>'十五音-韻母'!D40</f>
        <v>iann</v>
      </c>
      <c r="M43" s="425">
        <f t="shared" si="1"/>
        <v>41</v>
      </c>
    </row>
    <row r="44" spans="2:13" ht="33">
      <c r="B44" s="426">
        <v>37</v>
      </c>
      <c r="C44" s="369" t="s">
        <v>1316</v>
      </c>
      <c r="D44" s="371" t="s">
        <v>233</v>
      </c>
      <c r="E44" s="420">
        <f t="shared" si="2"/>
        <v>46</v>
      </c>
      <c r="F44" s="411" t="str" cm="1">
        <f t="array" ref="F44" xml:space="preserve"> IF($E44="", "",  INDEX(十五音韻母對照表, $E44, F$1))</f>
        <v>嘄</v>
      </c>
      <c r="G44" s="25" t="str" cm="1">
        <f t="array" ref="G44" xml:space="preserve"> IF($E44="", "", INDEX(十五音韻母對照表, $E44, G$1))</f>
        <v>iaunn</v>
      </c>
      <c r="H44" s="25" t="str" cm="1">
        <f t="array" ref="H44" xml:space="preserve"> IF($E44="", "",  INDEX(十五音韻母對照表, $E44, H$1))</f>
        <v>iaunnh</v>
      </c>
      <c r="J44" s="413">
        <v>37</v>
      </c>
      <c r="K44" s="350" t="str">
        <f>'十五音-韻母'!C41</f>
        <v>官</v>
      </c>
      <c r="L44" s="410" t="str">
        <f>'十五音-韻母'!D41</f>
        <v>uann</v>
      </c>
      <c r="M44" s="425">
        <f t="shared" si="1"/>
        <v>6</v>
      </c>
    </row>
    <row r="45" spans="2:13" ht="33">
      <c r="B45" s="426">
        <v>38</v>
      </c>
      <c r="C45" s="369" t="s">
        <v>1317</v>
      </c>
      <c r="D45" s="371" t="s">
        <v>215</v>
      </c>
      <c r="E45" s="420">
        <f t="shared" si="2"/>
        <v>15</v>
      </c>
      <c r="F45" s="411" t="str" cm="1">
        <f t="array" ref="F45" xml:space="preserve"> IF($E45="", "",  INDEX(十五音韻母對照表, $E45, F$1))</f>
        <v>高</v>
      </c>
      <c r="G45" s="25" t="str" cm="1">
        <f t="array" ref="G45" xml:space="preserve"> IF($E45="", "", INDEX(十五音韻母對照表, $E45, G$1))</f>
        <v>o</v>
      </c>
      <c r="H45" s="25" t="str" cm="1">
        <f t="array" ref="H45" xml:space="preserve"> IF($E45="", "",  INDEX(十五音韻母對照表, $E45, H$1))</f>
        <v>oh</v>
      </c>
      <c r="J45" s="413">
        <v>38</v>
      </c>
      <c r="K45" s="350" t="str">
        <f>'十五音-韻母'!C42</f>
        <v>鋼</v>
      </c>
      <c r="L45" s="410" t="str">
        <f>'十五音-韻母'!D42</f>
        <v>ng</v>
      </c>
      <c r="M45" s="425">
        <f t="shared" si="1"/>
        <v>43</v>
      </c>
    </row>
    <row r="46" spans="2:13" ht="33">
      <c r="B46" s="426">
        <v>39</v>
      </c>
      <c r="C46" s="369" t="s">
        <v>1294</v>
      </c>
      <c r="D46" s="371" t="s">
        <v>1295</v>
      </c>
      <c r="E46" s="420" t="str">
        <f t="shared" si="2"/>
        <v/>
      </c>
      <c r="F46" s="411" t="str" cm="1">
        <f t="array" ref="F46" xml:space="preserve"> IF($E46="", "",  INDEX(十五音韻母對照表, $E46, F$1))</f>
        <v/>
      </c>
      <c r="G46" s="25" t="str" cm="1">
        <f t="array" ref="G46" xml:space="preserve"> IF($E46="", "", INDEX(十五音韻母對照表, $E46, G$1))</f>
        <v/>
      </c>
      <c r="H46" s="25" t="str" cm="1">
        <f t="array" ref="H46" xml:space="preserve"> IF($E46="", "",  INDEX(十五音韻母對照表, $E46, H$1))</f>
        <v/>
      </c>
      <c r="J46" s="413">
        <v>39</v>
      </c>
      <c r="K46" s="350" t="str">
        <f>'十五音-韻母'!C43</f>
        <v>伽</v>
      </c>
      <c r="L46" s="410" t="str">
        <f>'十五音-韻母'!D43</f>
        <v>e</v>
      </c>
      <c r="M46" s="425">
        <f t="shared" si="1"/>
        <v>21</v>
      </c>
    </row>
    <row r="47" spans="2:13" ht="33">
      <c r="B47" s="426">
        <v>40</v>
      </c>
      <c r="C47" s="369" t="s">
        <v>1318</v>
      </c>
      <c r="D47" s="371" t="s">
        <v>27</v>
      </c>
      <c r="E47" s="420">
        <f t="shared" si="2"/>
        <v>42</v>
      </c>
      <c r="F47" s="411" t="str" cm="1">
        <f t="array" ref="F47" xml:space="preserve"> IF($E47="", "",  INDEX(十五音韻母對照表, $E47, F$1))</f>
        <v>姆</v>
      </c>
      <c r="G47" s="25" t="str" cm="1">
        <f t="array" ref="G47" xml:space="preserve"> IF($E47="", "", INDEX(十五音韻母對照表, $E47, G$1))</f>
        <v>m</v>
      </c>
      <c r="H47" s="25" t="str" cm="1">
        <f t="array" ref="H47" xml:space="preserve"> IF($E47="", "",  INDEX(十五音韻母對照表, $E47, H$1))</f>
        <v>mh</v>
      </c>
      <c r="J47" s="413">
        <v>40</v>
      </c>
      <c r="K47" s="350" t="str">
        <f>'十五音-韻母'!C44</f>
        <v>閒</v>
      </c>
      <c r="L47" s="410" t="str">
        <f>'十五音-韻母'!D44</f>
        <v>ainn</v>
      </c>
      <c r="M47" s="425">
        <f t="shared" si="1"/>
        <v>49</v>
      </c>
    </row>
    <row r="48" spans="2:13" ht="33">
      <c r="B48" s="426">
        <v>41</v>
      </c>
      <c r="C48" s="369" t="s">
        <v>1319</v>
      </c>
      <c r="D48" s="371" t="s">
        <v>218</v>
      </c>
      <c r="E48" s="420">
        <f t="shared" si="2"/>
        <v>36</v>
      </c>
      <c r="F48" s="411" t="str" cm="1">
        <f t="array" ref="F48" xml:space="preserve"> IF($E48="", "",  INDEX(十五音韻母對照表, $E48, F$1))</f>
        <v>驚</v>
      </c>
      <c r="G48" s="25" t="str" cm="1">
        <f t="array" ref="G48" xml:space="preserve"> IF($E48="", "", INDEX(十五音韻母對照表, $E48, G$1))</f>
        <v>iann</v>
      </c>
      <c r="H48" s="25" t="str" cm="1">
        <f t="array" ref="H48" xml:space="preserve"> IF($E48="", "",  INDEX(十五音韻母對照表, $E48, H$1))</f>
        <v>iannh</v>
      </c>
      <c r="J48" s="413">
        <v>41</v>
      </c>
      <c r="K48" s="350" t="str">
        <f>'十五音-韻母'!C45</f>
        <v>姑</v>
      </c>
      <c r="L48" s="410" t="str">
        <f>'十五音-韻母'!D45</f>
        <v>oonn</v>
      </c>
      <c r="M48" s="425" t="str">
        <f t="shared" si="1"/>
        <v/>
      </c>
    </row>
    <row r="49" spans="2:13" ht="33">
      <c r="B49" s="426">
        <v>42</v>
      </c>
      <c r="C49" s="369" t="s">
        <v>1297</v>
      </c>
      <c r="D49" s="371" t="s">
        <v>1298</v>
      </c>
      <c r="E49" s="420" t="str">
        <f t="shared" si="2"/>
        <v/>
      </c>
      <c r="F49" s="411" t="str" cm="1">
        <f t="array" ref="F49" xml:space="preserve"> IF($E49="", "",  INDEX(十五音韻母對照表, $E49, F$1))</f>
        <v/>
      </c>
      <c r="G49" s="25" t="str" cm="1">
        <f t="array" ref="G49" xml:space="preserve"> IF($E49="", "", INDEX(十五音韻母對照表, $E49, G$1))</f>
        <v/>
      </c>
      <c r="H49" s="25" t="str" cm="1">
        <f t="array" ref="H49" xml:space="preserve"> IF($E49="", "",  INDEX(十五音韻母對照表, $E49, H$1))</f>
        <v/>
      </c>
      <c r="J49" s="413">
        <v>42</v>
      </c>
      <c r="K49" s="350" t="str">
        <f>'十五音-韻母'!C46</f>
        <v>姆</v>
      </c>
      <c r="L49" s="410" t="str">
        <f>'十五音-韻母'!D46</f>
        <v>m</v>
      </c>
      <c r="M49" s="425">
        <f t="shared" si="1"/>
        <v>40</v>
      </c>
    </row>
    <row r="50" spans="2:13" ht="33">
      <c r="B50" s="426">
        <v>43</v>
      </c>
      <c r="C50" s="369" t="s">
        <v>1320</v>
      </c>
      <c r="D50" s="371" t="s">
        <v>48</v>
      </c>
      <c r="E50" s="420">
        <f t="shared" si="2"/>
        <v>38</v>
      </c>
      <c r="F50" s="411" t="str" cm="1">
        <f t="array" ref="F50" xml:space="preserve"> IF($E50="", "",  INDEX(十五音韻母對照表, $E50, F$1))</f>
        <v>鋼</v>
      </c>
      <c r="G50" s="25" t="str" cm="1">
        <f t="array" ref="G50" xml:space="preserve"> IF($E50="", "", INDEX(十五音韻母對照表, $E50, G$1))</f>
        <v>ng</v>
      </c>
      <c r="H50" s="25" t="str" cm="1">
        <f t="array" ref="H50" xml:space="preserve"> IF($E50="", "",  INDEX(十五音韻母對照表, $E50, H$1))</f>
        <v>ngh</v>
      </c>
      <c r="J50" s="413">
        <v>43</v>
      </c>
      <c r="K50" s="350" t="str">
        <f>'十五音-韻母'!C47</f>
        <v>光</v>
      </c>
      <c r="L50" s="410" t="str">
        <f>'十五音-韻母'!D47</f>
        <v>uang</v>
      </c>
      <c r="M50" s="425">
        <f t="shared" si="1"/>
        <v>46</v>
      </c>
    </row>
    <row r="51" spans="2:13" ht="33">
      <c r="B51" s="426">
        <v>44</v>
      </c>
      <c r="C51" s="369" t="s">
        <v>1321</v>
      </c>
      <c r="D51" s="371" t="s">
        <v>204</v>
      </c>
      <c r="E51" s="420">
        <f t="shared" si="2"/>
        <v>34</v>
      </c>
      <c r="F51" s="411" t="str" cm="1">
        <f t="array" ref="F51" xml:space="preserve"> IF($E51="", "",  INDEX(十五音韻母對照表, $E51, F$1))</f>
        <v>梔</v>
      </c>
      <c r="G51" s="25" t="str" cm="1">
        <f t="array" ref="G51" xml:space="preserve"> IF($E51="", "", INDEX(十五音韻母對照表, $E51, G$1))</f>
        <v>inn</v>
      </c>
      <c r="H51" s="25" t="str" cm="1">
        <f t="array" ref="H51" xml:space="preserve"> IF($E51="", "",  INDEX(十五音韻母對照表, $E51, H$1))</f>
        <v>innh</v>
      </c>
      <c r="J51" s="413">
        <v>44</v>
      </c>
      <c r="K51" s="350" t="str">
        <f>'十五音-韻母'!C48</f>
        <v>閂</v>
      </c>
      <c r="L51" s="410" t="str">
        <f>'十五音-韻母'!D48</f>
        <v>uainn</v>
      </c>
      <c r="M51" s="425" t="str">
        <f t="shared" si="1"/>
        <v/>
      </c>
    </row>
    <row r="52" spans="2:13" ht="33">
      <c r="B52" s="426">
        <v>45</v>
      </c>
      <c r="C52" s="369" t="s">
        <v>1322</v>
      </c>
      <c r="D52" s="371" t="s">
        <v>236</v>
      </c>
      <c r="E52" s="420">
        <f t="shared" si="2"/>
        <v>33</v>
      </c>
      <c r="F52" s="411" t="str" cm="1">
        <f t="array" ref="F52" xml:space="preserve"> IF($E52="", "",  INDEX(十五音韻母對照表, $E52, F$1))</f>
        <v>茄</v>
      </c>
      <c r="G52" s="25" t="str" cm="1">
        <f t="array" ref="G52" xml:space="preserve"> IF($E52="", "", INDEX(十五音韻母對照表, $E52, G$1))</f>
        <v>io</v>
      </c>
      <c r="H52" s="25" t="str" cm="1">
        <f t="array" ref="H52" xml:space="preserve"> IF($E52="", "",  INDEX(十五音韻母對照表, $E52, H$1))</f>
        <v>ioh</v>
      </c>
      <c r="J52" s="413">
        <v>45</v>
      </c>
      <c r="K52" s="350" t="str">
        <f>'十五音-韻母'!C49</f>
        <v>糜</v>
      </c>
      <c r="L52" s="410" t="str">
        <f>'十五音-韻母'!D49</f>
        <v>uenn</v>
      </c>
      <c r="M52" s="425">
        <f t="shared" si="1"/>
        <v>34</v>
      </c>
    </row>
    <row r="53" spans="2:13" ht="33">
      <c r="B53" s="426">
        <v>46</v>
      </c>
      <c r="C53" s="369" t="s">
        <v>1323</v>
      </c>
      <c r="D53" s="371" t="s">
        <v>270</v>
      </c>
      <c r="E53" s="420">
        <f t="shared" si="2"/>
        <v>43</v>
      </c>
      <c r="F53" s="411" t="str" cm="1">
        <f t="array" ref="F53" xml:space="preserve"> IF($E53="", "",  INDEX(十五音韻母對照表, $E53, F$1))</f>
        <v>光</v>
      </c>
      <c r="G53" s="25" t="str" cm="1">
        <f t="array" ref="G53" xml:space="preserve"> IF($E53="", "", INDEX(十五音韻母對照表, $E53, G$1))</f>
        <v>uang</v>
      </c>
      <c r="H53" s="25" t="str" cm="1">
        <f t="array" ref="H53" xml:space="preserve"> IF($E53="", "",  INDEX(十五音韻母對照表, $E53, H$1))</f>
        <v>uak</v>
      </c>
      <c r="J53" s="413">
        <v>46</v>
      </c>
      <c r="K53" s="350" t="str">
        <f>'十五音-韻母'!C50</f>
        <v>嘄</v>
      </c>
      <c r="L53" s="410" t="str">
        <f>'十五音-韻母'!D50</f>
        <v>iaunn</v>
      </c>
      <c r="M53" s="425">
        <f t="shared" si="1"/>
        <v>37</v>
      </c>
    </row>
    <row r="54" spans="2:13" ht="33">
      <c r="B54" s="426">
        <v>47</v>
      </c>
      <c r="C54" s="369" t="s">
        <v>1324</v>
      </c>
      <c r="D54" s="371" t="s">
        <v>248</v>
      </c>
      <c r="E54" s="420">
        <f t="shared" si="2"/>
        <v>50</v>
      </c>
      <c r="F54" s="411" t="str" cm="1">
        <f t="array" ref="F54" xml:space="preserve"> IF($E54="", "",  INDEX(十五音韻母對照表, $E54, F$1))</f>
        <v>牛</v>
      </c>
      <c r="G54" s="25" t="str" cm="1">
        <f t="array" ref="G54" xml:space="preserve"> IF($E54="", "", INDEX(十五音韻母對照表, $E54, G$1))</f>
        <v>iunn</v>
      </c>
      <c r="H54" s="25" t="str" cm="1">
        <f t="array" ref="H54" xml:space="preserve"> IF($E54="", "",  INDEX(十五音韻母對照表, $E54, H$1))</f>
        <v>iunnh</v>
      </c>
      <c r="J54" s="413">
        <v>47</v>
      </c>
      <c r="K54" s="350" t="str">
        <f>'十五音-韻母'!C51</f>
        <v>箴</v>
      </c>
      <c r="L54" s="410" t="str">
        <f>'十五音-韻母'!D51</f>
        <v>om</v>
      </c>
      <c r="M54" s="425">
        <f t="shared" si="1"/>
        <v>25</v>
      </c>
    </row>
    <row r="55" spans="2:13" ht="33">
      <c r="B55" s="426">
        <v>48</v>
      </c>
      <c r="C55" s="369" t="s">
        <v>1325</v>
      </c>
      <c r="D55" s="371" t="s">
        <v>145</v>
      </c>
      <c r="E55" s="420">
        <f t="shared" si="2"/>
        <v>26</v>
      </c>
      <c r="F55" s="411" t="str" cm="1">
        <f t="array" ref="F55" xml:space="preserve"> IF($E55="", "",  INDEX(十五音韻母對照表, $E55, F$1))</f>
        <v>監</v>
      </c>
      <c r="G55" s="25" t="str" cm="1">
        <f t="array" ref="G55" xml:space="preserve"> IF($E55="", "", INDEX(十五音韻母對照表, $E55, G$1))</f>
        <v>ann</v>
      </c>
      <c r="H55" s="25" t="str" cm="1">
        <f t="array" ref="H55" xml:space="preserve"> IF($E55="", "",  INDEX(十五音韻母對照表, $E55, H$1))</f>
        <v>annh</v>
      </c>
      <c r="J55" s="413">
        <v>48</v>
      </c>
      <c r="K55" s="350" t="str">
        <f>'十五音-韻母'!C52</f>
        <v>爻</v>
      </c>
      <c r="L55" s="410" t="str">
        <f>'十五音-韻母'!D52</f>
        <v>aunn</v>
      </c>
      <c r="M55" s="425">
        <f t="shared" si="1"/>
        <v>50</v>
      </c>
    </row>
    <row r="56" spans="2:13" ht="33">
      <c r="B56" s="426">
        <v>49</v>
      </c>
      <c r="C56" s="369" t="s">
        <v>1326</v>
      </c>
      <c r="D56" s="371" t="s">
        <v>157</v>
      </c>
      <c r="E56" s="420">
        <f t="shared" si="2"/>
        <v>40</v>
      </c>
      <c r="F56" s="411" t="str" cm="1">
        <f t="array" ref="F56" xml:space="preserve"> IF($E56="", "",  INDEX(十五音韻母對照表, $E56, F$1))</f>
        <v>閒</v>
      </c>
      <c r="G56" s="25" t="str" cm="1">
        <f t="array" ref="G56" xml:space="preserve"> IF($E56="", "", INDEX(十五音韻母對照表, $E56, G$1))</f>
        <v>ainn</v>
      </c>
      <c r="H56" s="25" t="str" cm="1">
        <f t="array" ref="H56" xml:space="preserve"> IF($E56="", "",  INDEX(十五音韻母對照表, $E56, H$1))</f>
        <v>ainnh</v>
      </c>
      <c r="J56" s="413">
        <v>49</v>
      </c>
      <c r="K56" s="350" t="str">
        <f>'十五音-韻母'!C53</f>
        <v>扛</v>
      </c>
      <c r="L56" s="410" t="str">
        <f>'十五音-韻母'!D53</f>
        <v>onn</v>
      </c>
      <c r="M56" s="425">
        <f t="shared" si="1"/>
        <v>18</v>
      </c>
    </row>
    <row r="57" spans="2:13" ht="33">
      <c r="B57" s="426">
        <v>50</v>
      </c>
      <c r="C57" s="369" t="s">
        <v>1327</v>
      </c>
      <c r="D57" s="371" t="s">
        <v>184</v>
      </c>
      <c r="E57" s="420">
        <f t="shared" si="2"/>
        <v>48</v>
      </c>
      <c r="F57" s="411" t="str" cm="1">
        <f t="array" ref="F57" xml:space="preserve"> IF($E57="", "",  INDEX(十五音韻母對照表, $E57, F$1))</f>
        <v>爻</v>
      </c>
      <c r="G57" s="25" t="str" cm="1">
        <f t="array" ref="G57" xml:space="preserve"> IF($E57="", "", INDEX(十五音韻母對照表, $E57, G$1))</f>
        <v>aunn</v>
      </c>
      <c r="H57" s="25" t="str" cm="1">
        <f t="array" ref="H57" xml:space="preserve"> IF($E57="", "",  INDEX(十五音韻母對照表, $E57, H$1))</f>
        <v>aunnh</v>
      </c>
      <c r="J57" s="413">
        <v>50</v>
      </c>
      <c r="K57" s="350" t="str">
        <f>'十五音-韻母'!C54</f>
        <v>牛</v>
      </c>
      <c r="L57" s="410" t="str">
        <f>'十五音-韻母'!D54</f>
        <v>iunn</v>
      </c>
      <c r="M57" s="410" t="str">
        <f t="shared" ref="M57" si="3" xml:space="preserve"> IFERROR( MATCH($L57, $D$5:$D$49, 0), "")</f>
        <v/>
      </c>
    </row>
    <row r="58" spans="2:13">
      <c r="L58" s="6"/>
    </row>
    <row r="59" spans="2:13" ht="30">
      <c r="L59" s="423" t="s">
        <v>1278</v>
      </c>
      <c r="M59" s="422">
        <f xml:space="preserve"> COUNTA(K8:K57)</f>
        <v>50</v>
      </c>
    </row>
    <row r="60" spans="2:13" ht="30">
      <c r="L60" s="424" t="s">
        <v>1279</v>
      </c>
      <c r="M60" s="422">
        <f xml:space="preserve"> COUNT(M8:M57)</f>
        <v>42</v>
      </c>
    </row>
    <row r="61" spans="2:13" ht="30">
      <c r="L61" s="424" t="s">
        <v>1280</v>
      </c>
      <c r="M61" s="422">
        <f>M59 - M60</f>
        <v>8</v>
      </c>
    </row>
  </sheetData>
  <dataConsolidate/>
  <phoneticPr fontId="1" type="noConversion"/>
  <conditionalFormatting sqref="C8:C57">
    <cfRule type="expression" dxfId="18" priority="7">
      <formula>#REF!&lt;&gt;#REF!</formula>
    </cfRule>
  </conditionalFormatting>
  <conditionalFormatting sqref="J8:M57">
    <cfRule type="expression" dxfId="17" priority="2" stopIfTrue="1">
      <formula>$M8=""</formula>
    </cfRule>
  </conditionalFormatting>
  <conditionalFormatting sqref="L59:M59 M60:M61">
    <cfRule type="expression" dxfId="16" priority="4">
      <formula>#REF!=0</formula>
    </cfRule>
  </conditionalFormatting>
  <conditionalFormatting sqref="S8">
    <cfRule type="expression" dxfId="15" priority="6">
      <formula>#REF!&lt;&gt;#REF!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02B2-E1A5-B642-84AF-A94BF412E04F}">
  <sheetPr>
    <tabColor rgb="FF00B0F0"/>
  </sheetPr>
  <dimension ref="B1:P57"/>
  <sheetViews>
    <sheetView workbookViewId="0">
      <pane xSplit="4" ySplit="7" topLeftCell="E8" activePane="bottomRight" state="frozen"/>
      <selection pane="topRight" activeCell="W1" sqref="W1"/>
      <selection pane="bottomLeft" activeCell="S8" sqref="S8"/>
      <selection pane="bottomRight" activeCell="S13" sqref="S13"/>
    </sheetView>
  </sheetViews>
  <sheetFormatPr defaultColWidth="10.90625" defaultRowHeight="25.5" outlineLevelRow="1" outlineLevelCol="2"/>
  <cols>
    <col min="1" max="1" width="3.453125" customWidth="1"/>
    <col min="2" max="2" width="6.08984375" customWidth="1" outlineLevel="1"/>
    <col min="3" max="3" width="10.90625" outlineLevel="1"/>
    <col min="4" max="5" width="10.90625" customWidth="1" outlineLevel="2"/>
    <col min="6" max="8" width="10.90625" outlineLevel="1"/>
    <col min="9" max="9" width="4.36328125" customWidth="1"/>
    <col min="10" max="10" width="5" style="6" customWidth="1"/>
    <col min="11" max="11" width="10.6328125" style="6" customWidth="1"/>
    <col min="12" max="12" width="11" bestFit="1" customWidth="1" outlineLevel="1"/>
    <col min="13" max="13" width="11.36328125" customWidth="1"/>
    <col min="14" max="14" width="4.36328125" customWidth="1"/>
  </cols>
  <sheetData>
    <row r="1" spans="2:16" ht="6" customHeight="1" outlineLevel="1">
      <c r="F1">
        <v>2</v>
      </c>
      <c r="G1">
        <v>3</v>
      </c>
      <c r="H1">
        <v>4</v>
      </c>
      <c r="M1">
        <v>3</v>
      </c>
    </row>
    <row r="2" spans="2:16" s="50" customFormat="1" outlineLevel="1">
      <c r="B2"/>
      <c r="C2"/>
      <c r="D2"/>
      <c r="E2"/>
      <c r="F2"/>
      <c r="G2"/>
      <c r="H2"/>
      <c r="J2" s="6"/>
      <c r="K2" s="6"/>
      <c r="L2"/>
      <c r="M2"/>
      <c r="N2"/>
      <c r="O2" s="47" t="s">
        <v>1273</v>
      </c>
      <c r="P2"/>
    </row>
    <row r="3" spans="2:16" ht="27" customHeight="1">
      <c r="O3" s="165" t="str">
        <f>""</f>
        <v/>
      </c>
    </row>
    <row r="4" spans="2:16" s="131" customFormat="1">
      <c r="B4"/>
      <c r="C4"/>
      <c r="D4"/>
      <c r="E4"/>
      <c r="F4"/>
      <c r="G4"/>
      <c r="H4"/>
      <c r="J4" s="6"/>
      <c r="K4" s="6"/>
      <c r="L4"/>
      <c r="M4"/>
      <c r="N4"/>
      <c r="O4"/>
      <c r="P4"/>
    </row>
    <row r="5" spans="2:16" ht="38.25">
      <c r="B5" s="419" t="s">
        <v>689</v>
      </c>
      <c r="C5" s="50"/>
      <c r="D5" s="50"/>
      <c r="E5" s="50"/>
      <c r="F5" s="50"/>
      <c r="G5" s="50"/>
      <c r="H5" s="50"/>
      <c r="J5" s="419" t="s">
        <v>1275</v>
      </c>
      <c r="L5" s="6"/>
      <c r="M5" s="50"/>
      <c r="N5" s="50"/>
      <c r="O5" s="419" t="s">
        <v>1276</v>
      </c>
    </row>
    <row r="6" spans="2:16" ht="12.95" customHeight="1">
      <c r="L6" s="6"/>
      <c r="P6" s="50"/>
    </row>
    <row r="7" spans="2:16">
      <c r="B7" s="47" t="s">
        <v>133</v>
      </c>
      <c r="C7" s="47" t="s">
        <v>128</v>
      </c>
      <c r="D7" s="47" t="s">
        <v>129</v>
      </c>
      <c r="E7" s="47" t="s">
        <v>134</v>
      </c>
      <c r="F7" s="47" t="s">
        <v>706</v>
      </c>
      <c r="G7" s="128" t="s">
        <v>130</v>
      </c>
      <c r="H7" s="128" t="s">
        <v>131</v>
      </c>
      <c r="J7" s="47" t="s">
        <v>133</v>
      </c>
      <c r="K7" s="47" t="s">
        <v>706</v>
      </c>
      <c r="L7" s="47" t="s">
        <v>1277</v>
      </c>
      <c r="M7" s="47" t="s">
        <v>1273</v>
      </c>
      <c r="N7" s="131"/>
      <c r="O7" s="47" t="s">
        <v>706</v>
      </c>
      <c r="P7" s="47" t="s">
        <v>1277</v>
      </c>
    </row>
    <row r="8" spans="2:16" ht="33">
      <c r="B8" s="427">
        <v>1</v>
      </c>
      <c r="C8" s="404" t="s">
        <v>712</v>
      </c>
      <c r="D8" s="340" t="s">
        <v>713</v>
      </c>
      <c r="E8" s="340">
        <f t="shared" ref="E8" si="0" xml:space="preserve"> MATCH($D8, 韻母舒聲碼, 0)</f>
        <v>28</v>
      </c>
      <c r="F8" s="411" t="str" cm="1">
        <f t="array" ref="F8" xml:space="preserve"> INDEX(十五音韻母對照表, $E8, F$1)</f>
        <v>膠</v>
      </c>
      <c r="G8" s="25" t="str" cm="1">
        <f t="array" ref="G8" xml:space="preserve"> INDEX(十五音韻母對照表, $E8, G$1)</f>
        <v>a</v>
      </c>
      <c r="H8" s="25" t="str" cm="1">
        <f t="array" ref="H8" xml:space="preserve"> INDEX(十五音韻母對照表, $E8, H$1)</f>
        <v>ah</v>
      </c>
      <c r="J8" s="413">
        <f>'十五音-韻母'!B5</f>
        <v>1</v>
      </c>
      <c r="K8" s="350" t="str">
        <f>'十五音-韻母'!C5</f>
        <v>君</v>
      </c>
      <c r="L8" s="410" t="str">
        <f>'十五音-韻母'!D5</f>
        <v>un</v>
      </c>
      <c r="M8" s="425">
        <f xml:space="preserve"> IFERROR( MATCH($L8, $D$8:$D$52, 0), "")</f>
        <v>45</v>
      </c>
      <c r="O8" s="350" t="s">
        <v>159</v>
      </c>
      <c r="P8" s="410" t="s">
        <v>202</v>
      </c>
    </row>
    <row r="9" spans="2:16" ht="33">
      <c r="B9" s="427">
        <v>2</v>
      </c>
      <c r="C9" s="404" t="s">
        <v>719</v>
      </c>
      <c r="D9" s="340" t="s">
        <v>720</v>
      </c>
      <c r="E9" s="340">
        <f t="shared" ref="E9" si="1" xml:space="preserve"> MATCH($D9, 韻母舒聲碼, 0)</f>
        <v>26</v>
      </c>
      <c r="F9" s="411" t="str" cm="1">
        <f t="array" ref="F9" xml:space="preserve"> INDEX(十五音韻母對照表, $E9, F$1)</f>
        <v>監</v>
      </c>
      <c r="G9" s="25" t="str" cm="1">
        <f t="array" ref="G9" xml:space="preserve"> INDEX(十五音韻母對照表, $E9, G$1)</f>
        <v>ann</v>
      </c>
      <c r="H9" s="25" t="str" cm="1">
        <f t="array" ref="H9" xml:space="preserve"> INDEX(十五音韻母對照表, $E9, H$1)</f>
        <v>annh</v>
      </c>
      <c r="J9" s="413">
        <f>'十五音-韻母'!B6</f>
        <v>2</v>
      </c>
      <c r="K9" s="350" t="str">
        <f>'十五音-韻母'!C6</f>
        <v>堅</v>
      </c>
      <c r="L9" s="410" t="str">
        <f>'十五音-韻母'!D6</f>
        <v>ian</v>
      </c>
      <c r="M9" s="425">
        <f t="shared" ref="M9:M57" si="2" xml:space="preserve"> IFERROR( MATCH($L9, $D$8:$D$52, 0), "")</f>
        <v>17</v>
      </c>
      <c r="O9" s="350" t="s">
        <v>206</v>
      </c>
      <c r="P9" s="410" t="s">
        <v>207</v>
      </c>
    </row>
    <row r="10" spans="2:16" ht="33">
      <c r="B10" s="427">
        <v>3</v>
      </c>
      <c r="C10" s="404" t="s">
        <v>724</v>
      </c>
      <c r="D10" s="340" t="s">
        <v>725</v>
      </c>
      <c r="E10" s="340">
        <f t="shared" ref="E10" si="3" xml:space="preserve"> MATCH($D10, 韻母舒聲碼, 0)</f>
        <v>16</v>
      </c>
      <c r="F10" s="411" t="str" cm="1">
        <f t="array" ref="F10" xml:space="preserve"> INDEX(十五音韻母對照表, $E10, F$1)</f>
        <v>皆</v>
      </c>
      <c r="G10" s="25" t="str" cm="1">
        <f t="array" ref="G10" xml:space="preserve"> INDEX(十五音韻母對照表, $E10, G$1)</f>
        <v>ai</v>
      </c>
      <c r="H10" s="25" t="str" cm="1">
        <f t="array" ref="H10" xml:space="preserve"> INDEX(十五音韻母對照表, $E10, H$1)</f>
        <v>aih</v>
      </c>
      <c r="J10" s="413">
        <f>'十五音-韻母'!B7</f>
        <v>3</v>
      </c>
      <c r="K10" s="350" t="str">
        <f>'十五音-韻母'!C7</f>
        <v>金</v>
      </c>
      <c r="L10" s="410" t="str">
        <f>'十五音-韻母'!D7</f>
        <v>im</v>
      </c>
      <c r="M10" s="425">
        <f t="shared" si="2"/>
        <v>21</v>
      </c>
      <c r="O10" s="350" t="s">
        <v>256</v>
      </c>
      <c r="P10" s="410" t="s">
        <v>258</v>
      </c>
    </row>
    <row r="11" spans="2:16" ht="33">
      <c r="B11" s="427">
        <v>4</v>
      </c>
      <c r="C11" s="408" t="s">
        <v>732</v>
      </c>
      <c r="D11" s="405" t="s">
        <v>733</v>
      </c>
      <c r="E11" s="340">
        <f t="shared" ref="E11" si="4" xml:space="preserve"> MATCH($D11, 韻母舒聲碼, 0)</f>
        <v>40</v>
      </c>
      <c r="F11" s="411" t="str" cm="1">
        <f t="array" ref="F11" xml:space="preserve"> INDEX(十五音韻母對照表, $E11, F$1)</f>
        <v>閒</v>
      </c>
      <c r="G11" s="25" t="str" cm="1">
        <f t="array" ref="G11" xml:space="preserve"> INDEX(十五音韻母對照表, $E11, G$1)</f>
        <v>ainn</v>
      </c>
      <c r="H11" s="25" t="str" cm="1">
        <f t="array" ref="H11" xml:space="preserve"> INDEX(十五音韻母對照表, $E11, H$1)</f>
        <v>ainnh</v>
      </c>
      <c r="J11" s="413">
        <f>'十五音-韻母'!B8</f>
        <v>4</v>
      </c>
      <c r="K11" s="350" t="str">
        <f>'十五音-韻母'!C8</f>
        <v>規</v>
      </c>
      <c r="L11" s="410" t="str">
        <f>'十五音-韻母'!D8</f>
        <v>ui</v>
      </c>
      <c r="M11" s="425">
        <f t="shared" si="2"/>
        <v>43</v>
      </c>
      <c r="O11" s="350" t="s">
        <v>269</v>
      </c>
      <c r="P11" s="410" t="s">
        <v>270</v>
      </c>
    </row>
    <row r="12" spans="2:16" ht="33">
      <c r="B12" s="427">
        <v>5</v>
      </c>
      <c r="C12" s="409" t="s">
        <v>746</v>
      </c>
      <c r="D12" s="405" t="s">
        <v>747</v>
      </c>
      <c r="E12" s="340">
        <f t="shared" ref="E12" si="5" xml:space="preserve"> MATCH($D12, 韻母舒聲碼, 0)</f>
        <v>19</v>
      </c>
      <c r="F12" s="411" t="str" cm="1">
        <f t="array" ref="F12" xml:space="preserve"> INDEX(十五音韻母對照表, $E12, F$1)</f>
        <v>甘</v>
      </c>
      <c r="G12" s="25" t="str" cm="1">
        <f t="array" ref="G12" xml:space="preserve"> INDEX(十五音韻母對照表, $E12, G$1)</f>
        <v>am</v>
      </c>
      <c r="H12" s="25" t="str" cm="1">
        <f t="array" ref="H12" xml:space="preserve"> INDEX(十五音韻母對照表, $E12, H$1)</f>
        <v>ap</v>
      </c>
      <c r="J12" s="413">
        <f>'十五音-韻母'!B9</f>
        <v>5</v>
      </c>
      <c r="K12" s="350" t="str">
        <f>'十五音-韻母'!C9</f>
        <v>嘉</v>
      </c>
      <c r="L12" s="410" t="str">
        <f>'十五音-韻母'!D9</f>
        <v>ee</v>
      </c>
      <c r="M12" s="425" t="str">
        <f t="shared" si="2"/>
        <v/>
      </c>
      <c r="O12" s="350" t="s">
        <v>272</v>
      </c>
      <c r="P12" s="410" t="s">
        <v>280</v>
      </c>
    </row>
    <row r="13" spans="2:16" ht="33">
      <c r="B13" s="427">
        <v>6</v>
      </c>
      <c r="C13" s="404" t="s">
        <v>753</v>
      </c>
      <c r="D13" s="340" t="s">
        <v>754</v>
      </c>
      <c r="E13" s="340">
        <f t="shared" ref="E13" si="6" xml:space="preserve"> MATCH($D13, 韻母舒聲碼, 0)</f>
        <v>6</v>
      </c>
      <c r="F13" s="411" t="str" cm="1">
        <f t="array" ref="F13" xml:space="preserve"> INDEX(十五音韻母對照表, $E13, F$1)</f>
        <v>干</v>
      </c>
      <c r="G13" s="25" t="str" cm="1">
        <f t="array" ref="G13" xml:space="preserve"> INDEX(十五音韻母對照表, $E13, G$1)</f>
        <v>an</v>
      </c>
      <c r="H13" s="25" t="str" cm="1">
        <f t="array" ref="H13" xml:space="preserve"> INDEX(十五音韻母對照表, $E13, H$1)</f>
        <v>at</v>
      </c>
      <c r="J13" s="413">
        <f>'十五音-韻母'!B10</f>
        <v>6</v>
      </c>
      <c r="K13" s="350" t="str">
        <f>'十五音-韻母'!C10</f>
        <v>干</v>
      </c>
      <c r="L13" s="410" t="str">
        <f>'十五音-韻母'!D10</f>
        <v>an</v>
      </c>
      <c r="M13" s="425">
        <f t="shared" si="2"/>
        <v>6</v>
      </c>
    </row>
    <row r="14" spans="2:16" ht="33">
      <c r="B14" s="427">
        <v>7</v>
      </c>
      <c r="C14" s="404" t="s">
        <v>759</v>
      </c>
      <c r="D14" s="340" t="s">
        <v>760</v>
      </c>
      <c r="E14" s="340">
        <f t="shared" ref="E14" si="7" xml:space="preserve"> MATCH($D14, 韻母舒聲碼, 0)</f>
        <v>21</v>
      </c>
      <c r="F14" s="411" t="str" cm="1">
        <f t="array" ref="F14" xml:space="preserve"> INDEX(十五音韻母對照表, $E14, F$1)</f>
        <v>江</v>
      </c>
      <c r="G14" s="25" t="str" cm="1">
        <f t="array" ref="G14" xml:space="preserve"> INDEX(十五音韻母對照表, $E14, G$1)</f>
        <v>ang</v>
      </c>
      <c r="H14" s="25" t="str" cm="1">
        <f t="array" ref="H14" xml:space="preserve"> INDEX(十五音韻母對照表, $E14, H$1)</f>
        <v>ak</v>
      </c>
      <c r="J14" s="413">
        <f>'十五音-韻母'!B11</f>
        <v>7</v>
      </c>
      <c r="K14" s="350" t="str">
        <f>'十五音-韻母'!C11</f>
        <v>公</v>
      </c>
      <c r="L14" s="410" t="str">
        <f>'十五音-韻母'!D11</f>
        <v>ong</v>
      </c>
      <c r="M14" s="425">
        <f t="shared" si="2"/>
        <v>35</v>
      </c>
    </row>
    <row r="15" spans="2:16" ht="33">
      <c r="B15" s="427">
        <v>8</v>
      </c>
      <c r="C15" s="404" t="s">
        <v>767</v>
      </c>
      <c r="D15" s="340" t="s">
        <v>768</v>
      </c>
      <c r="E15" s="340">
        <f t="shared" ref="E15" si="8" xml:space="preserve"> MATCH($D15, 韻母舒聲碼, 0)</f>
        <v>23</v>
      </c>
      <c r="F15" s="411" t="str" cm="1">
        <f t="array" ref="F15" xml:space="preserve"> INDEX(十五音韻母對照表, $E15, F$1)</f>
        <v>交</v>
      </c>
      <c r="G15" s="25" t="str" cm="1">
        <f t="array" ref="G15" xml:space="preserve"> INDEX(十五音韻母對照表, $E15, G$1)</f>
        <v>au</v>
      </c>
      <c r="H15" s="25" t="str" cm="1">
        <f t="array" ref="H15" xml:space="preserve"> INDEX(十五音韻母對照表, $E15, H$1)</f>
        <v>auh</v>
      </c>
      <c r="J15" s="413">
        <f>'十五音-韻母'!B12</f>
        <v>8</v>
      </c>
      <c r="K15" s="350" t="str">
        <f>'十五音-韻母'!C12</f>
        <v>乖</v>
      </c>
      <c r="L15" s="410" t="str">
        <f>'十五音-韻母'!D12</f>
        <v>uai</v>
      </c>
      <c r="M15" s="425">
        <f t="shared" si="2"/>
        <v>39</v>
      </c>
    </row>
    <row r="16" spans="2:16" ht="33">
      <c r="B16" s="427">
        <v>9</v>
      </c>
      <c r="C16" s="409" t="s">
        <v>773</v>
      </c>
      <c r="D16" s="410" t="s">
        <v>774</v>
      </c>
      <c r="E16" s="340">
        <f t="shared" ref="E16" si="9" xml:space="preserve"> MATCH($D16, 韻母舒聲碼, 0)</f>
        <v>48</v>
      </c>
      <c r="F16" s="411" t="str" cm="1">
        <f t="array" ref="F16" xml:space="preserve"> INDEX(十五音韻母對照表, $E16, F$1)</f>
        <v>爻</v>
      </c>
      <c r="G16" s="25" t="str" cm="1">
        <f t="array" ref="G16" xml:space="preserve"> INDEX(十五音韻母對照表, $E16, G$1)</f>
        <v>aunn</v>
      </c>
      <c r="H16" s="25" t="str" cm="1">
        <f t="array" ref="H16" xml:space="preserve"> INDEX(十五音韻母對照表, $E16, H$1)</f>
        <v>aunnh</v>
      </c>
      <c r="J16" s="413">
        <f>'十五音-韻母'!B13</f>
        <v>9</v>
      </c>
      <c r="K16" s="350" t="str">
        <f>'十五音-韻母'!C13</f>
        <v>經</v>
      </c>
      <c r="L16" s="410" t="str">
        <f>'十五音-韻母'!D13</f>
        <v>ing</v>
      </c>
      <c r="M16" s="425">
        <f t="shared" si="2"/>
        <v>23</v>
      </c>
    </row>
    <row r="17" spans="2:13" ht="33">
      <c r="B17" s="427">
        <v>10</v>
      </c>
      <c r="C17" s="409" t="s">
        <v>780</v>
      </c>
      <c r="D17" s="410" t="s">
        <v>739</v>
      </c>
      <c r="E17" s="340">
        <f t="shared" ref="E17" si="10" xml:space="preserve"> MATCH($D17, 韻母舒聲碼, 0)</f>
        <v>39</v>
      </c>
      <c r="F17" s="411" t="str" cm="1">
        <f t="array" ref="F17" xml:space="preserve"> INDEX(十五音韻母對照表, $E17, F$1)</f>
        <v>伽</v>
      </c>
      <c r="G17" s="25" t="str" cm="1">
        <f t="array" ref="G17" xml:space="preserve"> INDEX(十五音韻母對照表, $E17, G$1)</f>
        <v>e</v>
      </c>
      <c r="H17" s="25" t="str" cm="1">
        <f t="array" ref="H17" xml:space="preserve"> INDEX(十五音韻母對照表, $E17, H$1)</f>
        <v>eh</v>
      </c>
      <c r="J17" s="413">
        <f>'十五音-韻母'!B14</f>
        <v>10</v>
      </c>
      <c r="K17" s="350" t="str">
        <f>'十五音-韻母'!C14</f>
        <v>觀</v>
      </c>
      <c r="L17" s="410" t="str">
        <f>'十五音-韻母'!D14</f>
        <v>uan</v>
      </c>
      <c r="M17" s="425">
        <f t="shared" si="2"/>
        <v>41</v>
      </c>
    </row>
    <row r="18" spans="2:13" ht="33">
      <c r="B18" s="427">
        <v>11</v>
      </c>
      <c r="C18" s="409" t="s">
        <v>789</v>
      </c>
      <c r="D18" s="410" t="s">
        <v>790</v>
      </c>
      <c r="E18" s="340">
        <f t="shared" ref="E18" si="11" xml:space="preserve"> MATCH($D18, 韻母舒聲碼, 0)</f>
        <v>31</v>
      </c>
      <c r="F18" s="411" t="str" cm="1">
        <f t="array" ref="F18" xml:space="preserve"> INDEX(十五音韻母對照表, $E18, F$1)</f>
        <v>更</v>
      </c>
      <c r="G18" s="25" t="str" cm="1">
        <f t="array" ref="G18" xml:space="preserve"> INDEX(十五音韻母對照表, $E18, G$1)</f>
        <v>enn</v>
      </c>
      <c r="H18" s="25" t="str" cm="1">
        <f t="array" ref="H18" xml:space="preserve"> INDEX(十五音韻母對照表, $E18, H$1)</f>
        <v>ennh</v>
      </c>
      <c r="J18" s="413">
        <f>'十五音-韻母'!B15</f>
        <v>11</v>
      </c>
      <c r="K18" s="350" t="str">
        <f>'十五音-韻母'!C15</f>
        <v>沽</v>
      </c>
      <c r="L18" s="410" t="str">
        <f>'十五音-韻母'!D15</f>
        <v>oo</v>
      </c>
      <c r="M18" s="425">
        <f t="shared" si="2"/>
        <v>32</v>
      </c>
    </row>
    <row r="19" spans="2:13" ht="33">
      <c r="B19" s="427">
        <v>12</v>
      </c>
      <c r="C19" s="409" t="s">
        <v>799</v>
      </c>
      <c r="D19" s="410" t="s">
        <v>800</v>
      </c>
      <c r="E19" s="340">
        <f t="shared" ref="E19" si="12" xml:space="preserve"> MATCH($D19, 韻母舒聲碼, 0)</f>
        <v>29</v>
      </c>
      <c r="F19" s="411" t="str" cm="1">
        <f t="array" ref="F19" xml:space="preserve"> INDEX(十五音韻母對照表, $E19, F$1)</f>
        <v>居</v>
      </c>
      <c r="G19" s="25" t="str" cm="1">
        <f t="array" ref="G19" xml:space="preserve"> INDEX(十五音韻母對照表, $E19, G$1)</f>
        <v>i</v>
      </c>
      <c r="H19" s="25" t="str" cm="1">
        <f t="array" ref="H19" xml:space="preserve"> INDEX(十五音韻母對照表, $E19, H$1)</f>
        <v>ih</v>
      </c>
      <c r="J19" s="413">
        <f>'十五音-韻母'!B16</f>
        <v>12</v>
      </c>
      <c r="K19" s="350" t="str">
        <f>'十五音-韻母'!C16</f>
        <v>嬌</v>
      </c>
      <c r="L19" s="410" t="str">
        <f>'十五音-韻母'!D16</f>
        <v>iau</v>
      </c>
      <c r="M19" s="425">
        <f t="shared" si="2"/>
        <v>19</v>
      </c>
    </row>
    <row r="20" spans="2:13" ht="33">
      <c r="B20" s="427">
        <v>13</v>
      </c>
      <c r="C20" s="409" t="s">
        <v>808</v>
      </c>
      <c r="D20" s="410" t="s">
        <v>809</v>
      </c>
      <c r="E20" s="340">
        <f t="shared" ref="E20" si="13" xml:space="preserve"> MATCH($D20, 韻母舒聲碼, 0)</f>
        <v>34</v>
      </c>
      <c r="F20" s="411" t="str" cm="1">
        <f t="array" ref="F20" xml:space="preserve"> INDEX(十五音韻母對照表, $E20, F$1)</f>
        <v>梔</v>
      </c>
      <c r="G20" s="25" t="str" cm="1">
        <f t="array" ref="G20" xml:space="preserve"> INDEX(十五音韻母對照表, $E20, G$1)</f>
        <v>inn</v>
      </c>
      <c r="H20" s="25" t="str" cm="1">
        <f t="array" ref="H20" xml:space="preserve"> INDEX(十五音韻母對照表, $E20, H$1)</f>
        <v>innh</v>
      </c>
      <c r="J20" s="413">
        <f>'十五音-韻母'!B17</f>
        <v>13</v>
      </c>
      <c r="K20" s="350" t="str">
        <f>'十五音-韻母'!C17</f>
        <v>稽</v>
      </c>
      <c r="L20" s="410" t="str">
        <f>'十五音-韻母'!D17</f>
        <v>ei</v>
      </c>
      <c r="M20" s="425" t="str">
        <f t="shared" si="2"/>
        <v/>
      </c>
    </row>
    <row r="21" spans="2:13" ht="33">
      <c r="B21" s="427">
        <v>14</v>
      </c>
      <c r="C21" s="409" t="s">
        <v>816</v>
      </c>
      <c r="D21" s="410" t="s">
        <v>817</v>
      </c>
      <c r="E21" s="340">
        <f t="shared" ref="E21" si="14" xml:space="preserve"> MATCH($D21, 韻母舒聲碼, 0)</f>
        <v>24</v>
      </c>
      <c r="F21" s="411" t="str" cm="1">
        <f t="array" ref="F21" xml:space="preserve"> INDEX(十五音韻母對照表, $E21, F$1)</f>
        <v>迦</v>
      </c>
      <c r="G21" s="25" t="str" cm="1">
        <f t="array" ref="G21" xml:space="preserve"> INDEX(十五音韻母對照表, $E21, G$1)</f>
        <v>ia</v>
      </c>
      <c r="H21" s="25" t="str" cm="1">
        <f t="array" ref="H21" xml:space="preserve"> INDEX(十五音韻母對照表, $E21, H$1)</f>
        <v>iah</v>
      </c>
      <c r="J21" s="413">
        <f>'十五音-韻母'!B18</f>
        <v>14</v>
      </c>
      <c r="K21" s="350" t="str">
        <f>'十五音-韻母'!C18</f>
        <v>恭</v>
      </c>
      <c r="L21" s="410" t="str">
        <f>'十五音-韻母'!D18</f>
        <v>iong</v>
      </c>
      <c r="M21" s="425">
        <f t="shared" si="2"/>
        <v>26</v>
      </c>
    </row>
    <row r="22" spans="2:13" ht="33">
      <c r="B22" s="427">
        <v>15</v>
      </c>
      <c r="C22" s="409" t="s">
        <v>822</v>
      </c>
      <c r="D22" s="410" t="s">
        <v>823</v>
      </c>
      <c r="E22" s="340">
        <f t="shared" ref="E22" si="15" xml:space="preserve"> MATCH($D22, 韻母舒聲碼, 0)</f>
        <v>36</v>
      </c>
      <c r="F22" s="411" t="str" cm="1">
        <f t="array" ref="F22" xml:space="preserve"> INDEX(十五音韻母對照表, $E22, F$1)</f>
        <v>驚</v>
      </c>
      <c r="G22" s="25" t="str" cm="1">
        <f t="array" ref="G22" xml:space="preserve"> INDEX(十五音韻母對照表, $E22, G$1)</f>
        <v>iann</v>
      </c>
      <c r="H22" s="25" t="str" cm="1">
        <f t="array" ref="H22" xml:space="preserve"> INDEX(十五音韻母對照表, $E22, H$1)</f>
        <v>iannh</v>
      </c>
      <c r="J22" s="413">
        <f>'十五音-韻母'!B19</f>
        <v>15</v>
      </c>
      <c r="K22" s="350" t="str">
        <f>'十五音-韻母'!C19</f>
        <v>高</v>
      </c>
      <c r="L22" s="410" t="str">
        <f>'十五音-韻母'!D19</f>
        <v>o</v>
      </c>
      <c r="M22" s="425">
        <f t="shared" si="2"/>
        <v>31</v>
      </c>
    </row>
    <row r="23" spans="2:13" ht="33">
      <c r="B23" s="427">
        <v>16</v>
      </c>
      <c r="C23" s="409" t="s">
        <v>829</v>
      </c>
      <c r="D23" s="410" t="s">
        <v>830</v>
      </c>
      <c r="E23" s="340">
        <f t="shared" ref="E23" si="16" xml:space="preserve"> MATCH($D23, 韻母舒聲碼, 0)</f>
        <v>22</v>
      </c>
      <c r="F23" s="411" t="str" cm="1">
        <f t="array" ref="F23" xml:space="preserve"> INDEX(十五音韻母對照表, $E23, F$1)</f>
        <v>兼</v>
      </c>
      <c r="G23" s="25" t="str" cm="1">
        <f t="array" ref="G23" xml:space="preserve"> INDEX(十五音韻母對照表, $E23, G$1)</f>
        <v>iam</v>
      </c>
      <c r="H23" s="25" t="str" cm="1">
        <f t="array" ref="H23" xml:space="preserve"> INDEX(十五音韻母對照表, $E23, H$1)</f>
        <v>iap</v>
      </c>
      <c r="J23" s="413">
        <f>'十五音-韻母'!B20</f>
        <v>16</v>
      </c>
      <c r="K23" s="350" t="str">
        <f>'十五音-韻母'!C20</f>
        <v>皆</v>
      </c>
      <c r="L23" s="410" t="str">
        <f>'十五音-韻母'!D20</f>
        <v>ai</v>
      </c>
      <c r="M23" s="425">
        <f t="shared" si="2"/>
        <v>3</v>
      </c>
    </row>
    <row r="24" spans="2:13" ht="33">
      <c r="B24" s="427">
        <v>17</v>
      </c>
      <c r="C24" s="409" t="s">
        <v>834</v>
      </c>
      <c r="D24" s="410" t="s">
        <v>835</v>
      </c>
      <c r="E24" s="340">
        <f t="shared" ref="E24" si="17" xml:space="preserve"> MATCH($D24, 韻母舒聲碼, 0)</f>
        <v>2</v>
      </c>
      <c r="F24" s="411" t="str" cm="1">
        <f t="array" ref="F24" xml:space="preserve"> INDEX(十五音韻母對照表, $E24, F$1)</f>
        <v>堅</v>
      </c>
      <c r="G24" s="25" t="str" cm="1">
        <f t="array" ref="G24" xml:space="preserve"> INDEX(十五音韻母對照表, $E24, G$1)</f>
        <v>ian</v>
      </c>
      <c r="H24" s="25" t="str" cm="1">
        <f t="array" ref="H24" xml:space="preserve"> INDEX(十五音韻母對照表, $E24, H$1)</f>
        <v>iat</v>
      </c>
      <c r="J24" s="413">
        <f>'十五音-韻母'!B21</f>
        <v>17</v>
      </c>
      <c r="K24" s="350" t="str">
        <f>'十五音-韻母'!C21</f>
        <v>巾</v>
      </c>
      <c r="L24" s="410" t="str">
        <f>'十五音-韻母'!D21</f>
        <v>in</v>
      </c>
      <c r="M24" s="425">
        <f t="shared" si="2"/>
        <v>22</v>
      </c>
    </row>
    <row r="25" spans="2:13" ht="33">
      <c r="B25" s="427">
        <v>18</v>
      </c>
      <c r="C25" s="409" t="s">
        <v>226</v>
      </c>
      <c r="D25" s="410" t="s">
        <v>842</v>
      </c>
      <c r="E25" s="340">
        <f t="shared" ref="E25" si="18" xml:space="preserve"> MATCH($D25, 韻母舒聲碼, 0)</f>
        <v>18</v>
      </c>
      <c r="F25" s="411" t="str" cm="1">
        <f t="array" ref="F25" xml:space="preserve"> INDEX(十五音韻母對照表, $E25, F$1)</f>
        <v>姜</v>
      </c>
      <c r="G25" s="25" t="str" cm="1">
        <f t="array" ref="G25" xml:space="preserve"> INDEX(十五音韻母對照表, $E25, G$1)</f>
        <v>iang</v>
      </c>
      <c r="H25" s="25" t="str" cm="1">
        <f t="array" ref="H25" xml:space="preserve"> INDEX(十五音韻母對照表, $E25, H$1)</f>
        <v>iak</v>
      </c>
      <c r="J25" s="413">
        <f>'十五音-韻母'!B22</f>
        <v>18</v>
      </c>
      <c r="K25" s="350" t="str">
        <f>'十五音-韻母'!C22</f>
        <v>姜</v>
      </c>
      <c r="L25" s="410" t="str">
        <f>'十五音-韻母'!D22</f>
        <v>iang</v>
      </c>
      <c r="M25" s="425">
        <f t="shared" si="2"/>
        <v>18</v>
      </c>
    </row>
    <row r="26" spans="2:13" ht="33">
      <c r="B26" s="427">
        <v>19</v>
      </c>
      <c r="C26" s="409" t="s">
        <v>846</v>
      </c>
      <c r="D26" s="410" t="s">
        <v>791</v>
      </c>
      <c r="E26" s="340">
        <f t="shared" ref="E26" si="19" xml:space="preserve"> MATCH($D26, 韻母舒聲碼, 0)</f>
        <v>12</v>
      </c>
      <c r="F26" s="411" t="str" cm="1">
        <f t="array" ref="F26" xml:space="preserve"> INDEX(十五音韻母對照表, $E26, F$1)</f>
        <v>嬌</v>
      </c>
      <c r="G26" s="25" t="str" cm="1">
        <f t="array" ref="G26" xml:space="preserve"> INDEX(十五音韻母對照表, $E26, G$1)</f>
        <v>iau</v>
      </c>
      <c r="H26" s="25" t="str" cm="1">
        <f t="array" ref="H26" xml:space="preserve"> INDEX(十五音韻母對照表, $E26, H$1)</f>
        <v>iauh</v>
      </c>
      <c r="J26" s="413">
        <f>'十五音-韻母'!B23</f>
        <v>19</v>
      </c>
      <c r="K26" s="350" t="str">
        <f>'十五音-韻母'!C23</f>
        <v>甘</v>
      </c>
      <c r="L26" s="410" t="str">
        <f>'十五音-韻母'!D23</f>
        <v>am</v>
      </c>
      <c r="M26" s="425">
        <f t="shared" si="2"/>
        <v>5</v>
      </c>
    </row>
    <row r="27" spans="2:13" ht="33">
      <c r="B27" s="427">
        <v>20</v>
      </c>
      <c r="C27" s="409" t="s">
        <v>852</v>
      </c>
      <c r="D27" s="410" t="s">
        <v>853</v>
      </c>
      <c r="E27" s="340">
        <f t="shared" ref="E27" si="20" xml:space="preserve"> MATCH($D27, 韻母舒聲碼, 0)</f>
        <v>46</v>
      </c>
      <c r="F27" s="411" t="str" cm="1">
        <f t="array" ref="F27" xml:space="preserve"> INDEX(十五音韻母對照表, $E27, F$1)</f>
        <v>嘄</v>
      </c>
      <c r="G27" s="25" t="str" cm="1">
        <f t="array" ref="G27" xml:space="preserve"> INDEX(十五音韻母對照表, $E27, G$1)</f>
        <v>iaunn</v>
      </c>
      <c r="H27" s="25" t="str" cm="1">
        <f t="array" ref="H27" xml:space="preserve"> INDEX(十五音韻母對照表, $E27, H$1)</f>
        <v>iaunnh</v>
      </c>
      <c r="J27" s="413">
        <f>'十五音-韻母'!B24</f>
        <v>20</v>
      </c>
      <c r="K27" s="350" t="str">
        <f>'十五音-韻母'!C24</f>
        <v>瓜</v>
      </c>
      <c r="L27" s="410" t="str">
        <f>'十五音-韻母'!D24</f>
        <v>ua</v>
      </c>
      <c r="M27" s="425">
        <f t="shared" si="2"/>
        <v>37</v>
      </c>
    </row>
    <row r="28" spans="2:13" ht="33">
      <c r="B28" s="427">
        <v>21</v>
      </c>
      <c r="C28" s="409" t="s">
        <v>858</v>
      </c>
      <c r="D28" s="410" t="s">
        <v>859</v>
      </c>
      <c r="E28" s="340">
        <f t="shared" ref="E28" si="21" xml:space="preserve"> MATCH($D28, 韻母舒聲碼, 0)</f>
        <v>3</v>
      </c>
      <c r="F28" s="411" t="str" cm="1">
        <f t="array" ref="F28" xml:space="preserve"> INDEX(十五音韻母對照表, $E28, F$1)</f>
        <v>金</v>
      </c>
      <c r="G28" s="25" t="str" cm="1">
        <f t="array" ref="G28" xml:space="preserve"> INDEX(十五音韻母對照表, $E28, G$1)</f>
        <v>im</v>
      </c>
      <c r="H28" s="25" t="str" cm="1">
        <f t="array" ref="H28" xml:space="preserve"> INDEX(十五音韻母對照表, $E28, H$1)</f>
        <v>ip</v>
      </c>
      <c r="J28" s="413">
        <f>'十五音-韻母'!B25</f>
        <v>21</v>
      </c>
      <c r="K28" s="350" t="str">
        <f>'十五音-韻母'!C25</f>
        <v>江</v>
      </c>
      <c r="L28" s="410" t="str">
        <f>'十五音-韻母'!D25</f>
        <v>ang</v>
      </c>
      <c r="M28" s="425">
        <f t="shared" si="2"/>
        <v>7</v>
      </c>
    </row>
    <row r="29" spans="2:13" ht="33">
      <c r="B29" s="427">
        <v>22</v>
      </c>
      <c r="C29" s="409" t="s">
        <v>865</v>
      </c>
      <c r="D29" s="410" t="s">
        <v>866</v>
      </c>
      <c r="E29" s="340">
        <f t="shared" ref="E29" si="22" xml:space="preserve"> MATCH($D29, 韻母舒聲碼, 0)</f>
        <v>17</v>
      </c>
      <c r="F29" s="411" t="str" cm="1">
        <f t="array" ref="F29" xml:space="preserve"> INDEX(十五音韻母對照表, $E29, F$1)</f>
        <v>巾</v>
      </c>
      <c r="G29" s="25" t="str" cm="1">
        <f t="array" ref="G29" xml:space="preserve"> INDEX(十五音韻母對照表, $E29, G$1)</f>
        <v>in</v>
      </c>
      <c r="H29" s="25" t="str" cm="1">
        <f t="array" ref="H29" xml:space="preserve"> INDEX(十五音韻母對照表, $E29, H$1)</f>
        <v>it</v>
      </c>
      <c r="J29" s="413">
        <f>'十五音-韻母'!B26</f>
        <v>22</v>
      </c>
      <c r="K29" s="350" t="str">
        <f>'十五音-韻母'!C26</f>
        <v>兼</v>
      </c>
      <c r="L29" s="410" t="str">
        <f>'十五音-韻母'!D26</f>
        <v>iam</v>
      </c>
      <c r="M29" s="425">
        <f t="shared" si="2"/>
        <v>16</v>
      </c>
    </row>
    <row r="30" spans="2:13" ht="33">
      <c r="B30" s="427">
        <v>23</v>
      </c>
      <c r="C30" s="409" t="s">
        <v>875</v>
      </c>
      <c r="D30" s="410" t="s">
        <v>876</v>
      </c>
      <c r="E30" s="340">
        <f t="shared" ref="E30" si="23" xml:space="preserve"> MATCH($D30, 韻母舒聲碼, 0)</f>
        <v>9</v>
      </c>
      <c r="F30" s="411" t="str" cm="1">
        <f t="array" ref="F30" xml:space="preserve"> INDEX(十五音韻母對照表, $E30, F$1)</f>
        <v>經</v>
      </c>
      <c r="G30" s="25" t="str" cm="1">
        <f t="array" ref="G30" xml:space="preserve"> INDEX(十五音韻母對照表, $E30, G$1)</f>
        <v>ing</v>
      </c>
      <c r="H30" s="25" t="str" cm="1">
        <f t="array" ref="H30" xml:space="preserve"> INDEX(十五音韻母對照表, $E30, H$1)</f>
        <v>ik</v>
      </c>
      <c r="J30" s="413">
        <f>'十五音-韻母'!B27</f>
        <v>23</v>
      </c>
      <c r="K30" s="350" t="str">
        <f>'十五音-韻母'!C27</f>
        <v>交</v>
      </c>
      <c r="L30" s="410" t="str">
        <f>'十五音-韻母'!D27</f>
        <v>au</v>
      </c>
      <c r="M30" s="425">
        <f t="shared" si="2"/>
        <v>8</v>
      </c>
    </row>
    <row r="31" spans="2:13" ht="33">
      <c r="B31" s="427">
        <v>24</v>
      </c>
      <c r="C31" s="409" t="s">
        <v>883</v>
      </c>
      <c r="D31" s="410" t="s">
        <v>884</v>
      </c>
      <c r="E31" s="340">
        <f t="shared" ref="E31" si="24" xml:space="preserve"> MATCH($D31, 韻母舒聲碼, 0)</f>
        <v>33</v>
      </c>
      <c r="F31" s="411" t="str" cm="1">
        <f t="array" ref="F31" xml:space="preserve"> INDEX(十五音韻母對照表, $E31, F$1)</f>
        <v>茄</v>
      </c>
      <c r="G31" s="25" t="str" cm="1">
        <f t="array" ref="G31" xml:space="preserve"> INDEX(十五音韻母對照表, $E31, G$1)</f>
        <v>io</v>
      </c>
      <c r="H31" s="25" t="str" cm="1">
        <f t="array" ref="H31" xml:space="preserve"> INDEX(十五音韻母對照表, $E31, H$1)</f>
        <v>ioh</v>
      </c>
      <c r="J31" s="413">
        <f>'十五音-韻母'!B28</f>
        <v>24</v>
      </c>
      <c r="K31" s="350" t="str">
        <f>'十五音-韻母'!C28</f>
        <v>迦</v>
      </c>
      <c r="L31" s="410" t="str">
        <f>'十五音-韻母'!D28</f>
        <v>ia</v>
      </c>
      <c r="M31" s="425">
        <f t="shared" si="2"/>
        <v>14</v>
      </c>
    </row>
    <row r="32" spans="2:13" ht="33">
      <c r="B32" s="427">
        <v>25</v>
      </c>
      <c r="C32" s="409" t="s">
        <v>890</v>
      </c>
      <c r="D32" s="410" t="s">
        <v>891</v>
      </c>
      <c r="E32" s="340">
        <f t="shared" ref="E32" si="25" xml:space="preserve"> MATCH($D32, 韻母舒聲碼, 0)</f>
        <v>35</v>
      </c>
      <c r="F32" s="411" t="str" cm="1">
        <f t="array" ref="F32" xml:space="preserve"> INDEX(十五音韻母對照表, $E32, F$1)</f>
        <v>薑</v>
      </c>
      <c r="G32" s="25" t="str" cm="1">
        <f t="array" ref="G32" xml:space="preserve"> INDEX(十五音韻母對照表, $E32, G$1)</f>
        <v>ionn</v>
      </c>
      <c r="H32" s="25" t="str" cm="1">
        <f t="array" ref="H32" xml:space="preserve"> INDEX(十五音韻母對照表, $E32, H$1)</f>
        <v>ionnh</v>
      </c>
      <c r="J32" s="413">
        <f>'十五音-韻母'!B29</f>
        <v>25</v>
      </c>
      <c r="K32" s="350" t="str">
        <f>'十五音-韻母'!C29</f>
        <v>檜</v>
      </c>
      <c r="L32" s="410" t="str">
        <f>'十五音-韻母'!D29</f>
        <v>ue</v>
      </c>
      <c r="M32" s="425">
        <f t="shared" si="2"/>
        <v>42</v>
      </c>
    </row>
    <row r="33" spans="2:13" ht="33">
      <c r="B33" s="427">
        <v>26</v>
      </c>
      <c r="C33" s="409" t="s">
        <v>901</v>
      </c>
      <c r="D33" s="410" t="s">
        <v>902</v>
      </c>
      <c r="E33" s="340">
        <f t="shared" ref="E33" si="26" xml:space="preserve"> MATCH($D33, 韻母舒聲碼, 0)</f>
        <v>14</v>
      </c>
      <c r="F33" s="411" t="str" cm="1">
        <f t="array" ref="F33" xml:space="preserve"> INDEX(十五音韻母對照表, $E33, F$1)</f>
        <v>恭</v>
      </c>
      <c r="G33" s="25" t="str" cm="1">
        <f t="array" ref="G33" xml:space="preserve"> INDEX(十五音韻母對照表, $E33, G$1)</f>
        <v>iong</v>
      </c>
      <c r="H33" s="25" t="str" cm="1">
        <f t="array" ref="H33" xml:space="preserve"> INDEX(十五音韻母對照表, $E33, H$1)</f>
        <v>iok</v>
      </c>
      <c r="J33" s="413">
        <f>'十五音-韻母'!B30</f>
        <v>26</v>
      </c>
      <c r="K33" s="350" t="str">
        <f>'十五音-韻母'!C30</f>
        <v>監</v>
      </c>
      <c r="L33" s="410" t="str">
        <f>'十五音-韻母'!D30</f>
        <v>ann</v>
      </c>
      <c r="M33" s="425">
        <f t="shared" si="2"/>
        <v>2</v>
      </c>
    </row>
    <row r="34" spans="2:13" ht="33">
      <c r="B34" s="427">
        <v>27</v>
      </c>
      <c r="C34" s="409" t="s">
        <v>908</v>
      </c>
      <c r="D34" s="410" t="s">
        <v>909</v>
      </c>
      <c r="E34" s="340">
        <f t="shared" ref="E34" si="27" xml:space="preserve"> MATCH($D34, 韻母舒聲碼, 0)</f>
        <v>30</v>
      </c>
      <c r="F34" s="411" t="str" cm="1">
        <f t="array" ref="F34" xml:space="preserve"> INDEX(十五音韻母對照表, $E34, F$1)</f>
        <v>丩</v>
      </c>
      <c r="G34" s="25" t="str" cm="1">
        <f t="array" ref="G34" xml:space="preserve"> INDEX(十五音韻母對照表, $E34, G$1)</f>
        <v>iu</v>
      </c>
      <c r="H34" s="25" t="str" cm="1">
        <f t="array" ref="H34" xml:space="preserve"> INDEX(十五音韻母對照表, $E34, H$1)</f>
        <v>iuh</v>
      </c>
      <c r="J34" s="413">
        <f>'十五音-韻母'!B31</f>
        <v>27</v>
      </c>
      <c r="K34" s="350" t="str">
        <f>'十五音-韻母'!C31</f>
        <v>艍</v>
      </c>
      <c r="L34" s="410" t="str">
        <f>'十五音-韻母'!D31</f>
        <v>u</v>
      </c>
      <c r="M34" s="425">
        <f t="shared" si="2"/>
        <v>36</v>
      </c>
    </row>
    <row r="35" spans="2:13" ht="33">
      <c r="B35" s="427">
        <v>28</v>
      </c>
      <c r="C35" s="409" t="s">
        <v>914</v>
      </c>
      <c r="D35" s="410" t="s">
        <v>915</v>
      </c>
      <c r="E35" s="340">
        <f t="shared" ref="E35" si="28" xml:space="preserve"> MATCH($D35, 韻母舒聲碼, 0)</f>
        <v>50</v>
      </c>
      <c r="F35" s="411" t="str" cm="1">
        <f t="array" ref="F35" xml:space="preserve"> INDEX(十五音韻母對照表, $E35, F$1)</f>
        <v>牛</v>
      </c>
      <c r="G35" s="25" t="str" cm="1">
        <f t="array" ref="G35" xml:space="preserve"> INDEX(十五音韻母對照表, $E35, G$1)</f>
        <v>iunn</v>
      </c>
      <c r="H35" s="25" t="str" cm="1">
        <f t="array" ref="H35" xml:space="preserve"> INDEX(十五音韻母對照表, $E35, H$1)</f>
        <v>iunnh</v>
      </c>
      <c r="J35" s="413">
        <f>'十五音-韻母'!B32</f>
        <v>28</v>
      </c>
      <c r="K35" s="350" t="str">
        <f>'十五音-韻母'!C32</f>
        <v>膠</v>
      </c>
      <c r="L35" s="410" t="str">
        <f>'十五音-韻母'!D32</f>
        <v>a</v>
      </c>
      <c r="M35" s="425">
        <f t="shared" si="2"/>
        <v>1</v>
      </c>
    </row>
    <row r="36" spans="2:13" ht="33">
      <c r="B36" s="427">
        <v>29</v>
      </c>
      <c r="C36" s="409" t="s">
        <v>920</v>
      </c>
      <c r="D36" s="410" t="s">
        <v>36</v>
      </c>
      <c r="E36" s="340">
        <f t="shared" ref="E36" si="29" xml:space="preserve"> MATCH($D36, 韻母舒聲碼, 0)</f>
        <v>42</v>
      </c>
      <c r="F36" s="411" t="str" cm="1">
        <f t="array" ref="F36" xml:space="preserve"> INDEX(十五音韻母對照表, $E36, F$1)</f>
        <v>姆</v>
      </c>
      <c r="G36" s="25" t="str" cm="1">
        <f t="array" ref="G36" xml:space="preserve"> INDEX(十五音韻母對照表, $E36, G$1)</f>
        <v>m</v>
      </c>
      <c r="H36" s="25" t="str" cm="1">
        <f t="array" ref="H36" xml:space="preserve"> INDEX(十五音韻母對照表, $E36, H$1)</f>
        <v>mh</v>
      </c>
      <c r="J36" s="413">
        <f>'十五音-韻母'!B33</f>
        <v>29</v>
      </c>
      <c r="K36" s="350" t="str">
        <f>'十五音-韻母'!C33</f>
        <v>居</v>
      </c>
      <c r="L36" s="410" t="str">
        <f>'十五音-韻母'!D33</f>
        <v>i</v>
      </c>
      <c r="M36" s="425">
        <f t="shared" si="2"/>
        <v>12</v>
      </c>
    </row>
    <row r="37" spans="2:13" ht="33">
      <c r="B37" s="427">
        <v>30</v>
      </c>
      <c r="C37" s="409" t="s">
        <v>926</v>
      </c>
      <c r="D37" s="410" t="s">
        <v>68</v>
      </c>
      <c r="E37" s="340">
        <f t="shared" ref="E37" si="30" xml:space="preserve"> MATCH($D37, 韻母舒聲碼, 0)</f>
        <v>38</v>
      </c>
      <c r="F37" s="411" t="str" cm="1">
        <f t="array" ref="F37" xml:space="preserve"> INDEX(十五音韻母對照表, $E37, F$1)</f>
        <v>鋼</v>
      </c>
      <c r="G37" s="25" t="str" cm="1">
        <f t="array" ref="G37" xml:space="preserve"> INDEX(十五音韻母對照表, $E37, G$1)</f>
        <v>ng</v>
      </c>
      <c r="H37" s="25" t="str" cm="1">
        <f t="array" ref="H37" xml:space="preserve"> INDEX(十五音韻母對照表, $E37, H$1)</f>
        <v>ngh</v>
      </c>
      <c r="J37" s="413">
        <f>'十五音-韻母'!B34</f>
        <v>30</v>
      </c>
      <c r="K37" s="350" t="str">
        <f>'十五音-韻母'!C34</f>
        <v>丩</v>
      </c>
      <c r="L37" s="410" t="str">
        <f>'十五音-韻母'!D34</f>
        <v>iu</v>
      </c>
      <c r="M37" s="425">
        <f t="shared" si="2"/>
        <v>27</v>
      </c>
    </row>
    <row r="38" spans="2:13" ht="33">
      <c r="B38" s="427">
        <v>31</v>
      </c>
      <c r="C38" s="409" t="s">
        <v>937</v>
      </c>
      <c r="D38" s="410" t="s">
        <v>938</v>
      </c>
      <c r="E38" s="340">
        <f t="shared" ref="E38" si="31" xml:space="preserve"> MATCH($D38, 韻母舒聲碼, 0)</f>
        <v>15</v>
      </c>
      <c r="F38" s="411" t="str" cm="1">
        <f t="array" ref="F38" xml:space="preserve"> INDEX(十五音韻母對照表, $E38, F$1)</f>
        <v>高</v>
      </c>
      <c r="G38" s="25" t="str" cm="1">
        <f t="array" ref="G38" xml:space="preserve"> INDEX(十五音韻母對照表, $E38, G$1)</f>
        <v>o</v>
      </c>
      <c r="H38" s="25" t="str" cm="1">
        <f t="array" ref="H38" xml:space="preserve"> INDEX(十五音韻母對照表, $E38, H$1)</f>
        <v>oh</v>
      </c>
      <c r="J38" s="413">
        <f>'十五音-韻母'!B35</f>
        <v>31</v>
      </c>
      <c r="K38" s="350" t="str">
        <f>'十五音-韻母'!C35</f>
        <v>更</v>
      </c>
      <c r="L38" s="410" t="str">
        <f>'十五音-韻母'!D35</f>
        <v>enn</v>
      </c>
      <c r="M38" s="425">
        <f t="shared" si="2"/>
        <v>11</v>
      </c>
    </row>
    <row r="39" spans="2:13" ht="33">
      <c r="B39" s="427">
        <v>32</v>
      </c>
      <c r="C39" s="409" t="s">
        <v>949</v>
      </c>
      <c r="D39" s="410" t="s">
        <v>781</v>
      </c>
      <c r="E39" s="340">
        <f t="shared" ref="E39" si="32" xml:space="preserve"> MATCH($D39, 韻母舒聲碼, 0)</f>
        <v>11</v>
      </c>
      <c r="F39" s="411" t="str" cm="1">
        <f t="array" ref="F39" xml:space="preserve"> INDEX(十五音韻母對照表, $E39, F$1)</f>
        <v>沽</v>
      </c>
      <c r="G39" s="25" t="str" cm="1">
        <f t="array" ref="G39" xml:space="preserve"> INDEX(十五音韻母對照表, $E39, G$1)</f>
        <v>oo</v>
      </c>
      <c r="H39" s="25" t="str" cm="1">
        <f t="array" ref="H39" xml:space="preserve"> INDEX(十五音韻母對照表, $E39, H$1)</f>
        <v>ooh</v>
      </c>
      <c r="J39" s="413">
        <f>'十五音-韻母'!B36</f>
        <v>32</v>
      </c>
      <c r="K39" s="350" t="str">
        <f>'十五音-韻母'!C36</f>
        <v>褌</v>
      </c>
      <c r="L39" s="410" t="str">
        <f>'十五音-韻母'!D36</f>
        <v>uinn</v>
      </c>
      <c r="M39" s="425">
        <f t="shared" si="2"/>
        <v>44</v>
      </c>
    </row>
    <row r="40" spans="2:13" ht="33">
      <c r="B40" s="427">
        <v>33</v>
      </c>
      <c r="C40" s="406" t="s">
        <v>955</v>
      </c>
      <c r="D40" s="407" t="s">
        <v>956</v>
      </c>
      <c r="E40" s="340">
        <f t="shared" ref="E40" si="33" xml:space="preserve"> MATCH($D40, 韻母舒聲碼, 0)</f>
        <v>41</v>
      </c>
      <c r="F40" s="411" t="str" cm="1">
        <f t="array" ref="F40" xml:space="preserve"> INDEX(十五音韻母對照表, $E40, F$1)</f>
        <v>姑</v>
      </c>
      <c r="G40" s="25" t="str" cm="1">
        <f t="array" ref="G40" xml:space="preserve"> INDEX(十五音韻母對照表, $E40, G$1)</f>
        <v>oonn</v>
      </c>
      <c r="H40" s="25" t="str" cm="1">
        <f t="array" ref="H40" xml:space="preserve"> INDEX(十五音韻母對照表, $E40, H$1)</f>
        <v>oonnh</v>
      </c>
      <c r="J40" s="413">
        <f>'十五音-韻母'!B37</f>
        <v>33</v>
      </c>
      <c r="K40" s="350" t="str">
        <f>'十五音-韻母'!C37</f>
        <v>茄</v>
      </c>
      <c r="L40" s="410" t="str">
        <f>'十五音-韻母'!D37</f>
        <v>io</v>
      </c>
      <c r="M40" s="425">
        <f t="shared" si="2"/>
        <v>24</v>
      </c>
    </row>
    <row r="41" spans="2:13" ht="33">
      <c r="B41" s="427">
        <v>34</v>
      </c>
      <c r="C41" s="404" t="s">
        <v>965</v>
      </c>
      <c r="D41" s="340" t="s">
        <v>966</v>
      </c>
      <c r="E41" s="340">
        <f t="shared" ref="E41" si="34" xml:space="preserve"> MATCH($D41, 韻母舒聲碼, 0)</f>
        <v>47</v>
      </c>
      <c r="F41" s="411" t="str" cm="1">
        <f t="array" ref="F41" xml:space="preserve"> INDEX(十五音韻母對照表, $E41, F$1)</f>
        <v>箴</v>
      </c>
      <c r="G41" s="25" t="str" cm="1">
        <f t="array" ref="G41" xml:space="preserve"> INDEX(十五音韻母對照表, $E41, G$1)</f>
        <v>om</v>
      </c>
      <c r="H41" s="25" t="str" cm="1">
        <f t="array" ref="H41" xml:space="preserve"> INDEX(十五音韻母對照表, $E41, H$1)</f>
        <v>op</v>
      </c>
      <c r="J41" s="413">
        <f>'十五音-韻母'!B38</f>
        <v>34</v>
      </c>
      <c r="K41" s="350" t="str">
        <f>'十五音-韻母'!C38</f>
        <v>梔</v>
      </c>
      <c r="L41" s="410" t="str">
        <f>'十五音-韻母'!D38</f>
        <v>inn</v>
      </c>
      <c r="M41" s="425">
        <f t="shared" si="2"/>
        <v>13</v>
      </c>
    </row>
    <row r="42" spans="2:13" ht="33">
      <c r="B42" s="427">
        <v>35</v>
      </c>
      <c r="C42" s="409" t="s">
        <v>977</v>
      </c>
      <c r="D42" s="410" t="s">
        <v>978</v>
      </c>
      <c r="E42" s="340">
        <f t="shared" ref="E42" si="35" xml:space="preserve"> MATCH($D42, 韻母舒聲碼, 0)</f>
        <v>7</v>
      </c>
      <c r="F42" s="411" t="str" cm="1">
        <f t="array" ref="F42" xml:space="preserve"> INDEX(十五音韻母對照表, $E42, F$1)</f>
        <v>公</v>
      </c>
      <c r="G42" s="25" t="str" cm="1">
        <f t="array" ref="G42" xml:space="preserve"> INDEX(十五音韻母對照表, $E42, G$1)</f>
        <v>ong</v>
      </c>
      <c r="H42" s="25" t="str" cm="1">
        <f t="array" ref="H42" xml:space="preserve"> INDEX(十五音韻母對照表, $E42, H$1)</f>
        <v>ok</v>
      </c>
      <c r="J42" s="413">
        <f>'十五音-韻母'!B39</f>
        <v>35</v>
      </c>
      <c r="K42" s="350" t="str">
        <f>'十五音-韻母'!C39</f>
        <v>薑</v>
      </c>
      <c r="L42" s="410" t="str">
        <f>'十五音-韻母'!D39</f>
        <v>ionn</v>
      </c>
      <c r="M42" s="425">
        <f t="shared" si="2"/>
        <v>25</v>
      </c>
    </row>
    <row r="43" spans="2:13" ht="33">
      <c r="B43" s="427">
        <v>36</v>
      </c>
      <c r="C43" s="409" t="s">
        <v>988</v>
      </c>
      <c r="D43" s="410" t="s">
        <v>989</v>
      </c>
      <c r="E43" s="340">
        <f t="shared" ref="E43" si="36" xml:space="preserve"> MATCH($D43, 韻母舒聲碼, 0)</f>
        <v>27</v>
      </c>
      <c r="F43" s="411" t="str" cm="1">
        <f t="array" ref="F43" xml:space="preserve"> INDEX(十五音韻母對照表, $E43, F$1)</f>
        <v>艍</v>
      </c>
      <c r="G43" s="25" t="str" cm="1">
        <f t="array" ref="G43" xml:space="preserve"> INDEX(十五音韻母對照表, $E43, G$1)</f>
        <v>u</v>
      </c>
      <c r="H43" s="25" t="str" cm="1">
        <f t="array" ref="H43" xml:space="preserve"> INDEX(十五音韻母對照表, $E43, H$1)</f>
        <v>uh</v>
      </c>
      <c r="J43" s="413">
        <f>'十五音-韻母'!B40</f>
        <v>36</v>
      </c>
      <c r="K43" s="350" t="str">
        <f>'十五音-韻母'!C40</f>
        <v>驚</v>
      </c>
      <c r="L43" s="410" t="str">
        <f>'十五音-韻母'!D40</f>
        <v>iann</v>
      </c>
      <c r="M43" s="425">
        <f t="shared" si="2"/>
        <v>15</v>
      </c>
    </row>
    <row r="44" spans="2:13" ht="33">
      <c r="B44" s="427">
        <v>37</v>
      </c>
      <c r="C44" s="409" t="s">
        <v>998</v>
      </c>
      <c r="D44" s="410" t="s">
        <v>999</v>
      </c>
      <c r="E44" s="340">
        <f t="shared" ref="E44" si="37" xml:space="preserve"> MATCH($D44, 韻母舒聲碼, 0)</f>
        <v>20</v>
      </c>
      <c r="F44" s="411" t="str" cm="1">
        <f t="array" ref="F44" xml:space="preserve"> INDEX(十五音韻母對照表, $E44, F$1)</f>
        <v>瓜</v>
      </c>
      <c r="G44" s="25" t="str" cm="1">
        <f t="array" ref="G44" xml:space="preserve"> INDEX(十五音韻母對照表, $E44, G$1)</f>
        <v>ua</v>
      </c>
      <c r="H44" s="25" t="str" cm="1">
        <f t="array" ref="H44" xml:space="preserve"> INDEX(十五音韻母對照表, $E44, H$1)</f>
        <v>uah</v>
      </c>
      <c r="J44" s="413">
        <f>'十五音-韻母'!B41</f>
        <v>37</v>
      </c>
      <c r="K44" s="350" t="str">
        <f>'十五音-韻母'!C41</f>
        <v>官</v>
      </c>
      <c r="L44" s="410" t="str">
        <f>'十五音-韻母'!D41</f>
        <v>uann</v>
      </c>
      <c r="M44" s="425">
        <f t="shared" si="2"/>
        <v>38</v>
      </c>
    </row>
    <row r="45" spans="2:13" ht="33">
      <c r="B45" s="427">
        <v>38</v>
      </c>
      <c r="C45" s="409" t="s">
        <v>1006</v>
      </c>
      <c r="D45" s="410" t="s">
        <v>1007</v>
      </c>
      <c r="E45" s="340">
        <f t="shared" ref="E45" si="38" xml:space="preserve"> MATCH($D45, 韻母舒聲碼, 0)</f>
        <v>37</v>
      </c>
      <c r="F45" s="411" t="str" cm="1">
        <f t="array" ref="F45" xml:space="preserve"> INDEX(十五音韻母對照表, $E45, F$1)</f>
        <v>官</v>
      </c>
      <c r="G45" s="25" t="str" cm="1">
        <f t="array" ref="G45" xml:space="preserve"> INDEX(十五音韻母對照表, $E45, G$1)</f>
        <v>uann</v>
      </c>
      <c r="H45" s="25" t="str" cm="1">
        <f t="array" ref="H45" xml:space="preserve"> INDEX(十五音韻母對照表, $E45, H$1)</f>
        <v>uannh</v>
      </c>
      <c r="J45" s="413">
        <f>'十五音-韻母'!B42</f>
        <v>38</v>
      </c>
      <c r="K45" s="350" t="str">
        <f>'十五音-韻母'!C42</f>
        <v>鋼</v>
      </c>
      <c r="L45" s="410" t="str">
        <f>'十五音-韻母'!D42</f>
        <v>ng</v>
      </c>
      <c r="M45" s="425">
        <f t="shared" si="2"/>
        <v>30</v>
      </c>
    </row>
    <row r="46" spans="2:13" ht="33">
      <c r="B46" s="427">
        <v>39</v>
      </c>
      <c r="C46" s="409" t="s">
        <v>1011</v>
      </c>
      <c r="D46" s="410" t="s">
        <v>1012</v>
      </c>
      <c r="E46" s="340">
        <f t="shared" ref="E46" si="39" xml:space="preserve"> MATCH($D46, 韻母舒聲碼, 0)</f>
        <v>8</v>
      </c>
      <c r="F46" s="411" t="str" cm="1">
        <f t="array" ref="F46" xml:space="preserve"> INDEX(十五音韻母對照表, $E46, F$1)</f>
        <v>乖</v>
      </c>
      <c r="G46" s="25" t="str" cm="1">
        <f t="array" ref="G46" xml:space="preserve"> INDEX(十五音韻母對照表, $E46, G$1)</f>
        <v>uai</v>
      </c>
      <c r="H46" s="25" t="str" cm="1">
        <f t="array" ref="H46" xml:space="preserve"> INDEX(十五音韻母對照表, $E46, H$1)</f>
        <v>uaih</v>
      </c>
      <c r="J46" s="413">
        <f>'十五音-韻母'!B43</f>
        <v>39</v>
      </c>
      <c r="K46" s="350" t="str">
        <f>'十五音-韻母'!C43</f>
        <v>伽</v>
      </c>
      <c r="L46" s="410" t="str">
        <f>'十五音-韻母'!D43</f>
        <v>e</v>
      </c>
      <c r="M46" s="425">
        <f t="shared" si="2"/>
        <v>10</v>
      </c>
    </row>
    <row r="47" spans="2:13" ht="33">
      <c r="B47" s="427">
        <v>40</v>
      </c>
      <c r="C47" s="409" t="s">
        <v>1022</v>
      </c>
      <c r="D47" s="410" t="s">
        <v>1023</v>
      </c>
      <c r="E47" s="340">
        <f t="shared" ref="E47" si="40" xml:space="preserve"> MATCH($D47, 韻母舒聲碼, 0)</f>
        <v>44</v>
      </c>
      <c r="F47" s="411" t="str" cm="1">
        <f t="array" ref="F47" xml:space="preserve"> INDEX(十五音韻母對照表, $E47, F$1)</f>
        <v>閂</v>
      </c>
      <c r="G47" s="25" t="str" cm="1">
        <f t="array" ref="G47" xml:space="preserve"> INDEX(十五音韻母對照表, $E47, G$1)</f>
        <v>uainn</v>
      </c>
      <c r="H47" s="25" t="str" cm="1">
        <f t="array" ref="H47" xml:space="preserve"> INDEX(十五音韻母對照表, $E47, H$1)</f>
        <v>uainnh</v>
      </c>
      <c r="J47" s="413">
        <f>'十五音-韻母'!B44</f>
        <v>40</v>
      </c>
      <c r="K47" s="350" t="str">
        <f>'十五音-韻母'!C44</f>
        <v>閒</v>
      </c>
      <c r="L47" s="410" t="str">
        <f>'十五音-韻母'!D44</f>
        <v>ainn</v>
      </c>
      <c r="M47" s="425">
        <f t="shared" si="2"/>
        <v>4</v>
      </c>
    </row>
    <row r="48" spans="2:13" ht="33">
      <c r="B48" s="427">
        <v>41</v>
      </c>
      <c r="C48" s="409" t="s">
        <v>1035</v>
      </c>
      <c r="D48" s="410" t="s">
        <v>1036</v>
      </c>
      <c r="E48" s="340">
        <f t="shared" ref="E48" si="41" xml:space="preserve"> MATCH($D48, 韻母舒聲碼, 0)</f>
        <v>10</v>
      </c>
      <c r="F48" s="411" t="str" cm="1">
        <f t="array" ref="F48" xml:space="preserve"> INDEX(十五音韻母對照表, $E48, F$1)</f>
        <v>觀</v>
      </c>
      <c r="G48" s="25" t="str" cm="1">
        <f t="array" ref="G48" xml:space="preserve"> INDEX(十五音韻母對照表, $E48, G$1)</f>
        <v>uan</v>
      </c>
      <c r="H48" s="25" t="str" cm="1">
        <f t="array" ref="H48" xml:space="preserve"> INDEX(十五音韻母對照表, $E48, H$1)</f>
        <v>uat</v>
      </c>
      <c r="J48" s="413">
        <f>'十五音-韻母'!B45</f>
        <v>41</v>
      </c>
      <c r="K48" s="350" t="str">
        <f>'十五音-韻母'!C45</f>
        <v>姑</v>
      </c>
      <c r="L48" s="410" t="str">
        <f>'十五音-韻母'!D45</f>
        <v>oonn</v>
      </c>
      <c r="M48" s="425">
        <f t="shared" si="2"/>
        <v>33</v>
      </c>
    </row>
    <row r="49" spans="2:13" ht="33">
      <c r="B49" s="427">
        <v>42</v>
      </c>
      <c r="C49" s="409" t="s">
        <v>1041</v>
      </c>
      <c r="D49" s="410" t="s">
        <v>1042</v>
      </c>
      <c r="E49" s="340">
        <f t="shared" ref="E49" si="42" xml:space="preserve"> MATCH($D49, 韻母舒聲碼, 0)</f>
        <v>25</v>
      </c>
      <c r="F49" s="411" t="str" cm="1">
        <f t="array" ref="F49" xml:space="preserve"> INDEX(十五音韻母對照表, $E49, F$1)</f>
        <v>檜</v>
      </c>
      <c r="G49" s="25" t="str" cm="1">
        <f t="array" ref="G49" xml:space="preserve"> INDEX(十五音韻母對照表, $E49, G$1)</f>
        <v>ue</v>
      </c>
      <c r="H49" s="25" t="str" cm="1">
        <f t="array" ref="H49" xml:space="preserve"> INDEX(十五音韻母對照表, $E49, H$1)</f>
        <v>ueh</v>
      </c>
      <c r="J49" s="413">
        <f>'十五音-韻母'!B46</f>
        <v>42</v>
      </c>
      <c r="K49" s="350" t="str">
        <f>'十五音-韻母'!C46</f>
        <v>姆</v>
      </c>
      <c r="L49" s="410" t="str">
        <f>'十五音-韻母'!D46</f>
        <v>m</v>
      </c>
      <c r="M49" s="425">
        <f t="shared" si="2"/>
        <v>29</v>
      </c>
    </row>
    <row r="50" spans="2:13" ht="33">
      <c r="B50" s="427">
        <v>43</v>
      </c>
      <c r="C50" s="409" t="s">
        <v>1050</v>
      </c>
      <c r="D50" s="410" t="s">
        <v>727</v>
      </c>
      <c r="E50" s="340">
        <f t="shared" ref="E50" si="43" xml:space="preserve"> MATCH($D50, 韻母舒聲碼, 0)</f>
        <v>4</v>
      </c>
      <c r="F50" s="411" t="str" cm="1">
        <f t="array" ref="F50" xml:space="preserve"> INDEX(十五音韻母對照表, $E50, F$1)</f>
        <v>規</v>
      </c>
      <c r="G50" s="25" t="str" cm="1">
        <f t="array" ref="G50" xml:space="preserve"> INDEX(十五音韻母對照表, $E50, G$1)</f>
        <v>ui</v>
      </c>
      <c r="H50" s="25" t="str" cm="1">
        <f t="array" ref="H50" xml:space="preserve"> INDEX(十五音韻母對照表, $E50, H$1)</f>
        <v>uih</v>
      </c>
      <c r="J50" s="413">
        <f>'十五音-韻母'!B47</f>
        <v>43</v>
      </c>
      <c r="K50" s="350" t="str">
        <f>'十五音-韻母'!C47</f>
        <v>光</v>
      </c>
      <c r="L50" s="410" t="str">
        <f>'十五音-韻母'!D47</f>
        <v>uang</v>
      </c>
      <c r="M50" s="425" t="str">
        <f t="shared" si="2"/>
        <v/>
      </c>
    </row>
    <row r="51" spans="2:13" ht="33">
      <c r="B51" s="427">
        <v>44</v>
      </c>
      <c r="C51" s="409" t="s">
        <v>1061</v>
      </c>
      <c r="D51" s="410" t="s">
        <v>1062</v>
      </c>
      <c r="E51" s="340">
        <f t="shared" ref="E51" si="44" xml:space="preserve"> MATCH($D51, 韻母舒聲碼, 0)</f>
        <v>32</v>
      </c>
      <c r="F51" s="411" t="str" cm="1">
        <f t="array" ref="F51" xml:space="preserve"> INDEX(十五音韻母對照表, $E51, F$1)</f>
        <v>褌</v>
      </c>
      <c r="G51" s="25" t="str" cm="1">
        <f t="array" ref="G51" xml:space="preserve"> INDEX(十五音韻母對照表, $E51, G$1)</f>
        <v>uinn</v>
      </c>
      <c r="H51" s="25" t="str" cm="1">
        <f t="array" ref="H51" xml:space="preserve"> INDEX(十五音韻母對照表, $E51, H$1)</f>
        <v>uinnh</v>
      </c>
      <c r="J51" s="413">
        <f>'十五音-韻母'!B48</f>
        <v>44</v>
      </c>
      <c r="K51" s="350" t="str">
        <f>'十五音-韻母'!C48</f>
        <v>閂</v>
      </c>
      <c r="L51" s="410" t="str">
        <f>'十五音-韻母'!D48</f>
        <v>uainn</v>
      </c>
      <c r="M51" s="425">
        <f t="shared" si="2"/>
        <v>40</v>
      </c>
    </row>
    <row r="52" spans="2:13" ht="33">
      <c r="B52" s="427">
        <v>45</v>
      </c>
      <c r="C52" s="409" t="s">
        <v>1073</v>
      </c>
      <c r="D52" s="410" t="s">
        <v>1074</v>
      </c>
      <c r="E52" s="340">
        <f t="shared" ref="E52" si="45" xml:space="preserve"> MATCH($D52, 韻母舒聲碼, 0)</f>
        <v>1</v>
      </c>
      <c r="F52" s="411" t="str" cm="1">
        <f t="array" ref="F52" xml:space="preserve"> INDEX(十五音韻母對照表, $E52, F$1)</f>
        <v>君</v>
      </c>
      <c r="G52" s="25" t="str" cm="1">
        <f t="array" ref="G52" xml:space="preserve"> INDEX(十五音韻母對照表, $E52, G$1)</f>
        <v>un</v>
      </c>
      <c r="H52" s="25" t="str" cm="1">
        <f t="array" ref="H52" xml:space="preserve"> INDEX(十五音韻母對照表, $E52, H$1)</f>
        <v>ut</v>
      </c>
      <c r="J52" s="413">
        <f>'十五音-韻母'!B49</f>
        <v>45</v>
      </c>
      <c r="K52" s="350" t="str">
        <f>'十五音-韻母'!C49</f>
        <v>糜</v>
      </c>
      <c r="L52" s="410" t="str">
        <f>'十五音-韻母'!D49</f>
        <v>uenn</v>
      </c>
      <c r="M52" s="425" t="str">
        <f t="shared" si="2"/>
        <v/>
      </c>
    </row>
    <row r="53" spans="2:13" ht="30">
      <c r="J53" s="413">
        <f>'十五音-韻母'!B50</f>
        <v>46</v>
      </c>
      <c r="K53" s="350" t="str">
        <f>'十五音-韻母'!C50</f>
        <v>嘄</v>
      </c>
      <c r="L53" s="410" t="str">
        <f>'十五音-韻母'!D50</f>
        <v>iaunn</v>
      </c>
      <c r="M53" s="425">
        <f t="shared" si="2"/>
        <v>20</v>
      </c>
    </row>
    <row r="54" spans="2:13" ht="30">
      <c r="J54" s="413">
        <f>'十五音-韻母'!B51</f>
        <v>47</v>
      </c>
      <c r="K54" s="350" t="str">
        <f>'十五音-韻母'!C51</f>
        <v>箴</v>
      </c>
      <c r="L54" s="410" t="str">
        <f>'十五音-韻母'!D51</f>
        <v>om</v>
      </c>
      <c r="M54" s="425">
        <f t="shared" si="2"/>
        <v>34</v>
      </c>
    </row>
    <row r="55" spans="2:13" ht="30">
      <c r="J55" s="413">
        <f>'十五音-韻母'!B52</f>
        <v>48</v>
      </c>
      <c r="K55" s="350" t="str">
        <f>'十五音-韻母'!C52</f>
        <v>爻</v>
      </c>
      <c r="L55" s="410" t="str">
        <f>'十五音-韻母'!D52</f>
        <v>aunn</v>
      </c>
      <c r="M55" s="425">
        <f t="shared" si="2"/>
        <v>9</v>
      </c>
    </row>
    <row r="56" spans="2:13" ht="30">
      <c r="J56" s="413">
        <f>'十五音-韻母'!B53</f>
        <v>49</v>
      </c>
      <c r="K56" s="350" t="str">
        <f>'十五音-韻母'!C53</f>
        <v>扛</v>
      </c>
      <c r="L56" s="410" t="str">
        <f>'十五音-韻母'!D53</f>
        <v>onn</v>
      </c>
      <c r="M56" s="425" t="str">
        <f t="shared" si="2"/>
        <v/>
      </c>
    </row>
    <row r="57" spans="2:13" ht="30">
      <c r="J57" s="413">
        <f>'十五音-韻母'!B54</f>
        <v>50</v>
      </c>
      <c r="K57" s="350" t="str">
        <f>'十五音-韻母'!C54</f>
        <v>牛</v>
      </c>
      <c r="L57" s="410" t="str">
        <f>'十五音-韻母'!D54</f>
        <v>iunn</v>
      </c>
      <c r="M57" s="425">
        <f t="shared" si="2"/>
        <v>28</v>
      </c>
    </row>
  </sheetData>
  <dataConsolidate/>
  <phoneticPr fontId="1" type="noConversion"/>
  <conditionalFormatting sqref="J8:M57">
    <cfRule type="expression" dxfId="14" priority="2">
      <formula>$M8=""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B823-71BA-5049-9DDE-CABECB7CEE9B}">
  <sheetPr>
    <tabColor rgb="FF00B0F0"/>
  </sheetPr>
  <dimension ref="B1:U61"/>
  <sheetViews>
    <sheetView workbookViewId="0">
      <pane xSplit="1" ySplit="7" topLeftCell="B8" activePane="bottomRight" state="frozen"/>
      <selection pane="topRight" activeCell="F1" sqref="F1"/>
      <selection pane="bottomLeft" activeCell="A5" sqref="A5"/>
      <selection pane="bottomRight" activeCell="W10" sqref="W10"/>
    </sheetView>
  </sheetViews>
  <sheetFormatPr defaultColWidth="10.90625" defaultRowHeight="25.5" outlineLevelRow="1" outlineLevelCol="2"/>
  <cols>
    <col min="1" max="1" width="4.26953125" customWidth="1"/>
    <col min="2" max="2" width="5.81640625" customWidth="1" outlineLevel="1"/>
    <col min="3" max="3" width="7" customWidth="1" outlineLevel="1"/>
    <col min="4" max="4" width="10.90625" customWidth="1" outlineLevel="2"/>
    <col min="5" max="5" width="9.26953125" customWidth="1" outlineLevel="2"/>
    <col min="6" max="8" width="10.90625" outlineLevel="1"/>
    <col min="9" max="9" width="4.453125" customWidth="1"/>
    <col min="10" max="10" width="4.90625" style="6" customWidth="1"/>
    <col min="11" max="11" width="11.1796875" style="6" customWidth="1"/>
    <col min="12" max="12" width="11.1796875" customWidth="1" outlineLevel="1"/>
    <col min="13" max="13" width="11.1796875" customWidth="1"/>
    <col min="14" max="14" width="5.08984375" customWidth="1"/>
    <col min="15" max="16" width="11.1796875" customWidth="1"/>
    <col min="17" max="17" width="5.08984375" customWidth="1"/>
  </cols>
  <sheetData>
    <row r="1" spans="2:21" outlineLevel="1">
      <c r="F1">
        <v>2</v>
      </c>
      <c r="G1">
        <v>3</v>
      </c>
      <c r="H1">
        <v>4</v>
      </c>
      <c r="M1">
        <v>3</v>
      </c>
    </row>
    <row r="2" spans="2:21" outlineLevel="1">
      <c r="O2" s="47" t="s">
        <v>1273</v>
      </c>
      <c r="R2" s="421" t="s">
        <v>134</v>
      </c>
    </row>
    <row r="3" spans="2:21" outlineLevel="1">
      <c r="O3" s="165" t="str">
        <f>""</f>
        <v/>
      </c>
      <c r="R3" s="165" t="str">
        <f>""</f>
        <v/>
      </c>
    </row>
    <row r="4" spans="2:21" outlineLevel="1"/>
    <row r="5" spans="2:21" s="50" customFormat="1" ht="38.25" outlineLevel="1">
      <c r="B5" s="419" t="s">
        <v>1328</v>
      </c>
      <c r="J5" s="419" t="s">
        <v>1275</v>
      </c>
      <c r="K5" s="6"/>
      <c r="L5" s="6"/>
      <c r="O5" s="419" t="s">
        <v>1276</v>
      </c>
      <c r="P5"/>
      <c r="R5" s="419" t="s">
        <v>1329</v>
      </c>
      <c r="U5"/>
    </row>
    <row r="6" spans="2:21" ht="11.1" customHeight="1">
      <c r="L6" s="6"/>
      <c r="P6" s="50"/>
      <c r="U6" s="50"/>
    </row>
    <row r="7" spans="2:21" s="131" customFormat="1" ht="27.95" customHeight="1">
      <c r="B7" s="47" t="s">
        <v>133</v>
      </c>
      <c r="C7" s="47" t="s">
        <v>128</v>
      </c>
      <c r="D7" s="47" t="s">
        <v>129</v>
      </c>
      <c r="E7" s="47" t="s">
        <v>134</v>
      </c>
      <c r="F7" s="47" t="s">
        <v>706</v>
      </c>
      <c r="G7" s="128" t="s">
        <v>130</v>
      </c>
      <c r="H7" s="128" t="s">
        <v>131</v>
      </c>
      <c r="J7" s="47" t="s">
        <v>133</v>
      </c>
      <c r="K7" s="47" t="s">
        <v>706</v>
      </c>
      <c r="L7" s="47" t="s">
        <v>1277</v>
      </c>
      <c r="M7" s="47" t="s">
        <v>1273</v>
      </c>
      <c r="O7" s="47" t="s">
        <v>706</v>
      </c>
      <c r="P7" s="47" t="s">
        <v>1277</v>
      </c>
      <c r="R7" s="47" t="s">
        <v>133</v>
      </c>
      <c r="S7" s="47" t="s">
        <v>128</v>
      </c>
      <c r="T7" s="47" t="s">
        <v>129</v>
      </c>
      <c r="U7" s="50"/>
    </row>
    <row r="8" spans="2:21" ht="33">
      <c r="B8" s="426">
        <v>1</v>
      </c>
      <c r="C8" s="369" t="s">
        <v>135</v>
      </c>
      <c r="D8" s="371" t="s">
        <v>136</v>
      </c>
      <c r="E8" s="420">
        <f t="shared" ref="E8:E39" si="0" xml:space="preserve"> IFERROR( MATCH($D8, 韻母舒聲碼, 0), "")</f>
        <v>1</v>
      </c>
      <c r="F8" s="411" t="str" cm="1">
        <f t="array" ref="F8" xml:space="preserve"> IF($E8="", "",  INDEX(十五音韻母對照表, $E8, F$1))</f>
        <v>君</v>
      </c>
      <c r="G8" s="25" t="str" cm="1">
        <f t="array" ref="G8" xml:space="preserve"> IF($E8="", "", INDEX(十五音韻母對照表, $E8, G$1))</f>
        <v>un</v>
      </c>
      <c r="H8" s="25" t="str" cm="1">
        <f t="array" ref="H8" xml:space="preserve"> IF($E8="", "",  INDEX(十五音韻母對照表, $E8, H$1))</f>
        <v>ut</v>
      </c>
      <c r="J8" s="413">
        <v>1</v>
      </c>
      <c r="K8" s="350" t="str">
        <f>'十五音-韻母'!C5</f>
        <v>君</v>
      </c>
      <c r="L8" s="410" t="str">
        <f>'十五音-韻母'!D5</f>
        <v>un</v>
      </c>
      <c r="M8" s="425">
        <f xml:space="preserve"> IFERROR( MATCH($L8, $D$8:$D$51, 0), "")</f>
        <v>1</v>
      </c>
      <c r="O8" s="350" t="s">
        <v>206</v>
      </c>
      <c r="P8" s="410" t="s">
        <v>207</v>
      </c>
      <c r="U8" s="50"/>
    </row>
    <row r="9" spans="2:21" ht="33">
      <c r="B9" s="426">
        <v>2</v>
      </c>
      <c r="C9" s="369" t="s">
        <v>141</v>
      </c>
      <c r="D9" s="371" t="s">
        <v>142</v>
      </c>
      <c r="E9" s="420">
        <f t="shared" si="0"/>
        <v>2</v>
      </c>
      <c r="F9" s="411" t="str" cm="1">
        <f t="array" ref="F9" xml:space="preserve"> IF($E9="", "",  INDEX(十五音韻母對照表, $E9, F$1))</f>
        <v>堅</v>
      </c>
      <c r="G9" s="25" t="str" cm="1">
        <f t="array" ref="G9" xml:space="preserve"> IF($E9="", "", INDEX(十五音韻母對照表, $E9, G$1))</f>
        <v>ian</v>
      </c>
      <c r="H9" s="25" t="str" cm="1">
        <f t="array" ref="H9" xml:space="preserve"> IF($E9="", "",  INDEX(十五音韻母對照表, $E9, H$1))</f>
        <v>iat</v>
      </c>
      <c r="J9" s="413">
        <v>2</v>
      </c>
      <c r="K9" s="350" t="str">
        <f>'十五音-韻母'!C6</f>
        <v>堅</v>
      </c>
      <c r="L9" s="410" t="str">
        <f>'十五音-韻母'!D6</f>
        <v>ian</v>
      </c>
      <c r="M9" s="425">
        <f t="shared" ref="M9:M57" si="1" xml:space="preserve"> IFERROR( MATCH($L9, $D$8:$D$51, 0), "")</f>
        <v>2</v>
      </c>
      <c r="O9" s="350" t="s">
        <v>253</v>
      </c>
      <c r="P9" s="410" t="s">
        <v>278</v>
      </c>
      <c r="U9" s="50"/>
    </row>
    <row r="10" spans="2:21" ht="33">
      <c r="B10" s="426">
        <v>3</v>
      </c>
      <c r="C10" s="369" t="s">
        <v>147</v>
      </c>
      <c r="D10" s="371" t="s">
        <v>148</v>
      </c>
      <c r="E10" s="420">
        <f t="shared" si="0"/>
        <v>3</v>
      </c>
      <c r="F10" s="411" t="str" cm="1">
        <f t="array" ref="F10" xml:space="preserve"> IF($E10="", "",  INDEX(十五音韻母對照表, $E10, F$1))</f>
        <v>金</v>
      </c>
      <c r="G10" s="25" t="str" cm="1">
        <f t="array" ref="G10" xml:space="preserve"> IF($E10="", "", INDEX(十五音韻母對照表, $E10, G$1))</f>
        <v>im</v>
      </c>
      <c r="H10" s="25" t="str" cm="1">
        <f t="array" ref="H10" xml:space="preserve"> IF($E10="", "",  INDEX(十五音韻母對照表, $E10, H$1))</f>
        <v>ip</v>
      </c>
      <c r="J10" s="413">
        <v>3</v>
      </c>
      <c r="K10" s="350" t="str">
        <f>'十五音-韻母'!C7</f>
        <v>金</v>
      </c>
      <c r="L10" s="410" t="str">
        <f>'十五音-韻母'!D7</f>
        <v>im</v>
      </c>
      <c r="M10" s="425">
        <f t="shared" si="1"/>
        <v>3</v>
      </c>
      <c r="O10" s="350" t="s">
        <v>235</v>
      </c>
      <c r="P10" s="410" t="s">
        <v>236</v>
      </c>
      <c r="U10" s="50"/>
    </row>
    <row r="11" spans="2:21" ht="33">
      <c r="B11" s="426">
        <v>4</v>
      </c>
      <c r="C11" s="369" t="s">
        <v>1330</v>
      </c>
      <c r="D11" s="371" t="s">
        <v>154</v>
      </c>
      <c r="E11" s="420">
        <f t="shared" si="0"/>
        <v>4</v>
      </c>
      <c r="F11" s="411" t="str" cm="1">
        <f t="array" ref="F11" xml:space="preserve"> IF($E11="", "",  INDEX(十五音韻母對照表, $E11, F$1))</f>
        <v>規</v>
      </c>
      <c r="G11" s="25" t="str" cm="1">
        <f t="array" ref="G11" xml:space="preserve"> IF($E11="", "", INDEX(十五音韻母對照表, $E11, G$1))</f>
        <v>ui</v>
      </c>
      <c r="H11" s="25" t="str" cm="1">
        <f t="array" ref="H11" xml:space="preserve"> IF($E11="", "",  INDEX(十五音韻母對照表, $E11, H$1))</f>
        <v>uih</v>
      </c>
      <c r="J11" s="413">
        <v>4</v>
      </c>
      <c r="K11" s="350" t="str">
        <f>'十五音-韻母'!C8</f>
        <v>規</v>
      </c>
      <c r="L11" s="410" t="str">
        <f>'十五音-韻母'!D8</f>
        <v>ui</v>
      </c>
      <c r="M11" s="425">
        <f t="shared" si="1"/>
        <v>4</v>
      </c>
      <c r="O11" s="350" t="s">
        <v>269</v>
      </c>
      <c r="P11" s="410" t="s">
        <v>270</v>
      </c>
      <c r="U11" s="50"/>
    </row>
    <row r="12" spans="2:21" ht="33">
      <c r="B12" s="426">
        <v>5</v>
      </c>
      <c r="C12" s="369" t="s">
        <v>1331</v>
      </c>
      <c r="D12" s="371" t="s">
        <v>202</v>
      </c>
      <c r="E12" s="420">
        <f t="shared" si="0"/>
        <v>5</v>
      </c>
      <c r="F12" s="411" t="str" cm="1">
        <f t="array" ref="F12" xml:space="preserve"> IF($E12="", "",  INDEX(十五音韻母對照表, $E12, F$1))</f>
        <v>嘉</v>
      </c>
      <c r="G12" s="25" t="str" cm="1">
        <f t="array" ref="G12" xml:space="preserve"> IF($E12="", "", INDEX(十五音韻母對照表, $E12, G$1))</f>
        <v>ee</v>
      </c>
      <c r="H12" s="25" t="str" cm="1">
        <f t="array" ref="H12" xml:space="preserve"> IF($E12="", "",  INDEX(十五音韻母對照表, $E12, H$1))</f>
        <v>eeh</v>
      </c>
      <c r="J12" s="413">
        <v>5</v>
      </c>
      <c r="K12" s="350" t="str">
        <f>'十五音-韻母'!C9</f>
        <v>嘉</v>
      </c>
      <c r="L12" s="410" t="str">
        <f>'十五音-韻母'!D9</f>
        <v>ee</v>
      </c>
      <c r="M12" s="425">
        <f t="shared" si="1"/>
        <v>5</v>
      </c>
      <c r="O12" s="350" t="s">
        <v>272</v>
      </c>
      <c r="P12" s="410" t="s">
        <v>280</v>
      </c>
      <c r="U12" s="50"/>
    </row>
    <row r="13" spans="2:21" ht="33">
      <c r="B13" s="426">
        <v>6</v>
      </c>
      <c r="C13" s="369" t="s">
        <v>165</v>
      </c>
      <c r="D13" s="371" t="s">
        <v>166</v>
      </c>
      <c r="E13" s="420">
        <f t="shared" si="0"/>
        <v>6</v>
      </c>
      <c r="F13" s="411" t="str" cm="1">
        <f t="array" ref="F13" xml:space="preserve"> IF($E13="", "",  INDEX(十五音韻母對照表, $E13, F$1))</f>
        <v>干</v>
      </c>
      <c r="G13" s="25" t="str" cm="1">
        <f t="array" ref="G13" xml:space="preserve"> IF($E13="", "", INDEX(十五音韻母對照表, $E13, G$1))</f>
        <v>an</v>
      </c>
      <c r="H13" s="25" t="str" cm="1">
        <f t="array" ref="H13" xml:space="preserve"> IF($E13="", "",  INDEX(十五音韻母對照表, $E13, H$1))</f>
        <v>at</v>
      </c>
      <c r="J13" s="413">
        <v>6</v>
      </c>
      <c r="K13" s="350" t="str">
        <f>'十五音-韻母'!C10</f>
        <v>干</v>
      </c>
      <c r="L13" s="410" t="str">
        <f>'十五音-韻母'!D10</f>
        <v>an</v>
      </c>
      <c r="M13" s="425">
        <f t="shared" si="1"/>
        <v>6</v>
      </c>
      <c r="O13" s="350" t="s">
        <v>267</v>
      </c>
      <c r="P13" s="410" t="s">
        <v>268</v>
      </c>
      <c r="U13" s="50"/>
    </row>
    <row r="14" spans="2:21" ht="33">
      <c r="B14" s="426">
        <v>7</v>
      </c>
      <c r="C14" s="369" t="s">
        <v>269</v>
      </c>
      <c r="D14" s="371" t="s">
        <v>169</v>
      </c>
      <c r="E14" s="420">
        <f t="shared" si="0"/>
        <v>7</v>
      </c>
      <c r="F14" s="411" t="str" cm="1">
        <f t="array" ref="F14" xml:space="preserve"> IF($E14="", "",  INDEX(十五音韻母對照表, $E14, F$1))</f>
        <v>公</v>
      </c>
      <c r="G14" s="25" t="str" cm="1">
        <f t="array" ref="G14" xml:space="preserve"> IF($E14="", "", INDEX(十五音韻母對照表, $E14, G$1))</f>
        <v>ong</v>
      </c>
      <c r="H14" s="25" t="str" cm="1">
        <f t="array" ref="H14" xml:space="preserve"> IF($E14="", "",  INDEX(十五音韻母對照表, $E14, H$1))</f>
        <v>ok</v>
      </c>
      <c r="J14" s="413">
        <v>7</v>
      </c>
      <c r="K14" s="350" t="str">
        <f>'十五音-韻母'!C11</f>
        <v>公</v>
      </c>
      <c r="L14" s="410" t="str">
        <f>'十五音-韻母'!D11</f>
        <v>ong</v>
      </c>
      <c r="M14" s="425">
        <f t="shared" si="1"/>
        <v>7</v>
      </c>
    </row>
    <row r="15" spans="2:21" ht="33">
      <c r="B15" s="426">
        <v>8</v>
      </c>
      <c r="C15" s="369" t="s">
        <v>174</v>
      </c>
      <c r="D15" s="371" t="s">
        <v>175</v>
      </c>
      <c r="E15" s="420">
        <f t="shared" si="0"/>
        <v>8</v>
      </c>
      <c r="F15" s="411" t="str" cm="1">
        <f t="array" ref="F15" xml:space="preserve"> IF($E15="", "",  INDEX(十五音韻母對照表, $E15, F$1))</f>
        <v>乖</v>
      </c>
      <c r="G15" s="25" t="str" cm="1">
        <f t="array" ref="G15" xml:space="preserve"> IF($E15="", "", INDEX(十五音韻母對照表, $E15, G$1))</f>
        <v>uai</v>
      </c>
      <c r="H15" s="25" t="str" cm="1">
        <f t="array" ref="H15" xml:space="preserve"> IF($E15="", "",  INDEX(十五音韻母對照表, $E15, H$1))</f>
        <v>uaih</v>
      </c>
      <c r="J15" s="413">
        <v>8</v>
      </c>
      <c r="K15" s="350" t="str">
        <f>'十五音-韻母'!C12</f>
        <v>乖</v>
      </c>
      <c r="L15" s="410" t="str">
        <f>'十五音-韻母'!D12</f>
        <v>uai</v>
      </c>
      <c r="M15" s="425">
        <f t="shared" si="1"/>
        <v>8</v>
      </c>
    </row>
    <row r="16" spans="2:21" ht="33">
      <c r="B16" s="426">
        <v>9</v>
      </c>
      <c r="C16" s="369" t="s">
        <v>1319</v>
      </c>
      <c r="D16" s="371" t="s">
        <v>181</v>
      </c>
      <c r="E16" s="420">
        <f t="shared" si="0"/>
        <v>9</v>
      </c>
      <c r="F16" s="411" t="str" cm="1">
        <f t="array" ref="F16" xml:space="preserve"> IF($E16="", "",  INDEX(十五音韻母對照表, $E16, F$1))</f>
        <v>經</v>
      </c>
      <c r="G16" s="25" t="str" cm="1">
        <f t="array" ref="G16" xml:space="preserve"> IF($E16="", "", INDEX(十五音韻母對照表, $E16, G$1))</f>
        <v>ing</v>
      </c>
      <c r="H16" s="25" t="str" cm="1">
        <f t="array" ref="H16" xml:space="preserve"> IF($E16="", "",  INDEX(十五音韻母對照表, $E16, H$1))</f>
        <v>ik</v>
      </c>
      <c r="J16" s="413">
        <v>9</v>
      </c>
      <c r="K16" s="350" t="str">
        <f>'十五音-韻母'!C13</f>
        <v>經</v>
      </c>
      <c r="L16" s="410" t="str">
        <f>'十五音-韻母'!D13</f>
        <v>ing</v>
      </c>
      <c r="M16" s="425">
        <f t="shared" si="1"/>
        <v>9</v>
      </c>
    </row>
    <row r="17" spans="2:13" ht="33">
      <c r="B17" s="426">
        <v>10</v>
      </c>
      <c r="C17" s="369" t="s">
        <v>264</v>
      </c>
      <c r="D17" s="371" t="s">
        <v>187</v>
      </c>
      <c r="E17" s="420">
        <f t="shared" si="0"/>
        <v>10</v>
      </c>
      <c r="F17" s="411" t="str" cm="1">
        <f t="array" ref="F17" xml:space="preserve"> IF($E17="", "",  INDEX(十五音韻母對照表, $E17, F$1))</f>
        <v>觀</v>
      </c>
      <c r="G17" s="25" t="str" cm="1">
        <f t="array" ref="G17" xml:space="preserve"> IF($E17="", "", INDEX(十五音韻母對照表, $E17, G$1))</f>
        <v>uan</v>
      </c>
      <c r="H17" s="25" t="str" cm="1">
        <f t="array" ref="H17" xml:space="preserve"> IF($E17="", "",  INDEX(十五音韻母對照表, $E17, H$1))</f>
        <v>uat</v>
      </c>
      <c r="J17" s="413">
        <v>10</v>
      </c>
      <c r="K17" s="350" t="str">
        <f>'十五音-韻母'!C14</f>
        <v>觀</v>
      </c>
      <c r="L17" s="410" t="str">
        <f>'十五音-韻母'!D14</f>
        <v>uan</v>
      </c>
      <c r="M17" s="425">
        <f t="shared" si="1"/>
        <v>10</v>
      </c>
    </row>
    <row r="18" spans="2:13" ht="33">
      <c r="B18" s="426">
        <v>11</v>
      </c>
      <c r="C18" s="369" t="s">
        <v>256</v>
      </c>
      <c r="D18" s="371" t="s">
        <v>191</v>
      </c>
      <c r="E18" s="420">
        <f t="shared" si="0"/>
        <v>11</v>
      </c>
      <c r="F18" s="411" t="str" cm="1">
        <f t="array" ref="F18" xml:space="preserve"> IF($E18="", "",  INDEX(十五音韻母對照表, $E18, F$1))</f>
        <v>沽</v>
      </c>
      <c r="G18" s="25" t="str" cm="1">
        <f t="array" ref="G18" xml:space="preserve"> IF($E18="", "", INDEX(十五音韻母對照表, $E18, G$1))</f>
        <v>oo</v>
      </c>
      <c r="H18" s="25" t="str" cm="1">
        <f t="array" ref="H18" xml:space="preserve"> IF($E18="", "",  INDEX(十五音韻母對照表, $E18, H$1))</f>
        <v>ooh</v>
      </c>
      <c r="J18" s="413">
        <v>11</v>
      </c>
      <c r="K18" s="350" t="str">
        <f>'十五音-韻母'!C15</f>
        <v>沽</v>
      </c>
      <c r="L18" s="410" t="str">
        <f>'十五音-韻母'!D15</f>
        <v>oo</v>
      </c>
      <c r="M18" s="425">
        <f t="shared" si="1"/>
        <v>11</v>
      </c>
    </row>
    <row r="19" spans="2:13" ht="33">
      <c r="B19" s="426">
        <v>12</v>
      </c>
      <c r="C19" s="369" t="s">
        <v>196</v>
      </c>
      <c r="D19" s="371" t="s">
        <v>197</v>
      </c>
      <c r="E19" s="420">
        <f t="shared" si="0"/>
        <v>12</v>
      </c>
      <c r="F19" s="411" t="str" cm="1">
        <f t="array" ref="F19" xml:space="preserve"> IF($E19="", "",  INDEX(十五音韻母對照表, $E19, F$1))</f>
        <v>嬌</v>
      </c>
      <c r="G19" s="25" t="str" cm="1">
        <f t="array" ref="G19" xml:space="preserve"> IF($E19="", "", INDEX(十五音韻母對照表, $E19, G$1))</f>
        <v>iau</v>
      </c>
      <c r="H19" s="25" t="str" cm="1">
        <f t="array" ref="H19" xml:space="preserve"> IF($E19="", "",  INDEX(十五音韻母對照表, $E19, H$1))</f>
        <v>iauh</v>
      </c>
      <c r="J19" s="413">
        <v>12</v>
      </c>
      <c r="K19" s="350" t="str">
        <f>'十五音-韻母'!C16</f>
        <v>嬌</v>
      </c>
      <c r="L19" s="410" t="str">
        <f>'十五音-韻母'!D16</f>
        <v>iau</v>
      </c>
      <c r="M19" s="425">
        <f t="shared" si="1"/>
        <v>12</v>
      </c>
    </row>
    <row r="20" spans="2:13" ht="33">
      <c r="B20" s="426">
        <v>13</v>
      </c>
      <c r="C20" s="369" t="s">
        <v>206</v>
      </c>
      <c r="D20" s="371" t="s">
        <v>160</v>
      </c>
      <c r="E20" s="420">
        <f t="shared" si="0"/>
        <v>39</v>
      </c>
      <c r="F20" s="411" t="str" cm="1">
        <f t="array" ref="F20" xml:space="preserve"> IF($E20="", "",  INDEX(十五音韻母對照表, $E20, F$1))</f>
        <v>伽</v>
      </c>
      <c r="G20" s="25" t="str" cm="1">
        <f t="array" ref="G20" xml:space="preserve"> IF($E20="", "", INDEX(十五音韻母對照表, $E20, G$1))</f>
        <v>e</v>
      </c>
      <c r="H20" s="25" t="str" cm="1">
        <f t="array" ref="H20" xml:space="preserve"> IF($E20="", "",  INDEX(十五音韻母對照表, $E20, H$1))</f>
        <v>eh</v>
      </c>
      <c r="J20" s="413">
        <v>13</v>
      </c>
      <c r="K20" s="350" t="str">
        <f>'十五音-韻母'!C17</f>
        <v>稽</v>
      </c>
      <c r="L20" s="410" t="str">
        <f>'十五音-韻母'!D17</f>
        <v>ei</v>
      </c>
      <c r="M20" s="425" t="str">
        <f t="shared" si="1"/>
        <v/>
      </c>
    </row>
    <row r="21" spans="2:13" ht="33">
      <c r="B21" s="426">
        <v>14</v>
      </c>
      <c r="C21" s="369" t="s">
        <v>1332</v>
      </c>
      <c r="D21" s="371" t="s">
        <v>209</v>
      </c>
      <c r="E21" s="420">
        <f t="shared" si="0"/>
        <v>14</v>
      </c>
      <c r="F21" s="411" t="str" cm="1">
        <f t="array" ref="F21" xml:space="preserve"> IF($E21="", "",  INDEX(十五音韻母對照表, $E21, F$1))</f>
        <v>恭</v>
      </c>
      <c r="G21" s="25" t="str" cm="1">
        <f t="array" ref="G21" xml:space="preserve"> IF($E21="", "", INDEX(十五音韻母對照表, $E21, G$1))</f>
        <v>iong</v>
      </c>
      <c r="H21" s="25" t="str" cm="1">
        <f t="array" ref="H21" xml:space="preserve"> IF($E21="", "",  INDEX(十五音韻母對照表, $E21, H$1))</f>
        <v>iok</v>
      </c>
      <c r="J21" s="413">
        <v>14</v>
      </c>
      <c r="K21" s="350" t="str">
        <f>'十五音-韻母'!C18</f>
        <v>恭</v>
      </c>
      <c r="L21" s="410" t="str">
        <f>'十五音-韻母'!D18</f>
        <v>iong</v>
      </c>
      <c r="M21" s="425">
        <f t="shared" si="1"/>
        <v>14</v>
      </c>
    </row>
    <row r="22" spans="2:13" ht="33">
      <c r="B22" s="426">
        <v>15</v>
      </c>
      <c r="C22" s="369" t="s">
        <v>214</v>
      </c>
      <c r="D22" s="371" t="s">
        <v>215</v>
      </c>
      <c r="E22" s="420">
        <f t="shared" si="0"/>
        <v>15</v>
      </c>
      <c r="F22" s="411" t="str" cm="1">
        <f t="array" ref="F22" xml:space="preserve"> IF($E22="", "",  INDEX(十五音韻母對照表, $E22, F$1))</f>
        <v>高</v>
      </c>
      <c r="G22" s="25" t="str" cm="1">
        <f t="array" ref="G22" xml:space="preserve"> IF($E22="", "", INDEX(十五音韻母對照表, $E22, G$1))</f>
        <v>o</v>
      </c>
      <c r="H22" s="25" t="str" cm="1">
        <f t="array" ref="H22" xml:space="preserve"> IF($E22="", "",  INDEX(十五音韻母對照表, $E22, H$1))</f>
        <v>oh</v>
      </c>
      <c r="J22" s="413">
        <v>15</v>
      </c>
      <c r="K22" s="350" t="str">
        <f>'十五音-韻母'!C19</f>
        <v>高</v>
      </c>
      <c r="L22" s="410" t="str">
        <f>'十五音-韻母'!D19</f>
        <v>o</v>
      </c>
      <c r="M22" s="425">
        <f t="shared" si="1"/>
        <v>15</v>
      </c>
    </row>
    <row r="23" spans="2:13" ht="33">
      <c r="B23" s="426">
        <v>16</v>
      </c>
      <c r="C23" s="369" t="s">
        <v>150</v>
      </c>
      <c r="D23" s="371" t="s">
        <v>151</v>
      </c>
      <c r="E23" s="420">
        <f t="shared" si="0"/>
        <v>16</v>
      </c>
      <c r="F23" s="411" t="str" cm="1">
        <f t="array" ref="F23" xml:space="preserve"> IF($E23="", "",  INDEX(十五音韻母對照表, $E23, F$1))</f>
        <v>皆</v>
      </c>
      <c r="G23" s="25" t="str" cm="1">
        <f t="array" ref="G23" xml:space="preserve"> IF($E23="", "", INDEX(十五音韻母對照表, $E23, G$1))</f>
        <v>ai</v>
      </c>
      <c r="H23" s="25" t="str" cm="1">
        <f t="array" ref="H23" xml:space="preserve"> IF($E23="", "",  INDEX(十五音韻母對照表, $E23, H$1))</f>
        <v>aih</v>
      </c>
      <c r="J23" s="413">
        <v>16</v>
      </c>
      <c r="K23" s="350" t="str">
        <f>'十五音-韻母'!C20</f>
        <v>皆</v>
      </c>
      <c r="L23" s="410" t="str">
        <f>'十五音-韻母'!D20</f>
        <v>ai</v>
      </c>
      <c r="M23" s="425">
        <f t="shared" si="1"/>
        <v>16</v>
      </c>
    </row>
    <row r="24" spans="2:13" ht="33">
      <c r="B24" s="426">
        <v>17</v>
      </c>
      <c r="C24" s="369" t="s">
        <v>1333</v>
      </c>
      <c r="D24" s="371" t="s">
        <v>224</v>
      </c>
      <c r="E24" s="420">
        <f t="shared" si="0"/>
        <v>17</v>
      </c>
      <c r="F24" s="411" t="str" cm="1">
        <f t="array" ref="F24" xml:space="preserve"> IF($E24="", "",  INDEX(十五音韻母對照表, $E24, F$1))</f>
        <v>巾</v>
      </c>
      <c r="G24" s="25" t="str" cm="1">
        <f t="array" ref="G24" xml:space="preserve"> IF($E24="", "", INDEX(十五音韻母對照表, $E24, G$1))</f>
        <v>in</v>
      </c>
      <c r="H24" s="25" t="str" cm="1">
        <f t="array" ref="H24" xml:space="preserve"> IF($E24="", "",  INDEX(十五音韻母對照表, $E24, H$1))</f>
        <v>it</v>
      </c>
      <c r="J24" s="413">
        <v>17</v>
      </c>
      <c r="K24" s="350" t="str">
        <f>'十五音-韻母'!C21</f>
        <v>巾</v>
      </c>
      <c r="L24" s="410" t="str">
        <f>'十五音-韻母'!D21</f>
        <v>in</v>
      </c>
      <c r="M24" s="425">
        <f t="shared" si="1"/>
        <v>17</v>
      </c>
    </row>
    <row r="25" spans="2:13" ht="33">
      <c r="B25" s="426">
        <v>18</v>
      </c>
      <c r="C25" s="369" t="s">
        <v>226</v>
      </c>
      <c r="D25" s="371" t="s">
        <v>227</v>
      </c>
      <c r="E25" s="420">
        <f t="shared" si="0"/>
        <v>18</v>
      </c>
      <c r="F25" s="411" t="str" cm="1">
        <f t="array" ref="F25" xml:space="preserve"> IF($E25="", "",  INDEX(十五音韻母對照表, $E25, F$1))</f>
        <v>姜</v>
      </c>
      <c r="G25" s="25" t="str" cm="1">
        <f t="array" ref="G25" xml:space="preserve"> IF($E25="", "", INDEX(十五音韻母對照表, $E25, G$1))</f>
        <v>iang</v>
      </c>
      <c r="H25" s="25" t="str" cm="1">
        <f t="array" ref="H25" xml:space="preserve"> IF($E25="", "",  INDEX(十五音韻母對照表, $E25, H$1))</f>
        <v>iak</v>
      </c>
      <c r="J25" s="413">
        <v>18</v>
      </c>
      <c r="K25" s="350" t="str">
        <f>'十五音-韻母'!C22</f>
        <v>姜</v>
      </c>
      <c r="L25" s="410" t="str">
        <f>'十五音-韻母'!D22</f>
        <v>iang</v>
      </c>
      <c r="M25" s="425">
        <f t="shared" si="1"/>
        <v>18</v>
      </c>
    </row>
    <row r="26" spans="2:13" ht="33">
      <c r="B26" s="426">
        <v>19</v>
      </c>
      <c r="C26" s="369" t="s">
        <v>162</v>
      </c>
      <c r="D26" s="371" t="s">
        <v>163</v>
      </c>
      <c r="E26" s="420">
        <f t="shared" si="0"/>
        <v>19</v>
      </c>
      <c r="F26" s="411" t="str" cm="1">
        <f t="array" ref="F26" xml:space="preserve"> IF($E26="", "",  INDEX(十五音韻母對照表, $E26, F$1))</f>
        <v>甘</v>
      </c>
      <c r="G26" s="25" t="str" cm="1">
        <f t="array" ref="G26" xml:space="preserve"> IF($E26="", "", INDEX(十五音韻母對照表, $E26, G$1))</f>
        <v>am</v>
      </c>
      <c r="H26" s="25" t="str" cm="1">
        <f t="array" ref="H26" xml:space="preserve"> IF($E26="", "",  INDEX(十五音韻母對照表, $E26, H$1))</f>
        <v>ap</v>
      </c>
      <c r="J26" s="413">
        <v>19</v>
      </c>
      <c r="K26" s="350" t="str">
        <f>'十五音-韻母'!C23</f>
        <v>甘</v>
      </c>
      <c r="L26" s="410" t="str">
        <f>'十五音-韻母'!D23</f>
        <v>am</v>
      </c>
      <c r="M26" s="425">
        <f t="shared" si="1"/>
        <v>19</v>
      </c>
    </row>
    <row r="27" spans="2:13" ht="33">
      <c r="B27" s="426">
        <v>20</v>
      </c>
      <c r="C27" s="369" t="s">
        <v>229</v>
      </c>
      <c r="D27" s="371" t="s">
        <v>230</v>
      </c>
      <c r="E27" s="420">
        <f t="shared" si="0"/>
        <v>20</v>
      </c>
      <c r="F27" s="411" t="str" cm="1">
        <f t="array" ref="F27" xml:space="preserve"> IF($E27="", "",  INDEX(十五音韻母對照表, $E27, F$1))</f>
        <v>瓜</v>
      </c>
      <c r="G27" s="25" t="str" cm="1">
        <f t="array" ref="G27" xml:space="preserve"> IF($E27="", "", INDEX(十五音韻母對照表, $E27, G$1))</f>
        <v>ua</v>
      </c>
      <c r="H27" s="25" t="str" cm="1">
        <f t="array" ref="H27" xml:space="preserve"> IF($E27="", "",  INDEX(十五音韻母對照表, $E27, H$1))</f>
        <v>uah</v>
      </c>
      <c r="J27" s="413">
        <v>20</v>
      </c>
      <c r="K27" s="350" t="str">
        <f>'十五音-韻母'!C24</f>
        <v>瓜</v>
      </c>
      <c r="L27" s="410" t="str">
        <f>'十五音-韻母'!D24</f>
        <v>ua</v>
      </c>
      <c r="M27" s="425">
        <f t="shared" si="1"/>
        <v>20</v>
      </c>
    </row>
    <row r="28" spans="2:13" ht="33">
      <c r="B28" s="426">
        <v>21</v>
      </c>
      <c r="C28" s="369" t="s">
        <v>171</v>
      </c>
      <c r="D28" s="371" t="s">
        <v>172</v>
      </c>
      <c r="E28" s="420">
        <f t="shared" si="0"/>
        <v>21</v>
      </c>
      <c r="F28" s="411" t="str" cm="1">
        <f t="array" ref="F28" xml:space="preserve"> IF($E28="", "",  INDEX(十五音韻母對照表, $E28, F$1))</f>
        <v>江</v>
      </c>
      <c r="G28" s="25" t="str" cm="1">
        <f t="array" ref="G28" xml:space="preserve"> IF($E28="", "", INDEX(十五音韻母對照表, $E28, G$1))</f>
        <v>ang</v>
      </c>
      <c r="H28" s="25" t="str" cm="1">
        <f t="array" ref="H28" xml:space="preserve"> IF($E28="", "",  INDEX(十五音韻母對照表, $E28, H$1))</f>
        <v>ak</v>
      </c>
      <c r="J28" s="413">
        <v>21</v>
      </c>
      <c r="K28" s="350" t="str">
        <f>'十五音-韻母'!C25</f>
        <v>江</v>
      </c>
      <c r="L28" s="410" t="str">
        <f>'十五音-韻母'!D25</f>
        <v>ang</v>
      </c>
      <c r="M28" s="425">
        <f t="shared" si="1"/>
        <v>21</v>
      </c>
    </row>
    <row r="29" spans="2:13" ht="33">
      <c r="B29" s="426">
        <v>22</v>
      </c>
      <c r="C29" s="369" t="s">
        <v>220</v>
      </c>
      <c r="D29" s="371" t="s">
        <v>221</v>
      </c>
      <c r="E29" s="420">
        <f t="shared" si="0"/>
        <v>22</v>
      </c>
      <c r="F29" s="411" t="str" cm="1">
        <f t="array" ref="F29" xml:space="preserve"> IF($E29="", "",  INDEX(十五音韻母對照表, $E29, F$1))</f>
        <v>兼</v>
      </c>
      <c r="G29" s="25" t="str" cm="1">
        <f t="array" ref="G29" xml:space="preserve"> IF($E29="", "", INDEX(十五音韻母對照表, $E29, G$1))</f>
        <v>iam</v>
      </c>
      <c r="H29" s="25" t="str" cm="1">
        <f t="array" ref="H29" xml:space="preserve"> IF($E29="", "",  INDEX(十五音韻母對照表, $E29, H$1))</f>
        <v>iap</v>
      </c>
      <c r="J29" s="413">
        <v>22</v>
      </c>
      <c r="K29" s="350" t="str">
        <f>'十五音-韻母'!C26</f>
        <v>兼</v>
      </c>
      <c r="L29" s="410" t="str">
        <f>'十五音-韻母'!D26</f>
        <v>iam</v>
      </c>
      <c r="M29" s="425">
        <f t="shared" si="1"/>
        <v>22</v>
      </c>
    </row>
    <row r="30" spans="2:13" ht="33">
      <c r="B30" s="426">
        <v>23</v>
      </c>
      <c r="C30" s="369" t="s">
        <v>177</v>
      </c>
      <c r="D30" s="371" t="s">
        <v>178</v>
      </c>
      <c r="E30" s="420">
        <f t="shared" si="0"/>
        <v>23</v>
      </c>
      <c r="F30" s="411" t="str" cm="1">
        <f t="array" ref="F30" xml:space="preserve"> IF($E30="", "",  INDEX(十五音韻母對照表, $E30, F$1))</f>
        <v>交</v>
      </c>
      <c r="G30" s="25" t="str" cm="1">
        <f t="array" ref="G30" xml:space="preserve"> IF($E30="", "", INDEX(十五音韻母對照表, $E30, G$1))</f>
        <v>au</v>
      </c>
      <c r="H30" s="25" t="str" cm="1">
        <f t="array" ref="H30" xml:space="preserve"> IF($E30="", "",  INDEX(十五音韻母對照表, $E30, H$1))</f>
        <v>auh</v>
      </c>
      <c r="J30" s="413">
        <v>23</v>
      </c>
      <c r="K30" s="350" t="str">
        <f>'十五音-韻母'!C27</f>
        <v>交</v>
      </c>
      <c r="L30" s="410" t="str">
        <f>'十五音-韻母'!D27</f>
        <v>au</v>
      </c>
      <c r="M30" s="425">
        <f t="shared" si="1"/>
        <v>23</v>
      </c>
    </row>
    <row r="31" spans="2:13" ht="33">
      <c r="B31" s="426">
        <v>24</v>
      </c>
      <c r="C31" s="369" t="s">
        <v>189</v>
      </c>
      <c r="D31" s="371" t="s">
        <v>212</v>
      </c>
      <c r="E31" s="420">
        <f t="shared" si="0"/>
        <v>24</v>
      </c>
      <c r="F31" s="411" t="str" cm="1">
        <f t="array" ref="F31" xml:space="preserve"> IF($E31="", "",  INDEX(十五音韻母對照表, $E31, F$1))</f>
        <v>迦</v>
      </c>
      <c r="G31" s="25" t="str" cm="1">
        <f t="array" ref="G31" xml:space="preserve"> IF($E31="", "", INDEX(十五音韻母對照表, $E31, G$1))</f>
        <v>ia</v>
      </c>
      <c r="H31" s="25" t="str" cm="1">
        <f t="array" ref="H31" xml:space="preserve"> IF($E31="", "",  INDEX(十五音韻母對照表, $E31, H$1))</f>
        <v>iah</v>
      </c>
      <c r="J31" s="413">
        <v>24</v>
      </c>
      <c r="K31" s="350" t="str">
        <f>'十五音-韻母'!C28</f>
        <v>迦</v>
      </c>
      <c r="L31" s="410" t="str">
        <f>'十五音-韻母'!D28</f>
        <v>ia</v>
      </c>
      <c r="M31" s="425">
        <f t="shared" si="1"/>
        <v>24</v>
      </c>
    </row>
    <row r="32" spans="2:13" ht="33">
      <c r="B32" s="426">
        <v>25</v>
      </c>
      <c r="C32" s="369" t="s">
        <v>1141</v>
      </c>
      <c r="D32" s="371" t="s">
        <v>239</v>
      </c>
      <c r="E32" s="420">
        <f t="shared" si="0"/>
        <v>25</v>
      </c>
      <c r="F32" s="411" t="str" cm="1">
        <f t="array" ref="F32" xml:space="preserve"> IF($E32="", "",  INDEX(十五音韻母對照表, $E32, F$1))</f>
        <v>檜</v>
      </c>
      <c r="G32" s="25" t="str" cm="1">
        <f t="array" ref="G32" xml:space="preserve"> IF($E32="", "", INDEX(十五音韻母對照表, $E32, G$1))</f>
        <v>ue</v>
      </c>
      <c r="H32" s="25" t="str" cm="1">
        <f t="array" ref="H32" xml:space="preserve"> IF($E32="", "",  INDEX(十五音韻母對照表, $E32, H$1))</f>
        <v>ueh</v>
      </c>
      <c r="J32" s="413">
        <v>25</v>
      </c>
      <c r="K32" s="350" t="str">
        <f>'十五音-韻母'!C29</f>
        <v>檜</v>
      </c>
      <c r="L32" s="410" t="str">
        <f>'十五音-韻母'!D29</f>
        <v>ue</v>
      </c>
      <c r="M32" s="425">
        <f t="shared" si="1"/>
        <v>25</v>
      </c>
    </row>
    <row r="33" spans="2:13" ht="33">
      <c r="B33" s="426">
        <v>26</v>
      </c>
      <c r="C33" s="369" t="s">
        <v>1334</v>
      </c>
      <c r="D33" s="371" t="s">
        <v>139</v>
      </c>
      <c r="E33" s="420">
        <f t="shared" si="0"/>
        <v>28</v>
      </c>
      <c r="F33" s="411" t="str" cm="1">
        <f t="array" ref="F33" xml:space="preserve"> IF($E33="", "",  INDEX(十五音韻母對照表, $E33, F$1))</f>
        <v>膠</v>
      </c>
      <c r="G33" s="25" t="str" cm="1">
        <f t="array" ref="G33" xml:space="preserve"> IF($E33="", "", INDEX(十五音韻母對照表, $E33, G$1))</f>
        <v>a</v>
      </c>
      <c r="H33" s="25" t="str" cm="1">
        <f t="array" ref="H33" xml:space="preserve"> IF($E33="", "",  INDEX(十五音韻母對照表, $E33, H$1))</f>
        <v>ah</v>
      </c>
      <c r="J33" s="413">
        <v>26</v>
      </c>
      <c r="K33" s="350" t="str">
        <f>'十五音-韻母'!C30</f>
        <v>監</v>
      </c>
      <c r="L33" s="410" t="str">
        <f>'十五音-韻母'!D30</f>
        <v>ann</v>
      </c>
      <c r="M33" s="425">
        <f t="shared" si="1"/>
        <v>39</v>
      </c>
    </row>
    <row r="34" spans="2:13" ht="33">
      <c r="B34" s="426">
        <v>27</v>
      </c>
      <c r="C34" s="369" t="s">
        <v>244</v>
      </c>
      <c r="D34" s="371" t="s">
        <v>245</v>
      </c>
      <c r="E34" s="420">
        <f t="shared" si="0"/>
        <v>27</v>
      </c>
      <c r="F34" s="411" t="str" cm="1">
        <f t="array" ref="F34" xml:space="preserve"> IF($E34="", "",  INDEX(十五音韻母對照表, $E34, F$1))</f>
        <v>艍</v>
      </c>
      <c r="G34" s="25" t="str" cm="1">
        <f t="array" ref="G34" xml:space="preserve"> IF($E34="", "", INDEX(十五音韻母對照表, $E34, G$1))</f>
        <v>u</v>
      </c>
      <c r="H34" s="25" t="str" cm="1">
        <f t="array" ref="H34" xml:space="preserve"> IF($E34="", "",  INDEX(十五音韻母對照表, $E34, H$1))</f>
        <v>uh</v>
      </c>
      <c r="J34" s="413">
        <v>27</v>
      </c>
      <c r="K34" s="350" t="str">
        <f>'十五音-韻母'!C31</f>
        <v>艍</v>
      </c>
      <c r="L34" s="410" t="str">
        <f>'十五音-韻母'!D31</f>
        <v>u</v>
      </c>
      <c r="M34" s="425">
        <f t="shared" si="1"/>
        <v>27</v>
      </c>
    </row>
    <row r="35" spans="2:13" ht="33">
      <c r="B35" s="426">
        <v>28</v>
      </c>
      <c r="C35" s="369" t="s">
        <v>1335</v>
      </c>
      <c r="D35" s="371" t="s">
        <v>262</v>
      </c>
      <c r="E35" s="420">
        <f t="shared" si="0"/>
        <v>47</v>
      </c>
      <c r="F35" s="411" t="str" cm="1">
        <f t="array" ref="F35" xml:space="preserve"> IF($E35="", "",  INDEX(十五音韻母對照表, $E35, F$1))</f>
        <v>箴</v>
      </c>
      <c r="G35" s="25" t="str" cm="1">
        <f t="array" ref="G35" xml:space="preserve"> IF($E35="", "", INDEX(十五音韻母對照表, $E35, G$1))</f>
        <v>om</v>
      </c>
      <c r="H35" s="25" t="str" cm="1">
        <f t="array" ref="H35" xml:space="preserve"> IF($E35="", "",  INDEX(十五音韻母對照表, $E35, H$1))</f>
        <v>op</v>
      </c>
      <c r="J35" s="413">
        <v>28</v>
      </c>
      <c r="K35" s="350" t="str">
        <f>'十五音-韻母'!C32</f>
        <v>膠</v>
      </c>
      <c r="L35" s="410" t="str">
        <f>'十五音-韻母'!D32</f>
        <v>a</v>
      </c>
      <c r="M35" s="425">
        <f t="shared" si="1"/>
        <v>26</v>
      </c>
    </row>
    <row r="36" spans="2:13" ht="33">
      <c r="B36" s="426">
        <v>29</v>
      </c>
      <c r="C36" s="369" t="s">
        <v>1336</v>
      </c>
      <c r="D36" s="371" t="s">
        <v>200</v>
      </c>
      <c r="E36" s="420">
        <f t="shared" si="0"/>
        <v>29</v>
      </c>
      <c r="F36" s="411" t="str" cm="1">
        <f t="array" ref="F36" xml:space="preserve"> IF($E36="", "",  INDEX(十五音韻母對照表, $E36, F$1))</f>
        <v>居</v>
      </c>
      <c r="G36" s="25" t="str" cm="1">
        <f t="array" ref="G36" xml:space="preserve"> IF($E36="", "", INDEX(十五音韻母對照表, $E36, G$1))</f>
        <v>i</v>
      </c>
      <c r="H36" s="25" t="str" cm="1">
        <f t="array" ref="H36" xml:space="preserve"> IF($E36="", "",  INDEX(十五音韻母對照表, $E36, H$1))</f>
        <v>ih</v>
      </c>
      <c r="J36" s="413">
        <v>29</v>
      </c>
      <c r="K36" s="350" t="str">
        <f>'十五音-韻母'!C33</f>
        <v>居</v>
      </c>
      <c r="L36" s="410" t="str">
        <f>'十五音-韻母'!D33</f>
        <v>i</v>
      </c>
      <c r="M36" s="425">
        <f t="shared" si="1"/>
        <v>29</v>
      </c>
    </row>
    <row r="37" spans="2:13" ht="33">
      <c r="B37" s="426">
        <v>30</v>
      </c>
      <c r="C37" s="369" t="s">
        <v>241</v>
      </c>
      <c r="D37" s="371" t="s">
        <v>242</v>
      </c>
      <c r="E37" s="420">
        <f t="shared" si="0"/>
        <v>30</v>
      </c>
      <c r="F37" s="411" t="str" cm="1">
        <f t="array" ref="F37" xml:space="preserve"> IF($E37="", "",  INDEX(十五音韻母對照表, $E37, F$1))</f>
        <v>丩</v>
      </c>
      <c r="G37" s="25" t="str" cm="1">
        <f t="array" ref="G37" xml:space="preserve"> IF($E37="", "", INDEX(十五音韻母對照表, $E37, G$1))</f>
        <v>iu</v>
      </c>
      <c r="H37" s="25" t="str" cm="1">
        <f t="array" ref="H37" xml:space="preserve"> IF($E37="", "",  INDEX(十五音韻母對照表, $E37, H$1))</f>
        <v>iuh</v>
      </c>
      <c r="J37" s="413">
        <v>30</v>
      </c>
      <c r="K37" s="350" t="str">
        <f>'十五音-韻母'!C34</f>
        <v>丩</v>
      </c>
      <c r="L37" s="410" t="str">
        <f>'十五音-韻母'!D34</f>
        <v>iu</v>
      </c>
      <c r="M37" s="425">
        <f t="shared" si="1"/>
        <v>30</v>
      </c>
    </row>
    <row r="38" spans="2:13" ht="33">
      <c r="B38" s="426">
        <v>31</v>
      </c>
      <c r="C38" s="370" t="s">
        <v>1337</v>
      </c>
      <c r="D38" s="371" t="s">
        <v>218</v>
      </c>
      <c r="E38" s="420">
        <f t="shared" si="0"/>
        <v>36</v>
      </c>
      <c r="F38" s="411" t="str" cm="1">
        <f t="array" ref="F38" xml:space="preserve"> IF($E38="", "",  INDEX(十五音韻母對照表, $E38, F$1))</f>
        <v>驚</v>
      </c>
      <c r="G38" s="25" t="str" cm="1">
        <f t="array" ref="G38" xml:space="preserve"> IF($E38="", "", INDEX(十五音韻母對照表, $E38, G$1))</f>
        <v>iann</v>
      </c>
      <c r="H38" s="25" t="str" cm="1">
        <f t="array" ref="H38" xml:space="preserve"> IF($E38="", "",  INDEX(十五音韻母對照表, $E38, H$1))</f>
        <v>iannh</v>
      </c>
      <c r="J38" s="413">
        <v>31</v>
      </c>
      <c r="K38" s="350" t="str">
        <f>'十五音-韻母'!C35</f>
        <v>更</v>
      </c>
      <c r="L38" s="410" t="str">
        <f>'十五音-韻母'!D35</f>
        <v>enn</v>
      </c>
      <c r="M38" s="425">
        <f t="shared" si="1"/>
        <v>41</v>
      </c>
    </row>
    <row r="39" spans="2:13" ht="33">
      <c r="B39" s="426">
        <v>32</v>
      </c>
      <c r="C39" s="369" t="s">
        <v>1338</v>
      </c>
      <c r="D39" s="371" t="s">
        <v>265</v>
      </c>
      <c r="E39" s="420">
        <f t="shared" si="0"/>
        <v>37</v>
      </c>
      <c r="F39" s="411" t="str" cm="1">
        <f t="array" ref="F39" xml:space="preserve"> IF($E39="", "",  INDEX(十五音韻母對照表, $E39, F$1))</f>
        <v>官</v>
      </c>
      <c r="G39" s="25" t="str" cm="1">
        <f t="array" ref="G39" xml:space="preserve"> IF($E39="", "", INDEX(十五音韻母對照表, $E39, G$1))</f>
        <v>uann</v>
      </c>
      <c r="H39" s="25" t="str" cm="1">
        <f t="array" ref="H39" xml:space="preserve"> IF($E39="", "",  INDEX(十五音韻母對照表, $E39, H$1))</f>
        <v>uannh</v>
      </c>
      <c r="J39" s="413">
        <v>32</v>
      </c>
      <c r="K39" s="350" t="str">
        <f>'十五音-韻母'!C36</f>
        <v>褌</v>
      </c>
      <c r="L39" s="410" t="str">
        <f>'十五音-韻母'!D36</f>
        <v>uinn</v>
      </c>
      <c r="M39" s="425" t="str">
        <f t="shared" si="1"/>
        <v/>
      </c>
    </row>
    <row r="40" spans="2:13" ht="33">
      <c r="B40" s="426">
        <v>33</v>
      </c>
      <c r="C40" s="370" t="s">
        <v>1339</v>
      </c>
      <c r="D40" s="371" t="s">
        <v>204</v>
      </c>
      <c r="E40" s="420">
        <f t="shared" ref="E40:E57" si="2" xml:space="preserve"> IFERROR( MATCH($D40, 韻母舒聲碼, 0), "")</f>
        <v>34</v>
      </c>
      <c r="F40" s="411" t="str" cm="1">
        <f t="array" ref="F40" xml:space="preserve"> IF($E40="", "",  INDEX(十五音韻母對照表, $E40, F$1))</f>
        <v>梔</v>
      </c>
      <c r="G40" s="25" t="str" cm="1">
        <f t="array" ref="G40" xml:space="preserve"> IF($E40="", "", INDEX(十五音韻母對照表, $E40, G$1))</f>
        <v>inn</v>
      </c>
      <c r="H40" s="25" t="str" cm="1">
        <f t="array" ref="H40" xml:space="preserve"> IF($E40="", "",  INDEX(十五音韻母對照表, $E40, H$1))</f>
        <v>innh</v>
      </c>
      <c r="J40" s="413">
        <v>33</v>
      </c>
      <c r="K40" s="350" t="str">
        <f>'十五音-韻母'!C37</f>
        <v>茄</v>
      </c>
      <c r="L40" s="410" t="str">
        <f>'十五音-韻母'!D37</f>
        <v>io</v>
      </c>
      <c r="M40" s="425" t="str">
        <f t="shared" si="1"/>
        <v/>
      </c>
    </row>
    <row r="41" spans="2:13" ht="33">
      <c r="B41" s="426">
        <v>34</v>
      </c>
      <c r="C41" s="369" t="s">
        <v>1340</v>
      </c>
      <c r="D41" s="371" t="s">
        <v>48</v>
      </c>
      <c r="E41" s="420">
        <f t="shared" si="2"/>
        <v>38</v>
      </c>
      <c r="F41" s="411" t="str" cm="1">
        <f t="array" ref="F41" xml:space="preserve"> IF($E41="", "",  INDEX(十五音韻母對照表, $E41, F$1))</f>
        <v>鋼</v>
      </c>
      <c r="G41" s="25" t="str" cm="1">
        <f t="array" ref="G41" xml:space="preserve"> IF($E41="", "", INDEX(十五音韻母對照表, $E41, G$1))</f>
        <v>ng</v>
      </c>
      <c r="H41" s="25" t="str" cm="1">
        <f t="array" ref="H41" xml:space="preserve"> IF($E41="", "",  INDEX(十五音韻母對照表, $E41, H$1))</f>
        <v>ngh</v>
      </c>
      <c r="J41" s="413">
        <v>34</v>
      </c>
      <c r="K41" s="350" t="str">
        <f>'十五音-韻母'!C38</f>
        <v>梔</v>
      </c>
      <c r="L41" s="410" t="str">
        <f>'十五音-韻母'!D38</f>
        <v>inn</v>
      </c>
      <c r="M41" s="425">
        <f t="shared" si="1"/>
        <v>33</v>
      </c>
    </row>
    <row r="42" spans="2:13" ht="33">
      <c r="B42" s="426">
        <v>35</v>
      </c>
      <c r="C42" s="369" t="s">
        <v>1341</v>
      </c>
      <c r="D42" s="371" t="s">
        <v>157</v>
      </c>
      <c r="E42" s="420">
        <f t="shared" si="2"/>
        <v>40</v>
      </c>
      <c r="F42" s="411" t="str" cm="1">
        <f t="array" ref="F42" xml:space="preserve"> IF($E42="", "",  INDEX(十五音韻母對照表, $E42, F$1))</f>
        <v>閒</v>
      </c>
      <c r="G42" s="25" t="str" cm="1">
        <f t="array" ref="G42" xml:space="preserve"> IF($E42="", "", INDEX(十五音韻母對照表, $E42, G$1))</f>
        <v>ainn</v>
      </c>
      <c r="H42" s="25" t="str" cm="1">
        <f t="array" ref="H42" xml:space="preserve"> IF($E42="", "",  INDEX(十五音韻母對照表, $E42, H$1))</f>
        <v>ainnh</v>
      </c>
      <c r="J42" s="413">
        <v>35</v>
      </c>
      <c r="K42" s="350" t="str">
        <f>'十五音-韻母'!C39</f>
        <v>薑</v>
      </c>
      <c r="L42" s="410" t="str">
        <f>'十五音-韻母'!D39</f>
        <v>ionn</v>
      </c>
      <c r="M42" s="425">
        <f t="shared" si="1"/>
        <v>37</v>
      </c>
    </row>
    <row r="43" spans="2:13" ht="33">
      <c r="B43" s="426">
        <v>36</v>
      </c>
      <c r="C43" s="369" t="s">
        <v>1342</v>
      </c>
      <c r="D43" s="371" t="s">
        <v>248</v>
      </c>
      <c r="E43" s="420">
        <f t="shared" si="2"/>
        <v>50</v>
      </c>
      <c r="F43" s="411" t="str" cm="1">
        <f t="array" ref="F43" xml:space="preserve"> IF($E43="", "",  INDEX(十五音韻母對照表, $E43, F$1))</f>
        <v>牛</v>
      </c>
      <c r="G43" s="25" t="str" cm="1">
        <f t="array" ref="G43" xml:space="preserve"> IF($E43="", "", INDEX(十五音韻母對照表, $E43, G$1))</f>
        <v>iunn</v>
      </c>
      <c r="H43" s="25" t="str" cm="1">
        <f t="array" ref="H43" xml:space="preserve"> IF($E43="", "",  INDEX(十五音韻母對照表, $E43, H$1))</f>
        <v>iunnh</v>
      </c>
      <c r="J43" s="413">
        <v>36</v>
      </c>
      <c r="K43" s="350" t="str">
        <f>'十五音-韻母'!C40</f>
        <v>驚</v>
      </c>
      <c r="L43" s="410" t="str">
        <f>'十五音-韻母'!D40</f>
        <v>iann</v>
      </c>
      <c r="M43" s="425">
        <f t="shared" si="1"/>
        <v>31</v>
      </c>
    </row>
    <row r="44" spans="2:13" ht="33">
      <c r="B44" s="426">
        <v>37</v>
      </c>
      <c r="C44" s="369" t="s">
        <v>1343</v>
      </c>
      <c r="D44" s="371" t="s">
        <v>250</v>
      </c>
      <c r="E44" s="420">
        <f t="shared" si="2"/>
        <v>35</v>
      </c>
      <c r="F44" s="411" t="str" cm="1">
        <f t="array" ref="F44" xml:space="preserve"> IF($E44="", "",  INDEX(十五音韻母對照表, $E44, F$1))</f>
        <v>薑</v>
      </c>
      <c r="G44" s="25" t="str" cm="1">
        <f t="array" ref="G44" xml:space="preserve"> IF($E44="", "", INDEX(十五音韻母對照表, $E44, G$1))</f>
        <v>ionn</v>
      </c>
      <c r="H44" s="25" t="str" cm="1">
        <f t="array" ref="H44" xml:space="preserve"> IF($E44="", "",  INDEX(十五音韻母對照表, $E44, H$1))</f>
        <v>ionnh</v>
      </c>
      <c r="J44" s="413">
        <v>37</v>
      </c>
      <c r="K44" s="350" t="str">
        <f>'十五音-韻母'!C41</f>
        <v>官</v>
      </c>
      <c r="L44" s="410" t="str">
        <f>'十五音-韻母'!D41</f>
        <v>uann</v>
      </c>
      <c r="M44" s="425">
        <f t="shared" si="1"/>
        <v>32</v>
      </c>
    </row>
    <row r="45" spans="2:13" ht="33">
      <c r="B45" s="426">
        <v>38</v>
      </c>
      <c r="C45" s="369" t="s">
        <v>1344</v>
      </c>
      <c r="D45" s="371" t="s">
        <v>27</v>
      </c>
      <c r="E45" s="420">
        <f t="shared" si="2"/>
        <v>42</v>
      </c>
      <c r="F45" s="411" t="str" cm="1">
        <f t="array" ref="F45" xml:space="preserve"> IF($E45="", "",  INDEX(十五音韻母對照表, $E45, F$1))</f>
        <v>姆</v>
      </c>
      <c r="G45" s="25" t="str" cm="1">
        <f t="array" ref="G45" xml:space="preserve"> IF($E45="", "", INDEX(十五音韻母對照表, $E45, G$1))</f>
        <v>m</v>
      </c>
      <c r="H45" s="25" t="str" cm="1">
        <f t="array" ref="H45" xml:space="preserve"> IF($E45="", "",  INDEX(十五音韻母對照表, $E45, H$1))</f>
        <v>mh</v>
      </c>
      <c r="J45" s="413">
        <v>38</v>
      </c>
      <c r="K45" s="350" t="str">
        <f>'十五音-韻母'!C42</f>
        <v>鋼</v>
      </c>
      <c r="L45" s="410" t="str">
        <f>'十五音-韻母'!D42</f>
        <v>ng</v>
      </c>
      <c r="M45" s="425">
        <f t="shared" si="1"/>
        <v>34</v>
      </c>
    </row>
    <row r="46" spans="2:13" ht="33">
      <c r="B46" s="426">
        <v>39</v>
      </c>
      <c r="C46" s="369" t="s">
        <v>1345</v>
      </c>
      <c r="D46" s="371" t="s">
        <v>145</v>
      </c>
      <c r="E46" s="420">
        <f t="shared" si="2"/>
        <v>26</v>
      </c>
      <c r="F46" s="411" t="str" cm="1">
        <f t="array" ref="F46" xml:space="preserve"> IF($E46="", "",  INDEX(十五音韻母對照表, $E46, F$1))</f>
        <v>監</v>
      </c>
      <c r="G46" s="25" t="str" cm="1">
        <f t="array" ref="G46" xml:space="preserve"> IF($E46="", "", INDEX(十五音韻母對照表, $E46, G$1))</f>
        <v>ann</v>
      </c>
      <c r="H46" s="25" t="str" cm="1">
        <f t="array" ref="H46" xml:space="preserve"> IF($E46="", "",  INDEX(十五音韻母對照表, $E46, H$1))</f>
        <v>annh</v>
      </c>
      <c r="J46" s="413">
        <v>39</v>
      </c>
      <c r="K46" s="350" t="str">
        <f>'十五音-韻母'!C43</f>
        <v>伽</v>
      </c>
      <c r="L46" s="410" t="str">
        <f>'十五音-韻母'!D43</f>
        <v>e</v>
      </c>
      <c r="M46" s="425">
        <f t="shared" si="1"/>
        <v>13</v>
      </c>
    </row>
    <row r="47" spans="2:13" ht="33">
      <c r="B47" s="426">
        <v>40</v>
      </c>
      <c r="C47" s="369" t="s">
        <v>1346</v>
      </c>
      <c r="D47" s="371" t="s">
        <v>273</v>
      </c>
      <c r="E47" s="420">
        <f t="shared" si="2"/>
        <v>44</v>
      </c>
      <c r="F47" s="411" t="str" cm="1">
        <f t="array" ref="F47" xml:space="preserve"> IF($E47="", "",  INDEX(十五音韻母對照表, $E47, F$1))</f>
        <v>閂</v>
      </c>
      <c r="G47" s="25" t="str" cm="1">
        <f t="array" ref="G47" xml:space="preserve"> IF($E47="", "", INDEX(十五音韻母對照表, $E47, G$1))</f>
        <v>uainn</v>
      </c>
      <c r="H47" s="25" t="str" cm="1">
        <f t="array" ref="H47" xml:space="preserve"> IF($E47="", "",  INDEX(十五音韻母對照表, $E47, H$1))</f>
        <v>uainnh</v>
      </c>
      <c r="J47" s="413">
        <v>40</v>
      </c>
      <c r="K47" s="350" t="str">
        <f>'十五音-韻母'!C44</f>
        <v>閒</v>
      </c>
      <c r="L47" s="410" t="str">
        <f>'十五音-韻母'!D44</f>
        <v>ainn</v>
      </c>
      <c r="M47" s="425">
        <f t="shared" si="1"/>
        <v>35</v>
      </c>
    </row>
    <row r="48" spans="2:13" ht="33">
      <c r="B48" s="426">
        <v>41</v>
      </c>
      <c r="C48" s="369" t="s">
        <v>1347</v>
      </c>
      <c r="D48" s="371" t="s">
        <v>194</v>
      </c>
      <c r="E48" s="420">
        <f t="shared" si="2"/>
        <v>31</v>
      </c>
      <c r="F48" s="411" t="str" cm="1">
        <f t="array" ref="F48" xml:space="preserve"> IF($E48="", "",  INDEX(十五音韻母對照表, $E48, F$1))</f>
        <v>更</v>
      </c>
      <c r="G48" s="25" t="str" cm="1">
        <f t="array" ref="G48" xml:space="preserve"> IF($E48="", "", INDEX(十五音韻母對照表, $E48, G$1))</f>
        <v>enn</v>
      </c>
      <c r="H48" s="25" t="str" cm="1">
        <f t="array" ref="H48" xml:space="preserve"> IF($E48="", "",  INDEX(十五音韻母對照表, $E48, H$1))</f>
        <v>ennh</v>
      </c>
      <c r="J48" s="413">
        <v>41</v>
      </c>
      <c r="K48" s="350" t="str">
        <f>'十五音-韻母'!C45</f>
        <v>姑</v>
      </c>
      <c r="L48" s="410" t="str">
        <f>'十五音-韻母'!D45</f>
        <v>oonn</v>
      </c>
      <c r="M48" s="425" t="str">
        <f t="shared" si="1"/>
        <v/>
      </c>
    </row>
    <row r="49" spans="2:13" ht="33">
      <c r="B49" s="426">
        <v>42</v>
      </c>
      <c r="C49" s="369" t="s">
        <v>1348</v>
      </c>
      <c r="D49" s="371" t="s">
        <v>258</v>
      </c>
      <c r="E49" s="420">
        <f t="shared" si="2"/>
        <v>49</v>
      </c>
      <c r="F49" s="411" t="str" cm="1">
        <f t="array" ref="F49" xml:space="preserve"> IF($E49="", "",  INDEX(十五音韻母對照表, $E49, F$1))</f>
        <v>扛</v>
      </c>
      <c r="G49" s="25" t="str" cm="1">
        <f t="array" ref="G49" xml:space="preserve"> IF($E49="", "", INDEX(十五音韻母對照表, $E49, G$1))</f>
        <v>onn</v>
      </c>
      <c r="H49" s="25" t="str" cm="1">
        <f t="array" ref="H49" xml:space="preserve"> IF($E49="", "",  INDEX(十五音韻母對照表, $E49, H$1))</f>
        <v>onnh</v>
      </c>
      <c r="J49" s="413">
        <v>42</v>
      </c>
      <c r="K49" s="350" t="str">
        <f>'十五音-韻母'!C46</f>
        <v>姆</v>
      </c>
      <c r="L49" s="410" t="str">
        <f>'十五音-韻母'!D46</f>
        <v>m</v>
      </c>
      <c r="M49" s="425">
        <f t="shared" si="1"/>
        <v>38</v>
      </c>
    </row>
    <row r="50" spans="2:13" ht="33">
      <c r="B50" s="426">
        <v>43</v>
      </c>
      <c r="C50" s="369" t="s">
        <v>1349</v>
      </c>
      <c r="D50" s="371" t="s">
        <v>184</v>
      </c>
      <c r="E50" s="420">
        <f t="shared" si="2"/>
        <v>48</v>
      </c>
      <c r="F50" s="411" t="str" cm="1">
        <f t="array" ref="F50" xml:space="preserve"> IF($E50="", "",  INDEX(十五音韻母對照表, $E50, F$1))</f>
        <v>爻</v>
      </c>
      <c r="G50" s="25" t="str" cm="1">
        <f t="array" ref="G50" xml:space="preserve"> IF($E50="", "", INDEX(十五音韻母對照表, $E50, G$1))</f>
        <v>aunn</v>
      </c>
      <c r="H50" s="25" t="str" cm="1">
        <f t="array" ref="H50" xml:space="preserve"> IF($E50="", "",  INDEX(十五音韻母對照表, $E50, H$1))</f>
        <v>aunnh</v>
      </c>
      <c r="J50" s="413">
        <v>43</v>
      </c>
      <c r="K50" s="350" t="str">
        <f>'十五音-韻母'!C47</f>
        <v>光</v>
      </c>
      <c r="L50" s="410" t="str">
        <f>'十五音-韻母'!D47</f>
        <v>uang</v>
      </c>
      <c r="M50" s="425" t="str">
        <f t="shared" si="1"/>
        <v/>
      </c>
    </row>
    <row r="51" spans="2:13" ht="33">
      <c r="B51" s="426">
        <v>44</v>
      </c>
      <c r="C51" s="369" t="s">
        <v>1350</v>
      </c>
      <c r="D51" s="371" t="s">
        <v>233</v>
      </c>
      <c r="E51" s="420">
        <f t="shared" si="2"/>
        <v>46</v>
      </c>
      <c r="F51" s="411" t="str" cm="1">
        <f t="array" ref="F51" xml:space="preserve"> IF($E51="", "",  INDEX(十五音韻母對照表, $E51, F$1))</f>
        <v>嘄</v>
      </c>
      <c r="G51" s="25" t="str" cm="1">
        <f t="array" ref="G51" xml:space="preserve"> IF($E51="", "", INDEX(十五音韻母對照表, $E51, G$1))</f>
        <v>iaunn</v>
      </c>
      <c r="H51" s="25" t="str" cm="1">
        <f t="array" ref="H51" xml:space="preserve"> IF($E51="", "",  INDEX(十五音韻母對照表, $E51, H$1))</f>
        <v>iaunnh</v>
      </c>
      <c r="J51" s="413">
        <v>44</v>
      </c>
      <c r="K51" s="350" t="str">
        <f>'十五音-韻母'!C48</f>
        <v>閂</v>
      </c>
      <c r="L51" s="410" t="str">
        <f>'十五音-韻母'!D48</f>
        <v>uainn</v>
      </c>
      <c r="M51" s="425">
        <f t="shared" si="1"/>
        <v>40</v>
      </c>
    </row>
    <row r="52" spans="2:13" ht="33">
      <c r="B52" s="426">
        <v>45</v>
      </c>
      <c r="C52" s="369"/>
      <c r="D52" s="371"/>
      <c r="E52" s="420" t="str">
        <f t="shared" si="2"/>
        <v/>
      </c>
      <c r="F52" s="411" t="str" cm="1">
        <f t="array" ref="F52" xml:space="preserve"> IF($E52="", "",  INDEX(十五音韻母對照表, $E52, F$1))</f>
        <v/>
      </c>
      <c r="G52" s="25" t="str" cm="1">
        <f t="array" ref="G52" xml:space="preserve"> IF($E52="", "", INDEX(十五音韻母對照表, $E52, G$1))</f>
        <v/>
      </c>
      <c r="H52" s="25" t="str" cm="1">
        <f t="array" ref="H52" xml:space="preserve"> IF($E52="", "",  INDEX(十五音韻母對照表, $E52, H$1))</f>
        <v/>
      </c>
      <c r="J52" s="413">
        <v>45</v>
      </c>
      <c r="K52" s="350" t="str">
        <f>'十五音-韻母'!C49</f>
        <v>糜</v>
      </c>
      <c r="L52" s="410" t="str">
        <f>'十五音-韻母'!D49</f>
        <v>uenn</v>
      </c>
      <c r="M52" s="425" t="str">
        <f t="shared" si="1"/>
        <v/>
      </c>
    </row>
    <row r="53" spans="2:13" ht="33">
      <c r="B53" s="426">
        <v>46</v>
      </c>
      <c r="C53" s="369"/>
      <c r="D53" s="371"/>
      <c r="E53" s="420" t="str">
        <f t="shared" si="2"/>
        <v/>
      </c>
      <c r="F53" s="411" t="str" cm="1">
        <f t="array" ref="F53" xml:space="preserve"> IF($E53="", "",  INDEX(十五音韻母對照表, $E53, F$1))</f>
        <v/>
      </c>
      <c r="G53" s="25" t="str" cm="1">
        <f t="array" ref="G53" xml:space="preserve"> IF($E53="", "", INDEX(十五音韻母對照表, $E53, G$1))</f>
        <v/>
      </c>
      <c r="H53" s="25" t="str" cm="1">
        <f t="array" ref="H53" xml:space="preserve"> IF($E53="", "",  INDEX(十五音韻母對照表, $E53, H$1))</f>
        <v/>
      </c>
      <c r="J53" s="413">
        <v>46</v>
      </c>
      <c r="K53" s="350" t="str">
        <f>'十五音-韻母'!C50</f>
        <v>嘄</v>
      </c>
      <c r="L53" s="410" t="str">
        <f>'十五音-韻母'!D50</f>
        <v>iaunn</v>
      </c>
      <c r="M53" s="425">
        <f t="shared" si="1"/>
        <v>44</v>
      </c>
    </row>
    <row r="54" spans="2:13" ht="33">
      <c r="B54" s="426">
        <v>47</v>
      </c>
      <c r="C54" s="369"/>
      <c r="D54" s="371"/>
      <c r="E54" s="420" t="str">
        <f t="shared" si="2"/>
        <v/>
      </c>
      <c r="F54" s="411" t="str" cm="1">
        <f t="array" ref="F54" xml:space="preserve"> IF($E54="", "",  INDEX(十五音韻母對照表, $E54, F$1))</f>
        <v/>
      </c>
      <c r="G54" s="25" t="str" cm="1">
        <f t="array" ref="G54" xml:space="preserve"> IF($E54="", "", INDEX(十五音韻母對照表, $E54, G$1))</f>
        <v/>
      </c>
      <c r="H54" s="25" t="str" cm="1">
        <f t="array" ref="H54" xml:space="preserve"> IF($E54="", "",  INDEX(十五音韻母對照表, $E54, H$1))</f>
        <v/>
      </c>
      <c r="J54" s="413">
        <v>47</v>
      </c>
      <c r="K54" s="350" t="str">
        <f>'十五音-韻母'!C51</f>
        <v>箴</v>
      </c>
      <c r="L54" s="410" t="str">
        <f>'十五音-韻母'!D51</f>
        <v>om</v>
      </c>
      <c r="M54" s="425">
        <f t="shared" si="1"/>
        <v>28</v>
      </c>
    </row>
    <row r="55" spans="2:13" ht="33">
      <c r="B55" s="426">
        <v>48</v>
      </c>
      <c r="C55" s="369"/>
      <c r="D55" s="371"/>
      <c r="E55" s="420" t="str">
        <f t="shared" si="2"/>
        <v/>
      </c>
      <c r="F55" s="411" t="str" cm="1">
        <f t="array" ref="F55" xml:space="preserve"> IF($E55="", "",  INDEX(十五音韻母對照表, $E55, F$1))</f>
        <v/>
      </c>
      <c r="G55" s="25" t="str" cm="1">
        <f t="array" ref="G55" xml:space="preserve"> IF($E55="", "", INDEX(十五音韻母對照表, $E55, G$1))</f>
        <v/>
      </c>
      <c r="H55" s="25" t="str" cm="1">
        <f t="array" ref="H55" xml:space="preserve"> IF($E55="", "",  INDEX(十五音韻母對照表, $E55, H$1))</f>
        <v/>
      </c>
      <c r="J55" s="413">
        <v>48</v>
      </c>
      <c r="K55" s="350" t="str">
        <f>'十五音-韻母'!C52</f>
        <v>爻</v>
      </c>
      <c r="L55" s="410" t="str">
        <f>'十五音-韻母'!D52</f>
        <v>aunn</v>
      </c>
      <c r="M55" s="425">
        <f t="shared" si="1"/>
        <v>43</v>
      </c>
    </row>
    <row r="56" spans="2:13" ht="33">
      <c r="B56" s="426">
        <v>49</v>
      </c>
      <c r="C56" s="369"/>
      <c r="D56" s="371"/>
      <c r="E56" s="420" t="str">
        <f t="shared" si="2"/>
        <v/>
      </c>
      <c r="F56" s="411" t="str" cm="1">
        <f t="array" ref="F56" xml:space="preserve"> IF($E56="", "",  INDEX(十五音韻母對照表, $E56, F$1))</f>
        <v/>
      </c>
      <c r="G56" s="25" t="str" cm="1">
        <f t="array" ref="G56" xml:space="preserve"> IF($E56="", "", INDEX(十五音韻母對照表, $E56, G$1))</f>
        <v/>
      </c>
      <c r="H56" s="25" t="str" cm="1">
        <f t="array" ref="H56" xml:space="preserve"> IF($E56="", "",  INDEX(十五音韻母對照表, $E56, H$1))</f>
        <v/>
      </c>
      <c r="J56" s="413">
        <v>49</v>
      </c>
      <c r="K56" s="350" t="str">
        <f>'十五音-韻母'!C53</f>
        <v>扛</v>
      </c>
      <c r="L56" s="410" t="str">
        <f>'十五音-韻母'!D53</f>
        <v>onn</v>
      </c>
      <c r="M56" s="425">
        <f t="shared" si="1"/>
        <v>42</v>
      </c>
    </row>
    <row r="57" spans="2:13" ht="33">
      <c r="B57" s="426">
        <v>50</v>
      </c>
      <c r="C57" s="369"/>
      <c r="D57" s="371"/>
      <c r="E57" s="420" t="str">
        <f t="shared" si="2"/>
        <v/>
      </c>
      <c r="F57" s="411" t="str" cm="1">
        <f t="array" ref="F57" xml:space="preserve"> IF($E57="", "",  INDEX(十五音韻母對照表, $E57, F$1))</f>
        <v/>
      </c>
      <c r="G57" s="25" t="str" cm="1">
        <f t="array" ref="G57" xml:space="preserve"> IF($E57="", "", INDEX(十五音韻母對照表, $E57, G$1))</f>
        <v/>
      </c>
      <c r="H57" s="25" t="str" cm="1">
        <f t="array" ref="H57" xml:space="preserve"> IF($E57="", "",  INDEX(十五音韻母對照表, $E57, H$1))</f>
        <v/>
      </c>
      <c r="J57" s="413">
        <v>50</v>
      </c>
      <c r="K57" s="350" t="str">
        <f>'十五音-韻母'!C54</f>
        <v>牛</v>
      </c>
      <c r="L57" s="410" t="str">
        <f>'十五音-韻母'!D54</f>
        <v>iunn</v>
      </c>
      <c r="M57" s="425">
        <f t="shared" si="1"/>
        <v>36</v>
      </c>
    </row>
    <row r="58" spans="2:13">
      <c r="L58" s="6"/>
    </row>
    <row r="59" spans="2:13" ht="30">
      <c r="L59" s="423" t="s">
        <v>1278</v>
      </c>
      <c r="M59" s="422">
        <f xml:space="preserve"> COUNTA(K8:K57)</f>
        <v>50</v>
      </c>
    </row>
    <row r="60" spans="2:13" ht="30">
      <c r="L60" s="424" t="s">
        <v>1279</v>
      </c>
      <c r="M60" s="422">
        <f xml:space="preserve"> COUNT(M8:M57)</f>
        <v>44</v>
      </c>
    </row>
    <row r="61" spans="2:13" ht="30">
      <c r="L61" s="424" t="s">
        <v>1280</v>
      </c>
      <c r="M61" s="422">
        <f>M59 - M60</f>
        <v>6</v>
      </c>
    </row>
  </sheetData>
  <dataConsolidate/>
  <phoneticPr fontId="1" type="noConversion"/>
  <conditionalFormatting sqref="C8:C57">
    <cfRule type="expression" dxfId="13" priority="1">
      <formula>$C8&lt;&gt;$F8</formula>
    </cfRule>
  </conditionalFormatting>
  <conditionalFormatting sqref="J8:M57">
    <cfRule type="expression" dxfId="12" priority="2" stopIfTrue="1">
      <formula>$M8=""</formula>
    </cfRule>
  </conditionalFormatting>
  <conditionalFormatting sqref="L59:M59 M60:M61">
    <cfRule type="expression" dxfId="11" priority="4">
      <formula>#REF!=0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3A8F-815E-694F-A76E-12E20AC1476D}">
  <sheetPr>
    <tabColor rgb="FFFF0000"/>
  </sheetPr>
  <dimension ref="A1:O23"/>
  <sheetViews>
    <sheetView showGridLines="0" topLeftCell="A4" workbookViewId="0">
      <pane xSplit="7" ySplit="2" topLeftCell="H6" activePane="bottomRight" state="frozen"/>
      <selection pane="topRight" activeCell="F11" sqref="F11"/>
      <selection pane="bottomLeft" activeCell="F11" sqref="F11"/>
      <selection pane="bottomRight" activeCell="F19" sqref="F19"/>
    </sheetView>
  </sheetViews>
  <sheetFormatPr defaultColWidth="10.90625" defaultRowHeight="25.5" outlineLevelRow="1"/>
  <cols>
    <col min="1" max="1" width="2.7265625" style="68" customWidth="1"/>
    <col min="2" max="2" width="6.81640625" style="68" customWidth="1"/>
    <col min="3" max="3" width="10.90625" style="337"/>
    <col min="4" max="6" width="12.453125" style="70" customWidth="1"/>
    <col min="7" max="7" width="10.453125" style="69" customWidth="1"/>
    <col min="8" max="10" width="12.453125" style="70" customWidth="1"/>
    <col min="11" max="11" width="12.453125" style="69" customWidth="1"/>
    <col min="12" max="12" width="10.90625" style="337"/>
    <col min="13" max="13" width="4.90625" style="68" customWidth="1"/>
    <col min="14" max="14" width="10.90625" style="68"/>
  </cols>
  <sheetData>
    <row r="1" spans="2:15" ht="12" hidden="1" customHeight="1" outlineLevel="1"/>
    <row r="2" spans="2:15" ht="27" hidden="1" customHeight="1" outlineLevel="1">
      <c r="D2" s="141">
        <v>3</v>
      </c>
      <c r="E2" s="141">
        <v>6</v>
      </c>
      <c r="F2" s="141"/>
      <c r="H2" s="141">
        <v>5</v>
      </c>
      <c r="I2" s="141">
        <v>6</v>
      </c>
      <c r="J2" s="141">
        <v>7</v>
      </c>
      <c r="K2" s="142">
        <v>4</v>
      </c>
    </row>
    <row r="3" spans="2:15" hidden="1" outlineLevel="1">
      <c r="B3" s="101" cm="1">
        <f t="array" ref="B3">COLUMN()-COLUMN(($A:$A))</f>
        <v>1</v>
      </c>
      <c r="D3" s="101" cm="1">
        <f t="array" ref="D3">COLUMN()-COLUMN(($A:$A))</f>
        <v>3</v>
      </c>
      <c r="E3" s="101" cm="1">
        <f t="array" ref="E3">COLUMN()-COLUMN(($A:$A))</f>
        <v>4</v>
      </c>
      <c r="F3" s="101"/>
      <c r="G3" s="101" cm="1">
        <f t="array" ref="G3">COLUMN()-COLUMN(($A:$A))</f>
        <v>6</v>
      </c>
      <c r="H3" s="101" cm="1">
        <f t="array" ref="H3">COLUMN()-COLUMN(($A:$A))</f>
        <v>7</v>
      </c>
      <c r="I3" s="101" cm="1">
        <f t="array" ref="I3">COLUMN()-COLUMN(($A:$A))</f>
        <v>8</v>
      </c>
      <c r="J3" s="101" cm="1">
        <f t="array" ref="J3">COLUMN()-COLUMN(($A:$A))</f>
        <v>9</v>
      </c>
      <c r="K3" s="101" cm="1">
        <f t="array" ref="K3">COLUMN()-COLUMN(($A:$A))</f>
        <v>10</v>
      </c>
    </row>
    <row r="4" spans="2:15" ht="21" customHeight="1" collapsed="1"/>
    <row r="5" spans="2:15" ht="57">
      <c r="B5" s="19" t="s">
        <v>1</v>
      </c>
      <c r="C5" s="320" t="s">
        <v>1351</v>
      </c>
      <c r="D5" s="19" t="s">
        <v>4</v>
      </c>
      <c r="E5" s="19" t="s">
        <v>6</v>
      </c>
      <c r="F5" s="19" t="s">
        <v>1352</v>
      </c>
      <c r="G5" s="19" t="s">
        <v>2</v>
      </c>
      <c r="H5" s="19" t="s">
        <v>3</v>
      </c>
      <c r="I5" s="19" t="s">
        <v>5</v>
      </c>
      <c r="J5" s="19" t="s">
        <v>7</v>
      </c>
      <c r="K5" s="19" t="s">
        <v>8</v>
      </c>
      <c r="M5" s="73"/>
      <c r="N5" s="19" t="s">
        <v>1353</v>
      </c>
      <c r="O5" s="320" t="s">
        <v>1354</v>
      </c>
    </row>
    <row r="6" spans="2:15" s="147" customFormat="1" ht="39.950000000000003" customHeight="1">
      <c r="B6" s="331" cm="1">
        <f t="array" ref="B6" xml:space="preserve"> ROW() - ROW($5:$5)</f>
        <v>1</v>
      </c>
      <c r="C6" s="338">
        <v>10</v>
      </c>
      <c r="D6" s="334" t="s">
        <v>71</v>
      </c>
      <c r="E6" s="335" t="s">
        <v>75</v>
      </c>
      <c r="F6" s="335"/>
      <c r="G6" s="332" t="s">
        <v>75</v>
      </c>
      <c r="H6" s="335" t="s">
        <v>76</v>
      </c>
      <c r="I6" s="335" t="s">
        <v>75</v>
      </c>
      <c r="J6" s="335" t="s">
        <v>75</v>
      </c>
      <c r="K6" s="333" t="s">
        <v>77</v>
      </c>
      <c r="L6" s="337"/>
      <c r="M6" s="327">
        <v>1</v>
      </c>
      <c r="N6" s="330" t="s">
        <v>12</v>
      </c>
      <c r="O6" s="328" t="s">
        <v>12</v>
      </c>
    </row>
    <row r="7" spans="2:15" s="147" customFormat="1" ht="39.950000000000003" customHeight="1">
      <c r="B7" s="331" cm="1">
        <f t="array" ref="B7" xml:space="preserve"> ROW() - ROW($5:$5)</f>
        <v>2</v>
      </c>
      <c r="C7" s="338">
        <v>11</v>
      </c>
      <c r="D7" s="334" t="s">
        <v>71</v>
      </c>
      <c r="E7" s="335" t="s">
        <v>69</v>
      </c>
      <c r="F7" s="335"/>
      <c r="G7" s="332" t="s">
        <v>69</v>
      </c>
      <c r="H7" s="335" t="s">
        <v>70</v>
      </c>
      <c r="I7" s="335" t="s">
        <v>69</v>
      </c>
      <c r="J7" s="335" t="s">
        <v>72</v>
      </c>
      <c r="K7" s="333" t="s">
        <v>73</v>
      </c>
      <c r="L7" s="337"/>
      <c r="M7" s="327">
        <v>2</v>
      </c>
      <c r="N7" s="329" t="s">
        <v>19</v>
      </c>
      <c r="O7" s="329" t="s">
        <v>15</v>
      </c>
    </row>
    <row r="8" spans="2:15" s="147" customFormat="1" ht="39.950000000000003" customHeight="1">
      <c r="B8" s="331" cm="1">
        <f t="array" ref="B8" xml:space="preserve"> ROW() - ROW($5:$5)</f>
        <v>3</v>
      </c>
      <c r="C8" s="338">
        <v>20</v>
      </c>
      <c r="D8" s="334" t="s">
        <v>18</v>
      </c>
      <c r="E8" s="335" t="s">
        <v>16</v>
      </c>
      <c r="F8" s="335"/>
      <c r="G8" s="332" t="s">
        <v>16</v>
      </c>
      <c r="H8" s="335" t="s">
        <v>17</v>
      </c>
      <c r="I8" s="335" t="s">
        <v>16</v>
      </c>
      <c r="J8" s="335" t="s">
        <v>19</v>
      </c>
      <c r="K8" s="333" t="s">
        <v>20</v>
      </c>
      <c r="L8" s="337"/>
      <c r="M8" s="327">
        <v>3</v>
      </c>
      <c r="N8" s="329" t="s">
        <v>40</v>
      </c>
      <c r="O8" s="329" t="s">
        <v>21</v>
      </c>
    </row>
    <row r="9" spans="2:15" s="147" customFormat="1" ht="39.950000000000003" customHeight="1">
      <c r="B9" s="331" cm="1">
        <f t="array" ref="B9" xml:space="preserve"> ROW() - ROW($5:$5)</f>
        <v>4</v>
      </c>
      <c r="C9" s="338">
        <v>30</v>
      </c>
      <c r="D9" s="334" t="s">
        <v>39</v>
      </c>
      <c r="E9" s="335" t="s">
        <v>37</v>
      </c>
      <c r="F9" s="335"/>
      <c r="G9" s="332" t="s">
        <v>37</v>
      </c>
      <c r="H9" s="335" t="s">
        <v>38</v>
      </c>
      <c r="I9" s="335" t="s">
        <v>37</v>
      </c>
      <c r="J9" s="335" t="s">
        <v>40</v>
      </c>
      <c r="K9" s="333" t="s">
        <v>41</v>
      </c>
      <c r="L9" s="337"/>
      <c r="M9" s="327">
        <v>4</v>
      </c>
      <c r="N9" s="328" t="s">
        <v>116</v>
      </c>
      <c r="O9" s="328" t="s">
        <v>26</v>
      </c>
    </row>
    <row r="10" spans="2:15" s="147" customFormat="1" ht="39.950000000000003" customHeight="1">
      <c r="B10" s="331" cm="1">
        <f t="array" ref="B10" xml:space="preserve"> ROW() - ROW($5:$5)</f>
        <v>5</v>
      </c>
      <c r="C10" s="338">
        <v>40</v>
      </c>
      <c r="D10" s="334" t="s">
        <v>45</v>
      </c>
      <c r="E10" s="335" t="s">
        <v>43</v>
      </c>
      <c r="F10" s="335"/>
      <c r="G10" s="332" t="s">
        <v>43</v>
      </c>
      <c r="H10" s="335" t="s">
        <v>44</v>
      </c>
      <c r="I10" s="335" t="s">
        <v>43</v>
      </c>
      <c r="J10" s="335" t="s">
        <v>37</v>
      </c>
      <c r="K10" s="333" t="s">
        <v>46</v>
      </c>
      <c r="L10" s="337"/>
      <c r="M10" s="327">
        <v>5</v>
      </c>
      <c r="N10" s="328" t="s">
        <v>107</v>
      </c>
      <c r="O10" s="328" t="s">
        <v>36</v>
      </c>
    </row>
    <row r="11" spans="2:15" s="147" customFormat="1" ht="39.950000000000003" customHeight="1">
      <c r="B11" s="331" cm="1">
        <f t="array" ref="B11" xml:space="preserve"> ROW() - ROW($5:$5)</f>
        <v>6</v>
      </c>
      <c r="C11" s="338">
        <v>50</v>
      </c>
      <c r="D11" s="334" t="s">
        <v>60</v>
      </c>
      <c r="E11" s="335" t="s">
        <v>58</v>
      </c>
      <c r="F11" s="335"/>
      <c r="G11" s="332" t="s">
        <v>58</v>
      </c>
      <c r="H11" s="335" t="s">
        <v>59</v>
      </c>
      <c r="I11" s="335" t="s">
        <v>58</v>
      </c>
      <c r="J11" s="335" t="s">
        <v>61</v>
      </c>
      <c r="K11" s="333" t="s">
        <v>62</v>
      </c>
      <c r="L11" s="337"/>
      <c r="M11" s="327">
        <v>6</v>
      </c>
      <c r="N11" s="328" t="s">
        <v>37</v>
      </c>
      <c r="O11" s="328" t="s">
        <v>78</v>
      </c>
    </row>
    <row r="12" spans="2:15" s="147" customFormat="1" ht="39.950000000000003" customHeight="1">
      <c r="B12" s="331" cm="1">
        <f t="array" ref="B12" xml:space="preserve"> ROW() - ROW($5:$5)</f>
        <v>7</v>
      </c>
      <c r="C12" s="338">
        <v>60</v>
      </c>
      <c r="D12" s="334" t="s">
        <v>24</v>
      </c>
      <c r="E12" s="335" t="s">
        <v>22</v>
      </c>
      <c r="F12" s="335"/>
      <c r="G12" s="332" t="s">
        <v>22</v>
      </c>
      <c r="H12" s="335" t="s">
        <v>23</v>
      </c>
      <c r="I12" s="335" t="s">
        <v>22</v>
      </c>
      <c r="J12" s="335" t="s">
        <v>16</v>
      </c>
      <c r="K12" s="333" t="s">
        <v>25</v>
      </c>
      <c r="L12" s="337"/>
      <c r="M12" s="327">
        <v>7</v>
      </c>
      <c r="N12" s="328" t="s">
        <v>43</v>
      </c>
      <c r="O12" s="328" t="s">
        <v>42</v>
      </c>
    </row>
    <row r="13" spans="2:15" s="147" customFormat="1" ht="39.950000000000003" customHeight="1">
      <c r="B13" s="331" cm="1">
        <f t="array" ref="B13" xml:space="preserve"> ROW() - ROW($5:$5)</f>
        <v>8</v>
      </c>
      <c r="C13" s="338">
        <v>70</v>
      </c>
      <c r="D13" s="334" t="s">
        <v>66</v>
      </c>
      <c r="E13" s="335" t="s">
        <v>64</v>
      </c>
      <c r="F13" s="335"/>
      <c r="G13" s="332" t="s">
        <v>64</v>
      </c>
      <c r="H13" s="335" t="s">
        <v>65</v>
      </c>
      <c r="I13" s="335" t="s">
        <v>64</v>
      </c>
      <c r="J13" s="335" t="s">
        <v>58</v>
      </c>
      <c r="K13" s="333" t="s">
        <v>67</v>
      </c>
      <c r="L13" s="337"/>
      <c r="M13" s="327">
        <v>8</v>
      </c>
      <c r="N13" s="328" t="s">
        <v>75</v>
      </c>
      <c r="O13" s="328" t="s">
        <v>47</v>
      </c>
    </row>
    <row r="14" spans="2:15" s="147" customFormat="1" ht="39.950000000000003" customHeight="1">
      <c r="B14" s="331" cm="1">
        <f t="array" ref="B14" xml:space="preserve"> ROW() - ROW($5:$5)</f>
        <v>9</v>
      </c>
      <c r="C14" s="338">
        <v>80</v>
      </c>
      <c r="D14" s="334" t="s">
        <v>81</v>
      </c>
      <c r="E14" s="335" t="s">
        <v>95</v>
      </c>
      <c r="F14" s="335"/>
      <c r="G14" s="332" t="s">
        <v>79</v>
      </c>
      <c r="H14" s="336" t="s">
        <v>93</v>
      </c>
      <c r="I14" s="335" t="s">
        <v>94</v>
      </c>
      <c r="J14" s="335" t="s">
        <v>83</v>
      </c>
      <c r="K14" s="333" t="s">
        <v>96</v>
      </c>
      <c r="L14" s="337"/>
      <c r="M14" s="327">
        <v>9</v>
      </c>
      <c r="N14" s="328" t="s">
        <v>27</v>
      </c>
      <c r="O14" s="328" t="s">
        <v>57</v>
      </c>
    </row>
    <row r="15" spans="2:15" s="147" customFormat="1" ht="39.950000000000003" customHeight="1">
      <c r="B15" s="331" cm="1">
        <f t="array" ref="B15" xml:space="preserve"> ROW() - ROW($5:$5)</f>
        <v>10</v>
      </c>
      <c r="C15" s="338">
        <v>90</v>
      </c>
      <c r="D15" s="334" t="s">
        <v>109</v>
      </c>
      <c r="E15" s="335" t="s">
        <v>107</v>
      </c>
      <c r="F15" s="335" t="s">
        <v>1355</v>
      </c>
      <c r="G15" s="332" t="s">
        <v>107</v>
      </c>
      <c r="H15" s="336" t="s">
        <v>121</v>
      </c>
      <c r="I15" s="335" t="s">
        <v>122</v>
      </c>
      <c r="J15" s="335" t="s">
        <v>602</v>
      </c>
      <c r="K15" s="333" t="s">
        <v>123</v>
      </c>
      <c r="L15" s="337"/>
      <c r="M15" s="327">
        <v>10</v>
      </c>
      <c r="N15" s="328" t="s">
        <v>69</v>
      </c>
      <c r="O15" s="328" t="s">
        <v>32</v>
      </c>
    </row>
    <row r="16" spans="2:15" s="147" customFormat="1" ht="39.950000000000003" customHeight="1">
      <c r="B16" s="331" cm="1">
        <f t="array" ref="B16" xml:space="preserve"> ROW() - ROW($5:$5)</f>
        <v>11</v>
      </c>
      <c r="C16" s="338" t="s">
        <v>1356</v>
      </c>
      <c r="D16" s="334" t="s">
        <v>100</v>
      </c>
      <c r="E16" s="335" t="s">
        <v>113</v>
      </c>
      <c r="F16" s="335"/>
      <c r="G16" s="332" t="s">
        <v>98</v>
      </c>
      <c r="H16" s="336" t="s">
        <v>112</v>
      </c>
      <c r="I16" s="335" t="s">
        <v>113</v>
      </c>
      <c r="J16" s="335" t="s">
        <v>98</v>
      </c>
      <c r="K16" s="333" t="s">
        <v>114</v>
      </c>
      <c r="L16" s="337"/>
      <c r="M16" s="327">
        <v>11</v>
      </c>
      <c r="N16" s="328" t="s">
        <v>48</v>
      </c>
      <c r="O16" s="328" t="s">
        <v>63</v>
      </c>
    </row>
    <row r="17" spans="2:15" s="147" customFormat="1" ht="39.950000000000003" customHeight="1">
      <c r="B17" s="331" cm="1">
        <f t="array" ref="B17" xml:space="preserve"> ROW() - ROW($5:$5)</f>
        <v>12</v>
      </c>
      <c r="C17" s="338" t="s">
        <v>1357</v>
      </c>
      <c r="D17" s="334" t="s">
        <v>13</v>
      </c>
      <c r="E17" s="335" t="s">
        <v>115</v>
      </c>
      <c r="F17" s="335" t="s">
        <v>1358</v>
      </c>
      <c r="G17" s="339" t="s">
        <v>12</v>
      </c>
      <c r="H17" s="335" t="s">
        <v>606</v>
      </c>
      <c r="I17" s="335" t="s">
        <v>115</v>
      </c>
      <c r="J17" s="335" t="s">
        <v>115</v>
      </c>
      <c r="K17" s="333" t="s">
        <v>12</v>
      </c>
      <c r="L17" s="337"/>
      <c r="M17" s="327">
        <v>12</v>
      </c>
      <c r="N17" s="328" t="s">
        <v>16</v>
      </c>
      <c r="O17" s="328" t="s">
        <v>74</v>
      </c>
    </row>
    <row r="18" spans="2:15" s="147" customFormat="1" ht="39.950000000000003" customHeight="1">
      <c r="B18" s="331" cm="1">
        <f t="array" ref="B18" xml:space="preserve"> ROW() - ROW($5:$5)</f>
        <v>13</v>
      </c>
      <c r="C18" s="338" t="s">
        <v>1359</v>
      </c>
      <c r="D18" s="334" t="s">
        <v>29</v>
      </c>
      <c r="E18" s="335" t="s">
        <v>27</v>
      </c>
      <c r="F18" s="335"/>
      <c r="G18" s="332" t="s">
        <v>27</v>
      </c>
      <c r="H18" s="335" t="s">
        <v>28</v>
      </c>
      <c r="I18" s="335" t="s">
        <v>27</v>
      </c>
      <c r="J18" s="335" t="s">
        <v>1360</v>
      </c>
      <c r="K18" s="333" t="s">
        <v>31</v>
      </c>
      <c r="L18" s="337"/>
      <c r="M18" s="327">
        <v>13</v>
      </c>
      <c r="N18" s="328" t="s">
        <v>22</v>
      </c>
      <c r="O18" s="328" t="s">
        <v>68</v>
      </c>
    </row>
    <row r="19" spans="2:15" s="147" customFormat="1" ht="39.950000000000003" customHeight="1">
      <c r="B19" s="331" cm="1">
        <f t="array" ref="B19" xml:space="preserve"> ROW() - ROW($5:$5)</f>
        <v>14</v>
      </c>
      <c r="C19" s="338" t="s">
        <v>1361</v>
      </c>
      <c r="D19" s="334" t="s">
        <v>29</v>
      </c>
      <c r="E19" s="335" t="s">
        <v>19</v>
      </c>
      <c r="F19" s="335"/>
      <c r="G19" s="332" t="s">
        <v>19</v>
      </c>
      <c r="H19" s="335" t="s">
        <v>33</v>
      </c>
      <c r="I19" s="335" t="s">
        <v>19</v>
      </c>
      <c r="J19" s="335" t="s">
        <v>34</v>
      </c>
      <c r="K19" s="333" t="s">
        <v>35</v>
      </c>
      <c r="L19" s="337"/>
      <c r="M19" s="327">
        <v>14</v>
      </c>
      <c r="N19" s="328" t="s">
        <v>98</v>
      </c>
      <c r="O19" s="328" t="s">
        <v>106</v>
      </c>
    </row>
    <row r="20" spans="2:15" s="147" customFormat="1" ht="39.950000000000003" customHeight="1">
      <c r="B20" s="331" cm="1">
        <f t="array" ref="B20" xml:space="preserve"> ROW() - ROW($5:$5)</f>
        <v>15</v>
      </c>
      <c r="C20" s="338" t="s">
        <v>1362</v>
      </c>
      <c r="D20" s="334" t="s">
        <v>50</v>
      </c>
      <c r="E20" s="335" t="s">
        <v>40</v>
      </c>
      <c r="F20" s="335"/>
      <c r="G20" s="332" t="s">
        <v>40</v>
      </c>
      <c r="H20" s="335" t="s">
        <v>54</v>
      </c>
      <c r="I20" s="335" t="s">
        <v>40</v>
      </c>
      <c r="J20" s="335" t="s">
        <v>55</v>
      </c>
      <c r="K20" s="333" t="s">
        <v>56</v>
      </c>
      <c r="L20" s="337"/>
      <c r="M20" s="327">
        <v>15</v>
      </c>
      <c r="N20" s="328" t="s">
        <v>58</v>
      </c>
      <c r="O20" s="328" t="s">
        <v>53</v>
      </c>
    </row>
    <row r="21" spans="2:15" s="147" customFormat="1" ht="39.950000000000003" customHeight="1">
      <c r="B21" s="331" cm="1">
        <f t="array" ref="B21" xml:space="preserve"> ROW() - ROW($5:$5)</f>
        <v>16</v>
      </c>
      <c r="C21" s="338" t="s">
        <v>1363</v>
      </c>
      <c r="D21" s="334" t="s">
        <v>50</v>
      </c>
      <c r="E21" s="335" t="s">
        <v>48</v>
      </c>
      <c r="F21" s="335"/>
      <c r="G21" s="332" t="s">
        <v>48</v>
      </c>
      <c r="H21" s="335" t="s">
        <v>49</v>
      </c>
      <c r="I21" s="335" t="s">
        <v>48</v>
      </c>
      <c r="J21" s="335" t="s">
        <v>51</v>
      </c>
      <c r="K21" s="333" t="s">
        <v>52</v>
      </c>
      <c r="L21" s="337"/>
      <c r="M21" s="327">
        <v>16</v>
      </c>
      <c r="N21" s="328" t="s">
        <v>64</v>
      </c>
      <c r="O21" s="328" t="s">
        <v>90</v>
      </c>
    </row>
    <row r="22" spans="2:15" s="147" customFormat="1" ht="39.950000000000003" customHeight="1">
      <c r="B22" s="331" cm="1">
        <f t="array" ref="B22" xml:space="preserve"> ROW() - ROW($5:$5)</f>
        <v>17</v>
      </c>
      <c r="C22" s="338" t="s">
        <v>1364</v>
      </c>
      <c r="D22" s="334" t="s">
        <v>88</v>
      </c>
      <c r="E22" s="335" t="s">
        <v>104</v>
      </c>
      <c r="F22" s="335"/>
      <c r="G22" s="332" t="s">
        <v>86</v>
      </c>
      <c r="H22" s="336" t="s">
        <v>102</v>
      </c>
      <c r="I22" s="335" t="s">
        <v>103</v>
      </c>
      <c r="J22" s="335" t="s">
        <v>91</v>
      </c>
      <c r="K22" s="333" t="s">
        <v>105</v>
      </c>
      <c r="L22" s="337"/>
      <c r="M22" s="327">
        <v>17</v>
      </c>
      <c r="N22" s="328" t="s">
        <v>79</v>
      </c>
      <c r="O22" s="328" t="s">
        <v>85</v>
      </c>
    </row>
    <row r="23" spans="2:15" ht="39.950000000000003" customHeight="1">
      <c r="B23" s="331" cm="1">
        <f t="array" ref="B23" xml:space="preserve"> ROW() - ROW($5:$5)</f>
        <v>18</v>
      </c>
      <c r="C23" s="338" t="s">
        <v>1365</v>
      </c>
      <c r="D23" s="334" t="s">
        <v>118</v>
      </c>
      <c r="E23" s="335" t="s">
        <v>116</v>
      </c>
      <c r="F23" s="335"/>
      <c r="G23" s="332" t="s">
        <v>116</v>
      </c>
      <c r="H23" s="335" t="s">
        <v>117</v>
      </c>
      <c r="I23" s="335" t="s">
        <v>116</v>
      </c>
      <c r="J23" s="335" t="s">
        <v>116</v>
      </c>
      <c r="K23" s="333" t="s">
        <v>119</v>
      </c>
      <c r="M23" s="327">
        <v>18</v>
      </c>
      <c r="N23" s="328" t="s">
        <v>86</v>
      </c>
      <c r="O23" s="328" t="s">
        <v>97</v>
      </c>
    </row>
  </sheetData>
  <phoneticPr fontId="1" type="noConversion"/>
  <hyperlinks>
    <hyperlink ref="H5" r:id="rId1" xr:uid="{CE29D045-6244-D54D-8A71-31BCF326B9F2}"/>
    <hyperlink ref="J5" r:id="rId2" display="閩南拼音" xr:uid="{378DB1E5-77F2-A24A-A3BA-5E6604983D35}"/>
    <hyperlink ref="E5" r:id="rId3" xr:uid="{82DF6895-99C5-3746-9A94-A23A08B761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2B09-AE37-7340-88F9-A72995A14748}">
  <sheetPr>
    <tabColor rgb="FF00B0F0"/>
  </sheetPr>
  <dimension ref="B1:AF54"/>
  <sheetViews>
    <sheetView showGridLines="0" topLeftCell="A3" workbookViewId="0">
      <pane xSplit="7" ySplit="2" topLeftCell="H5" activePane="bottomRight" state="frozen"/>
      <selection pane="topRight" activeCell="H3" sqref="H3"/>
      <selection pane="bottomLeft" activeCell="A5" sqref="A5"/>
      <selection pane="bottomRight" activeCell="F54" sqref="F5:F54"/>
    </sheetView>
  </sheetViews>
  <sheetFormatPr defaultColWidth="10.90625" defaultRowHeight="25.5" customHeight="1" outlineLevelRow="1" outlineLevelCol="1"/>
  <cols>
    <col min="1" max="1" width="2.7265625" customWidth="1"/>
    <col min="2" max="2" width="5" style="6" customWidth="1"/>
    <col min="3" max="7" width="10.26953125" style="6" customWidth="1"/>
    <col min="8" max="9" width="9.90625" style="6" customWidth="1" outlineLevel="1"/>
    <col min="10" max="10" width="5.08984375" style="6" customWidth="1"/>
    <col min="11" max="11" width="9.90625" style="6" hidden="1" customWidth="1" outlineLevel="1"/>
    <col min="12" max="12" width="12.81640625" style="353" customWidth="1" collapsed="1"/>
    <col min="13" max="13" width="12.81640625" style="353" customWidth="1"/>
    <col min="14" max="14" width="12.81640625" style="6" customWidth="1"/>
    <col min="15" max="15" width="4.90625" customWidth="1"/>
    <col min="16" max="16" width="5" style="6" customWidth="1"/>
    <col min="17" max="17" width="12.08984375" style="6" customWidth="1"/>
    <col min="18" max="23" width="12.6328125" style="6" hidden="1" customWidth="1" outlineLevel="1"/>
    <col min="24" max="24" width="12.6328125" customWidth="1" collapsed="1"/>
    <col min="25" max="25" width="12.6328125" customWidth="1"/>
    <col min="26" max="27" width="12.6328125" hidden="1" customWidth="1" outlineLevel="1"/>
    <col min="28" max="28" width="12.6328125" customWidth="1" collapsed="1"/>
    <col min="29" max="29" width="12.6328125" customWidth="1"/>
    <col min="30" max="30" width="10.7265625" style="6" hidden="1" customWidth="1" outlineLevel="1"/>
    <col min="31" max="31" width="10.7265625" hidden="1" customWidth="1" outlineLevel="1"/>
    <col min="32" max="32" width="53" customWidth="1" collapsed="1"/>
  </cols>
  <sheetData>
    <row r="1" spans="2:32" hidden="1" outlineLevel="1">
      <c r="D1" s="6">
        <v>13</v>
      </c>
      <c r="E1" s="6">
        <v>14</v>
      </c>
      <c r="F1" s="6">
        <v>9</v>
      </c>
      <c r="G1" s="6">
        <v>10</v>
      </c>
    </row>
    <row r="2" spans="2:32" s="50" customFormat="1" hidden="1" outlineLevel="1">
      <c r="B2" s="101" cm="1">
        <f t="array" ref="B2">COLUMN()-COLUMN(($A:$A))</f>
        <v>1</v>
      </c>
      <c r="C2" s="101"/>
      <c r="D2" s="101"/>
      <c r="E2" s="101"/>
      <c r="F2" s="101"/>
      <c r="G2" s="101"/>
      <c r="H2" s="101"/>
      <c r="I2" s="101"/>
      <c r="J2" s="126"/>
      <c r="K2" s="101"/>
      <c r="L2" s="354"/>
      <c r="M2" s="354"/>
      <c r="N2" s="101"/>
      <c r="P2" s="101" cm="1">
        <f t="array" ref="P2">COLUMN()-COLUMN(($O:$O))</f>
        <v>1</v>
      </c>
      <c r="Q2" s="101" cm="1">
        <f t="array" ref="Q2">COLUMN()-COLUMN(($O:$O))</f>
        <v>2</v>
      </c>
      <c r="R2" s="101" cm="1">
        <f t="array" ref="R2">COLUMN()-COLUMN(($O:$O))</f>
        <v>3</v>
      </c>
      <c r="S2" s="101" cm="1">
        <f t="array" ref="S2">COLUMN()-COLUMN(($O:$O))</f>
        <v>4</v>
      </c>
      <c r="T2" s="101" cm="1">
        <f t="array" ref="T2">COLUMN()-COLUMN(($O:$O))</f>
        <v>5</v>
      </c>
      <c r="U2" s="101" cm="1">
        <f t="array" ref="U2">COLUMN()-COLUMN(($O:$O))</f>
        <v>6</v>
      </c>
      <c r="V2" s="101" cm="1">
        <f t="array" ref="V2">COLUMN()-COLUMN(($O:$O))</f>
        <v>7</v>
      </c>
      <c r="W2" s="101" cm="1">
        <f t="array" ref="W2">COLUMN()-COLUMN(($O:$O))</f>
        <v>8</v>
      </c>
      <c r="X2" s="101" cm="1">
        <f t="array" ref="X2">COLUMN()-COLUMN(($O:$O))</f>
        <v>9</v>
      </c>
      <c r="Y2" s="101" cm="1">
        <f t="array" ref="Y2">COLUMN()-COLUMN(($O:$O))</f>
        <v>10</v>
      </c>
      <c r="Z2" s="101" cm="1">
        <f t="array" ref="Z2">COLUMN()-COLUMN(($O:$O))</f>
        <v>11</v>
      </c>
      <c r="AA2" s="101" cm="1">
        <f t="array" ref="AA2">COLUMN()-COLUMN(($O:$O))</f>
        <v>12</v>
      </c>
      <c r="AB2" s="101" cm="1">
        <f t="array" ref="AB2">COLUMN()-COLUMN(($O:$O))</f>
        <v>13</v>
      </c>
      <c r="AC2" s="101" cm="1">
        <f t="array" ref="AC2">COLUMN()-COLUMN(($O:$O))</f>
        <v>14</v>
      </c>
      <c r="AD2" s="101" cm="1">
        <f t="array" ref="AD2">COLUMN()-COLUMN(($O:$O))</f>
        <v>15</v>
      </c>
      <c r="AE2" s="101" cm="1">
        <f t="array" ref="AE2">COLUMN()-COLUMN(($O:$O))</f>
        <v>16</v>
      </c>
      <c r="AF2" s="101" cm="1">
        <f t="array" ref="AF2">COLUMN()-COLUMN(($O:$O))</f>
        <v>17</v>
      </c>
    </row>
    <row r="3" spans="2:32" ht="11.1" customHeight="1" collapsed="1"/>
    <row r="4" spans="2:32" s="366" customFormat="1" ht="18" customHeight="1">
      <c r="B4" s="361" t="s">
        <v>133</v>
      </c>
      <c r="C4" s="361" t="s">
        <v>1366</v>
      </c>
      <c r="D4" s="361" t="s">
        <v>1367</v>
      </c>
      <c r="E4" s="361" t="s">
        <v>1368</v>
      </c>
      <c r="F4" s="362" t="s">
        <v>1369</v>
      </c>
      <c r="G4" s="362" t="s">
        <v>1370</v>
      </c>
      <c r="H4" s="363" t="s">
        <v>1371</v>
      </c>
      <c r="I4" s="363" t="s">
        <v>1372</v>
      </c>
      <c r="J4" s="364"/>
      <c r="K4" s="365" t="s">
        <v>1373</v>
      </c>
      <c r="L4" s="365" t="s">
        <v>1374</v>
      </c>
      <c r="M4" s="365" t="s">
        <v>1375</v>
      </c>
      <c r="N4" s="365" t="s">
        <v>1376</v>
      </c>
      <c r="P4" s="361" t="s">
        <v>133</v>
      </c>
      <c r="Q4" s="361" t="s">
        <v>690</v>
      </c>
      <c r="R4" s="363" t="s">
        <v>130</v>
      </c>
      <c r="S4" s="363" t="s">
        <v>131</v>
      </c>
      <c r="T4" s="367" t="s">
        <v>1377</v>
      </c>
      <c r="U4" s="367" t="s">
        <v>1378</v>
      </c>
      <c r="V4" s="363" t="s">
        <v>1379</v>
      </c>
      <c r="W4" s="363" t="s">
        <v>1380</v>
      </c>
      <c r="X4" s="367" t="s">
        <v>1381</v>
      </c>
      <c r="Y4" s="367" t="s">
        <v>1382</v>
      </c>
      <c r="Z4" s="363" t="s">
        <v>1383</v>
      </c>
      <c r="AA4" s="363" t="s">
        <v>1384</v>
      </c>
      <c r="AB4" s="367" t="s">
        <v>1385</v>
      </c>
      <c r="AC4" s="367" t="s">
        <v>1386</v>
      </c>
      <c r="AD4" s="363" t="s">
        <v>1387</v>
      </c>
      <c r="AE4" s="363" t="s">
        <v>1388</v>
      </c>
      <c r="AF4" s="368" t="s">
        <v>704</v>
      </c>
    </row>
    <row r="5" spans="2:32" ht="30">
      <c r="B5" s="46">
        <v>1</v>
      </c>
      <c r="C5" s="345" t="s">
        <v>1073</v>
      </c>
      <c r="D5" s="340" t="str" cm="1">
        <f t="array" ref="D5" xml:space="preserve"> IFERROR( INDEX($P$5:$AF$54, $I5, D$1), "")</f>
        <v>ㄨㄣ</v>
      </c>
      <c r="E5" s="340" t="str" cm="1">
        <f t="array" ref="E5" xml:space="preserve"> IFERROR( INDEX($P$5:$AF$54, $I5, E$1), "")</f>
        <v>ㄨㆵ</v>
      </c>
      <c r="F5" s="340" t="str" cm="1">
        <f t="array" ref="F5" xml:space="preserve"> IFERROR( INDEX($P$5:$AF$54, $I5, F$1), "")</f>
        <v>un</v>
      </c>
      <c r="G5" s="340" t="str" cm="1">
        <f t="array" ref="G5" xml:space="preserve"> IFERROR( INDEX($P$5:$AF$54, $I5, G$1), "")</f>
        <v>ut</v>
      </c>
      <c r="H5" s="24" t="s">
        <v>135</v>
      </c>
      <c r="I5" s="25">
        <f t="shared" ref="I5:I48" si="0" xml:space="preserve"> MATCH(H5,十五音韻母,0)</f>
        <v>1</v>
      </c>
      <c r="J5" s="352"/>
      <c r="K5" s="352">
        <f xml:space="preserve"> IFERROR( MATCH(X5,$F$5:$F$54,0), 0)</f>
        <v>1</v>
      </c>
      <c r="L5" s="355" t="str">
        <f xml:space="preserve"> IF(K5=0, Q5, "")</f>
        <v/>
      </c>
      <c r="M5" s="24" t="str" cm="1">
        <f t="array" ref="M5">IF($K5=0, INDEX($AB$5:$AB$54,$P5,1), "")</f>
        <v/>
      </c>
      <c r="N5" s="24" t="str" cm="1">
        <f t="array" ref="N5">IF($K5=0, INDEX($X$5:$X$54,$P5,1), "")</f>
        <v/>
      </c>
      <c r="P5" s="46">
        <v>1</v>
      </c>
      <c r="Q5" s="356" t="s">
        <v>135</v>
      </c>
      <c r="R5" s="25" t="s">
        <v>136</v>
      </c>
      <c r="S5" s="26" t="s">
        <v>137</v>
      </c>
      <c r="T5" s="25" t="s">
        <v>136</v>
      </c>
      <c r="U5" s="26" t="s">
        <v>707</v>
      </c>
      <c r="V5" s="148" t="s">
        <v>136</v>
      </c>
      <c r="W5" s="26" t="s">
        <v>137</v>
      </c>
      <c r="X5" s="25" t="s">
        <v>136</v>
      </c>
      <c r="Y5" s="26" t="s">
        <v>137</v>
      </c>
      <c r="Z5" s="25" t="s">
        <v>136</v>
      </c>
      <c r="AA5" s="26" t="s">
        <v>137</v>
      </c>
      <c r="AB5" s="25" t="s">
        <v>708</v>
      </c>
      <c r="AC5" s="26" t="s">
        <v>709</v>
      </c>
      <c r="AD5" s="25" t="s">
        <v>710</v>
      </c>
      <c r="AE5" s="43" t="s">
        <v>711</v>
      </c>
      <c r="AF5" s="27"/>
    </row>
    <row r="6" spans="2:32" ht="30">
      <c r="B6" s="46">
        <v>2</v>
      </c>
      <c r="C6" s="345" t="s">
        <v>834</v>
      </c>
      <c r="D6" s="340" t="str" cm="1">
        <f t="array" ref="D6" xml:space="preserve"> IFERROR( INDEX($P$5:$AF$54, $I6, D$1), "")</f>
        <v>ㄧㄢ</v>
      </c>
      <c r="E6" s="340" t="str" cm="1">
        <f t="array" ref="E6" xml:space="preserve"> IFERROR( INDEX($P$5:$AF$54, $I6, E$1), "")</f>
        <v>ㄧㄚㆵ</v>
      </c>
      <c r="F6" s="340" t="str" cm="1">
        <f t="array" ref="F6" xml:space="preserve"> IFERROR( INDEX($P$5:$AF$54, $I6, F$1), "")</f>
        <v>ian</v>
      </c>
      <c r="G6" s="340" t="str" cm="1">
        <f t="array" ref="G6" xml:space="preserve"> IFERROR( INDEX($P$5:$AF$54, $I6, G$1), "")</f>
        <v>iat</v>
      </c>
      <c r="H6" s="24" t="str">
        <f>C6</f>
        <v>堅</v>
      </c>
      <c r="I6" s="25">
        <f t="shared" si="0"/>
        <v>2</v>
      </c>
      <c r="J6" s="352"/>
      <c r="K6" s="352">
        <f xml:space="preserve"> IFERROR( MATCH(X6,$F$5:$F$54,0), 0)</f>
        <v>2</v>
      </c>
      <c r="L6" s="356" t="str">
        <f t="shared" ref="L6:L54" si="1" xml:space="preserve"> IF(K6=0, Q6, "")</f>
        <v/>
      </c>
      <c r="M6" s="24" t="str" cm="1">
        <f t="array" ref="M6">IF($K6=0, INDEX($AB$5:$AB$54,$P6,1), "")</f>
        <v/>
      </c>
      <c r="N6" s="24" t="str" cm="1">
        <f t="array" ref="N6">IF($K6=0, INDEX($X$5:$X$54,$P6,1), "")</f>
        <v/>
      </c>
      <c r="P6" s="46">
        <v>2</v>
      </c>
      <c r="Q6" s="356" t="s">
        <v>141</v>
      </c>
      <c r="R6" s="25" t="s">
        <v>142</v>
      </c>
      <c r="S6" s="26" t="s">
        <v>143</v>
      </c>
      <c r="T6" s="25" t="s">
        <v>142</v>
      </c>
      <c r="U6" s="26" t="s">
        <v>714</v>
      </c>
      <c r="V6" s="148" t="s">
        <v>142</v>
      </c>
      <c r="W6" s="26" t="s">
        <v>143</v>
      </c>
      <c r="X6" s="25" t="s">
        <v>142</v>
      </c>
      <c r="Y6" s="26" t="s">
        <v>143</v>
      </c>
      <c r="Z6" s="25" t="s">
        <v>142</v>
      </c>
      <c r="AA6" s="26" t="s">
        <v>143</v>
      </c>
      <c r="AB6" s="25" t="s">
        <v>715</v>
      </c>
      <c r="AC6" s="26" t="s">
        <v>716</v>
      </c>
      <c r="AD6" s="25" t="s">
        <v>717</v>
      </c>
      <c r="AE6" s="43" t="s">
        <v>718</v>
      </c>
      <c r="AF6" s="27"/>
    </row>
    <row r="7" spans="2:32" ht="30">
      <c r="B7" s="46">
        <v>3</v>
      </c>
      <c r="C7" s="345" t="s">
        <v>858</v>
      </c>
      <c r="D7" s="340" t="str" cm="1">
        <f t="array" ref="D7" xml:space="preserve"> IFERROR( INDEX($P$5:$AF$54, $I7, D$1), "")</f>
        <v>ㄧㆬ</v>
      </c>
      <c r="E7" s="340" t="str" cm="1">
        <f t="array" ref="E7" xml:space="preserve"> IFERROR( INDEX($P$5:$AF$54, $I7, E$1), "")</f>
        <v>ㄧㆴ</v>
      </c>
      <c r="F7" s="340" t="str" cm="1">
        <f t="array" ref="F7" xml:space="preserve"> IFERROR( INDEX($P$5:$AF$54, $I7, F$1), "")</f>
        <v>im</v>
      </c>
      <c r="G7" s="340" t="str" cm="1">
        <f t="array" ref="G7" xml:space="preserve"> IFERROR( INDEX($P$5:$AF$54, $I7, G$1), "")</f>
        <v>ip</v>
      </c>
      <c r="H7" s="24" t="s">
        <v>147</v>
      </c>
      <c r="I7" s="25">
        <f t="shared" si="0"/>
        <v>3</v>
      </c>
      <c r="J7" s="352"/>
      <c r="K7" s="352">
        <f t="shared" ref="K7:K54" si="2" xml:space="preserve"> IFERROR( MATCH(X7,$F$5:$F$54,0), 0)</f>
        <v>3</v>
      </c>
      <c r="L7" s="356" t="str">
        <f t="shared" si="1"/>
        <v/>
      </c>
      <c r="M7" s="24" t="str" cm="1">
        <f t="array" ref="M7">IF($K7=0, INDEX($AB$5:$AB$54,$P7,1), "")</f>
        <v/>
      </c>
      <c r="N7" s="24" t="str" cm="1">
        <f t="array" ref="N7">IF($K7=0, INDEX($X$5:$X$54,$P7,1), "")</f>
        <v/>
      </c>
      <c r="P7" s="46">
        <v>3</v>
      </c>
      <c r="Q7" s="356" t="s">
        <v>147</v>
      </c>
      <c r="R7" s="25" t="s">
        <v>148</v>
      </c>
      <c r="S7" s="26" t="s">
        <v>149</v>
      </c>
      <c r="T7" s="25" t="s">
        <v>148</v>
      </c>
      <c r="U7" s="26" t="s">
        <v>721</v>
      </c>
      <c r="V7" s="148" t="s">
        <v>148</v>
      </c>
      <c r="W7" s="26" t="s">
        <v>149</v>
      </c>
      <c r="X7" s="25" t="s">
        <v>148</v>
      </c>
      <c r="Y7" s="26" t="s">
        <v>149</v>
      </c>
      <c r="Z7" s="25" t="s">
        <v>148</v>
      </c>
      <c r="AA7" s="26" t="s">
        <v>149</v>
      </c>
      <c r="AB7" s="25" t="s">
        <v>722</v>
      </c>
      <c r="AC7" s="26" t="s">
        <v>723</v>
      </c>
      <c r="AD7" s="25" t="s">
        <v>148</v>
      </c>
      <c r="AE7" s="43" t="s">
        <v>149</v>
      </c>
      <c r="AF7" s="27"/>
    </row>
    <row r="8" spans="2:32" ht="30">
      <c r="B8" s="46">
        <v>4</v>
      </c>
      <c r="C8" s="346" t="s">
        <v>1389</v>
      </c>
      <c r="D8" s="340" t="str" cm="1">
        <f t="array" ref="D8" xml:space="preserve"> IFERROR( INDEX($P$5:$AF$54, $I8, D$1), "")</f>
        <v>ㄨㄧ</v>
      </c>
      <c r="E8" s="340" t="str" cm="1">
        <f t="array" ref="E8" xml:space="preserve"> IFERROR( INDEX($P$5:$AF$54, $I8, E$1), "")</f>
        <v>ㄨㄧㆷ</v>
      </c>
      <c r="F8" s="340" t="str" cm="1">
        <f t="array" ref="F8" xml:space="preserve"> IFERROR( INDEX($P$5:$AF$54, $I8, F$1), "")</f>
        <v>ui</v>
      </c>
      <c r="G8" s="340" t="str" cm="1">
        <f t="array" ref="G8" xml:space="preserve"> IFERROR( INDEX($P$5:$AF$54, $I8, G$1), "")</f>
        <v>uih</v>
      </c>
      <c r="H8" s="24" t="s">
        <v>153</v>
      </c>
      <c r="I8" s="25">
        <f t="shared" si="0"/>
        <v>4</v>
      </c>
      <c r="J8" s="352"/>
      <c r="K8" s="352">
        <f t="shared" si="2"/>
        <v>4</v>
      </c>
      <c r="L8" s="356" t="str">
        <f t="shared" si="1"/>
        <v/>
      </c>
      <c r="M8" s="24" t="str" cm="1">
        <f t="array" ref="M8">IF($K8=0, INDEX($AB$5:$AB$54,$P8,1), "")</f>
        <v/>
      </c>
      <c r="N8" s="24" t="str" cm="1">
        <f t="array" ref="N8">IF($K8=0, INDEX($X$5:$X$54,$P8,1), "")</f>
        <v/>
      </c>
      <c r="P8" s="46">
        <v>4</v>
      </c>
      <c r="Q8" s="357" t="s">
        <v>153</v>
      </c>
      <c r="R8" s="25" t="s">
        <v>154</v>
      </c>
      <c r="S8" s="29" t="s">
        <v>155</v>
      </c>
      <c r="T8" s="30" t="s">
        <v>154</v>
      </c>
      <c r="U8" s="29" t="s">
        <v>726</v>
      </c>
      <c r="V8" s="148" t="s">
        <v>727</v>
      </c>
      <c r="W8" s="29" t="s">
        <v>728</v>
      </c>
      <c r="X8" s="30" t="s">
        <v>154</v>
      </c>
      <c r="Y8" s="29" t="s">
        <v>155</v>
      </c>
      <c r="Z8" s="30" t="s">
        <v>154</v>
      </c>
      <c r="AA8" s="29" t="s">
        <v>728</v>
      </c>
      <c r="AB8" s="30" t="s">
        <v>729</v>
      </c>
      <c r="AC8" s="29" t="s">
        <v>730</v>
      </c>
      <c r="AD8" s="30" t="s">
        <v>731</v>
      </c>
      <c r="AE8" s="29"/>
      <c r="AF8" s="27"/>
    </row>
    <row r="9" spans="2:32" ht="30">
      <c r="B9" s="46">
        <v>5</v>
      </c>
      <c r="C9" s="347" t="s">
        <v>1390</v>
      </c>
      <c r="D9" s="340" t="str" cm="1">
        <f t="array" ref="D9" xml:space="preserve"> IFERROR( INDEX($P$5:$AF$54, $I9, D$1), "")</f>
        <v>ㄝ</v>
      </c>
      <c r="E9" s="340" t="str" cm="1">
        <f t="array" ref="E9" xml:space="preserve"> IFERROR( INDEX($P$5:$AF$54, $I9, E$1), "")</f>
        <v>ㄝㆷ</v>
      </c>
      <c r="F9" s="340" t="str" cm="1">
        <f t="array" ref="F9" xml:space="preserve"> IFERROR( INDEX($P$5:$AF$54, $I9, F$1), "")</f>
        <v>ee</v>
      </c>
      <c r="G9" s="340" t="str" cm="1">
        <f t="array" ref="G9" xml:space="preserve"> IFERROR( INDEX($P$5:$AF$54, $I9, G$1), "")</f>
        <v>eh</v>
      </c>
      <c r="H9" s="24" t="s">
        <v>159</v>
      </c>
      <c r="I9" s="25">
        <f t="shared" si="0"/>
        <v>5</v>
      </c>
      <c r="J9" s="352"/>
      <c r="K9" s="352">
        <f t="shared" si="2"/>
        <v>5</v>
      </c>
      <c r="L9" s="356" t="str">
        <f t="shared" si="1"/>
        <v/>
      </c>
      <c r="M9" s="24" t="str" cm="1">
        <f t="array" ref="M9">IF($K9=0, INDEX($AB$5:$AB$54,$P9,1), "")</f>
        <v/>
      </c>
      <c r="N9" s="24" t="str" cm="1">
        <f t="array" ref="N9">IF($K9=0, INDEX($X$5:$X$54,$P9,1), "")</f>
        <v/>
      </c>
      <c r="P9" s="46">
        <v>5</v>
      </c>
      <c r="Q9" s="358" t="s">
        <v>159</v>
      </c>
      <c r="R9" s="25" t="s">
        <v>202</v>
      </c>
      <c r="S9" s="26" t="s">
        <v>161</v>
      </c>
      <c r="T9" s="25" t="s">
        <v>1391</v>
      </c>
      <c r="U9" s="26" t="s">
        <v>737</v>
      </c>
      <c r="V9" s="148" t="s">
        <v>202</v>
      </c>
      <c r="W9" s="26" t="s">
        <v>738</v>
      </c>
      <c r="X9" s="25" t="s">
        <v>202</v>
      </c>
      <c r="Y9" s="26" t="s">
        <v>161</v>
      </c>
      <c r="Z9" s="317" t="s">
        <v>739</v>
      </c>
      <c r="AA9" s="317" t="s">
        <v>740</v>
      </c>
      <c r="AB9" s="25" t="s">
        <v>741</v>
      </c>
      <c r="AC9" s="26" t="s">
        <v>742</v>
      </c>
      <c r="AD9" s="25" t="s">
        <v>743</v>
      </c>
      <c r="AE9" s="43" t="s">
        <v>744</v>
      </c>
      <c r="AF9" s="32" t="s">
        <v>1392</v>
      </c>
    </row>
    <row r="10" spans="2:32" ht="30">
      <c r="B10" s="46">
        <v>6</v>
      </c>
      <c r="C10" s="345" t="s">
        <v>753</v>
      </c>
      <c r="D10" s="340" t="str" cm="1">
        <f t="array" ref="D10" xml:space="preserve"> IFERROR( INDEX($P$5:$AF$54, $I10, D$1), "")</f>
        <v>ㄢ</v>
      </c>
      <c r="E10" s="340" t="str" cm="1">
        <f t="array" ref="E10" xml:space="preserve"> IFERROR( INDEX($P$5:$AF$54, $I10, E$1), "")</f>
        <v>ㄚㆵ</v>
      </c>
      <c r="F10" s="340" t="str" cm="1">
        <f t="array" ref="F10" xml:space="preserve"> IFERROR( INDEX($P$5:$AF$54, $I10, F$1), "")</f>
        <v>an</v>
      </c>
      <c r="G10" s="340" t="str" cm="1">
        <f t="array" ref="G10" xml:space="preserve"> IFERROR( INDEX($P$5:$AF$54, $I10, G$1), "")</f>
        <v>ap</v>
      </c>
      <c r="H10" s="24" t="s">
        <v>165</v>
      </c>
      <c r="I10" s="25">
        <f t="shared" si="0"/>
        <v>6</v>
      </c>
      <c r="J10" s="352"/>
      <c r="K10" s="352">
        <f t="shared" si="2"/>
        <v>6</v>
      </c>
      <c r="L10" s="356" t="str">
        <f t="shared" si="1"/>
        <v/>
      </c>
      <c r="M10" s="24" t="str" cm="1">
        <f t="array" ref="M10">IF($K10=0, INDEX($AB$5:$AB$54,$P10,1), "")</f>
        <v/>
      </c>
      <c r="N10" s="24" t="str" cm="1">
        <f t="array" ref="N10">IF($K10=0, INDEX($X$5:$X$54,$P10,1), "")</f>
        <v/>
      </c>
      <c r="P10" s="46">
        <v>6</v>
      </c>
      <c r="Q10" s="356" t="s">
        <v>165</v>
      </c>
      <c r="R10" s="25" t="s">
        <v>166</v>
      </c>
      <c r="S10" s="26" t="s">
        <v>164</v>
      </c>
      <c r="T10" s="25" t="s">
        <v>166</v>
      </c>
      <c r="U10" s="26" t="s">
        <v>749</v>
      </c>
      <c r="V10" s="148" t="s">
        <v>166</v>
      </c>
      <c r="W10" s="26" t="s">
        <v>167</v>
      </c>
      <c r="X10" s="25" t="s">
        <v>166</v>
      </c>
      <c r="Y10" s="26" t="s">
        <v>750</v>
      </c>
      <c r="Z10" s="25" t="s">
        <v>166</v>
      </c>
      <c r="AA10" s="26" t="s">
        <v>167</v>
      </c>
      <c r="AB10" s="33" t="s">
        <v>751</v>
      </c>
      <c r="AC10" s="26" t="s">
        <v>752</v>
      </c>
      <c r="AD10" s="25" t="s">
        <v>166</v>
      </c>
      <c r="AE10" s="43" t="s">
        <v>167</v>
      </c>
      <c r="AF10" s="27"/>
    </row>
    <row r="11" spans="2:32" ht="32.25">
      <c r="B11" s="46">
        <v>7</v>
      </c>
      <c r="C11" s="345" t="s">
        <v>1393</v>
      </c>
      <c r="D11" s="340" t="str" cm="1">
        <f t="array" ref="D11" xml:space="preserve"> IFERROR( INDEX($P$5:$AF$54, $I11, D$1), "")</f>
        <v>ㆲ</v>
      </c>
      <c r="E11" s="340" t="str" cm="1">
        <f t="array" ref="E11" xml:space="preserve"> IFERROR( INDEX($P$5:$AF$54, $I11, E$1), "")</f>
        <v>ㆦㆻ</v>
      </c>
      <c r="F11" s="340" t="str" cm="1">
        <f t="array" ref="F11" xml:space="preserve"> IFERROR( INDEX($P$5:$AF$54, $I11, F$1), "")</f>
        <v>ong</v>
      </c>
      <c r="G11" s="340" t="str" cm="1">
        <f t="array" ref="G11" xml:space="preserve"> IFERROR( INDEX($P$5:$AF$54, $I11, G$1), "")</f>
        <v>ok</v>
      </c>
      <c r="H11" s="24" t="s">
        <v>168</v>
      </c>
      <c r="I11" s="25">
        <f t="shared" si="0"/>
        <v>7</v>
      </c>
      <c r="J11" s="352"/>
      <c r="K11" s="352">
        <f t="shared" si="2"/>
        <v>7</v>
      </c>
      <c r="L11" s="356" t="str">
        <f t="shared" si="1"/>
        <v/>
      </c>
      <c r="M11" s="24" t="str" cm="1">
        <f t="array" ref="M11">IF($K11=0, INDEX($AB$5:$AB$54,$P11,1), "")</f>
        <v/>
      </c>
      <c r="N11" s="24" t="str" cm="1">
        <f t="array" ref="N11">IF($K11=0, INDEX($X$5:$X$54,$P11,1), "")</f>
        <v/>
      </c>
      <c r="P11" s="46">
        <v>7</v>
      </c>
      <c r="Q11" s="356" t="s">
        <v>168</v>
      </c>
      <c r="R11" s="25" t="s">
        <v>169</v>
      </c>
      <c r="S11" s="26" t="s">
        <v>170</v>
      </c>
      <c r="T11" s="25" t="s">
        <v>755</v>
      </c>
      <c r="U11" s="26" t="s">
        <v>756</v>
      </c>
      <c r="V11" s="148" t="s">
        <v>169</v>
      </c>
      <c r="W11" s="26" t="s">
        <v>170</v>
      </c>
      <c r="X11" s="25" t="s">
        <v>169</v>
      </c>
      <c r="Y11" s="26" t="s">
        <v>170</v>
      </c>
      <c r="Z11" s="25" t="s">
        <v>169</v>
      </c>
      <c r="AA11" s="26" t="s">
        <v>170</v>
      </c>
      <c r="AB11" s="25" t="s">
        <v>757</v>
      </c>
      <c r="AC11" s="26" t="s">
        <v>758</v>
      </c>
      <c r="AD11" s="25" t="s">
        <v>169</v>
      </c>
      <c r="AE11" s="43" t="s">
        <v>170</v>
      </c>
      <c r="AF11" s="343" t="s">
        <v>1394</v>
      </c>
    </row>
    <row r="12" spans="2:32" ht="30">
      <c r="B12" s="46">
        <v>8</v>
      </c>
      <c r="C12" s="345" t="s">
        <v>1011</v>
      </c>
      <c r="D12" s="340" t="str" cm="1">
        <f t="array" ref="D12" xml:space="preserve"> IFERROR( INDEX($P$5:$AF$54, $I12, D$1), "")</f>
        <v>ㄨㄞ</v>
      </c>
      <c r="E12" s="340" t="str" cm="1">
        <f t="array" ref="E12" xml:space="preserve"> IFERROR( INDEX($P$5:$AF$54, $I12, E$1), "")</f>
        <v>ㄨㄞㆷ</v>
      </c>
      <c r="F12" s="340" t="str" cm="1">
        <f t="array" ref="F12" xml:space="preserve"> IFERROR( INDEX($P$5:$AF$54, $I12, F$1), "")</f>
        <v>uai</v>
      </c>
      <c r="G12" s="340" t="str" cm="1">
        <f t="array" ref="G12" xml:space="preserve"> IFERROR( INDEX($P$5:$AF$54, $I12, G$1), "")</f>
        <v>uaih</v>
      </c>
      <c r="H12" s="24" t="s">
        <v>174</v>
      </c>
      <c r="I12" s="25">
        <f t="shared" si="0"/>
        <v>8</v>
      </c>
      <c r="J12" s="352"/>
      <c r="K12" s="352">
        <f t="shared" si="2"/>
        <v>8</v>
      </c>
      <c r="L12" s="356" t="str">
        <f t="shared" si="1"/>
        <v/>
      </c>
      <c r="M12" s="24" t="str" cm="1">
        <f t="array" ref="M12">IF($K12=0, INDEX($AB$5:$AB$54,$P12,1), "")</f>
        <v/>
      </c>
      <c r="N12" s="24" t="str" cm="1">
        <f t="array" ref="N12">IF($K12=0, INDEX($X$5:$X$54,$P12,1), "")</f>
        <v/>
      </c>
      <c r="P12" s="46">
        <v>8</v>
      </c>
      <c r="Q12" s="356" t="s">
        <v>174</v>
      </c>
      <c r="R12" s="25" t="s">
        <v>175</v>
      </c>
      <c r="S12" s="26" t="s">
        <v>176</v>
      </c>
      <c r="T12" s="25" t="s">
        <v>175</v>
      </c>
      <c r="U12" s="39" t="s">
        <v>761</v>
      </c>
      <c r="V12" s="149" t="s">
        <v>318</v>
      </c>
      <c r="W12" s="39" t="s">
        <v>762</v>
      </c>
      <c r="X12" s="25" t="s">
        <v>175</v>
      </c>
      <c r="Y12" s="26" t="s">
        <v>176</v>
      </c>
      <c r="Z12" s="25" t="s">
        <v>175</v>
      </c>
      <c r="AA12" s="26" t="s">
        <v>176</v>
      </c>
      <c r="AB12" s="341" t="s">
        <v>1395</v>
      </c>
      <c r="AC12" s="26" t="s">
        <v>764</v>
      </c>
      <c r="AD12" s="25" t="s">
        <v>765</v>
      </c>
      <c r="AE12" s="43" t="s">
        <v>766</v>
      </c>
      <c r="AF12" s="27"/>
    </row>
    <row r="13" spans="2:32" ht="32.25">
      <c r="B13" s="46">
        <v>9</v>
      </c>
      <c r="C13" s="345" t="s">
        <v>1396</v>
      </c>
      <c r="D13" s="340" t="str" cm="1">
        <f t="array" ref="D13" xml:space="preserve"> IFERROR( INDEX($P$5:$AF$54, $I13, D$1), "")</f>
        <v>ㄧㄥ</v>
      </c>
      <c r="E13" s="340" t="str" cm="1">
        <f t="array" ref="E13" xml:space="preserve"> IFERROR( INDEX($P$5:$AF$54, $I13, E$1), "")</f>
        <v>ㄧㆻ</v>
      </c>
      <c r="F13" s="340" t="str" cm="1">
        <f t="array" ref="F13" xml:space="preserve"> IFERROR( INDEX($P$5:$AF$54, $I13, F$1), "")</f>
        <v>ing</v>
      </c>
      <c r="G13" s="340" t="str" cm="1">
        <f t="array" ref="G13" xml:space="preserve"> IFERROR( INDEX($P$5:$AF$54, $I13, G$1), "")</f>
        <v>ik</v>
      </c>
      <c r="H13" s="24" t="s">
        <v>180</v>
      </c>
      <c r="I13" s="25">
        <f t="shared" si="0"/>
        <v>9</v>
      </c>
      <c r="J13" s="352"/>
      <c r="K13" s="352">
        <f t="shared" si="2"/>
        <v>9</v>
      </c>
      <c r="L13" s="356" t="str">
        <f t="shared" si="1"/>
        <v/>
      </c>
      <c r="M13" s="24" t="str" cm="1">
        <f t="array" ref="M13">IF($K13=0, INDEX($AB$5:$AB$54,$P13,1), "")</f>
        <v/>
      </c>
      <c r="N13" s="24" t="str" cm="1">
        <f t="array" ref="N13">IF($K13=0, INDEX($X$5:$X$54,$P13,1), "")</f>
        <v/>
      </c>
      <c r="P13" s="46">
        <v>9</v>
      </c>
      <c r="Q13" s="356" t="s">
        <v>180</v>
      </c>
      <c r="R13" s="25" t="s">
        <v>181</v>
      </c>
      <c r="S13" s="26" t="s">
        <v>182</v>
      </c>
      <c r="T13" s="25" t="s">
        <v>769</v>
      </c>
      <c r="U13" s="26" t="s">
        <v>770</v>
      </c>
      <c r="V13" s="148" t="s">
        <v>305</v>
      </c>
      <c r="W13" s="26" t="s">
        <v>303</v>
      </c>
      <c r="X13" s="25" t="s">
        <v>181</v>
      </c>
      <c r="Y13" s="26" t="s">
        <v>182</v>
      </c>
      <c r="Z13" s="25" t="s">
        <v>181</v>
      </c>
      <c r="AA13" s="26" t="s">
        <v>182</v>
      </c>
      <c r="AB13" s="342" t="s">
        <v>1397</v>
      </c>
      <c r="AC13" s="249" t="s">
        <v>772</v>
      </c>
      <c r="AD13" s="25" t="s">
        <v>305</v>
      </c>
      <c r="AE13" s="43" t="s">
        <v>303</v>
      </c>
      <c r="AF13" s="27"/>
    </row>
    <row r="14" spans="2:32" ht="30">
      <c r="B14" s="46">
        <v>10</v>
      </c>
      <c r="C14" s="345" t="s">
        <v>1006</v>
      </c>
      <c r="D14" s="340" t="str" cm="1">
        <f t="array" ref="D14" xml:space="preserve"> IFERROR( INDEX($P$5:$AF$54, $I14, D$1), "")</f>
        <v>ㄨㄢ</v>
      </c>
      <c r="E14" s="340" t="str" cm="1">
        <f t="array" ref="E14" xml:space="preserve"> IFERROR( INDEX($P$5:$AF$54, $I14, E$1), "")</f>
        <v>ㄨㄚㆵ</v>
      </c>
      <c r="F14" s="340" t="str" cm="1">
        <f t="array" ref="F14" xml:space="preserve"> IFERROR( INDEX($P$5:$AF$54, $I14, F$1), "")</f>
        <v>uan</v>
      </c>
      <c r="G14" s="340" t="str" cm="1">
        <f t="array" ref="G14" xml:space="preserve"> IFERROR( INDEX($P$5:$AF$54, $I14, G$1), "")</f>
        <v>uat</v>
      </c>
      <c r="H14" s="24" t="s">
        <v>186</v>
      </c>
      <c r="I14" s="25">
        <f t="shared" si="0"/>
        <v>10</v>
      </c>
      <c r="J14" s="352"/>
      <c r="K14" s="352">
        <f t="shared" si="2"/>
        <v>10</v>
      </c>
      <c r="L14" s="356" t="str">
        <f t="shared" si="1"/>
        <v/>
      </c>
      <c r="M14" s="24" t="str" cm="1">
        <f t="array" ref="M14">IF($K14=0, INDEX($AB$5:$AB$54,$P14,1), "")</f>
        <v/>
      </c>
      <c r="N14" s="24" t="str" cm="1">
        <f t="array" ref="N14">IF($K14=0, INDEX($X$5:$X$54,$P14,1), "")</f>
        <v/>
      </c>
      <c r="P14" s="46">
        <v>10</v>
      </c>
      <c r="Q14" s="356" t="s">
        <v>186</v>
      </c>
      <c r="R14" s="25" t="s">
        <v>187</v>
      </c>
      <c r="S14" s="26" t="s">
        <v>188</v>
      </c>
      <c r="T14" s="25" t="s">
        <v>187</v>
      </c>
      <c r="U14" s="39" t="s">
        <v>775</v>
      </c>
      <c r="V14" s="149" t="s">
        <v>320</v>
      </c>
      <c r="W14" s="39" t="s">
        <v>322</v>
      </c>
      <c r="X14" s="25" t="s">
        <v>187</v>
      </c>
      <c r="Y14" s="26" t="s">
        <v>188</v>
      </c>
      <c r="Z14" s="25" t="s">
        <v>187</v>
      </c>
      <c r="AA14" s="26" t="s">
        <v>188</v>
      </c>
      <c r="AB14" s="25" t="s">
        <v>776</v>
      </c>
      <c r="AC14" s="26" t="s">
        <v>777</v>
      </c>
      <c r="AD14" s="25" t="s">
        <v>778</v>
      </c>
      <c r="AE14" s="43" t="s">
        <v>779</v>
      </c>
      <c r="AF14" s="27"/>
    </row>
    <row r="15" spans="2:32" ht="30">
      <c r="B15" s="46">
        <v>11</v>
      </c>
      <c r="C15" s="345" t="s">
        <v>1398</v>
      </c>
      <c r="D15" s="340" t="str" cm="1">
        <f t="array" ref="D15" xml:space="preserve"> IFERROR( INDEX($P$5:$AF$54, $I15, D$1), "")</f>
        <v>ㆦ</v>
      </c>
      <c r="E15" s="340" t="str" cm="1">
        <f t="array" ref="E15" xml:space="preserve"> IFERROR( INDEX($P$5:$AF$54, $I15, E$1), "")</f>
        <v>ㆦㆷ</v>
      </c>
      <c r="F15" s="340" t="str" cm="1">
        <f t="array" ref="F15" xml:space="preserve"> IFERROR( INDEX($P$5:$AF$54, $I15, F$1), "")</f>
        <v>oo</v>
      </c>
      <c r="G15" s="340" t="str" cm="1">
        <f t="array" ref="G15" xml:space="preserve"> IFERROR( INDEX($P$5:$AF$54, $I15, G$1), "")</f>
        <v>ooh</v>
      </c>
      <c r="H15" s="24" t="s">
        <v>190</v>
      </c>
      <c r="I15" s="25">
        <f t="shared" si="0"/>
        <v>11</v>
      </c>
      <c r="J15" s="352"/>
      <c r="K15" s="352">
        <f t="shared" si="2"/>
        <v>11</v>
      </c>
      <c r="L15" s="356" t="str">
        <f t="shared" si="1"/>
        <v/>
      </c>
      <c r="M15" s="24" t="str" cm="1">
        <f t="array" ref="M15">IF($K15=0, INDEX($AB$5:$AB$54,$P15,1), "")</f>
        <v/>
      </c>
      <c r="N15" s="24" t="str" cm="1">
        <f t="array" ref="N15">IF($K15=0, INDEX($X$5:$X$54,$P15,1), "")</f>
        <v/>
      </c>
      <c r="P15" s="46">
        <v>11</v>
      </c>
      <c r="Q15" s="356" t="s">
        <v>190</v>
      </c>
      <c r="R15" s="25" t="s">
        <v>191</v>
      </c>
      <c r="S15" s="25" t="s">
        <v>192</v>
      </c>
      <c r="T15" s="25" t="s">
        <v>1399</v>
      </c>
      <c r="U15" s="25" t="s">
        <v>1400</v>
      </c>
      <c r="V15" s="148" t="s">
        <v>314</v>
      </c>
      <c r="W15" s="25" t="s">
        <v>784</v>
      </c>
      <c r="X15" s="25" t="s">
        <v>191</v>
      </c>
      <c r="Y15" s="25" t="s">
        <v>192</v>
      </c>
      <c r="Z15" s="25" t="s">
        <v>191</v>
      </c>
      <c r="AA15" s="25" t="s">
        <v>785</v>
      </c>
      <c r="AB15" s="25" t="s">
        <v>786</v>
      </c>
      <c r="AC15" s="25" t="s">
        <v>787</v>
      </c>
      <c r="AD15" s="25" t="s">
        <v>323</v>
      </c>
      <c r="AE15" s="34"/>
      <c r="AF15" s="32" t="s">
        <v>788</v>
      </c>
    </row>
    <row r="16" spans="2:32" ht="30">
      <c r="B16" s="46">
        <v>12</v>
      </c>
      <c r="C16" s="345" t="s">
        <v>846</v>
      </c>
      <c r="D16" s="340" t="str" cm="1">
        <f t="array" ref="D16" xml:space="preserve"> IFERROR( INDEX($P$5:$AF$54, $I16, D$1), "")</f>
        <v>ㄧㄠ</v>
      </c>
      <c r="E16" s="340" t="str" cm="1">
        <f t="array" ref="E16" xml:space="preserve"> IFERROR( INDEX($P$5:$AF$54, $I16, E$1), "")</f>
        <v>ㄧㄠㆷ</v>
      </c>
      <c r="F16" s="340" t="str" cm="1">
        <f t="array" ref="F16" xml:space="preserve"> IFERROR( INDEX($P$5:$AF$54, $I16, F$1), "")</f>
        <v>iau</v>
      </c>
      <c r="G16" s="340" t="str" cm="1">
        <f t="array" ref="G16" xml:space="preserve"> IFERROR( INDEX($P$5:$AF$54, $I16, G$1), "")</f>
        <v>iauh</v>
      </c>
      <c r="H16" s="24" t="s">
        <v>196</v>
      </c>
      <c r="I16" s="25">
        <f t="shared" si="0"/>
        <v>12</v>
      </c>
      <c r="J16" s="352"/>
      <c r="K16" s="352">
        <f t="shared" si="2"/>
        <v>12</v>
      </c>
      <c r="L16" s="356" t="str">
        <f t="shared" si="1"/>
        <v/>
      </c>
      <c r="M16" s="24" t="str" cm="1">
        <f t="array" ref="M16">IF($K16=0, INDEX($AB$5:$AB$54,$P16,1), "")</f>
        <v/>
      </c>
      <c r="N16" s="24" t="str" cm="1">
        <f t="array" ref="N16">IF($K16=0, INDEX($X$5:$X$54,$P16,1), "")</f>
        <v/>
      </c>
      <c r="P16" s="46">
        <v>12</v>
      </c>
      <c r="Q16" s="356" t="s">
        <v>196</v>
      </c>
      <c r="R16" s="25" t="s">
        <v>197</v>
      </c>
      <c r="S16" s="26" t="s">
        <v>198</v>
      </c>
      <c r="T16" s="25" t="s">
        <v>1401</v>
      </c>
      <c r="U16" s="39" t="s">
        <v>792</v>
      </c>
      <c r="V16" s="149" t="s">
        <v>197</v>
      </c>
      <c r="W16" s="39" t="s">
        <v>198</v>
      </c>
      <c r="X16" s="25" t="s">
        <v>197</v>
      </c>
      <c r="Y16" s="26" t="s">
        <v>198</v>
      </c>
      <c r="Z16" s="25" t="s">
        <v>793</v>
      </c>
      <c r="AA16" s="26" t="s">
        <v>794</v>
      </c>
      <c r="AB16" s="25" t="s">
        <v>795</v>
      </c>
      <c r="AC16" s="26" t="s">
        <v>796</v>
      </c>
      <c r="AD16" s="25" t="s">
        <v>797</v>
      </c>
      <c r="AE16" s="43" t="s">
        <v>798</v>
      </c>
      <c r="AF16" s="27"/>
    </row>
    <row r="17" spans="2:32" ht="32.25">
      <c r="B17" s="46">
        <v>13</v>
      </c>
      <c r="C17" s="347" t="s">
        <v>1402</v>
      </c>
      <c r="D17" s="340" t="str" cm="1">
        <f t="array" ref="D17" xml:space="preserve"> IFERROR( INDEX($P$5:$AF$54, $I17, D$1), "")</f>
        <v>ㆤ</v>
      </c>
      <c r="E17" s="340" t="str" cm="1">
        <f t="array" ref="E17" xml:space="preserve"> IFERROR( INDEX($P$5:$AF$54, $I17, E$1), "")</f>
        <v>ㆤㆷ</v>
      </c>
      <c r="F17" s="340" t="str" cm="1">
        <f t="array" ref="F17" xml:space="preserve"> IFERROR( INDEX($P$5:$AF$54, $I17, F$1), "")</f>
        <v>e</v>
      </c>
      <c r="G17" s="340" t="str" cm="1">
        <f t="array" ref="G17" xml:space="preserve"> IFERROR( INDEX($P$5:$AF$54, $I17, G$1), "")</f>
        <v>eh</v>
      </c>
      <c r="H17" s="344" t="s">
        <v>1403</v>
      </c>
      <c r="I17" s="25">
        <f t="shared" si="0"/>
        <v>39</v>
      </c>
      <c r="J17" s="352"/>
      <c r="K17" s="352">
        <f t="shared" si="2"/>
        <v>0</v>
      </c>
      <c r="L17" s="356" t="str">
        <f t="shared" si="1"/>
        <v>稽</v>
      </c>
      <c r="M17" s="24" t="str" cm="1">
        <f t="array" ref="M17">IF($K17=0, INDEX($AB$5:$AB$54,$P17,1), "")</f>
        <v>ㄟ</v>
      </c>
      <c r="N17" s="24" t="str" cm="1">
        <f t="array" ref="N17">IF($K17=0, INDEX($X$5:$X$54,$P17,1), "")</f>
        <v>ei</v>
      </c>
      <c r="P17" s="46">
        <v>13</v>
      </c>
      <c r="Q17" s="358" t="s">
        <v>206</v>
      </c>
      <c r="R17" s="25" t="s">
        <v>160</v>
      </c>
      <c r="S17" s="29" t="s">
        <v>161</v>
      </c>
      <c r="T17" s="25" t="s">
        <v>207</v>
      </c>
      <c r="U17" s="29" t="s">
        <v>803</v>
      </c>
      <c r="V17" s="149" t="s">
        <v>207</v>
      </c>
      <c r="W17" s="127" t="s">
        <v>802</v>
      </c>
      <c r="X17" s="35" t="s">
        <v>801</v>
      </c>
      <c r="Y17" s="29" t="s">
        <v>802</v>
      </c>
      <c r="Z17" s="317" t="s">
        <v>739</v>
      </c>
      <c r="AA17" s="317" t="s">
        <v>740</v>
      </c>
      <c r="AB17" s="35" t="s">
        <v>804</v>
      </c>
      <c r="AC17" s="29" t="s">
        <v>805</v>
      </c>
      <c r="AD17" s="25" t="s">
        <v>806</v>
      </c>
      <c r="AE17" s="29"/>
      <c r="AF17" s="32" t="s">
        <v>807</v>
      </c>
    </row>
    <row r="18" spans="2:32" ht="30">
      <c r="B18" s="46">
        <v>14</v>
      </c>
      <c r="C18" s="345" t="s">
        <v>1404</v>
      </c>
      <c r="D18" s="340" t="str" cm="1">
        <f t="array" ref="D18" xml:space="preserve"> IFERROR( INDEX($P$5:$AF$54, $I18, D$1), "")</f>
        <v>ㄧㆲ</v>
      </c>
      <c r="E18" s="340" t="str" cm="1">
        <f t="array" ref="E18" xml:space="preserve"> IFERROR( INDEX($P$5:$AF$54, $I18, E$1), "")</f>
        <v>ㄧㆦㆻ</v>
      </c>
      <c r="F18" s="340" t="str" cm="1">
        <f t="array" ref="F18" xml:space="preserve"> IFERROR( INDEX($P$5:$AF$54, $I18, F$1), "")</f>
        <v>iong</v>
      </c>
      <c r="G18" s="340" t="str" cm="1">
        <f t="array" ref="G18" xml:space="preserve"> IFERROR( INDEX($P$5:$AF$54, $I18, G$1), "")</f>
        <v>iok</v>
      </c>
      <c r="H18" s="24" t="s">
        <v>208</v>
      </c>
      <c r="I18" s="25">
        <f t="shared" si="0"/>
        <v>14</v>
      </c>
      <c r="J18" s="352"/>
      <c r="K18" s="352">
        <f t="shared" si="2"/>
        <v>14</v>
      </c>
      <c r="L18" s="356" t="str">
        <f t="shared" si="1"/>
        <v/>
      </c>
      <c r="M18" s="24" t="str" cm="1">
        <f t="array" ref="M18">IF($K18=0, INDEX($AB$5:$AB$54,$P18,1), "")</f>
        <v/>
      </c>
      <c r="N18" s="24" t="str" cm="1">
        <f t="array" ref="N18">IF($K18=0, INDEX($X$5:$X$54,$P18,1), "")</f>
        <v/>
      </c>
      <c r="P18" s="46">
        <v>14</v>
      </c>
      <c r="Q18" s="356" t="s">
        <v>208</v>
      </c>
      <c r="R18" s="25" t="s">
        <v>209</v>
      </c>
      <c r="S18" s="26" t="s">
        <v>210</v>
      </c>
      <c r="T18" s="25" t="s">
        <v>810</v>
      </c>
      <c r="U18" s="26" t="s">
        <v>811</v>
      </c>
      <c r="V18" s="150" t="s">
        <v>209</v>
      </c>
      <c r="W18" s="37" t="s">
        <v>210</v>
      </c>
      <c r="X18" s="36" t="s">
        <v>209</v>
      </c>
      <c r="Y18" s="37" t="s">
        <v>210</v>
      </c>
      <c r="Z18" s="25" t="s">
        <v>209</v>
      </c>
      <c r="AA18" s="26" t="s">
        <v>210</v>
      </c>
      <c r="AB18" s="36" t="s">
        <v>812</v>
      </c>
      <c r="AC18" s="250" t="s">
        <v>813</v>
      </c>
      <c r="AD18" s="25" t="s">
        <v>814</v>
      </c>
      <c r="AE18" s="43" t="s">
        <v>815</v>
      </c>
      <c r="AF18" s="27"/>
    </row>
    <row r="19" spans="2:32" ht="30">
      <c r="B19" s="46">
        <v>15</v>
      </c>
      <c r="C19" s="345" t="s">
        <v>937</v>
      </c>
      <c r="D19" s="340" t="str" cm="1">
        <f t="array" ref="D19" xml:space="preserve"> IFERROR( INDEX($P$5:$AF$54, $I19, D$1), "")</f>
        <v>ㄜ</v>
      </c>
      <c r="E19" s="340" t="str" cm="1">
        <f t="array" ref="E19" xml:space="preserve"> IFERROR( INDEX($P$5:$AF$54, $I19, E$1), "")</f>
        <v>ㄜㆷ</v>
      </c>
      <c r="F19" s="340" t="str" cm="1">
        <f t="array" ref="F19" xml:space="preserve"> IFERROR( INDEX($P$5:$AF$54, $I19, F$1), "")</f>
        <v>o</v>
      </c>
      <c r="G19" s="340" t="str" cm="1">
        <f t="array" ref="G19" xml:space="preserve"> IFERROR( INDEX($P$5:$AF$54, $I19, G$1), "")</f>
        <v>oh</v>
      </c>
      <c r="H19" s="24" t="s">
        <v>214</v>
      </c>
      <c r="I19" s="25">
        <f t="shared" si="0"/>
        <v>15</v>
      </c>
      <c r="J19" s="352"/>
      <c r="K19" s="352">
        <f t="shared" si="2"/>
        <v>15</v>
      </c>
      <c r="L19" s="356" t="str">
        <f t="shared" si="1"/>
        <v/>
      </c>
      <c r="M19" s="24" t="str" cm="1">
        <f t="array" ref="M19">IF($K19=0, INDEX($AB$5:$AB$54,$P19,1), "")</f>
        <v/>
      </c>
      <c r="N19" s="24" t="str" cm="1">
        <f t="array" ref="N19">IF($K19=0, INDEX($X$5:$X$54,$P19,1), "")</f>
        <v/>
      </c>
      <c r="P19" s="46">
        <v>15</v>
      </c>
      <c r="Q19" s="356" t="s">
        <v>214</v>
      </c>
      <c r="R19" s="25" t="s">
        <v>215</v>
      </c>
      <c r="S19" s="26" t="s">
        <v>216</v>
      </c>
      <c r="T19" s="25" t="s">
        <v>215</v>
      </c>
      <c r="U19" s="39" t="s">
        <v>1405</v>
      </c>
      <c r="V19" s="149" t="s">
        <v>215</v>
      </c>
      <c r="W19" s="39" t="s">
        <v>216</v>
      </c>
      <c r="X19" s="25" t="s">
        <v>215</v>
      </c>
      <c r="Y19" s="26" t="s">
        <v>216</v>
      </c>
      <c r="Z19" s="25" t="s">
        <v>215</v>
      </c>
      <c r="AA19" s="26" t="s">
        <v>216</v>
      </c>
      <c r="AB19" s="25" t="s">
        <v>819</v>
      </c>
      <c r="AC19" s="26" t="s">
        <v>820</v>
      </c>
      <c r="AD19" s="25" t="s">
        <v>215</v>
      </c>
      <c r="AE19" s="43" t="s">
        <v>821</v>
      </c>
      <c r="AF19" s="27"/>
    </row>
    <row r="20" spans="2:32" ht="30">
      <c r="B20" s="46">
        <v>16</v>
      </c>
      <c r="C20" s="345" t="s">
        <v>724</v>
      </c>
      <c r="D20" s="340" t="str" cm="1">
        <f t="array" ref="D20" xml:space="preserve"> IFERROR( INDEX($P$5:$AF$54, $I20, D$1), "")</f>
        <v>ㄞ</v>
      </c>
      <c r="E20" s="340" t="str" cm="1">
        <f t="array" ref="E20" xml:space="preserve"> IFERROR( INDEX($P$5:$AF$54, $I20, E$1), "")</f>
        <v>ㄞㆷ</v>
      </c>
      <c r="F20" s="340" t="str" cm="1">
        <f t="array" ref="F20" xml:space="preserve"> IFERROR( INDEX($P$5:$AF$54, $I20, F$1), "")</f>
        <v>ai</v>
      </c>
      <c r="G20" s="340" t="str" cm="1">
        <f t="array" ref="G20" xml:space="preserve"> IFERROR( INDEX($P$5:$AF$54, $I20, G$1), "")</f>
        <v>aih</v>
      </c>
      <c r="H20" s="24" t="s">
        <v>150</v>
      </c>
      <c r="I20" s="25">
        <f t="shared" si="0"/>
        <v>16</v>
      </c>
      <c r="J20" s="352"/>
      <c r="K20" s="352">
        <f t="shared" si="2"/>
        <v>16</v>
      </c>
      <c r="L20" s="356" t="str">
        <f t="shared" si="1"/>
        <v/>
      </c>
      <c r="M20" s="24" t="str" cm="1">
        <f t="array" ref="M20">IF($K20=0, INDEX($AB$5:$AB$54,$P20,1), "")</f>
        <v/>
      </c>
      <c r="N20" s="24" t="str" cm="1">
        <f t="array" ref="N20">IF($K20=0, INDEX($X$5:$X$54,$P20,1), "")</f>
        <v/>
      </c>
      <c r="P20" s="46">
        <v>16</v>
      </c>
      <c r="Q20" s="356" t="s">
        <v>150</v>
      </c>
      <c r="R20" s="25" t="s">
        <v>151</v>
      </c>
      <c r="S20" s="29" t="s">
        <v>152</v>
      </c>
      <c r="T20" s="25" t="s">
        <v>725</v>
      </c>
      <c r="U20" s="29" t="s">
        <v>824</v>
      </c>
      <c r="V20" s="149" t="s">
        <v>151</v>
      </c>
      <c r="W20" s="29" t="s">
        <v>825</v>
      </c>
      <c r="X20" s="25" t="s">
        <v>151</v>
      </c>
      <c r="Y20" s="29" t="s">
        <v>152</v>
      </c>
      <c r="Z20" s="25" t="s">
        <v>151</v>
      </c>
      <c r="AA20" s="29" t="s">
        <v>825</v>
      </c>
      <c r="AB20" s="25" t="s">
        <v>826</v>
      </c>
      <c r="AC20" s="29" t="s">
        <v>827</v>
      </c>
      <c r="AD20" s="25" t="s">
        <v>828</v>
      </c>
      <c r="AE20" s="29"/>
      <c r="AF20" s="27"/>
    </row>
    <row r="21" spans="2:32" ht="30">
      <c r="B21" s="46">
        <v>17</v>
      </c>
      <c r="C21" s="345" t="s">
        <v>1406</v>
      </c>
      <c r="D21" s="340" t="str" cm="1">
        <f t="array" ref="D21" xml:space="preserve"> IFERROR( INDEX($P$5:$AF$54, $I21, D$1), "")</f>
        <v>ㄧㄣ</v>
      </c>
      <c r="E21" s="340" t="str" cm="1">
        <f t="array" ref="E21" xml:space="preserve"> IFERROR( INDEX($P$5:$AF$54, $I21, E$1), "")</f>
        <v>ㄧㆵ</v>
      </c>
      <c r="F21" s="340" t="str" cm="1">
        <f t="array" ref="F21" xml:space="preserve"> IFERROR( INDEX($P$5:$AF$54, $I21, F$1), "")</f>
        <v>in</v>
      </c>
      <c r="G21" s="340" t="str" cm="1">
        <f t="array" ref="G21" xml:space="preserve"> IFERROR( INDEX($P$5:$AF$54, $I21, G$1), "")</f>
        <v>it</v>
      </c>
      <c r="H21" s="24" t="s">
        <v>223</v>
      </c>
      <c r="I21" s="25">
        <f t="shared" si="0"/>
        <v>17</v>
      </c>
      <c r="J21" s="352"/>
      <c r="K21" s="352">
        <f t="shared" si="2"/>
        <v>17</v>
      </c>
      <c r="L21" s="356" t="str">
        <f t="shared" si="1"/>
        <v/>
      </c>
      <c r="M21" s="24" t="str" cm="1">
        <f t="array" ref="M21">IF($K21=0, INDEX($AB$5:$AB$54,$P21,1), "")</f>
        <v/>
      </c>
      <c r="N21" s="24" t="str" cm="1">
        <f t="array" ref="N21">IF($K21=0, INDEX($X$5:$X$54,$P21,1), "")</f>
        <v/>
      </c>
      <c r="P21" s="46">
        <v>17</v>
      </c>
      <c r="Q21" s="356" t="s">
        <v>223</v>
      </c>
      <c r="R21" s="25" t="s">
        <v>224</v>
      </c>
      <c r="S21" s="26" t="s">
        <v>225</v>
      </c>
      <c r="T21" s="25" t="s">
        <v>224</v>
      </c>
      <c r="U21" s="26" t="s">
        <v>831</v>
      </c>
      <c r="V21" s="148" t="s">
        <v>224</v>
      </c>
      <c r="W21" s="26" t="s">
        <v>225</v>
      </c>
      <c r="X21" s="25" t="s">
        <v>224</v>
      </c>
      <c r="Y21" s="26" t="s">
        <v>225</v>
      </c>
      <c r="Z21" s="25" t="s">
        <v>224</v>
      </c>
      <c r="AA21" s="26" t="s">
        <v>225</v>
      </c>
      <c r="AB21" s="25" t="s">
        <v>832</v>
      </c>
      <c r="AC21" s="26" t="s">
        <v>833</v>
      </c>
      <c r="AD21" s="25" t="s">
        <v>224</v>
      </c>
      <c r="AE21" s="43" t="s">
        <v>225</v>
      </c>
      <c r="AF21" s="27"/>
    </row>
    <row r="22" spans="2:32" ht="30">
      <c r="B22" s="46">
        <v>18</v>
      </c>
      <c r="C22" s="345" t="s">
        <v>1407</v>
      </c>
      <c r="D22" s="340" t="str" cm="1">
        <f t="array" ref="D22" xml:space="preserve"> IFERROR( INDEX($P$5:$AF$54, $I22, D$1), "")</f>
        <v>ㄧㄤ</v>
      </c>
      <c r="E22" s="340" t="str" cm="1">
        <f t="array" ref="E22" xml:space="preserve"> IFERROR( INDEX($P$5:$AF$54, $I22, E$1), "")</f>
        <v>ㄧㄚㆻ</v>
      </c>
      <c r="F22" s="340" t="str" cm="1">
        <f t="array" ref="F22" xml:space="preserve"> IFERROR( INDEX($P$5:$AF$54, $I22, F$1), "")</f>
        <v>iang</v>
      </c>
      <c r="G22" s="340" t="str" cm="1">
        <f t="array" ref="G22" xml:space="preserve"> IFERROR( INDEX($P$5:$AF$54, $I22, G$1), "")</f>
        <v>iak</v>
      </c>
      <c r="H22" s="24" t="s">
        <v>226</v>
      </c>
      <c r="I22" s="25">
        <f t="shared" si="0"/>
        <v>18</v>
      </c>
      <c r="J22" s="352"/>
      <c r="K22" s="352">
        <f t="shared" si="2"/>
        <v>18</v>
      </c>
      <c r="L22" s="356" t="str">
        <f t="shared" si="1"/>
        <v/>
      </c>
      <c r="M22" s="24" t="str" cm="1">
        <f t="array" ref="M22">IF($K22=0, INDEX($AB$5:$AB$54,$P22,1), "")</f>
        <v/>
      </c>
      <c r="N22" s="24" t="str" cm="1">
        <f t="array" ref="N22">IF($K22=0, INDEX($X$5:$X$54,$P22,1), "")</f>
        <v/>
      </c>
      <c r="P22" s="46">
        <v>18</v>
      </c>
      <c r="Q22" s="356" t="s">
        <v>226</v>
      </c>
      <c r="R22" s="25" t="s">
        <v>227</v>
      </c>
      <c r="S22" s="26" t="s">
        <v>228</v>
      </c>
      <c r="T22" s="25" t="s">
        <v>836</v>
      </c>
      <c r="U22" s="39" t="s">
        <v>837</v>
      </c>
      <c r="V22" s="149" t="s">
        <v>227</v>
      </c>
      <c r="W22" s="39" t="s">
        <v>228</v>
      </c>
      <c r="X22" s="25" t="s">
        <v>227</v>
      </c>
      <c r="Y22" s="26" t="s">
        <v>228</v>
      </c>
      <c r="Z22" s="25" t="s">
        <v>227</v>
      </c>
      <c r="AA22" s="26" t="s">
        <v>228</v>
      </c>
      <c r="AB22" s="25" t="s">
        <v>838</v>
      </c>
      <c r="AC22" s="26" t="s">
        <v>839</v>
      </c>
      <c r="AD22" s="25" t="s">
        <v>840</v>
      </c>
      <c r="AE22" s="43" t="s">
        <v>841</v>
      </c>
      <c r="AF22" s="27"/>
    </row>
    <row r="23" spans="2:32" ht="30">
      <c r="B23" s="46">
        <v>19</v>
      </c>
      <c r="C23" s="345" t="s">
        <v>746</v>
      </c>
      <c r="D23" s="340" t="str" cm="1">
        <f t="array" ref="D23" xml:space="preserve"> IFERROR( INDEX($P$5:$AF$54, $I23, D$1), "")</f>
        <v>ㆰ</v>
      </c>
      <c r="E23" s="340" t="str" cm="1">
        <f t="array" ref="E23" xml:space="preserve"> IFERROR( INDEX($P$5:$AF$54, $I23, E$1), "")</f>
        <v>ㄚㆴ</v>
      </c>
      <c r="F23" s="340" t="str" cm="1">
        <f t="array" ref="F23" xml:space="preserve"> IFERROR( INDEX($P$5:$AF$54, $I23, F$1), "")</f>
        <v>am</v>
      </c>
      <c r="G23" s="340" t="str" cm="1">
        <f t="array" ref="G23" xml:space="preserve"> IFERROR( INDEX($P$5:$AF$54, $I23, G$1), "")</f>
        <v>ap</v>
      </c>
      <c r="H23" s="24" t="s">
        <v>162</v>
      </c>
      <c r="I23" s="25">
        <f t="shared" si="0"/>
        <v>19</v>
      </c>
      <c r="J23" s="352"/>
      <c r="K23" s="352">
        <f t="shared" si="2"/>
        <v>19</v>
      </c>
      <c r="L23" s="356" t="str">
        <f t="shared" si="1"/>
        <v/>
      </c>
      <c r="M23" s="24" t="str" cm="1">
        <f t="array" ref="M23">IF($K23=0, INDEX($AB$5:$AB$54,$P23,1), "")</f>
        <v/>
      </c>
      <c r="N23" s="24" t="str" cm="1">
        <f t="array" ref="N23">IF($K23=0, INDEX($X$5:$X$54,$P23,1), "")</f>
        <v/>
      </c>
      <c r="P23" s="46">
        <v>19</v>
      </c>
      <c r="Q23" s="356" t="s">
        <v>162</v>
      </c>
      <c r="R23" s="25" t="s">
        <v>163</v>
      </c>
      <c r="S23" s="26" t="s">
        <v>164</v>
      </c>
      <c r="T23" s="25" t="s">
        <v>163</v>
      </c>
      <c r="U23" s="26" t="s">
        <v>843</v>
      </c>
      <c r="V23" s="148" t="s">
        <v>163</v>
      </c>
      <c r="W23" s="26" t="s">
        <v>164</v>
      </c>
      <c r="X23" s="25" t="s">
        <v>163</v>
      </c>
      <c r="Y23" s="26" t="s">
        <v>164</v>
      </c>
      <c r="Z23" s="25" t="s">
        <v>163</v>
      </c>
      <c r="AA23" s="26" t="s">
        <v>164</v>
      </c>
      <c r="AB23" s="25" t="s">
        <v>844</v>
      </c>
      <c r="AC23" s="26" t="s">
        <v>845</v>
      </c>
      <c r="AD23" s="25" t="s">
        <v>163</v>
      </c>
      <c r="AE23" s="43" t="s">
        <v>164</v>
      </c>
      <c r="AF23" s="27"/>
    </row>
    <row r="24" spans="2:32" ht="30">
      <c r="B24" s="46">
        <v>20</v>
      </c>
      <c r="C24" s="345" t="s">
        <v>998</v>
      </c>
      <c r="D24" s="340" t="str" cm="1">
        <f t="array" ref="D24" xml:space="preserve"> IFERROR( INDEX($P$5:$AF$54, $I24, D$1), "")</f>
        <v>ㄨㄚ</v>
      </c>
      <c r="E24" s="340" t="str" cm="1">
        <f t="array" ref="E24" xml:space="preserve"> IFERROR( INDEX($P$5:$AF$54, $I24, E$1), "")</f>
        <v>ㄨㄚㆷ</v>
      </c>
      <c r="F24" s="340" t="str" cm="1">
        <f t="array" ref="F24" xml:space="preserve"> IFERROR( INDEX($P$5:$AF$54, $I24, F$1), "")</f>
        <v>ua</v>
      </c>
      <c r="G24" s="340" t="str" cm="1">
        <f t="array" ref="G24" xml:space="preserve"> IFERROR( INDEX($P$5:$AF$54, $I24, G$1), "")</f>
        <v>uah</v>
      </c>
      <c r="H24" s="24" t="s">
        <v>229</v>
      </c>
      <c r="I24" s="25">
        <f t="shared" si="0"/>
        <v>20</v>
      </c>
      <c r="J24" s="352"/>
      <c r="K24" s="352">
        <f t="shared" si="2"/>
        <v>20</v>
      </c>
      <c r="L24" s="356" t="str">
        <f t="shared" si="1"/>
        <v/>
      </c>
      <c r="M24" s="24" t="str" cm="1">
        <f t="array" ref="M24">IF($K24=0, INDEX($AB$5:$AB$54,$P24,1), "")</f>
        <v/>
      </c>
      <c r="N24" s="24" t="str" cm="1">
        <f t="array" ref="N24">IF($K24=0, INDEX($X$5:$X$54,$P24,1), "")</f>
        <v/>
      </c>
      <c r="P24" s="46">
        <v>20</v>
      </c>
      <c r="Q24" s="356" t="s">
        <v>229</v>
      </c>
      <c r="R24" s="25" t="s">
        <v>230</v>
      </c>
      <c r="S24" s="26" t="s">
        <v>231</v>
      </c>
      <c r="T24" s="25" t="s">
        <v>230</v>
      </c>
      <c r="U24" s="39" t="s">
        <v>847</v>
      </c>
      <c r="V24" s="149" t="s">
        <v>315</v>
      </c>
      <c r="W24" s="39" t="s">
        <v>317</v>
      </c>
      <c r="X24" s="25" t="s">
        <v>230</v>
      </c>
      <c r="Y24" s="26" t="s">
        <v>231</v>
      </c>
      <c r="Z24" s="25" t="s">
        <v>230</v>
      </c>
      <c r="AA24" s="26" t="s">
        <v>231</v>
      </c>
      <c r="AB24" s="25" t="s">
        <v>848</v>
      </c>
      <c r="AC24" s="26" t="s">
        <v>849</v>
      </c>
      <c r="AD24" s="25" t="s">
        <v>850</v>
      </c>
      <c r="AE24" s="43" t="s">
        <v>851</v>
      </c>
      <c r="AF24" s="27"/>
    </row>
    <row r="25" spans="2:32" ht="32.25">
      <c r="B25" s="46">
        <v>21</v>
      </c>
      <c r="C25" s="345" t="s">
        <v>759</v>
      </c>
      <c r="D25" s="340" t="str" cm="1">
        <f t="array" ref="D25" xml:space="preserve"> IFERROR( INDEX($P$5:$AF$54, $I25, D$1), "")</f>
        <v>ㄤ</v>
      </c>
      <c r="E25" s="340" t="str" cm="1">
        <f t="array" ref="E25" xml:space="preserve"> IFERROR( INDEX($P$5:$AF$54, $I25, E$1), "")</f>
        <v>ㄚㆻ</v>
      </c>
      <c r="F25" s="340" t="str" cm="1">
        <f t="array" ref="F25" xml:space="preserve"> IFERROR( INDEX($P$5:$AF$54, $I25, F$1), "")</f>
        <v>ang</v>
      </c>
      <c r="G25" s="340" t="str" cm="1">
        <f t="array" ref="G25" xml:space="preserve"> IFERROR( INDEX($P$5:$AF$54, $I25, G$1), "")</f>
        <v>ak</v>
      </c>
      <c r="H25" s="24" t="s">
        <v>171</v>
      </c>
      <c r="I25" s="25">
        <f t="shared" si="0"/>
        <v>21</v>
      </c>
      <c r="J25" s="352"/>
      <c r="K25" s="352">
        <f t="shared" si="2"/>
        <v>21</v>
      </c>
      <c r="L25" s="356" t="str">
        <f t="shared" si="1"/>
        <v/>
      </c>
      <c r="M25" s="24" t="str" cm="1">
        <f t="array" ref="M25">IF($K25=0, INDEX($AB$5:$AB$54,$P25,1), "")</f>
        <v/>
      </c>
      <c r="N25" s="24" t="str" cm="1">
        <f t="array" ref="N25">IF($K25=0, INDEX($X$5:$X$54,$P25,1), "")</f>
        <v/>
      </c>
      <c r="P25" s="46">
        <v>21</v>
      </c>
      <c r="Q25" s="356" t="s">
        <v>171</v>
      </c>
      <c r="R25" s="25" t="s">
        <v>172</v>
      </c>
      <c r="S25" s="26" t="s">
        <v>173</v>
      </c>
      <c r="T25" s="25" t="s">
        <v>854</v>
      </c>
      <c r="U25" s="26" t="s">
        <v>855</v>
      </c>
      <c r="V25" s="148" t="s">
        <v>172</v>
      </c>
      <c r="W25" s="26" t="s">
        <v>173</v>
      </c>
      <c r="X25" s="25" t="s">
        <v>172</v>
      </c>
      <c r="Y25" s="26" t="s">
        <v>173</v>
      </c>
      <c r="Z25" s="25" t="s">
        <v>172</v>
      </c>
      <c r="AA25" s="26" t="s">
        <v>173</v>
      </c>
      <c r="AB25" s="25" t="s">
        <v>856</v>
      </c>
      <c r="AC25" s="248" t="s">
        <v>857</v>
      </c>
      <c r="AD25" s="25" t="s">
        <v>172</v>
      </c>
      <c r="AE25" s="43" t="s">
        <v>173</v>
      </c>
      <c r="AF25" s="27"/>
    </row>
    <row r="26" spans="2:32" ht="30">
      <c r="B26" s="46">
        <v>22</v>
      </c>
      <c r="C26" s="345" t="s">
        <v>829</v>
      </c>
      <c r="D26" s="340" t="str" cm="1">
        <f t="array" ref="D26" xml:space="preserve"> IFERROR( INDEX($P$5:$AF$54, $I26, D$1), "")</f>
        <v>ㄧㆰ</v>
      </c>
      <c r="E26" s="340" t="str" cm="1">
        <f t="array" ref="E26" xml:space="preserve"> IFERROR( INDEX($P$5:$AF$54, $I26, E$1), "")</f>
        <v>ㄧㄚㆴ</v>
      </c>
      <c r="F26" s="340" t="str" cm="1">
        <f t="array" ref="F26" xml:space="preserve"> IFERROR( INDEX($P$5:$AF$54, $I26, F$1), "")</f>
        <v>iam</v>
      </c>
      <c r="G26" s="340" t="str" cm="1">
        <f t="array" ref="G26" xml:space="preserve"> IFERROR( INDEX($P$5:$AF$54, $I26, G$1), "")</f>
        <v>iap</v>
      </c>
      <c r="H26" s="24" t="s">
        <v>220</v>
      </c>
      <c r="I26" s="25">
        <f t="shared" si="0"/>
        <v>22</v>
      </c>
      <c r="J26" s="352"/>
      <c r="K26" s="352">
        <f t="shared" si="2"/>
        <v>22</v>
      </c>
      <c r="L26" s="356" t="str">
        <f t="shared" si="1"/>
        <v/>
      </c>
      <c r="M26" s="24" t="str" cm="1">
        <f t="array" ref="M26">IF($K26=0, INDEX($AB$5:$AB$54,$P26,1), "")</f>
        <v/>
      </c>
      <c r="N26" s="24" t="str" cm="1">
        <f t="array" ref="N26">IF($K26=0, INDEX($X$5:$X$54,$P26,1), "")</f>
        <v/>
      </c>
      <c r="P26" s="46">
        <v>22</v>
      </c>
      <c r="Q26" s="356" t="s">
        <v>220</v>
      </c>
      <c r="R26" s="25" t="s">
        <v>221</v>
      </c>
      <c r="S26" s="26" t="s">
        <v>222</v>
      </c>
      <c r="T26" s="25" t="s">
        <v>221</v>
      </c>
      <c r="U26" s="26" t="s">
        <v>1408</v>
      </c>
      <c r="V26" s="148" t="s">
        <v>221</v>
      </c>
      <c r="W26" s="26" t="s">
        <v>222</v>
      </c>
      <c r="X26" s="25" t="s">
        <v>221</v>
      </c>
      <c r="Y26" s="26" t="s">
        <v>222</v>
      </c>
      <c r="Z26" s="25" t="s">
        <v>221</v>
      </c>
      <c r="AA26" s="26" t="s">
        <v>222</v>
      </c>
      <c r="AB26" s="25" t="s">
        <v>861</v>
      </c>
      <c r="AC26" s="26" t="s">
        <v>862</v>
      </c>
      <c r="AD26" s="25" t="s">
        <v>863</v>
      </c>
      <c r="AE26" s="43" t="s">
        <v>864</v>
      </c>
      <c r="AF26" s="27"/>
    </row>
    <row r="27" spans="2:32" ht="30">
      <c r="B27" s="46">
        <v>23</v>
      </c>
      <c r="C27" s="345" t="s">
        <v>767</v>
      </c>
      <c r="D27" s="340" t="str" cm="1">
        <f t="array" ref="D27" xml:space="preserve"> IFERROR( INDEX($P$5:$AF$54, $I27, D$1), "")</f>
        <v>ㄠ</v>
      </c>
      <c r="E27" s="340" t="str" cm="1">
        <f t="array" ref="E27" xml:space="preserve"> IFERROR( INDEX($P$5:$AF$54, $I27, E$1), "")</f>
        <v>ㄠㆷ</v>
      </c>
      <c r="F27" s="340" t="str" cm="1">
        <f t="array" ref="F27" xml:space="preserve"> IFERROR( INDEX($P$5:$AF$54, $I27, F$1), "")</f>
        <v>au</v>
      </c>
      <c r="G27" s="340" t="str" cm="1">
        <f t="array" ref="G27" xml:space="preserve"> IFERROR( INDEX($P$5:$AF$54, $I27, G$1), "")</f>
        <v>auh</v>
      </c>
      <c r="H27" s="24" t="s">
        <v>177</v>
      </c>
      <c r="I27" s="25">
        <f t="shared" si="0"/>
        <v>23</v>
      </c>
      <c r="J27" s="352"/>
      <c r="K27" s="352">
        <f t="shared" si="2"/>
        <v>23</v>
      </c>
      <c r="L27" s="356" t="str">
        <f t="shared" si="1"/>
        <v/>
      </c>
      <c r="M27" s="24" t="str" cm="1">
        <f t="array" ref="M27">IF($K27=0, INDEX($AB$5:$AB$54,$P27,1), "")</f>
        <v/>
      </c>
      <c r="N27" s="24" t="str" cm="1">
        <f t="array" ref="N27">IF($K27=0, INDEX($X$5:$X$54,$P27,1), "")</f>
        <v/>
      </c>
      <c r="P27" s="46">
        <v>23</v>
      </c>
      <c r="Q27" s="356" t="s">
        <v>177</v>
      </c>
      <c r="R27" s="25" t="s">
        <v>178</v>
      </c>
      <c r="S27" s="26" t="s">
        <v>179</v>
      </c>
      <c r="T27" s="25" t="s">
        <v>874</v>
      </c>
      <c r="U27" s="26" t="s">
        <v>867</v>
      </c>
      <c r="V27" s="148" t="s">
        <v>178</v>
      </c>
      <c r="W27" s="26" t="s">
        <v>179</v>
      </c>
      <c r="X27" s="25" t="s">
        <v>178</v>
      </c>
      <c r="Y27" s="26" t="s">
        <v>179</v>
      </c>
      <c r="Z27" s="25" t="s">
        <v>868</v>
      </c>
      <c r="AA27" s="26" t="s">
        <v>869</v>
      </c>
      <c r="AB27" s="25" t="s">
        <v>870</v>
      </c>
      <c r="AC27" s="26" t="s">
        <v>871</v>
      </c>
      <c r="AD27" s="25" t="s">
        <v>872</v>
      </c>
      <c r="AE27" s="43" t="s">
        <v>873</v>
      </c>
      <c r="AF27" s="38" t="s">
        <v>874</v>
      </c>
    </row>
    <row r="28" spans="2:32" ht="30">
      <c r="B28" s="46">
        <v>24</v>
      </c>
      <c r="C28" s="345" t="s">
        <v>1403</v>
      </c>
      <c r="D28" s="340" t="str" cm="1">
        <f t="array" ref="D28" xml:space="preserve"> IFERROR( INDEX($P$5:$AF$54, $I28, D$1), "")</f>
        <v>ㄧㄚ</v>
      </c>
      <c r="E28" s="340" t="str" cm="1">
        <f t="array" ref="E28" xml:space="preserve"> IFERROR( INDEX($P$5:$AF$54, $I28, E$1), "")</f>
        <v>ㄧㄚㆷ</v>
      </c>
      <c r="F28" s="340" t="str" cm="1">
        <f t="array" ref="F28" xml:space="preserve"> IFERROR( INDEX($P$5:$AF$54, $I28, F$1), "")</f>
        <v>ia</v>
      </c>
      <c r="G28" s="340" t="str" cm="1">
        <f t="array" ref="G28" xml:space="preserve"> IFERROR( INDEX($P$5:$AF$54, $I28, G$1), "")</f>
        <v>iah</v>
      </c>
      <c r="H28" s="24" t="s">
        <v>211</v>
      </c>
      <c r="I28" s="25">
        <f t="shared" si="0"/>
        <v>24</v>
      </c>
      <c r="J28" s="352"/>
      <c r="K28" s="352">
        <f t="shared" si="2"/>
        <v>24</v>
      </c>
      <c r="L28" s="356" t="str">
        <f t="shared" si="1"/>
        <v/>
      </c>
      <c r="M28" s="24" t="str" cm="1">
        <f t="array" ref="M28">IF($K28=0, INDEX($AB$5:$AB$54,$P28,1), "")</f>
        <v/>
      </c>
      <c r="N28" s="24" t="str" cm="1">
        <f t="array" ref="N28">IF($K28=0, INDEX($X$5:$X$54,$P28,1), "")</f>
        <v/>
      </c>
      <c r="P28" s="46">
        <v>24</v>
      </c>
      <c r="Q28" s="356" t="s">
        <v>211</v>
      </c>
      <c r="R28" s="25" t="s">
        <v>212</v>
      </c>
      <c r="S28" s="26" t="s">
        <v>213</v>
      </c>
      <c r="T28" s="25" t="s">
        <v>212</v>
      </c>
      <c r="U28" s="26" t="s">
        <v>877</v>
      </c>
      <c r="V28" s="148" t="s">
        <v>212</v>
      </c>
      <c r="W28" s="26" t="s">
        <v>213</v>
      </c>
      <c r="X28" s="25" t="s">
        <v>212</v>
      </c>
      <c r="Y28" s="26" t="s">
        <v>213</v>
      </c>
      <c r="Z28" s="25" t="s">
        <v>212</v>
      </c>
      <c r="AA28" s="26" t="s">
        <v>213</v>
      </c>
      <c r="AB28" s="25" t="s">
        <v>878</v>
      </c>
      <c r="AC28" s="26" t="s">
        <v>879</v>
      </c>
      <c r="AD28" s="25" t="s">
        <v>880</v>
      </c>
      <c r="AE28" s="43" t="s">
        <v>881</v>
      </c>
      <c r="AF28" s="32" t="s">
        <v>882</v>
      </c>
    </row>
    <row r="29" spans="2:32" ht="32.25">
      <c r="B29" s="46">
        <v>25</v>
      </c>
      <c r="C29" s="345" t="s">
        <v>1409</v>
      </c>
      <c r="D29" s="340" t="str" cm="1">
        <f t="array" ref="D29" xml:space="preserve"> IFERROR( INDEX($P$5:$AF$54, $I29, D$1), "")</f>
        <v>ㄨㆤ</v>
      </c>
      <c r="E29" s="340" t="str" cm="1">
        <f t="array" ref="E29" xml:space="preserve"> IFERROR( INDEX($P$5:$AF$54, $I29, E$1), "")</f>
        <v>ㄨㆤㆷ</v>
      </c>
      <c r="F29" s="340" t="str" cm="1">
        <f t="array" ref="F29" xml:space="preserve"> IFERROR( INDEX($P$5:$AF$54, $I29, F$1), "")</f>
        <v>ue</v>
      </c>
      <c r="G29" s="340" t="str" cm="1">
        <f t="array" ref="G29" xml:space="preserve"> IFERROR( INDEX($P$5:$AF$54, $I29, G$1), "")</f>
        <v>ueh</v>
      </c>
      <c r="H29" s="24" t="s">
        <v>238</v>
      </c>
      <c r="I29" s="25">
        <f t="shared" si="0"/>
        <v>25</v>
      </c>
      <c r="J29" s="352"/>
      <c r="K29" s="352">
        <f t="shared" si="2"/>
        <v>25</v>
      </c>
      <c r="L29" s="356" t="str">
        <f t="shared" si="1"/>
        <v/>
      </c>
      <c r="M29" s="24" t="str" cm="1">
        <f t="array" ref="M29">IF($K29=0, INDEX($AB$5:$AB$54,$P29,1), "")</f>
        <v/>
      </c>
      <c r="N29" s="24" t="str" cm="1">
        <f t="array" ref="N29">IF($K29=0, INDEX($X$5:$X$54,$P29,1), "")</f>
        <v/>
      </c>
      <c r="P29" s="46">
        <v>25</v>
      </c>
      <c r="Q29" s="356" t="s">
        <v>238</v>
      </c>
      <c r="R29" s="25" t="s">
        <v>239</v>
      </c>
      <c r="S29" s="39" t="s">
        <v>240</v>
      </c>
      <c r="T29" s="30" t="s">
        <v>239</v>
      </c>
      <c r="U29" s="39" t="s">
        <v>885</v>
      </c>
      <c r="V29" s="149" t="s">
        <v>323</v>
      </c>
      <c r="W29" s="39" t="s">
        <v>324</v>
      </c>
      <c r="X29" s="30" t="s">
        <v>239</v>
      </c>
      <c r="Y29" s="39" t="s">
        <v>240</v>
      </c>
      <c r="Z29" s="30" t="s">
        <v>239</v>
      </c>
      <c r="AA29" s="39" t="s">
        <v>240</v>
      </c>
      <c r="AB29" s="245" t="s">
        <v>886</v>
      </c>
      <c r="AC29" s="246" t="s">
        <v>887</v>
      </c>
      <c r="AD29" s="30" t="s">
        <v>888</v>
      </c>
      <c r="AE29" s="44" t="s">
        <v>889</v>
      </c>
      <c r="AF29" s="27"/>
    </row>
    <row r="30" spans="2:32" ht="30">
      <c r="B30" s="46">
        <v>26</v>
      </c>
      <c r="C30" s="345" t="s">
        <v>1410</v>
      </c>
      <c r="D30" s="340" t="str" cm="1">
        <f t="array" ref="D30" xml:space="preserve"> IFERROR( INDEX($P$5:$AF$54, $I30, D$1), "")</f>
        <v>ㄚ</v>
      </c>
      <c r="E30" s="340" t="str" cm="1">
        <f t="array" ref="E30" xml:space="preserve"> IFERROR( INDEX($P$5:$AF$54, $I30, E$1), "")</f>
        <v>ㄚㆷ</v>
      </c>
      <c r="F30" s="340" t="str" cm="1">
        <f t="array" ref="F30" xml:space="preserve"> IFERROR( INDEX($P$5:$AF$54, $I30, F$1), "")</f>
        <v>a</v>
      </c>
      <c r="G30" s="340" t="str" cm="1">
        <f t="array" ref="G30" xml:space="preserve"> IFERROR( INDEX($P$5:$AF$54, $I30, G$1), "")</f>
        <v>ah</v>
      </c>
      <c r="H30" s="24" t="s">
        <v>138</v>
      </c>
      <c r="I30" s="25">
        <f t="shared" si="0"/>
        <v>28</v>
      </c>
      <c r="J30" s="352"/>
      <c r="K30" s="352">
        <f t="shared" si="2"/>
        <v>39</v>
      </c>
      <c r="L30" s="356" t="str">
        <f t="shared" si="1"/>
        <v/>
      </c>
      <c r="M30" s="24" t="str" cm="1">
        <f t="array" ref="M30">IF($K30=0, INDEX($AB$5:$AB$54,$P30,1), "")</f>
        <v/>
      </c>
      <c r="N30" s="24" t="str" cm="1">
        <f t="array" ref="N30">IF($K30=0, INDEX($X$5:$X$54,$P30,1), "")</f>
        <v/>
      </c>
      <c r="P30" s="46">
        <v>26</v>
      </c>
      <c r="Q30" s="356" t="s">
        <v>144</v>
      </c>
      <c r="R30" s="25" t="s">
        <v>145</v>
      </c>
      <c r="S30" s="39" t="s">
        <v>146</v>
      </c>
      <c r="T30" s="25" t="s">
        <v>892</v>
      </c>
      <c r="U30" s="26" t="s">
        <v>893</v>
      </c>
      <c r="V30" s="148" t="s">
        <v>296</v>
      </c>
      <c r="W30" s="26" t="s">
        <v>894</v>
      </c>
      <c r="X30" s="25" t="s">
        <v>145</v>
      </c>
      <c r="Y30" s="26" t="s">
        <v>146</v>
      </c>
      <c r="Z30" s="25" t="s">
        <v>538</v>
      </c>
      <c r="AA30" s="26" t="s">
        <v>895</v>
      </c>
      <c r="AB30" s="25" t="s">
        <v>896</v>
      </c>
      <c r="AC30" s="26" t="s">
        <v>897</v>
      </c>
      <c r="AD30" s="25" t="s">
        <v>898</v>
      </c>
      <c r="AE30" s="43" t="s">
        <v>899</v>
      </c>
      <c r="AF30" s="27" t="s">
        <v>900</v>
      </c>
    </row>
    <row r="31" spans="2:32" ht="30">
      <c r="B31" s="46">
        <v>27</v>
      </c>
      <c r="C31" s="345" t="s">
        <v>1411</v>
      </c>
      <c r="D31" s="340" t="str" cm="1">
        <f t="array" ref="D31" xml:space="preserve"> IFERROR( INDEX($P$5:$AF$54, $I31, D$1), "")</f>
        <v>ㄨ</v>
      </c>
      <c r="E31" s="340" t="str" cm="1">
        <f t="array" ref="E31" xml:space="preserve"> IFERROR( INDEX($P$5:$AF$54, $I31, E$1), "")</f>
        <v>ㄨㆷ</v>
      </c>
      <c r="F31" s="340" t="str" cm="1">
        <f t="array" ref="F31" xml:space="preserve"> IFERROR( INDEX($P$5:$AF$54, $I31, F$1), "")</f>
        <v>u</v>
      </c>
      <c r="G31" s="340" t="str" cm="1">
        <f t="array" ref="G31" xml:space="preserve"> IFERROR( INDEX($P$5:$AF$54, $I31, G$1), "")</f>
        <v>uh</v>
      </c>
      <c r="H31" s="24" t="s">
        <v>275</v>
      </c>
      <c r="I31" s="25">
        <f t="shared" si="0"/>
        <v>27</v>
      </c>
      <c r="J31" s="352"/>
      <c r="K31" s="352">
        <f t="shared" si="2"/>
        <v>27</v>
      </c>
      <c r="L31" s="356" t="str">
        <f t="shared" si="1"/>
        <v/>
      </c>
      <c r="M31" s="24" t="str" cm="1">
        <f t="array" ref="M31">IF($K31=0, INDEX($AB$5:$AB$54,$P31,1), "")</f>
        <v/>
      </c>
      <c r="N31" s="24" t="str" cm="1">
        <f t="array" ref="N31">IF($K31=0, INDEX($X$5:$X$54,$P31,1), "")</f>
        <v/>
      </c>
      <c r="P31" s="46">
        <v>27</v>
      </c>
      <c r="Q31" s="356" t="s">
        <v>275</v>
      </c>
      <c r="R31" s="25" t="s">
        <v>245</v>
      </c>
      <c r="S31" s="26" t="s">
        <v>246</v>
      </c>
      <c r="T31" s="25" t="s">
        <v>245</v>
      </c>
      <c r="U31" s="26" t="s">
        <v>903</v>
      </c>
      <c r="V31" s="148" t="s">
        <v>245</v>
      </c>
      <c r="W31" s="26" t="s">
        <v>246</v>
      </c>
      <c r="X31" s="25" t="s">
        <v>245</v>
      </c>
      <c r="Y31" s="26" t="s">
        <v>246</v>
      </c>
      <c r="Z31" s="25" t="s">
        <v>245</v>
      </c>
      <c r="AA31" s="26" t="s">
        <v>246</v>
      </c>
      <c r="AB31" s="25" t="s">
        <v>904</v>
      </c>
      <c r="AC31" s="26" t="s">
        <v>905</v>
      </c>
      <c r="AD31" s="25" t="s">
        <v>191</v>
      </c>
      <c r="AE31" s="43" t="s">
        <v>906</v>
      </c>
      <c r="AF31" s="32" t="s">
        <v>907</v>
      </c>
    </row>
    <row r="32" spans="2:32" ht="32.25">
      <c r="B32" s="46">
        <v>28</v>
      </c>
      <c r="C32" s="345" t="s">
        <v>1412</v>
      </c>
      <c r="D32" s="340" t="str" cm="1">
        <f t="array" ref="D32" xml:space="preserve"> IFERROR( INDEX($P$5:$AF$54, $I32, D$1), "")</f>
        <v>ㆱ</v>
      </c>
      <c r="E32" s="340" t="str" cm="1">
        <f t="array" ref="E32" xml:space="preserve"> IFERROR( INDEX($P$5:$AF$54, $I32, E$1), "")</f>
        <v>ㆦㆴ</v>
      </c>
      <c r="F32" s="340" t="str" cm="1">
        <f t="array" ref="F32" xml:space="preserve"> IFERROR( INDEX($P$5:$AF$54, $I32, F$1), "")</f>
        <v>om</v>
      </c>
      <c r="G32" s="340" t="str" cm="1">
        <f t="array" ref="G32" xml:space="preserve"> IFERROR( INDEX($P$5:$AF$54, $I32, G$1), "")</f>
        <v>op</v>
      </c>
      <c r="H32" s="344" t="s">
        <v>1413</v>
      </c>
      <c r="I32" s="25">
        <f t="shared" si="0"/>
        <v>47</v>
      </c>
      <c r="J32" s="352"/>
      <c r="K32" s="352">
        <f t="shared" si="2"/>
        <v>26</v>
      </c>
      <c r="L32" s="356" t="str">
        <f t="shared" si="1"/>
        <v/>
      </c>
      <c r="M32" s="24" t="str" cm="1">
        <f t="array" ref="M32">IF($K32=0, INDEX($AB$5:$AB$54,$P32,1), "")</f>
        <v/>
      </c>
      <c r="N32" s="24" t="str" cm="1">
        <f t="array" ref="N32">IF($K32=0, INDEX($X$5:$X$54,$P32,1), "")</f>
        <v/>
      </c>
      <c r="P32" s="46">
        <v>28</v>
      </c>
      <c r="Q32" s="356" t="s">
        <v>138</v>
      </c>
      <c r="R32" s="25" t="s">
        <v>139</v>
      </c>
      <c r="S32" s="26" t="s">
        <v>140</v>
      </c>
      <c r="T32" s="25" t="s">
        <v>139</v>
      </c>
      <c r="U32" s="26" t="s">
        <v>910</v>
      </c>
      <c r="V32" s="148" t="s">
        <v>139</v>
      </c>
      <c r="W32" s="26" t="s">
        <v>140</v>
      </c>
      <c r="X32" s="25" t="s">
        <v>139</v>
      </c>
      <c r="Y32" s="26" t="s">
        <v>140</v>
      </c>
      <c r="Z32" s="25" t="s">
        <v>139</v>
      </c>
      <c r="AA32" s="26" t="s">
        <v>140</v>
      </c>
      <c r="AB32" s="25" t="s">
        <v>911</v>
      </c>
      <c r="AC32" s="26" t="s">
        <v>912</v>
      </c>
      <c r="AD32" s="25" t="s">
        <v>139</v>
      </c>
      <c r="AE32" s="43" t="s">
        <v>913</v>
      </c>
      <c r="AF32" s="27"/>
    </row>
    <row r="33" spans="2:32" ht="30">
      <c r="B33" s="46">
        <v>29</v>
      </c>
      <c r="C33" s="345" t="s">
        <v>1414</v>
      </c>
      <c r="D33" s="340" t="str" cm="1">
        <f t="array" ref="D33" xml:space="preserve"> IFERROR( INDEX($P$5:$AF$54, $I33, D$1), "")</f>
        <v>ㄧ</v>
      </c>
      <c r="E33" s="340" t="str" cm="1">
        <f t="array" ref="E33" xml:space="preserve"> IFERROR( INDEX($P$5:$AF$54, $I33, E$1), "")</f>
        <v>ㄧㆷ</v>
      </c>
      <c r="F33" s="340" t="str" cm="1">
        <f t="array" ref="F33" xml:space="preserve"> IFERROR( INDEX($P$5:$AF$54, $I33, F$1), "")</f>
        <v>i</v>
      </c>
      <c r="G33" s="340" t="str" cm="1">
        <f t="array" ref="G33" xml:space="preserve"> IFERROR( INDEX($P$5:$AF$54, $I33, G$1), "")</f>
        <v>ih</v>
      </c>
      <c r="H33" s="24" t="s">
        <v>199</v>
      </c>
      <c r="I33" s="25">
        <f t="shared" si="0"/>
        <v>29</v>
      </c>
      <c r="J33" s="352"/>
      <c r="K33" s="352">
        <f t="shared" si="2"/>
        <v>29</v>
      </c>
      <c r="L33" s="356" t="str">
        <f t="shared" si="1"/>
        <v/>
      </c>
      <c r="M33" s="24" t="str" cm="1">
        <f t="array" ref="M33">IF($K33=0, INDEX($AB$5:$AB$54,$P33,1), "")</f>
        <v/>
      </c>
      <c r="N33" s="24" t="str" cm="1">
        <f t="array" ref="N33">IF($K33=0, INDEX($X$5:$X$54,$P33,1), "")</f>
        <v/>
      </c>
      <c r="P33" s="46">
        <v>29</v>
      </c>
      <c r="Q33" s="356" t="s">
        <v>199</v>
      </c>
      <c r="R33" s="25" t="s">
        <v>200</v>
      </c>
      <c r="S33" s="26" t="s">
        <v>201</v>
      </c>
      <c r="T33" s="25" t="s">
        <v>200</v>
      </c>
      <c r="U33" s="26" t="s">
        <v>916</v>
      </c>
      <c r="V33" s="148" t="s">
        <v>200</v>
      </c>
      <c r="W33" s="26" t="s">
        <v>201</v>
      </c>
      <c r="X33" s="25" t="s">
        <v>200</v>
      </c>
      <c r="Y33" s="26" t="s">
        <v>201</v>
      </c>
      <c r="Z33" s="25" t="s">
        <v>200</v>
      </c>
      <c r="AA33" s="26" t="s">
        <v>201</v>
      </c>
      <c r="AB33" s="25" t="s">
        <v>917</v>
      </c>
      <c r="AC33" s="26" t="s">
        <v>918</v>
      </c>
      <c r="AD33" s="25" t="s">
        <v>160</v>
      </c>
      <c r="AE33" s="43" t="s">
        <v>919</v>
      </c>
      <c r="AF33" s="27"/>
    </row>
    <row r="34" spans="2:32" ht="30">
      <c r="B34" s="46">
        <v>30</v>
      </c>
      <c r="C34" s="345" t="s">
        <v>241</v>
      </c>
      <c r="D34" s="340" t="str" cm="1">
        <f t="array" ref="D34" xml:space="preserve"> IFERROR( INDEX($P$5:$AF$54, $I34, D$1), "")</f>
        <v>ㄧㄨ</v>
      </c>
      <c r="E34" s="340" t="str" cm="1">
        <f t="array" ref="E34" xml:space="preserve"> IFERROR( INDEX($P$5:$AF$54, $I34, E$1), "")</f>
        <v>ㄧㄨㆷ</v>
      </c>
      <c r="F34" s="340" t="str" cm="1">
        <f t="array" ref="F34" xml:space="preserve"> IFERROR( INDEX($P$5:$AF$54, $I34, F$1), "")</f>
        <v>iu</v>
      </c>
      <c r="G34" s="340" t="str" cm="1">
        <f t="array" ref="G34" xml:space="preserve"> IFERROR( INDEX($P$5:$AF$54, $I34, G$1), "")</f>
        <v>iuh</v>
      </c>
      <c r="H34" s="24" t="s">
        <v>241</v>
      </c>
      <c r="I34" s="25">
        <f t="shared" si="0"/>
        <v>30</v>
      </c>
      <c r="J34" s="352"/>
      <c r="K34" s="352">
        <f t="shared" si="2"/>
        <v>30</v>
      </c>
      <c r="L34" s="356" t="str">
        <f t="shared" si="1"/>
        <v/>
      </c>
      <c r="M34" s="24" t="str" cm="1">
        <f t="array" ref="M34">IF($K34=0, INDEX($AB$5:$AB$54,$P34,1), "")</f>
        <v/>
      </c>
      <c r="N34" s="24" t="str" cm="1">
        <f t="array" ref="N34">IF($K34=0, INDEX($X$5:$X$54,$P34,1), "")</f>
        <v/>
      </c>
      <c r="P34" s="46">
        <v>30</v>
      </c>
      <c r="Q34" s="356" t="s">
        <v>241</v>
      </c>
      <c r="R34" s="25" t="s">
        <v>242</v>
      </c>
      <c r="S34" s="29" t="s">
        <v>243</v>
      </c>
      <c r="T34" s="25" t="s">
        <v>242</v>
      </c>
      <c r="U34" s="29" t="s">
        <v>921</v>
      </c>
      <c r="V34" s="151" t="s">
        <v>242</v>
      </c>
      <c r="W34" s="29" t="s">
        <v>922</v>
      </c>
      <c r="X34" s="25" t="s">
        <v>242</v>
      </c>
      <c r="Y34" s="29" t="s">
        <v>243</v>
      </c>
      <c r="Z34" s="25" t="s">
        <v>242</v>
      </c>
      <c r="AA34" s="29" t="s">
        <v>922</v>
      </c>
      <c r="AB34" s="25" t="s">
        <v>923</v>
      </c>
      <c r="AC34" s="29" t="s">
        <v>924</v>
      </c>
      <c r="AD34" s="25" t="s">
        <v>925</v>
      </c>
      <c r="AE34" s="29"/>
      <c r="AF34" s="27"/>
    </row>
    <row r="35" spans="2:32" ht="32.25">
      <c r="B35" s="46">
        <v>31</v>
      </c>
      <c r="C35" s="348" t="s">
        <v>1415</v>
      </c>
      <c r="D35" s="340" t="str" cm="1">
        <f t="array" ref="D35" xml:space="preserve"> IFERROR( INDEX($P$5:$AF$54, $I35, D$1), "")</f>
        <v>ㄧㆩ</v>
      </c>
      <c r="E35" s="340" t="str" cm="1">
        <f t="array" ref="E35" xml:space="preserve"> IFERROR( INDEX($P$5:$AF$54, $I35, E$1), "")</f>
        <v>ㄧㆩㆷ</v>
      </c>
      <c r="F35" s="340" t="str" cm="1">
        <f t="array" ref="F35" xml:space="preserve"> IFERROR( INDEX($P$5:$AF$54, $I35, F$1), "")</f>
        <v>iann</v>
      </c>
      <c r="G35" s="340" t="str" cm="1">
        <f t="array" ref="G35" xml:space="preserve"> IFERROR( INDEX($P$5:$AF$54, $I35, G$1), "")</f>
        <v>iannh</v>
      </c>
      <c r="H35" s="344" t="s">
        <v>822</v>
      </c>
      <c r="I35" s="25">
        <f t="shared" si="0"/>
        <v>36</v>
      </c>
      <c r="J35" s="352"/>
      <c r="K35" s="352">
        <f t="shared" si="2"/>
        <v>41</v>
      </c>
      <c r="L35" s="356" t="str">
        <f t="shared" si="1"/>
        <v/>
      </c>
      <c r="M35" s="24" t="str" cm="1">
        <f t="array" ref="M35">IF($K35=0, INDEX($AB$5:$AB$54,$P35,1), "")</f>
        <v/>
      </c>
      <c r="N35" s="24" t="str" cm="1">
        <f t="array" ref="N35">IF($K35=0, INDEX($X$5:$X$54,$P35,1), "")</f>
        <v/>
      </c>
      <c r="P35" s="46">
        <v>31</v>
      </c>
      <c r="Q35" s="356" t="s">
        <v>193</v>
      </c>
      <c r="R35" s="25" t="s">
        <v>194</v>
      </c>
      <c r="S35" s="39" t="s">
        <v>195</v>
      </c>
      <c r="T35" s="25" t="s">
        <v>1416</v>
      </c>
      <c r="U35" s="26" t="s">
        <v>1417</v>
      </c>
      <c r="V35" s="148" t="s">
        <v>301</v>
      </c>
      <c r="W35" s="26" t="s">
        <v>929</v>
      </c>
      <c r="X35" s="25" t="s">
        <v>194</v>
      </c>
      <c r="Y35" s="26" t="s">
        <v>195</v>
      </c>
      <c r="Z35" s="25" t="s">
        <v>930</v>
      </c>
      <c r="AA35" s="26" t="s">
        <v>931</v>
      </c>
      <c r="AB35" s="25" t="s">
        <v>932</v>
      </c>
      <c r="AC35" s="26" t="s">
        <v>933</v>
      </c>
      <c r="AD35" s="25" t="s">
        <v>934</v>
      </c>
      <c r="AE35" s="43" t="s">
        <v>935</v>
      </c>
      <c r="AF35" s="32" t="s">
        <v>936</v>
      </c>
    </row>
    <row r="36" spans="2:32" ht="30">
      <c r="B36" s="46">
        <v>32</v>
      </c>
      <c r="C36" s="346" t="s">
        <v>1418</v>
      </c>
      <c r="D36" s="340" t="str" cm="1">
        <f t="array" ref="D36" xml:space="preserve"> IFERROR( INDEX($P$5:$AF$54, $I36, D$1), "")</f>
        <v>ㄨㆩ</v>
      </c>
      <c r="E36" s="340" t="str" cm="1">
        <f t="array" ref="E36" xml:space="preserve"> IFERROR( INDEX($P$5:$AF$54, $I36, E$1), "")</f>
        <v>ㄨㆩㆷ</v>
      </c>
      <c r="F36" s="340" t="str" cm="1">
        <f t="array" ref="F36" xml:space="preserve"> IFERROR( INDEX($P$5:$AF$54, $I36, F$1), "")</f>
        <v>uann</v>
      </c>
      <c r="G36" s="340" t="str" cm="1">
        <f t="array" ref="G36" xml:space="preserve"> IFERROR( INDEX($P$5:$AF$54, $I36, G$1), "")</f>
        <v>uannh</v>
      </c>
      <c r="H36" s="24" t="s">
        <v>264</v>
      </c>
      <c r="I36" s="25">
        <f t="shared" si="0"/>
        <v>37</v>
      </c>
      <c r="J36" s="352"/>
      <c r="K36" s="352">
        <f t="shared" si="2"/>
        <v>0</v>
      </c>
      <c r="L36" s="356" t="str">
        <f t="shared" si="1"/>
        <v>褌</v>
      </c>
      <c r="M36" s="24" t="str" cm="1">
        <f t="array" ref="M36">IF($K36=0, INDEX($AB$5:$AB$54,$P36,1), "")</f>
        <v>ㄨㆪ</v>
      </c>
      <c r="N36" s="24" t="str" cm="1">
        <f t="array" ref="N36">IF($K36=0, INDEX($X$5:$X$54,$P36,1), "")</f>
        <v>uinn</v>
      </c>
      <c r="P36" s="46">
        <v>32</v>
      </c>
      <c r="Q36" s="357" t="s">
        <v>253</v>
      </c>
      <c r="R36" s="25" t="s">
        <v>278</v>
      </c>
      <c r="S36" s="29" t="s">
        <v>279</v>
      </c>
      <c r="T36" s="30" t="s">
        <v>1419</v>
      </c>
      <c r="U36" s="29" t="s">
        <v>1420</v>
      </c>
      <c r="V36" s="151" t="s">
        <v>941</v>
      </c>
      <c r="W36" s="29" t="s">
        <v>942</v>
      </c>
      <c r="X36" s="30" t="s">
        <v>278</v>
      </c>
      <c r="Y36" s="29" t="s">
        <v>279</v>
      </c>
      <c r="Z36" s="30" t="s">
        <v>943</v>
      </c>
      <c r="AA36" s="29" t="s">
        <v>944</v>
      </c>
      <c r="AB36" s="30" t="s">
        <v>945</v>
      </c>
      <c r="AC36" s="29" t="s">
        <v>946</v>
      </c>
      <c r="AD36" s="30" t="s">
        <v>947</v>
      </c>
      <c r="AE36" s="29"/>
      <c r="AF36" s="32" t="s">
        <v>948</v>
      </c>
    </row>
    <row r="37" spans="2:32" ht="32.25">
      <c r="B37" s="46">
        <v>33</v>
      </c>
      <c r="C37" s="348" t="s">
        <v>1421</v>
      </c>
      <c r="D37" s="340" t="str" cm="1">
        <f t="array" ref="D37" xml:space="preserve"> IFERROR( INDEX($P$5:$AF$54, $I37, D$1), "")</f>
        <v>ㆪ</v>
      </c>
      <c r="E37" s="340" t="str" cm="1">
        <f t="array" ref="E37" xml:space="preserve"> IFERROR( INDEX($P$5:$AF$54, $I37, E$1), "")</f>
        <v>ㆪ</v>
      </c>
      <c r="F37" s="340" t="str" cm="1">
        <f t="array" ref="F37" xml:space="preserve"> IFERROR( INDEX($P$5:$AF$54, $I37, F$1), "")</f>
        <v>inn</v>
      </c>
      <c r="G37" s="340" t="str" cm="1">
        <f t="array" ref="G37" xml:space="preserve"> IFERROR( INDEX($P$5:$AF$54, $I37, G$1), "")</f>
        <v>innh</v>
      </c>
      <c r="H37" s="344" t="s">
        <v>808</v>
      </c>
      <c r="I37" s="25">
        <f t="shared" si="0"/>
        <v>34</v>
      </c>
      <c r="J37" s="352"/>
      <c r="K37" s="352">
        <f t="shared" si="2"/>
        <v>0</v>
      </c>
      <c r="L37" s="356" t="str">
        <f t="shared" si="1"/>
        <v>茄</v>
      </c>
      <c r="M37" s="24" t="str" cm="1">
        <f t="array" ref="M37">IF($K37=0, INDEX($AB$5:$AB$54,$P37,1), "")</f>
        <v>ㄧㄜ</v>
      </c>
      <c r="N37" s="24" t="str" cm="1">
        <f t="array" ref="N37">IF($K37=0, INDEX($X$5:$X$54,$P37,1), "")</f>
        <v>io</v>
      </c>
      <c r="P37" s="46">
        <v>33</v>
      </c>
      <c r="Q37" s="356" t="s">
        <v>235</v>
      </c>
      <c r="R37" s="25" t="s">
        <v>236</v>
      </c>
      <c r="S37" s="26" t="s">
        <v>237</v>
      </c>
      <c r="T37" s="30" t="s">
        <v>236</v>
      </c>
      <c r="U37" s="26" t="s">
        <v>1422</v>
      </c>
      <c r="V37" s="148" t="s">
        <v>236</v>
      </c>
      <c r="W37" s="26" t="s">
        <v>237</v>
      </c>
      <c r="X37" s="25" t="s">
        <v>236</v>
      </c>
      <c r="Y37" s="26" t="s">
        <v>237</v>
      </c>
      <c r="Z37" s="25" t="s">
        <v>236</v>
      </c>
      <c r="AA37" s="26" t="s">
        <v>237</v>
      </c>
      <c r="AB37" s="25" t="s">
        <v>951</v>
      </c>
      <c r="AC37" s="26" t="s">
        <v>952</v>
      </c>
      <c r="AD37" s="25" t="s">
        <v>953</v>
      </c>
      <c r="AE37" s="43" t="s">
        <v>954</v>
      </c>
      <c r="AF37" s="27"/>
    </row>
    <row r="38" spans="2:32" ht="30">
      <c r="B38" s="46">
        <v>34</v>
      </c>
      <c r="C38" s="345" t="s">
        <v>1423</v>
      </c>
      <c r="D38" s="340" t="str" cm="1">
        <f t="array" ref="D38" xml:space="preserve"> IFERROR( INDEX($P$5:$AF$54, $I38, D$1), "")</f>
        <v>ㆭ</v>
      </c>
      <c r="E38" s="340" t="str" cm="1">
        <f t="array" ref="E38" xml:space="preserve"> IFERROR( INDEX($P$5:$AF$54, $I38, E$1), "")</f>
        <v>ㆭㆷ</v>
      </c>
      <c r="F38" s="340" t="str" cm="1">
        <f t="array" ref="F38" xml:space="preserve"> IFERROR( INDEX($P$5:$AF$54, $I38, F$1), "")</f>
        <v>ng</v>
      </c>
      <c r="G38" s="340" t="str" cm="1">
        <f t="array" ref="G38" xml:space="preserve"> IFERROR( INDEX($P$5:$AF$54, $I38, G$1), "")</f>
        <v>ngh</v>
      </c>
      <c r="H38" s="28" t="s">
        <v>260</v>
      </c>
      <c r="I38" s="25">
        <f t="shared" si="0"/>
        <v>38</v>
      </c>
      <c r="J38" s="352"/>
      <c r="K38" s="352">
        <f t="shared" si="2"/>
        <v>33</v>
      </c>
      <c r="L38" s="356" t="str">
        <f t="shared" si="1"/>
        <v/>
      </c>
      <c r="M38" s="24" t="str" cm="1">
        <f t="array" ref="M38">IF($K38=0, INDEX($AB$5:$AB$54,$P38,1), "")</f>
        <v/>
      </c>
      <c r="N38" s="24" t="str" cm="1">
        <f t="array" ref="N38">IF($K38=0, INDEX($X$5:$X$54,$P38,1), "")</f>
        <v/>
      </c>
      <c r="P38" s="46">
        <v>34</v>
      </c>
      <c r="Q38" s="356" t="s">
        <v>203</v>
      </c>
      <c r="R38" s="25" t="s">
        <v>204</v>
      </c>
      <c r="S38" s="26" t="s">
        <v>205</v>
      </c>
      <c r="T38" s="25" t="s">
        <v>957</v>
      </c>
      <c r="U38" s="26" t="s">
        <v>958</v>
      </c>
      <c r="V38" s="148" t="s">
        <v>306</v>
      </c>
      <c r="W38" s="26" t="s">
        <v>959</v>
      </c>
      <c r="X38" s="25" t="s">
        <v>204</v>
      </c>
      <c r="Y38" s="26" t="s">
        <v>205</v>
      </c>
      <c r="Z38" s="25" t="s">
        <v>960</v>
      </c>
      <c r="AA38" s="26" t="s">
        <v>961</v>
      </c>
      <c r="AB38" s="25" t="s">
        <v>962</v>
      </c>
      <c r="AC38" s="26" t="s">
        <v>962</v>
      </c>
      <c r="AD38" s="25" t="s">
        <v>963</v>
      </c>
      <c r="AE38" s="43" t="s">
        <v>964</v>
      </c>
      <c r="AF38" s="27"/>
    </row>
    <row r="39" spans="2:32" ht="32.25">
      <c r="B39" s="46">
        <v>35</v>
      </c>
      <c r="C39" s="345" t="s">
        <v>1424</v>
      </c>
      <c r="D39" s="340" t="str" cm="1">
        <f t="array" ref="D39" xml:space="preserve"> IFERROR( INDEX($P$5:$AF$54, $I39, D$1), "")</f>
        <v>ㆮ</v>
      </c>
      <c r="E39" s="340" t="str" cm="1">
        <f t="array" ref="E39" xml:space="preserve"> IFERROR( INDEX($P$5:$AF$54, $I39, E$1), "")</f>
        <v>ㆮㆷ</v>
      </c>
      <c r="F39" s="340" t="str" cm="1">
        <f t="array" ref="F39" xml:space="preserve"> IFERROR( INDEX($P$5:$AF$54, $I39, F$1), "")</f>
        <v>ainn</v>
      </c>
      <c r="G39" s="340" t="str" cm="1">
        <f t="array" ref="G39" xml:space="preserve"> IFERROR( INDEX($P$5:$AF$54, $I39, G$1), "")</f>
        <v>ainnh</v>
      </c>
      <c r="H39" s="24" t="s">
        <v>732</v>
      </c>
      <c r="I39" s="25">
        <f t="shared" si="0"/>
        <v>40</v>
      </c>
      <c r="J39" s="352"/>
      <c r="K39" s="352">
        <f t="shared" si="2"/>
        <v>37</v>
      </c>
      <c r="L39" s="356" t="str">
        <f t="shared" si="1"/>
        <v/>
      </c>
      <c r="M39" s="24" t="str" cm="1">
        <f t="array" ref="M39">IF($K39=0, INDEX($AB$5:$AB$54,$P39,1), "")</f>
        <v/>
      </c>
      <c r="N39" s="24" t="str" cm="1">
        <f t="array" ref="N39">IF($K39=0, INDEX($X$5:$X$54,$P39,1), "")</f>
        <v/>
      </c>
      <c r="P39" s="46">
        <v>35</v>
      </c>
      <c r="Q39" s="359" t="s">
        <v>914</v>
      </c>
      <c r="R39" s="25" t="s">
        <v>250</v>
      </c>
      <c r="S39" s="29" t="s">
        <v>300</v>
      </c>
      <c r="T39" s="42" t="s">
        <v>1425</v>
      </c>
      <c r="U39" s="29" t="s">
        <v>1426</v>
      </c>
      <c r="V39" s="151" t="s">
        <v>969</v>
      </c>
      <c r="W39" s="29" t="s">
        <v>970</v>
      </c>
      <c r="X39" s="25" t="s">
        <v>250</v>
      </c>
      <c r="Y39" s="29" t="s">
        <v>300</v>
      </c>
      <c r="Z39" s="25" t="s">
        <v>971</v>
      </c>
      <c r="AA39" s="29" t="s">
        <v>972</v>
      </c>
      <c r="AB39" s="25" t="s">
        <v>973</v>
      </c>
      <c r="AC39" s="29" t="s">
        <v>974</v>
      </c>
      <c r="AD39" s="25" t="s">
        <v>975</v>
      </c>
      <c r="AE39" s="29"/>
      <c r="AF39" s="32" t="s">
        <v>976</v>
      </c>
    </row>
    <row r="40" spans="2:32" ht="30">
      <c r="B40" s="46">
        <v>36</v>
      </c>
      <c r="C40" s="345" t="s">
        <v>1427</v>
      </c>
      <c r="D40" s="340" t="str" cm="1">
        <f t="array" ref="D40" xml:space="preserve"> IFERROR( INDEX($P$5:$AF$54, $I40, D$1), "")</f>
        <v>ㄧㆫ</v>
      </c>
      <c r="E40" s="340" t="str" cm="1">
        <f t="array" ref="E40" xml:space="preserve"> IFERROR( INDEX($P$5:$AF$54, $I40, E$1), "")</f>
        <v>ㄧㆫㆷ</v>
      </c>
      <c r="F40" s="340" t="str" cm="1">
        <f t="array" ref="F40" xml:space="preserve"> IFERROR( INDEX($P$5:$AF$54, $I40, F$1), "")</f>
        <v>iunn</v>
      </c>
      <c r="G40" s="340" t="str" cm="1">
        <f t="array" ref="G40" xml:space="preserve"> IFERROR( INDEX($P$5:$AF$54, $I40, G$1), "")</f>
        <v>iunnh</v>
      </c>
      <c r="H40" s="24" t="s">
        <v>1428</v>
      </c>
      <c r="I40" s="25">
        <f t="shared" si="0"/>
        <v>50</v>
      </c>
      <c r="J40" s="352"/>
      <c r="K40" s="352">
        <f t="shared" si="2"/>
        <v>31</v>
      </c>
      <c r="L40" s="356" t="str">
        <f t="shared" si="1"/>
        <v/>
      </c>
      <c r="M40" s="24" t="str" cm="1">
        <f t="array" ref="M40">IF($K40=0, INDEX($AB$5:$AB$54,$P40,1), "")</f>
        <v/>
      </c>
      <c r="N40" s="24" t="str" cm="1">
        <f t="array" ref="N40">IF($K40=0, INDEX($X$5:$X$54,$P40,1), "")</f>
        <v/>
      </c>
      <c r="P40" s="46">
        <v>36</v>
      </c>
      <c r="Q40" s="356" t="s">
        <v>217</v>
      </c>
      <c r="R40" s="25" t="s">
        <v>218</v>
      </c>
      <c r="S40" s="110" t="s">
        <v>219</v>
      </c>
      <c r="T40" s="25" t="s">
        <v>1429</v>
      </c>
      <c r="U40" s="110" t="s">
        <v>1430</v>
      </c>
      <c r="V40" s="148" t="s">
        <v>307</v>
      </c>
      <c r="W40" s="110" t="s">
        <v>981</v>
      </c>
      <c r="X40" s="25" t="s">
        <v>218</v>
      </c>
      <c r="Y40" s="110" t="s">
        <v>219</v>
      </c>
      <c r="Z40" s="25" t="s">
        <v>982</v>
      </c>
      <c r="AA40" s="110" t="s">
        <v>983</v>
      </c>
      <c r="AB40" s="25" t="s">
        <v>984</v>
      </c>
      <c r="AC40" s="110" t="s">
        <v>985</v>
      </c>
      <c r="AD40" s="25" t="s">
        <v>986</v>
      </c>
      <c r="AE40" s="110"/>
      <c r="AF40" s="32" t="s">
        <v>987</v>
      </c>
    </row>
    <row r="41" spans="2:32" ht="32.25">
      <c r="B41" s="46">
        <v>37</v>
      </c>
      <c r="C41" s="345" t="s">
        <v>1431</v>
      </c>
      <c r="D41" s="340" t="str" cm="1">
        <f t="array" ref="D41" xml:space="preserve"> IFERROR( INDEX($P$5:$AF$54, $I41, D$1), "")</f>
        <v>ㄧㆧ</v>
      </c>
      <c r="E41" s="340" t="str" cm="1">
        <f t="array" ref="E41" xml:space="preserve"> IFERROR( INDEX($P$5:$AF$54, $I41, E$1), "")</f>
        <v>ㄧㆧㆷ</v>
      </c>
      <c r="F41" s="340" t="str" cm="1">
        <f t="array" ref="F41" xml:space="preserve"> IFERROR( INDEX($P$5:$AF$54, $I41, F$1), "")</f>
        <v>ionn</v>
      </c>
      <c r="G41" s="340" t="str" cm="1">
        <f t="array" ref="G41" xml:space="preserve"> IFERROR( INDEX($P$5:$AF$54, $I41, G$1), "")</f>
        <v>ionnh</v>
      </c>
      <c r="H41" s="344" t="s">
        <v>914</v>
      </c>
      <c r="I41" s="25">
        <f t="shared" si="0"/>
        <v>35</v>
      </c>
      <c r="J41" s="352"/>
      <c r="K41" s="352">
        <f t="shared" si="2"/>
        <v>32</v>
      </c>
      <c r="L41" s="356" t="str">
        <f t="shared" si="1"/>
        <v/>
      </c>
      <c r="M41" s="24" t="str" cm="1">
        <f t="array" ref="M41">IF($K41=0, INDEX($AB$5:$AB$54,$P41,1), "")</f>
        <v/>
      </c>
      <c r="N41" s="24" t="str" cm="1">
        <f t="array" ref="N41">IF($K41=0, INDEX($X$5:$X$54,$P41,1), "")</f>
        <v/>
      </c>
      <c r="P41" s="46">
        <v>37</v>
      </c>
      <c r="Q41" s="356" t="s">
        <v>264</v>
      </c>
      <c r="R41" s="25" t="s">
        <v>265</v>
      </c>
      <c r="S41" s="29" t="s">
        <v>266</v>
      </c>
      <c r="T41" s="25" t="s">
        <v>1432</v>
      </c>
      <c r="U41" s="29" t="s">
        <v>1433</v>
      </c>
      <c r="V41" s="151" t="s">
        <v>316</v>
      </c>
      <c r="W41" s="29" t="s">
        <v>992</v>
      </c>
      <c r="X41" s="25" t="s">
        <v>265</v>
      </c>
      <c r="Y41" s="29" t="s">
        <v>266</v>
      </c>
      <c r="Z41" s="25" t="s">
        <v>993</v>
      </c>
      <c r="AA41" s="29" t="s">
        <v>994</v>
      </c>
      <c r="AB41" s="25" t="s">
        <v>995</v>
      </c>
      <c r="AC41" s="29" t="s">
        <v>996</v>
      </c>
      <c r="AD41" s="25" t="s">
        <v>997</v>
      </c>
      <c r="AE41" s="29"/>
      <c r="AF41" s="27"/>
    </row>
    <row r="42" spans="2:32" ht="30">
      <c r="B42" s="46">
        <v>38</v>
      </c>
      <c r="C42" s="345" t="s">
        <v>1434</v>
      </c>
      <c r="D42" s="340" t="str" cm="1">
        <f t="array" ref="D42" xml:space="preserve"> IFERROR( INDEX($P$5:$AF$54, $I42, D$1), "")</f>
        <v>ㆬ</v>
      </c>
      <c r="E42" s="340" t="str" cm="1">
        <f t="array" ref="E42" xml:space="preserve"> IFERROR( INDEX($P$5:$AF$54, $I42, E$1), "")</f>
        <v>ㆬㆷ</v>
      </c>
      <c r="F42" s="340" t="str" cm="1">
        <f t="array" ref="F42" xml:space="preserve"> IFERROR( INDEX($P$5:$AF$54, $I42, F$1), "")</f>
        <v>m</v>
      </c>
      <c r="G42" s="340" t="str" cm="1">
        <f t="array" ref="G42" xml:space="preserve"> IFERROR( INDEX($P$5:$AF$54, $I42, G$1), "")</f>
        <v>mh</v>
      </c>
      <c r="H42" s="28" t="s">
        <v>251</v>
      </c>
      <c r="I42" s="25">
        <f t="shared" si="0"/>
        <v>42</v>
      </c>
      <c r="J42" s="352"/>
      <c r="K42" s="352">
        <f t="shared" si="2"/>
        <v>34</v>
      </c>
      <c r="L42" s="356" t="str">
        <f t="shared" si="1"/>
        <v/>
      </c>
      <c r="M42" s="24" t="str" cm="1">
        <f t="array" ref="M42">IF($K42=0, INDEX($AB$5:$AB$54,$P42,1), "")</f>
        <v/>
      </c>
      <c r="N42" s="24" t="str" cm="1">
        <f t="array" ref="N42">IF($K42=0, INDEX($X$5:$X$54,$P42,1), "")</f>
        <v/>
      </c>
      <c r="P42" s="46">
        <v>38</v>
      </c>
      <c r="Q42" s="357" t="s">
        <v>260</v>
      </c>
      <c r="R42" s="25" t="s">
        <v>48</v>
      </c>
      <c r="S42" s="110" t="s">
        <v>254</v>
      </c>
      <c r="T42" s="25" t="s">
        <v>1435</v>
      </c>
      <c r="U42" s="110" t="s">
        <v>1436</v>
      </c>
      <c r="V42" s="148" t="s">
        <v>48</v>
      </c>
      <c r="W42" s="110" t="s">
        <v>1002</v>
      </c>
      <c r="X42" s="25" t="s">
        <v>48</v>
      </c>
      <c r="Y42" s="110" t="s">
        <v>254</v>
      </c>
      <c r="Z42" s="25" t="s">
        <v>48</v>
      </c>
      <c r="AA42" s="110" t="s">
        <v>1002</v>
      </c>
      <c r="AB42" s="25" t="s">
        <v>1003</v>
      </c>
      <c r="AC42" s="110" t="s">
        <v>1004</v>
      </c>
      <c r="AD42" s="25" t="s">
        <v>1005</v>
      </c>
      <c r="AE42" s="29"/>
      <c r="AF42" s="27"/>
    </row>
    <row r="43" spans="2:32" ht="30">
      <c r="B43" s="46">
        <v>39</v>
      </c>
      <c r="C43" s="345" t="s">
        <v>1437</v>
      </c>
      <c r="D43" s="340" t="str" cm="1">
        <f t="array" ref="D43" xml:space="preserve"> IFERROR( INDEX($P$5:$AF$54, $I43, D$1), "")</f>
        <v>ㆩ</v>
      </c>
      <c r="E43" s="340" t="str" cm="1">
        <f t="array" ref="E43" xml:space="preserve"> IFERROR( INDEX($P$5:$AF$54, $I43, E$1), "")</f>
        <v>ㆩㆷ</v>
      </c>
      <c r="F43" s="340" t="str" cm="1">
        <f t="array" ref="F43" xml:space="preserve"> IFERROR( INDEX($P$5:$AF$54, $I43, F$1), "")</f>
        <v>ann</v>
      </c>
      <c r="G43" s="340" t="str" cm="1">
        <f t="array" ref="G43" xml:space="preserve"> IFERROR( INDEX($P$5:$AF$54, $I43, G$1), "")</f>
        <v>annh</v>
      </c>
      <c r="H43" s="24" t="s">
        <v>144</v>
      </c>
      <c r="I43" s="25">
        <f t="shared" si="0"/>
        <v>26</v>
      </c>
      <c r="J43" s="352"/>
      <c r="K43" s="352">
        <f t="shared" si="2"/>
        <v>13</v>
      </c>
      <c r="L43" s="356" t="str">
        <f t="shared" si="1"/>
        <v/>
      </c>
      <c r="M43" s="24" t="str" cm="1">
        <f t="array" ref="M43">IF($K43=0, INDEX($AB$5:$AB$54,$P43,1), "")</f>
        <v/>
      </c>
      <c r="N43" s="24" t="str" cm="1">
        <f t="array" ref="N43">IF($K43=0, INDEX($X$5:$X$54,$P43,1), "")</f>
        <v/>
      </c>
      <c r="P43" s="46">
        <v>39</v>
      </c>
      <c r="Q43" s="358" t="s">
        <v>189</v>
      </c>
      <c r="R43" s="25" t="s">
        <v>160</v>
      </c>
      <c r="S43" s="26" t="s">
        <v>161</v>
      </c>
      <c r="T43" s="25" t="s">
        <v>160</v>
      </c>
      <c r="U43" s="26" t="s">
        <v>1008</v>
      </c>
      <c r="V43" s="148" t="s">
        <v>160</v>
      </c>
      <c r="W43" s="26" t="s">
        <v>161</v>
      </c>
      <c r="X43" s="25" t="s">
        <v>160</v>
      </c>
      <c r="Y43" s="26" t="s">
        <v>161</v>
      </c>
      <c r="Z43" s="25" t="s">
        <v>160</v>
      </c>
      <c r="AA43" s="26" t="s">
        <v>161</v>
      </c>
      <c r="AB43" s="25" t="s">
        <v>1009</v>
      </c>
      <c r="AC43" s="26" t="s">
        <v>1010</v>
      </c>
      <c r="AD43" s="25" t="s">
        <v>743</v>
      </c>
      <c r="AE43" s="43" t="s">
        <v>744</v>
      </c>
      <c r="AF43" s="27"/>
    </row>
    <row r="44" spans="2:32" ht="32.25">
      <c r="B44" s="46">
        <v>40</v>
      </c>
      <c r="C44" s="345" t="s">
        <v>1438</v>
      </c>
      <c r="D44" s="340" t="str" cm="1">
        <f t="array" ref="D44" xml:space="preserve"> IFERROR( INDEX($P$5:$AF$54, $I44, D$1), "")</f>
        <v>ㄨㆮ</v>
      </c>
      <c r="E44" s="340" t="str" cm="1">
        <f t="array" ref="E44" xml:space="preserve"> IFERROR( INDEX($P$5:$AF$54, $I44, E$1), "")</f>
        <v>ㄨㆮㆷ</v>
      </c>
      <c r="F44" s="340" t="str" cm="1">
        <f t="array" ref="F44" xml:space="preserve"> IFERROR( INDEX($P$5:$AF$54, $I44, F$1), "")</f>
        <v>uainn</v>
      </c>
      <c r="G44" s="340" t="str" cm="1">
        <f t="array" ref="G44" xml:space="preserve"> IFERROR( INDEX($P$5:$AF$54, $I44, G$1), "")</f>
        <v>uainnh</v>
      </c>
      <c r="H44" s="28" t="s">
        <v>276</v>
      </c>
      <c r="I44" s="25">
        <f t="shared" si="0"/>
        <v>44</v>
      </c>
      <c r="J44" s="352"/>
      <c r="K44" s="352">
        <f t="shared" si="2"/>
        <v>35</v>
      </c>
      <c r="L44" s="356" t="str">
        <f t="shared" si="1"/>
        <v/>
      </c>
      <c r="M44" s="24" t="str" cm="1">
        <f t="array" ref="M44">IF($K44=0, INDEX($AB$5:$AB$54,$P44,1), "")</f>
        <v/>
      </c>
      <c r="N44" s="24" t="str" cm="1">
        <f t="array" ref="N44">IF($K44=0, INDEX($X$5:$X$54,$P44,1), "")</f>
        <v/>
      </c>
      <c r="P44" s="46">
        <v>40</v>
      </c>
      <c r="Q44" s="360" t="s">
        <v>732</v>
      </c>
      <c r="R44" s="25" t="s">
        <v>157</v>
      </c>
      <c r="S44" s="29" t="s">
        <v>158</v>
      </c>
      <c r="T44" s="25" t="s">
        <v>1439</v>
      </c>
      <c r="U44" s="29" t="s">
        <v>1440</v>
      </c>
      <c r="V44" s="151" t="s">
        <v>298</v>
      </c>
      <c r="W44" s="29" t="s">
        <v>1015</v>
      </c>
      <c r="X44" s="25" t="s">
        <v>157</v>
      </c>
      <c r="Y44" s="29" t="s">
        <v>158</v>
      </c>
      <c r="Z44" s="25" t="s">
        <v>1016</v>
      </c>
      <c r="AA44" s="29" t="s">
        <v>1017</v>
      </c>
      <c r="AB44" s="25" t="s">
        <v>1018</v>
      </c>
      <c r="AC44" s="29" t="s">
        <v>1019</v>
      </c>
      <c r="AD44" s="25" t="s">
        <v>1020</v>
      </c>
      <c r="AE44" s="29"/>
      <c r="AF44" s="32" t="s">
        <v>1021</v>
      </c>
    </row>
    <row r="45" spans="2:32" ht="30">
      <c r="B45" s="46">
        <v>41</v>
      </c>
      <c r="C45" s="345" t="s">
        <v>1441</v>
      </c>
      <c r="D45" s="340" t="str" cm="1">
        <f t="array" ref="D45" xml:space="preserve"> IFERROR( INDEX($P$5:$AF$54, $I45, D$1), "")</f>
        <v>ㆥ</v>
      </c>
      <c r="E45" s="340" t="str" cm="1">
        <f t="array" ref="E45" xml:space="preserve"> IFERROR( INDEX($P$5:$AF$54, $I45, E$1), "")</f>
        <v>ㆥㆷ</v>
      </c>
      <c r="F45" s="340" t="str" cm="1">
        <f t="array" ref="F45" xml:space="preserve"> IFERROR( INDEX($P$5:$AF$54, $I45, F$1), "")</f>
        <v>enn</v>
      </c>
      <c r="G45" s="340" t="str" cm="1">
        <f t="array" ref="G45" xml:space="preserve"> IFERROR( INDEX($P$5:$AF$54, $I45, G$1), "")</f>
        <v>ennh</v>
      </c>
      <c r="H45" s="24" t="s">
        <v>193</v>
      </c>
      <c r="I45" s="25">
        <f t="shared" si="0"/>
        <v>31</v>
      </c>
      <c r="J45" s="352"/>
      <c r="K45" s="352">
        <f t="shared" si="2"/>
        <v>42</v>
      </c>
      <c r="L45" s="356" t="str">
        <f t="shared" si="1"/>
        <v/>
      </c>
      <c r="M45" s="24" t="str" cm="1">
        <f t="array" ref="M45">IF($K45=0, INDEX($AB$5:$AB$54,$P45,1), "")</f>
        <v/>
      </c>
      <c r="N45" s="24" t="str" cm="1">
        <f t="array" ref="N45">IF($K45=0, INDEX($X$5:$X$54,$P45,1), "")</f>
        <v/>
      </c>
      <c r="P45" s="46">
        <v>41</v>
      </c>
      <c r="Q45" s="358" t="s">
        <v>256</v>
      </c>
      <c r="R45" s="25" t="s">
        <v>258</v>
      </c>
      <c r="S45" s="29" t="s">
        <v>259</v>
      </c>
      <c r="T45" s="25" t="s">
        <v>1442</v>
      </c>
      <c r="U45" s="29" t="s">
        <v>1443</v>
      </c>
      <c r="V45" s="151" t="s">
        <v>313</v>
      </c>
      <c r="W45" s="29" t="s">
        <v>1027</v>
      </c>
      <c r="X45" s="25" t="s">
        <v>257</v>
      </c>
      <c r="Y45" s="29" t="s">
        <v>1028</v>
      </c>
      <c r="Z45" s="25" t="s">
        <v>1029</v>
      </c>
      <c r="AA45" s="29" t="s">
        <v>1030</v>
      </c>
      <c r="AB45" s="25" t="s">
        <v>1031</v>
      </c>
      <c r="AC45" s="29" t="s">
        <v>1032</v>
      </c>
      <c r="AD45" s="25" t="s">
        <v>1033</v>
      </c>
      <c r="AE45" s="29"/>
      <c r="AF45" s="32" t="s">
        <v>1034</v>
      </c>
    </row>
    <row r="46" spans="2:32" ht="30">
      <c r="B46" s="46">
        <v>42</v>
      </c>
      <c r="C46" s="346" t="s">
        <v>1444</v>
      </c>
      <c r="D46" s="340" t="str" cm="1">
        <f t="array" ref="D46" xml:space="preserve"> IFERROR( INDEX($P$5:$AF$54, $I46, D$1), "")</f>
        <v>ㆧ</v>
      </c>
      <c r="E46" s="340" t="str" cm="1">
        <f t="array" ref="E46" xml:space="preserve"> IFERROR( INDEX($P$5:$AF$54, $I46, E$1), "")</f>
        <v>ㆧㆷ</v>
      </c>
      <c r="F46" s="340" t="str" cm="1">
        <f t="array" ref="F46" xml:space="preserve"> IFERROR( INDEX($P$5:$AF$54, $I46, F$1), "")</f>
        <v>onn</v>
      </c>
      <c r="G46" s="340" t="str" cm="1">
        <f t="array" ref="G46" xml:space="preserve"> IFERROR( INDEX($P$5:$AF$54, $I46, G$1), "")</f>
        <v>onnh</v>
      </c>
      <c r="H46" s="24" t="s">
        <v>1398</v>
      </c>
      <c r="I46" s="25">
        <f t="shared" si="0"/>
        <v>41</v>
      </c>
      <c r="J46" s="352"/>
      <c r="K46" s="352">
        <f t="shared" si="2"/>
        <v>38</v>
      </c>
      <c r="L46" s="356" t="str">
        <f t="shared" si="1"/>
        <v/>
      </c>
      <c r="M46" s="24" t="str" cm="1">
        <f t="array" ref="M46">IF($K46=0, INDEX($AB$5:$AB$54,$P46,1), "")</f>
        <v/>
      </c>
      <c r="N46" s="24" t="str" cm="1">
        <f t="array" ref="N46">IF($K46=0, INDEX($X$5:$X$54,$P46,1), "")</f>
        <v/>
      </c>
      <c r="P46" s="46">
        <v>42</v>
      </c>
      <c r="Q46" s="357" t="s">
        <v>251</v>
      </c>
      <c r="R46" s="25" t="s">
        <v>27</v>
      </c>
      <c r="S46" s="110" t="s">
        <v>252</v>
      </c>
      <c r="T46" s="25" t="s">
        <v>1445</v>
      </c>
      <c r="U46" s="110" t="s">
        <v>1446</v>
      </c>
      <c r="V46" s="148" t="s">
        <v>27</v>
      </c>
      <c r="W46" s="110" t="s">
        <v>1037</v>
      </c>
      <c r="X46" s="25" t="s">
        <v>27</v>
      </c>
      <c r="Y46" s="110" t="s">
        <v>252</v>
      </c>
      <c r="Z46" s="25" t="s">
        <v>27</v>
      </c>
      <c r="AA46" s="110" t="s">
        <v>1037</v>
      </c>
      <c r="AB46" s="25" t="s">
        <v>1038</v>
      </c>
      <c r="AC46" s="110" t="s">
        <v>1039</v>
      </c>
      <c r="AD46" s="30" t="s">
        <v>1040</v>
      </c>
      <c r="AE46" s="29"/>
      <c r="AF46" s="27"/>
    </row>
    <row r="47" spans="2:32" ht="32.25">
      <c r="B47" s="46">
        <v>43</v>
      </c>
      <c r="C47" s="345" t="s">
        <v>1447</v>
      </c>
      <c r="D47" s="340" t="str" cm="1">
        <f t="array" ref="D47" xml:space="preserve"> IFERROR( INDEX($P$5:$AF$54, $I47, D$1), "")</f>
        <v>ㆯ</v>
      </c>
      <c r="E47" s="340" t="str" cm="1">
        <f t="array" ref="E47" xml:space="preserve"> IFERROR( INDEX($P$5:$AF$54, $I47, E$1), "")</f>
        <v>ㆯㆷ</v>
      </c>
      <c r="F47" s="340" t="str" cm="1">
        <f t="array" ref="F47" xml:space="preserve"> IFERROR( INDEX($P$5:$AF$54, $I47, F$1), "")</f>
        <v>aunn</v>
      </c>
      <c r="G47" s="340" t="str" cm="1">
        <f t="array" ref="G47" xml:space="preserve"> IFERROR( INDEX($P$5:$AF$54, $I47, G$1), "")</f>
        <v>aunnh</v>
      </c>
      <c r="H47" s="344" t="s">
        <v>773</v>
      </c>
      <c r="I47" s="25">
        <f t="shared" si="0"/>
        <v>48</v>
      </c>
      <c r="J47" s="352"/>
      <c r="K47" s="352">
        <f t="shared" si="2"/>
        <v>0</v>
      </c>
      <c r="L47" s="356" t="str">
        <f t="shared" si="1"/>
        <v>光</v>
      </c>
      <c r="M47" s="24" t="str" cm="1">
        <f t="array" ref="M47">IF($K47=0, INDEX($AB$5:$AB$54,$P47,1), "")</f>
        <v>ㄨㄤ</v>
      </c>
      <c r="N47" s="24" t="str" cm="1">
        <f t="array" ref="N47">IF($K47=0, INDEX($X$5:$X$54,$P47,1), "")</f>
        <v>uang</v>
      </c>
      <c r="P47" s="46">
        <v>43</v>
      </c>
      <c r="Q47" s="356" t="s">
        <v>269</v>
      </c>
      <c r="R47" s="25" t="s">
        <v>270</v>
      </c>
      <c r="S47" s="40" t="s">
        <v>271</v>
      </c>
      <c r="T47" s="30" t="s">
        <v>1043</v>
      </c>
      <c r="U47" s="39" t="s">
        <v>1044</v>
      </c>
      <c r="V47" s="149" t="s">
        <v>321</v>
      </c>
      <c r="W47" s="39" t="s">
        <v>1045</v>
      </c>
      <c r="X47" s="25" t="s">
        <v>270</v>
      </c>
      <c r="Y47" s="26" t="s">
        <v>271</v>
      </c>
      <c r="Z47" s="25" t="s">
        <v>270</v>
      </c>
      <c r="AA47" s="26" t="s">
        <v>271</v>
      </c>
      <c r="AB47" s="25" t="s">
        <v>1046</v>
      </c>
      <c r="AC47" s="26" t="s">
        <v>1047</v>
      </c>
      <c r="AD47" s="25" t="s">
        <v>1048</v>
      </c>
      <c r="AE47" s="43" t="s">
        <v>1049</v>
      </c>
      <c r="AF47" s="27"/>
    </row>
    <row r="48" spans="2:32" ht="32.25">
      <c r="B48" s="46">
        <v>44</v>
      </c>
      <c r="C48" s="346" t="s">
        <v>1448</v>
      </c>
      <c r="D48" s="340" t="str" cm="1">
        <f t="array" ref="D48" xml:space="preserve"> IFERROR( INDEX($P$5:$AF$54, $I48, D$1), "")</f>
        <v>ㄧㆯ</v>
      </c>
      <c r="E48" s="340" t="str" cm="1">
        <f t="array" ref="E48" xml:space="preserve"> IFERROR( INDEX($P$5:$AF$54, $I48, E$1), "")</f>
        <v>ㄧㆯㆷ</v>
      </c>
      <c r="F48" s="340" t="str" cm="1">
        <f t="array" ref="F48" xml:space="preserve"> IFERROR( INDEX($P$5:$AF$54, $I48, F$1), "")</f>
        <v>iaunn</v>
      </c>
      <c r="G48" s="340" t="str" cm="1">
        <f t="array" ref="G48" xml:space="preserve"> IFERROR( INDEX($P$5:$AF$54, $I48, G$1), "")</f>
        <v>iaunnh</v>
      </c>
      <c r="H48" s="344" t="s">
        <v>1449</v>
      </c>
      <c r="I48" s="25">
        <f t="shared" si="0"/>
        <v>46</v>
      </c>
      <c r="J48" s="352"/>
      <c r="K48" s="352">
        <f t="shared" si="2"/>
        <v>40</v>
      </c>
      <c r="L48" s="356" t="str">
        <f t="shared" si="1"/>
        <v/>
      </c>
      <c r="M48" s="24" t="str" cm="1">
        <f t="array" ref="M48">IF($K48=0, INDEX($AB$5:$AB$54,$P48,1), "")</f>
        <v/>
      </c>
      <c r="N48" s="24" t="str" cm="1">
        <f t="array" ref="N48">IF($K48=0, INDEX($X$5:$X$54,$P48,1), "")</f>
        <v/>
      </c>
      <c r="P48" s="46">
        <v>44</v>
      </c>
      <c r="Q48" s="357" t="s">
        <v>276</v>
      </c>
      <c r="R48" s="25" t="s">
        <v>273</v>
      </c>
      <c r="S48" s="40" t="s">
        <v>274</v>
      </c>
      <c r="T48" s="30" t="s">
        <v>1450</v>
      </c>
      <c r="U48" s="39" t="s">
        <v>1451</v>
      </c>
      <c r="V48" s="149" t="s">
        <v>319</v>
      </c>
      <c r="W48" s="39" t="s">
        <v>1053</v>
      </c>
      <c r="X48" s="30" t="s">
        <v>273</v>
      </c>
      <c r="Y48" s="26" t="s">
        <v>274</v>
      </c>
      <c r="Z48" s="25" t="s">
        <v>1054</v>
      </c>
      <c r="AA48" s="26" t="s">
        <v>1055</v>
      </c>
      <c r="AB48" s="30" t="s">
        <v>1056</v>
      </c>
      <c r="AC48" s="39" t="s">
        <v>1057</v>
      </c>
      <c r="AD48" s="30" t="s">
        <v>1058</v>
      </c>
      <c r="AE48" s="44" t="s">
        <v>1059</v>
      </c>
      <c r="AF48" s="32" t="s">
        <v>1060</v>
      </c>
    </row>
    <row r="49" spans="2:32" ht="30">
      <c r="B49" s="46">
        <v>45</v>
      </c>
      <c r="C49" s="349"/>
      <c r="D49" s="28"/>
      <c r="E49" s="46"/>
      <c r="F49" s="46"/>
      <c r="G49" s="46"/>
      <c r="H49" s="24"/>
      <c r="I49" s="25"/>
      <c r="J49" s="352"/>
      <c r="K49" s="352">
        <f t="shared" si="2"/>
        <v>0</v>
      </c>
      <c r="L49" s="356" t="str">
        <f t="shared" si="1"/>
        <v>糜</v>
      </c>
      <c r="M49" s="24" t="str" cm="1">
        <f t="array" ref="M49">IF($K49=0, INDEX($AB$5:$AB$54,$P49,1), "")</f>
        <v>ㄨㆥ</v>
      </c>
      <c r="N49" s="24" t="str" cm="1">
        <f t="array" ref="N49">IF($K49=0, INDEX($X$5:$X$54,$P49,1), "")</f>
        <v>uenn</v>
      </c>
      <c r="P49" s="46">
        <v>45</v>
      </c>
      <c r="Q49" s="357" t="s">
        <v>272</v>
      </c>
      <c r="R49" s="25" t="s">
        <v>280</v>
      </c>
      <c r="S49" s="29" t="s">
        <v>304</v>
      </c>
      <c r="T49" s="30" t="s">
        <v>1452</v>
      </c>
      <c r="U49" s="29" t="s">
        <v>1453</v>
      </c>
      <c r="V49" s="151" t="s">
        <v>1065</v>
      </c>
      <c r="W49" s="29" t="s">
        <v>1066</v>
      </c>
      <c r="X49" s="30" t="s">
        <v>280</v>
      </c>
      <c r="Y49" s="29" t="s">
        <v>304</v>
      </c>
      <c r="Z49" s="30" t="s">
        <v>1067</v>
      </c>
      <c r="AA49" s="29" t="s">
        <v>1068</v>
      </c>
      <c r="AB49" s="30" t="s">
        <v>1069</v>
      </c>
      <c r="AC49" s="29" t="s">
        <v>1070</v>
      </c>
      <c r="AD49" s="30" t="s">
        <v>1071</v>
      </c>
      <c r="AE49" s="29"/>
      <c r="AF49" s="41" t="s">
        <v>1072</v>
      </c>
    </row>
    <row r="50" spans="2:32" ht="30">
      <c r="B50" s="46">
        <v>46</v>
      </c>
      <c r="C50" s="350"/>
      <c r="D50" s="24"/>
      <c r="E50" s="46"/>
      <c r="F50" s="46"/>
      <c r="G50" s="46"/>
      <c r="H50" s="24"/>
      <c r="I50" s="25"/>
      <c r="J50" s="352"/>
      <c r="K50" s="352">
        <f t="shared" si="2"/>
        <v>44</v>
      </c>
      <c r="L50" s="356" t="str">
        <f t="shared" si="1"/>
        <v/>
      </c>
      <c r="M50" s="24" t="str" cm="1">
        <f t="array" ref="M50">IF($K50=0, INDEX($AB$5:$AB$54,$P50,1), "")</f>
        <v/>
      </c>
      <c r="N50" s="24" t="str" cm="1">
        <f t="array" ref="N50">IF($K50=0, INDEX($X$5:$X$54,$P50,1), "")</f>
        <v/>
      </c>
      <c r="P50" s="46">
        <v>46</v>
      </c>
      <c r="Q50" s="356" t="s">
        <v>232</v>
      </c>
      <c r="R50" s="25" t="s">
        <v>233</v>
      </c>
      <c r="S50" s="40" t="s">
        <v>234</v>
      </c>
      <c r="T50" s="25" t="s">
        <v>1454</v>
      </c>
      <c r="U50" s="26" t="s">
        <v>1455</v>
      </c>
      <c r="V50" s="148" t="s">
        <v>310</v>
      </c>
      <c r="W50" s="26" t="s">
        <v>1077</v>
      </c>
      <c r="X50" s="25" t="s">
        <v>233</v>
      </c>
      <c r="Y50" s="26" t="s">
        <v>234</v>
      </c>
      <c r="Z50" s="25" t="s">
        <v>1078</v>
      </c>
      <c r="AA50" s="26" t="s">
        <v>1079</v>
      </c>
      <c r="AB50" s="25" t="s">
        <v>1080</v>
      </c>
      <c r="AC50" s="26" t="s">
        <v>1081</v>
      </c>
      <c r="AD50" s="25" t="s">
        <v>1082</v>
      </c>
      <c r="AE50" s="43" t="s">
        <v>1083</v>
      </c>
      <c r="AF50" s="27"/>
    </row>
    <row r="51" spans="2:32" ht="32.25">
      <c r="B51" s="46">
        <v>47</v>
      </c>
      <c r="C51" s="350"/>
      <c r="D51" s="24"/>
      <c r="E51" s="46"/>
      <c r="F51" s="46"/>
      <c r="G51" s="46"/>
      <c r="H51" s="24"/>
      <c r="I51" s="25"/>
      <c r="J51" s="352"/>
      <c r="K51" s="352">
        <f t="shared" si="2"/>
        <v>28</v>
      </c>
      <c r="L51" s="356" t="str">
        <f t="shared" si="1"/>
        <v/>
      </c>
      <c r="M51" s="24" t="str" cm="1">
        <f t="array" ref="M51">IF($K51=0, INDEX($AB$5:$AB$54,$P51,1), "")</f>
        <v/>
      </c>
      <c r="N51" s="24" t="str" cm="1">
        <f t="array" ref="N51">IF($K51=0, INDEX($X$5:$X$54,$P51,1), "")</f>
        <v/>
      </c>
      <c r="P51" s="46">
        <v>47</v>
      </c>
      <c r="Q51" s="360" t="s">
        <v>1413</v>
      </c>
      <c r="R51" s="25" t="s">
        <v>262</v>
      </c>
      <c r="S51" s="40" t="s">
        <v>263</v>
      </c>
      <c r="T51" s="30" t="s">
        <v>1084</v>
      </c>
      <c r="U51" s="26" t="s">
        <v>1085</v>
      </c>
      <c r="V51" s="148" t="s">
        <v>262</v>
      </c>
      <c r="W51" s="26" t="s">
        <v>263</v>
      </c>
      <c r="X51" s="25" t="s">
        <v>262</v>
      </c>
      <c r="Y51" s="26" t="s">
        <v>263</v>
      </c>
      <c r="Z51" s="25" t="s">
        <v>262</v>
      </c>
      <c r="AA51" s="26" t="s">
        <v>263</v>
      </c>
      <c r="AB51" s="25" t="s">
        <v>1086</v>
      </c>
      <c r="AC51" s="26" t="s">
        <v>1087</v>
      </c>
      <c r="AD51" s="25" t="s">
        <v>262</v>
      </c>
      <c r="AE51" s="43" t="s">
        <v>1088</v>
      </c>
      <c r="AF51" s="27"/>
    </row>
    <row r="52" spans="2:32" ht="30">
      <c r="B52" s="46">
        <v>48</v>
      </c>
      <c r="C52" s="350"/>
      <c r="D52" s="24"/>
      <c r="E52" s="46"/>
      <c r="F52" s="46"/>
      <c r="G52" s="46"/>
      <c r="H52" s="24"/>
      <c r="I52" s="25"/>
      <c r="J52" s="352"/>
      <c r="K52" s="352">
        <f t="shared" si="2"/>
        <v>43</v>
      </c>
      <c r="L52" s="356" t="str">
        <f t="shared" si="1"/>
        <v/>
      </c>
      <c r="M52" s="24" t="str" cm="1">
        <f t="array" ref="M52">IF($K52=0, INDEX($AB$5:$AB$54,$P52,1), "")</f>
        <v/>
      </c>
      <c r="N52" s="24" t="str" cm="1">
        <f t="array" ref="N52">IF($K52=0, INDEX($X$5:$X$54,$P52,1), "")</f>
        <v/>
      </c>
      <c r="P52" s="46">
        <v>48</v>
      </c>
      <c r="Q52" s="356" t="s">
        <v>183</v>
      </c>
      <c r="R52" s="25" t="s">
        <v>184</v>
      </c>
      <c r="S52" s="29" t="s">
        <v>185</v>
      </c>
      <c r="T52" s="25" t="s">
        <v>1456</v>
      </c>
      <c r="U52" s="29" t="s">
        <v>1457</v>
      </c>
      <c r="V52" s="148" t="s">
        <v>1091</v>
      </c>
      <c r="W52" s="29" t="s">
        <v>1092</v>
      </c>
      <c r="X52" s="148" t="s">
        <v>184</v>
      </c>
      <c r="Y52" s="29" t="s">
        <v>185</v>
      </c>
      <c r="Z52" s="25" t="s">
        <v>1093</v>
      </c>
      <c r="AA52" s="29" t="s">
        <v>1094</v>
      </c>
      <c r="AB52" s="25" t="s">
        <v>1095</v>
      </c>
      <c r="AC52" s="29" t="s">
        <v>1096</v>
      </c>
      <c r="AD52" s="25" t="s">
        <v>1097</v>
      </c>
      <c r="AE52" s="29"/>
      <c r="AF52" s="27"/>
    </row>
    <row r="53" spans="2:32" ht="30">
      <c r="B53" s="46">
        <v>49</v>
      </c>
      <c r="C53" s="350"/>
      <c r="D53" s="24"/>
      <c r="E53" s="46"/>
      <c r="F53" s="46"/>
      <c r="G53" s="46"/>
      <c r="H53" s="24"/>
      <c r="I53" s="25"/>
      <c r="J53" s="352"/>
      <c r="K53" s="352">
        <f t="shared" si="2"/>
        <v>42</v>
      </c>
      <c r="L53" s="356" t="str">
        <f t="shared" si="1"/>
        <v/>
      </c>
      <c r="M53" s="24" t="str" cm="1">
        <f t="array" ref="M53">IF($K53=0, INDEX($AB$5:$AB$54,$P53,1), "")</f>
        <v/>
      </c>
      <c r="N53" s="24" t="str" cm="1">
        <f t="array" ref="N53">IF($K53=0, INDEX($X$5:$X$54,$P53,1), "")</f>
        <v/>
      </c>
      <c r="P53" s="46">
        <v>49</v>
      </c>
      <c r="Q53" s="358" t="s">
        <v>267</v>
      </c>
      <c r="R53" s="25" t="s">
        <v>258</v>
      </c>
      <c r="S53" s="40" t="s">
        <v>259</v>
      </c>
      <c r="T53" s="25" t="s">
        <v>1458</v>
      </c>
      <c r="U53" s="26" t="s">
        <v>1459</v>
      </c>
      <c r="V53" s="148" t="s">
        <v>313</v>
      </c>
      <c r="W53" s="26" t="s">
        <v>1027</v>
      </c>
      <c r="X53" s="351" t="s">
        <v>257</v>
      </c>
      <c r="Y53" s="351" t="s">
        <v>1028</v>
      </c>
      <c r="Z53" s="25" t="s">
        <v>1100</v>
      </c>
      <c r="AA53" s="26" t="s">
        <v>1101</v>
      </c>
      <c r="AB53" s="25" t="s">
        <v>1031</v>
      </c>
      <c r="AC53" s="26" t="s">
        <v>1032</v>
      </c>
      <c r="AD53" s="25" t="s">
        <v>1102</v>
      </c>
      <c r="AE53" s="43" t="s">
        <v>1103</v>
      </c>
      <c r="AF53" s="32" t="s">
        <v>1104</v>
      </c>
    </row>
    <row r="54" spans="2:32" ht="30">
      <c r="B54" s="46">
        <v>50</v>
      </c>
      <c r="C54" s="350"/>
      <c r="D54" s="24"/>
      <c r="E54" s="46"/>
      <c r="F54" s="46"/>
      <c r="G54" s="46"/>
      <c r="H54" s="24"/>
      <c r="I54" s="25"/>
      <c r="J54" s="352"/>
      <c r="K54" s="352">
        <f t="shared" si="2"/>
        <v>36</v>
      </c>
      <c r="L54" s="356" t="str">
        <f t="shared" si="1"/>
        <v/>
      </c>
      <c r="M54" s="24" t="str" cm="1">
        <f t="array" ref="M54">IF($K54=0, INDEX($AB$5:$AB$54,$P54,1), "")</f>
        <v/>
      </c>
      <c r="N54" s="24" t="str" cm="1">
        <f t="array" ref="N54">IF($K54=0, INDEX($X$5:$X$54,$P54,1), "")</f>
        <v/>
      </c>
      <c r="P54" s="46">
        <v>50</v>
      </c>
      <c r="Q54" s="358" t="s">
        <v>255</v>
      </c>
      <c r="R54" s="25" t="s">
        <v>248</v>
      </c>
      <c r="S54" s="110" t="s">
        <v>249</v>
      </c>
      <c r="T54" s="25" t="s">
        <v>1460</v>
      </c>
      <c r="U54" s="110" t="s">
        <v>1106</v>
      </c>
      <c r="V54" s="148" t="s">
        <v>311</v>
      </c>
      <c r="W54" s="110" t="s">
        <v>1107</v>
      </c>
      <c r="X54" s="25" t="s">
        <v>248</v>
      </c>
      <c r="Y54" s="110" t="s">
        <v>249</v>
      </c>
      <c r="Z54" s="25" t="s">
        <v>1108</v>
      </c>
      <c r="AA54" s="110" t="s">
        <v>1109</v>
      </c>
      <c r="AB54" s="25" t="s">
        <v>1110</v>
      </c>
      <c r="AC54" s="110" t="s">
        <v>1111</v>
      </c>
      <c r="AD54" s="25" t="s">
        <v>1112</v>
      </c>
      <c r="AE54" s="45"/>
      <c r="AF54" s="27"/>
    </row>
  </sheetData>
  <phoneticPr fontId="1" type="noConversion"/>
  <conditionalFormatting sqref="C5:C54">
    <cfRule type="expression" dxfId="10" priority="2">
      <formula xml:space="preserve"> $C5 &lt;&gt; $H5</formula>
    </cfRule>
  </conditionalFormatting>
  <conditionalFormatting sqref="L5:N54">
    <cfRule type="cellIs" dxfId="9" priority="1" operator="notEqual">
      <formula>""</formula>
    </cfRule>
  </conditionalFormatting>
  <dataValidations count="2">
    <dataValidation type="list" allowBlank="1" showInputMessage="1" showErrorMessage="1" sqref="H5:H34 H39:H41 H46:H54" xr:uid="{8EA751D9-C8A3-F440-8932-B539F0D56F21}">
      <formula1>十五音韻母</formula1>
    </dataValidation>
    <dataValidation allowBlank="1" showInputMessage="1" showErrorMessage="1" sqref="J1:J1048576 O1:O1048576" xr:uid="{6E1878BB-0A0C-4CCD-A531-F0CBAA775E39}"/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2227-EBF8-5C45-998E-26939C09A09E}">
  <sheetPr>
    <tabColor rgb="FFFF0000"/>
  </sheetPr>
  <dimension ref="A1:N23"/>
  <sheetViews>
    <sheetView showGridLines="0" topLeftCell="A4" workbookViewId="0">
      <pane xSplit="5" ySplit="2" topLeftCell="F6" activePane="bottomRight" state="frozen"/>
      <selection pane="topRight" activeCell="F11" sqref="F11"/>
      <selection pane="bottomLeft" activeCell="F11" sqref="F11"/>
      <selection pane="bottomRight" activeCell="M6" sqref="M6"/>
    </sheetView>
  </sheetViews>
  <sheetFormatPr defaultColWidth="10.90625" defaultRowHeight="25.5" outlineLevelRow="1" outlineLevelCol="1"/>
  <cols>
    <col min="1" max="1" width="2.7265625" style="68" customWidth="1"/>
    <col min="2" max="2" width="6.81640625" style="68" customWidth="1"/>
    <col min="3" max="3" width="10.08984375" style="337" hidden="1" customWidth="1" outlineLevel="1"/>
    <col min="4" max="4" width="10.08984375" style="70" customWidth="1" collapsed="1"/>
    <col min="5" max="5" width="10.453125" style="69" customWidth="1"/>
    <col min="6" max="9" width="12.453125" style="70" customWidth="1"/>
    <col min="10" max="10" width="12.453125" style="69" customWidth="1"/>
    <col min="11" max="11" width="10.90625" style="337"/>
    <col min="12" max="12" width="4.90625" style="68" customWidth="1"/>
    <col min="13" max="13" width="10.90625" style="68"/>
  </cols>
  <sheetData>
    <row r="1" spans="2:14" ht="12" hidden="1" customHeight="1" outlineLevel="1"/>
    <row r="2" spans="2:14" ht="27" hidden="1" customHeight="1" outlineLevel="1">
      <c r="D2" s="141">
        <v>3</v>
      </c>
      <c r="F2" s="141">
        <v>5</v>
      </c>
      <c r="G2" s="141">
        <v>6</v>
      </c>
      <c r="H2" s="141">
        <v>7</v>
      </c>
      <c r="I2" s="141">
        <v>6</v>
      </c>
      <c r="J2" s="142">
        <v>4</v>
      </c>
    </row>
    <row r="3" spans="2:14" hidden="1" outlineLevel="1">
      <c r="B3" s="101" cm="1">
        <f t="array" ref="B3">COLUMN()-COLUMN(($A:$A))</f>
        <v>1</v>
      </c>
      <c r="D3" s="101" cm="1">
        <f t="array" ref="D3">COLUMN()-COLUMN(($A:$A))</f>
        <v>3</v>
      </c>
      <c r="E3" s="101" cm="1">
        <f t="array" ref="E3">COLUMN()-COLUMN(($A:$A))</f>
        <v>4</v>
      </c>
      <c r="F3" s="101" cm="1">
        <f t="array" ref="F3">COLUMN()-COLUMN(($A:$A))</f>
        <v>5</v>
      </c>
      <c r="G3" s="101" cm="1">
        <f t="array" ref="G3">COLUMN()-COLUMN(($A:$A))</f>
        <v>6</v>
      </c>
      <c r="H3" s="101" cm="1">
        <f t="array" ref="H3">COLUMN()-COLUMN(($A:$A))</f>
        <v>7</v>
      </c>
      <c r="I3" s="101" cm="1">
        <f t="array" ref="I3">COLUMN()-COLUMN(($A:$A))</f>
        <v>8</v>
      </c>
      <c r="J3" s="101" cm="1">
        <f t="array" ref="J3">COLUMN()-COLUMN(($A:$A))</f>
        <v>9</v>
      </c>
    </row>
    <row r="4" spans="2:14" ht="21" customHeight="1" collapsed="1"/>
    <row r="5" spans="2:14" ht="57">
      <c r="B5" s="19" t="s">
        <v>1</v>
      </c>
      <c r="C5" s="320" t="s">
        <v>1351</v>
      </c>
      <c r="D5" s="19" t="s">
        <v>4</v>
      </c>
      <c r="E5" s="19" t="s">
        <v>2</v>
      </c>
      <c r="F5" s="19" t="s">
        <v>3</v>
      </c>
      <c r="G5" s="19" t="s">
        <v>5</v>
      </c>
      <c r="H5" s="19" t="s">
        <v>7</v>
      </c>
      <c r="I5" s="19" t="s">
        <v>6</v>
      </c>
      <c r="J5" s="19" t="s">
        <v>8</v>
      </c>
      <c r="L5" s="73"/>
      <c r="M5" s="19" t="s">
        <v>1353</v>
      </c>
      <c r="N5" s="320" t="s">
        <v>1354</v>
      </c>
    </row>
    <row r="6" spans="2:14" s="147" customFormat="1" ht="39.950000000000003" customHeight="1">
      <c r="B6" s="331" cm="1">
        <f t="array" ref="B6" xml:space="preserve"> ROW() - ROW($5:$5)</f>
        <v>1</v>
      </c>
      <c r="C6" s="338">
        <v>10</v>
      </c>
      <c r="D6" s="334" t="s">
        <v>71</v>
      </c>
      <c r="E6" s="332" t="s">
        <v>75</v>
      </c>
      <c r="F6" s="335" t="s">
        <v>76</v>
      </c>
      <c r="G6" s="335" t="s">
        <v>75</v>
      </c>
      <c r="H6" s="335" t="s">
        <v>75</v>
      </c>
      <c r="I6" s="335" t="s">
        <v>75</v>
      </c>
      <c r="J6" s="333" t="s">
        <v>77</v>
      </c>
      <c r="K6" s="337"/>
      <c r="L6" s="327">
        <v>1</v>
      </c>
      <c r="M6" s="330" t="s">
        <v>12</v>
      </c>
      <c r="N6" s="328" t="s">
        <v>12</v>
      </c>
    </row>
    <row r="7" spans="2:14" s="147" customFormat="1" ht="39.950000000000003" customHeight="1">
      <c r="B7" s="331" cm="1">
        <f t="array" ref="B7" xml:space="preserve"> ROW() - ROW($5:$5)</f>
        <v>2</v>
      </c>
      <c r="C7" s="338">
        <v>11</v>
      </c>
      <c r="D7" s="334" t="s">
        <v>71</v>
      </c>
      <c r="E7" s="332" t="s">
        <v>69</v>
      </c>
      <c r="F7" s="335" t="s">
        <v>70</v>
      </c>
      <c r="G7" s="335" t="s">
        <v>69</v>
      </c>
      <c r="H7" s="335" t="s">
        <v>72</v>
      </c>
      <c r="I7" s="335" t="s">
        <v>69</v>
      </c>
      <c r="J7" s="333" t="s">
        <v>73</v>
      </c>
      <c r="K7" s="337"/>
      <c r="L7" s="327">
        <v>2</v>
      </c>
      <c r="M7" s="329" t="s">
        <v>19</v>
      </c>
      <c r="N7" s="329" t="s">
        <v>15</v>
      </c>
    </row>
    <row r="8" spans="2:14" s="147" customFormat="1" ht="39.950000000000003" customHeight="1">
      <c r="B8" s="331" cm="1">
        <f t="array" ref="B8" xml:space="preserve"> ROW() - ROW($5:$5)</f>
        <v>3</v>
      </c>
      <c r="C8" s="338">
        <v>20</v>
      </c>
      <c r="D8" s="334" t="s">
        <v>18</v>
      </c>
      <c r="E8" s="332" t="s">
        <v>16</v>
      </c>
      <c r="F8" s="335" t="s">
        <v>17</v>
      </c>
      <c r="G8" s="335" t="s">
        <v>16</v>
      </c>
      <c r="H8" s="335" t="s">
        <v>19</v>
      </c>
      <c r="I8" s="335" t="s">
        <v>16</v>
      </c>
      <c r="J8" s="333" t="s">
        <v>20</v>
      </c>
      <c r="K8" s="337"/>
      <c r="L8" s="327">
        <v>3</v>
      </c>
      <c r="M8" s="329" t="s">
        <v>40</v>
      </c>
      <c r="N8" s="329" t="s">
        <v>21</v>
      </c>
    </row>
    <row r="9" spans="2:14" s="147" customFormat="1" ht="39.950000000000003" customHeight="1">
      <c r="B9" s="331" cm="1">
        <f t="array" ref="B9" xml:space="preserve"> ROW() - ROW($5:$5)</f>
        <v>4</v>
      </c>
      <c r="C9" s="338">
        <v>30</v>
      </c>
      <c r="D9" s="334" t="s">
        <v>39</v>
      </c>
      <c r="E9" s="332" t="s">
        <v>37</v>
      </c>
      <c r="F9" s="335" t="s">
        <v>38</v>
      </c>
      <c r="G9" s="335" t="s">
        <v>37</v>
      </c>
      <c r="H9" s="335" t="s">
        <v>40</v>
      </c>
      <c r="I9" s="335" t="s">
        <v>37</v>
      </c>
      <c r="J9" s="333" t="s">
        <v>41</v>
      </c>
      <c r="K9" s="337"/>
      <c r="L9" s="327">
        <v>4</v>
      </c>
      <c r="M9" s="328" t="s">
        <v>116</v>
      </c>
      <c r="N9" s="328" t="s">
        <v>26</v>
      </c>
    </row>
    <row r="10" spans="2:14" s="147" customFormat="1" ht="39.950000000000003" customHeight="1">
      <c r="B10" s="331" cm="1">
        <f t="array" ref="B10" xml:space="preserve"> ROW() - ROW($5:$5)</f>
        <v>5</v>
      </c>
      <c r="C10" s="338">
        <v>40</v>
      </c>
      <c r="D10" s="334" t="s">
        <v>45</v>
      </c>
      <c r="E10" s="332" t="s">
        <v>43</v>
      </c>
      <c r="F10" s="335" t="s">
        <v>44</v>
      </c>
      <c r="G10" s="335" t="s">
        <v>43</v>
      </c>
      <c r="H10" s="335" t="s">
        <v>37</v>
      </c>
      <c r="I10" s="335" t="s">
        <v>43</v>
      </c>
      <c r="J10" s="333" t="s">
        <v>46</v>
      </c>
      <c r="K10" s="337"/>
      <c r="L10" s="327">
        <v>5</v>
      </c>
      <c r="M10" s="328" t="s">
        <v>107</v>
      </c>
      <c r="N10" s="328" t="s">
        <v>36</v>
      </c>
    </row>
    <row r="11" spans="2:14" s="147" customFormat="1" ht="39.950000000000003" customHeight="1">
      <c r="B11" s="331" cm="1">
        <f t="array" ref="B11" xml:space="preserve"> ROW() - ROW($5:$5)</f>
        <v>6</v>
      </c>
      <c r="C11" s="338">
        <v>50</v>
      </c>
      <c r="D11" s="334" t="s">
        <v>60</v>
      </c>
      <c r="E11" s="332" t="s">
        <v>58</v>
      </c>
      <c r="F11" s="335" t="s">
        <v>59</v>
      </c>
      <c r="G11" s="335" t="s">
        <v>58</v>
      </c>
      <c r="H11" s="335" t="s">
        <v>61</v>
      </c>
      <c r="I11" s="335" t="s">
        <v>58</v>
      </c>
      <c r="J11" s="333" t="s">
        <v>62</v>
      </c>
      <c r="K11" s="337"/>
      <c r="L11" s="327">
        <v>6</v>
      </c>
      <c r="M11" s="328" t="s">
        <v>37</v>
      </c>
      <c r="N11" s="328" t="s">
        <v>78</v>
      </c>
    </row>
    <row r="12" spans="2:14" s="147" customFormat="1" ht="39.950000000000003" customHeight="1">
      <c r="B12" s="331" cm="1">
        <f t="array" ref="B12" xml:space="preserve"> ROW() - ROW($5:$5)</f>
        <v>7</v>
      </c>
      <c r="C12" s="338">
        <v>60</v>
      </c>
      <c r="D12" s="334" t="s">
        <v>24</v>
      </c>
      <c r="E12" s="332" t="s">
        <v>22</v>
      </c>
      <c r="F12" s="335" t="s">
        <v>23</v>
      </c>
      <c r="G12" s="335" t="s">
        <v>22</v>
      </c>
      <c r="H12" s="335" t="s">
        <v>16</v>
      </c>
      <c r="I12" s="335" t="s">
        <v>22</v>
      </c>
      <c r="J12" s="333" t="s">
        <v>25</v>
      </c>
      <c r="K12" s="337"/>
      <c r="L12" s="327">
        <v>7</v>
      </c>
      <c r="M12" s="328" t="s">
        <v>43</v>
      </c>
      <c r="N12" s="328" t="s">
        <v>42</v>
      </c>
    </row>
    <row r="13" spans="2:14" s="147" customFormat="1" ht="39.950000000000003" customHeight="1">
      <c r="B13" s="331" cm="1">
        <f t="array" ref="B13" xml:space="preserve"> ROW() - ROW($5:$5)</f>
        <v>8</v>
      </c>
      <c r="C13" s="338">
        <v>70</v>
      </c>
      <c r="D13" s="334" t="s">
        <v>66</v>
      </c>
      <c r="E13" s="332" t="s">
        <v>64</v>
      </c>
      <c r="F13" s="335" t="s">
        <v>65</v>
      </c>
      <c r="G13" s="335" t="s">
        <v>64</v>
      </c>
      <c r="H13" s="335" t="s">
        <v>58</v>
      </c>
      <c r="I13" s="335" t="s">
        <v>64</v>
      </c>
      <c r="J13" s="333" t="s">
        <v>67</v>
      </c>
      <c r="K13" s="337"/>
      <c r="L13" s="327">
        <v>8</v>
      </c>
      <c r="M13" s="328" t="s">
        <v>75</v>
      </c>
      <c r="N13" s="328" t="s">
        <v>47</v>
      </c>
    </row>
    <row r="14" spans="2:14" s="147" customFormat="1" ht="39.950000000000003" customHeight="1">
      <c r="B14" s="331" cm="1">
        <f t="array" ref="B14" xml:space="preserve"> ROW() - ROW($5:$5)</f>
        <v>9</v>
      </c>
      <c r="C14" s="338">
        <v>80</v>
      </c>
      <c r="D14" s="334" t="s">
        <v>81</v>
      </c>
      <c r="E14" s="332" t="s">
        <v>79</v>
      </c>
      <c r="F14" s="336" t="s">
        <v>93</v>
      </c>
      <c r="G14" s="335" t="s">
        <v>94</v>
      </c>
      <c r="H14" s="335" t="s">
        <v>83</v>
      </c>
      <c r="I14" s="335" t="s">
        <v>95</v>
      </c>
      <c r="J14" s="333" t="s">
        <v>96</v>
      </c>
      <c r="K14" s="337"/>
      <c r="L14" s="327">
        <v>9</v>
      </c>
      <c r="M14" s="328" t="s">
        <v>27</v>
      </c>
      <c r="N14" s="328" t="s">
        <v>57</v>
      </c>
    </row>
    <row r="15" spans="2:14" s="147" customFormat="1" ht="39.950000000000003" customHeight="1">
      <c r="B15" s="331" cm="1">
        <f t="array" ref="B15" xml:space="preserve"> ROW() - ROW($5:$5)</f>
        <v>10</v>
      </c>
      <c r="C15" s="338">
        <v>90</v>
      </c>
      <c r="D15" s="334" t="s">
        <v>109</v>
      </c>
      <c r="E15" s="332" t="s">
        <v>107</v>
      </c>
      <c r="F15" s="336" t="s">
        <v>121</v>
      </c>
      <c r="G15" s="335" t="s">
        <v>122</v>
      </c>
      <c r="H15" s="335" t="s">
        <v>602</v>
      </c>
      <c r="I15" s="335" t="s">
        <v>107</v>
      </c>
      <c r="J15" s="333" t="s">
        <v>123</v>
      </c>
      <c r="K15" s="337"/>
      <c r="L15" s="327">
        <v>10</v>
      </c>
      <c r="M15" s="328" t="s">
        <v>69</v>
      </c>
      <c r="N15" s="328" t="s">
        <v>32</v>
      </c>
    </row>
    <row r="16" spans="2:14" s="147" customFormat="1" ht="39.950000000000003" customHeight="1">
      <c r="B16" s="331" cm="1">
        <f t="array" ref="B16" xml:space="preserve"> ROW() - ROW($5:$5)</f>
        <v>11</v>
      </c>
      <c r="C16" s="338" t="s">
        <v>1356</v>
      </c>
      <c r="D16" s="334" t="s">
        <v>100</v>
      </c>
      <c r="E16" s="332" t="s">
        <v>98</v>
      </c>
      <c r="F16" s="336" t="s">
        <v>112</v>
      </c>
      <c r="G16" s="335" t="s">
        <v>113</v>
      </c>
      <c r="H16" s="335" t="s">
        <v>98</v>
      </c>
      <c r="I16" s="335" t="s">
        <v>113</v>
      </c>
      <c r="J16" s="333" t="s">
        <v>114</v>
      </c>
      <c r="K16" s="337"/>
      <c r="L16" s="327">
        <v>11</v>
      </c>
      <c r="M16" s="328" t="s">
        <v>48</v>
      </c>
      <c r="N16" s="328" t="s">
        <v>63</v>
      </c>
    </row>
    <row r="17" spans="2:14" s="147" customFormat="1" ht="39.950000000000003" customHeight="1">
      <c r="B17" s="331" cm="1">
        <f t="array" ref="B17" xml:space="preserve"> ROW() - ROW($5:$5)</f>
        <v>12</v>
      </c>
      <c r="C17" s="338" t="s">
        <v>1357</v>
      </c>
      <c r="D17" s="334" t="s">
        <v>13</v>
      </c>
      <c r="E17" s="339" t="s">
        <v>12</v>
      </c>
      <c r="F17" s="335" t="s">
        <v>606</v>
      </c>
      <c r="G17" s="335" t="s">
        <v>115</v>
      </c>
      <c r="H17" s="335" t="s">
        <v>115</v>
      </c>
      <c r="I17" s="335" t="s">
        <v>115</v>
      </c>
      <c r="J17" s="333" t="s">
        <v>12</v>
      </c>
      <c r="K17" s="337"/>
      <c r="L17" s="327">
        <v>12</v>
      </c>
      <c r="M17" s="328" t="s">
        <v>16</v>
      </c>
      <c r="N17" s="328" t="s">
        <v>74</v>
      </c>
    </row>
    <row r="18" spans="2:14" s="147" customFormat="1" ht="39.950000000000003" customHeight="1">
      <c r="B18" s="331" cm="1">
        <f t="array" ref="B18" xml:space="preserve"> ROW() - ROW($5:$5)</f>
        <v>13</v>
      </c>
      <c r="C18" s="338" t="s">
        <v>1359</v>
      </c>
      <c r="D18" s="334" t="s">
        <v>29</v>
      </c>
      <c r="E18" s="332" t="s">
        <v>27</v>
      </c>
      <c r="F18" s="335" t="s">
        <v>28</v>
      </c>
      <c r="G18" s="335" t="s">
        <v>27</v>
      </c>
      <c r="H18" s="335" t="s">
        <v>1360</v>
      </c>
      <c r="I18" s="335" t="s">
        <v>27</v>
      </c>
      <c r="J18" s="333" t="s">
        <v>31</v>
      </c>
      <c r="K18" s="337"/>
      <c r="L18" s="327">
        <v>13</v>
      </c>
      <c r="M18" s="328" t="s">
        <v>22</v>
      </c>
      <c r="N18" s="328" t="s">
        <v>68</v>
      </c>
    </row>
    <row r="19" spans="2:14" s="147" customFormat="1" ht="39.950000000000003" customHeight="1">
      <c r="B19" s="331" cm="1">
        <f t="array" ref="B19" xml:space="preserve"> ROW() - ROW($5:$5)</f>
        <v>14</v>
      </c>
      <c r="C19" s="338" t="s">
        <v>1361</v>
      </c>
      <c r="D19" s="334" t="s">
        <v>29</v>
      </c>
      <c r="E19" s="332" t="s">
        <v>19</v>
      </c>
      <c r="F19" s="335" t="s">
        <v>33</v>
      </c>
      <c r="G19" s="335" t="s">
        <v>19</v>
      </c>
      <c r="H19" s="335" t="s">
        <v>34</v>
      </c>
      <c r="I19" s="335" t="s">
        <v>19</v>
      </c>
      <c r="J19" s="333" t="s">
        <v>35</v>
      </c>
      <c r="K19" s="337"/>
      <c r="L19" s="327">
        <v>14</v>
      </c>
      <c r="M19" s="328" t="s">
        <v>98</v>
      </c>
      <c r="N19" s="328" t="s">
        <v>106</v>
      </c>
    </row>
    <row r="20" spans="2:14" s="147" customFormat="1" ht="39.950000000000003" customHeight="1">
      <c r="B20" s="331" cm="1">
        <f t="array" ref="B20" xml:space="preserve"> ROW() - ROW($5:$5)</f>
        <v>15</v>
      </c>
      <c r="C20" s="338" t="s">
        <v>1362</v>
      </c>
      <c r="D20" s="334" t="s">
        <v>50</v>
      </c>
      <c r="E20" s="332" t="s">
        <v>40</v>
      </c>
      <c r="F20" s="335" t="s">
        <v>54</v>
      </c>
      <c r="G20" s="335" t="s">
        <v>40</v>
      </c>
      <c r="H20" s="335" t="s">
        <v>55</v>
      </c>
      <c r="I20" s="335" t="s">
        <v>40</v>
      </c>
      <c r="J20" s="333" t="s">
        <v>56</v>
      </c>
      <c r="K20" s="337"/>
      <c r="L20" s="327">
        <v>15</v>
      </c>
      <c r="M20" s="328" t="s">
        <v>58</v>
      </c>
      <c r="N20" s="328" t="s">
        <v>53</v>
      </c>
    </row>
    <row r="21" spans="2:14" s="147" customFormat="1" ht="39.950000000000003" customHeight="1">
      <c r="B21" s="331" cm="1">
        <f t="array" ref="B21" xml:space="preserve"> ROW() - ROW($5:$5)</f>
        <v>16</v>
      </c>
      <c r="C21" s="338" t="s">
        <v>1363</v>
      </c>
      <c r="D21" s="334" t="s">
        <v>50</v>
      </c>
      <c r="E21" s="332" t="s">
        <v>48</v>
      </c>
      <c r="F21" s="335" t="s">
        <v>49</v>
      </c>
      <c r="G21" s="335" t="s">
        <v>48</v>
      </c>
      <c r="H21" s="335" t="s">
        <v>51</v>
      </c>
      <c r="I21" s="335" t="s">
        <v>48</v>
      </c>
      <c r="J21" s="333" t="s">
        <v>52</v>
      </c>
      <c r="K21" s="337"/>
      <c r="L21" s="327">
        <v>16</v>
      </c>
      <c r="M21" s="328" t="s">
        <v>64</v>
      </c>
      <c r="N21" s="328" t="s">
        <v>90</v>
      </c>
    </row>
    <row r="22" spans="2:14" s="147" customFormat="1" ht="39.950000000000003" customHeight="1">
      <c r="B22" s="331" cm="1">
        <f t="array" ref="B22" xml:space="preserve"> ROW() - ROW($5:$5)</f>
        <v>17</v>
      </c>
      <c r="C22" s="338" t="s">
        <v>1364</v>
      </c>
      <c r="D22" s="334" t="s">
        <v>88</v>
      </c>
      <c r="E22" s="332" t="s">
        <v>86</v>
      </c>
      <c r="F22" s="336" t="s">
        <v>102</v>
      </c>
      <c r="G22" s="335" t="s">
        <v>103</v>
      </c>
      <c r="H22" s="335" t="s">
        <v>91</v>
      </c>
      <c r="I22" s="335" t="s">
        <v>104</v>
      </c>
      <c r="J22" s="333" t="s">
        <v>105</v>
      </c>
      <c r="K22" s="337"/>
      <c r="L22" s="327">
        <v>17</v>
      </c>
      <c r="M22" s="328" t="s">
        <v>79</v>
      </c>
      <c r="N22" s="328" t="s">
        <v>85</v>
      </c>
    </row>
    <row r="23" spans="2:14" ht="39.950000000000003" customHeight="1">
      <c r="B23" s="331" cm="1">
        <f t="array" ref="B23" xml:space="preserve"> ROW() - ROW($5:$5)</f>
        <v>18</v>
      </c>
      <c r="C23" s="338" t="s">
        <v>1365</v>
      </c>
      <c r="D23" s="334" t="s">
        <v>118</v>
      </c>
      <c r="E23" s="332" t="s">
        <v>116</v>
      </c>
      <c r="F23" s="335" t="s">
        <v>117</v>
      </c>
      <c r="G23" s="335" t="s">
        <v>116</v>
      </c>
      <c r="H23" s="335" t="s">
        <v>116</v>
      </c>
      <c r="I23" s="335" t="s">
        <v>116</v>
      </c>
      <c r="J23" s="333" t="s">
        <v>119</v>
      </c>
      <c r="L23" s="327">
        <v>18</v>
      </c>
      <c r="M23" s="328" t="s">
        <v>86</v>
      </c>
      <c r="N23" s="328" t="s">
        <v>97</v>
      </c>
    </row>
  </sheetData>
  <phoneticPr fontId="1" type="noConversion"/>
  <hyperlinks>
    <hyperlink ref="F5" r:id="rId1" xr:uid="{73B71ADD-58AA-D545-98D0-1C5E6944AE24}"/>
    <hyperlink ref="H5" r:id="rId2" display="閩南拼音" xr:uid="{C09F5076-D2D2-B04D-80D7-0E3D746BACFE}"/>
    <hyperlink ref="I5" r:id="rId3" xr:uid="{B16F0A0B-86D7-E64A-9D4B-D2B6E283A33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89DC-B817-FF4C-A7B6-DC12474F0CFE}">
  <sheetPr>
    <tabColor rgb="FF00B0F0"/>
  </sheetPr>
  <dimension ref="B2:I76"/>
  <sheetViews>
    <sheetView showGridLines="0" workbookViewId="0">
      <pane ySplit="2" topLeftCell="A3" activePane="bottomLeft" state="frozen"/>
      <selection activeCell="F11" sqref="F11"/>
      <selection pane="bottomLeft" activeCell="L23" sqref="L23"/>
    </sheetView>
  </sheetViews>
  <sheetFormatPr defaultColWidth="10.7265625" defaultRowHeight="25.5"/>
  <cols>
    <col min="1" max="1" width="2.7265625" style="95" customWidth="1"/>
    <col min="2" max="2" width="7.81640625" style="6" bestFit="1" customWidth="1"/>
    <col min="3" max="3" width="12.08984375" style="23" customWidth="1"/>
    <col min="4" max="8" width="10.7265625" style="23"/>
    <col min="9" max="9" width="12.08984375" style="6" customWidth="1"/>
    <col min="10" max="16384" width="10.7265625" style="95"/>
  </cols>
  <sheetData>
    <row r="2" spans="2:9" s="6" customFormat="1">
      <c r="B2" s="324" t="s">
        <v>287</v>
      </c>
      <c r="C2" s="324" t="s">
        <v>288</v>
      </c>
      <c r="D2" s="324" t="s">
        <v>289</v>
      </c>
      <c r="E2" s="324" t="s">
        <v>284</v>
      </c>
      <c r="F2" s="324" t="s">
        <v>292</v>
      </c>
      <c r="G2" s="324" t="s">
        <v>293</v>
      </c>
      <c r="H2" s="324" t="s">
        <v>291</v>
      </c>
      <c r="I2" s="324" t="s">
        <v>290</v>
      </c>
    </row>
    <row r="3" spans="2:9">
      <c r="B3" s="167">
        <v>1</v>
      </c>
      <c r="C3" s="170" t="s">
        <v>139</v>
      </c>
      <c r="D3" s="170" t="s">
        <v>139</v>
      </c>
      <c r="E3" s="170" t="s">
        <v>139</v>
      </c>
      <c r="F3" s="170" t="s">
        <v>139</v>
      </c>
      <c r="G3" s="170" t="s">
        <v>139</v>
      </c>
      <c r="H3" s="170" t="s">
        <v>911</v>
      </c>
      <c r="I3" s="167" t="s">
        <v>138</v>
      </c>
    </row>
    <row r="4" spans="2:9">
      <c r="B4" s="167">
        <v>2</v>
      </c>
      <c r="C4" s="170" t="s">
        <v>145</v>
      </c>
      <c r="D4" s="170" t="s">
        <v>892</v>
      </c>
      <c r="E4" s="170" t="s">
        <v>296</v>
      </c>
      <c r="F4" s="170" t="s">
        <v>538</v>
      </c>
      <c r="G4" s="170" t="s">
        <v>145</v>
      </c>
      <c r="H4" s="170" t="s">
        <v>896</v>
      </c>
      <c r="I4" s="167" t="s">
        <v>144</v>
      </c>
    </row>
    <row r="5" spans="2:9">
      <c r="B5" s="167">
        <v>3</v>
      </c>
      <c r="C5" s="170" t="s">
        <v>140</v>
      </c>
      <c r="D5" s="170" t="s">
        <v>910</v>
      </c>
      <c r="E5" s="170" t="s">
        <v>140</v>
      </c>
      <c r="F5" s="170" t="s">
        <v>140</v>
      </c>
      <c r="G5" s="170" t="s">
        <v>140</v>
      </c>
      <c r="H5" s="170" t="s">
        <v>912</v>
      </c>
      <c r="I5" s="167" t="s">
        <v>138</v>
      </c>
    </row>
    <row r="6" spans="2:9">
      <c r="B6" s="167">
        <v>4</v>
      </c>
      <c r="C6" s="170" t="s">
        <v>146</v>
      </c>
      <c r="D6" s="170" t="s">
        <v>893</v>
      </c>
      <c r="E6" s="170" t="s">
        <v>297</v>
      </c>
      <c r="F6" s="170" t="s">
        <v>895</v>
      </c>
      <c r="G6" s="170" t="s">
        <v>146</v>
      </c>
      <c r="H6" s="170" t="s">
        <v>897</v>
      </c>
      <c r="I6" s="167" t="s">
        <v>144</v>
      </c>
    </row>
    <row r="7" spans="2:9">
      <c r="B7" s="167">
        <v>5</v>
      </c>
      <c r="C7" s="170" t="s">
        <v>151</v>
      </c>
      <c r="D7" s="170" t="s">
        <v>151</v>
      </c>
      <c r="E7" s="170" t="s">
        <v>151</v>
      </c>
      <c r="F7" s="170" t="s">
        <v>151</v>
      </c>
      <c r="G7" s="170" t="s">
        <v>151</v>
      </c>
      <c r="H7" s="170" t="s">
        <v>826</v>
      </c>
      <c r="I7" s="167" t="s">
        <v>150</v>
      </c>
    </row>
    <row r="8" spans="2:9">
      <c r="B8" s="167">
        <v>6</v>
      </c>
      <c r="C8" s="170" t="s">
        <v>157</v>
      </c>
      <c r="D8" s="170" t="s">
        <v>1439</v>
      </c>
      <c r="E8" s="170" t="s">
        <v>298</v>
      </c>
      <c r="F8" s="170" t="s">
        <v>1016</v>
      </c>
      <c r="G8" s="170" t="s">
        <v>157</v>
      </c>
      <c r="H8" s="170" t="s">
        <v>1018</v>
      </c>
      <c r="I8" s="167" t="s">
        <v>156</v>
      </c>
    </row>
    <row r="9" spans="2:9">
      <c r="B9" s="167">
        <v>7</v>
      </c>
      <c r="C9" s="170" t="s">
        <v>173</v>
      </c>
      <c r="D9" s="170" t="s">
        <v>855</v>
      </c>
      <c r="E9" s="170" t="s">
        <v>173</v>
      </c>
      <c r="F9" s="170" t="s">
        <v>173</v>
      </c>
      <c r="G9" s="170" t="s">
        <v>173</v>
      </c>
      <c r="H9" s="170" t="s">
        <v>1461</v>
      </c>
      <c r="I9" s="167" t="s">
        <v>171</v>
      </c>
    </row>
    <row r="10" spans="2:9">
      <c r="B10" s="167">
        <v>8</v>
      </c>
      <c r="C10" s="170" t="s">
        <v>163</v>
      </c>
      <c r="D10" s="170" t="s">
        <v>163</v>
      </c>
      <c r="E10" s="170" t="s">
        <v>163</v>
      </c>
      <c r="F10" s="170" t="s">
        <v>163</v>
      </c>
      <c r="G10" s="170" t="s">
        <v>163</v>
      </c>
      <c r="H10" s="170" t="s">
        <v>844</v>
      </c>
      <c r="I10" s="167" t="s">
        <v>162</v>
      </c>
    </row>
    <row r="11" spans="2:9">
      <c r="B11" s="167">
        <v>9</v>
      </c>
      <c r="C11" s="170" t="s">
        <v>166</v>
      </c>
      <c r="D11" s="170" t="s">
        <v>166</v>
      </c>
      <c r="E11" s="170" t="s">
        <v>166</v>
      </c>
      <c r="F11" s="170" t="s">
        <v>166</v>
      </c>
      <c r="G11" s="170" t="s">
        <v>166</v>
      </c>
      <c r="H11" s="170" t="s">
        <v>751</v>
      </c>
      <c r="I11" s="167" t="s">
        <v>165</v>
      </c>
    </row>
    <row r="12" spans="2:9">
      <c r="B12" s="167">
        <v>10</v>
      </c>
      <c r="C12" s="170" t="s">
        <v>172</v>
      </c>
      <c r="D12" s="170" t="s">
        <v>854</v>
      </c>
      <c r="E12" s="170" t="s">
        <v>172</v>
      </c>
      <c r="F12" s="170" t="s">
        <v>172</v>
      </c>
      <c r="G12" s="170" t="s">
        <v>172</v>
      </c>
      <c r="H12" s="170" t="s">
        <v>856</v>
      </c>
      <c r="I12" s="167" t="s">
        <v>171</v>
      </c>
    </row>
    <row r="13" spans="2:9">
      <c r="B13" s="167">
        <v>11</v>
      </c>
      <c r="C13" s="170" t="s">
        <v>164</v>
      </c>
      <c r="D13" s="170" t="s">
        <v>843</v>
      </c>
      <c r="E13" s="170" t="s">
        <v>164</v>
      </c>
      <c r="F13" s="170" t="s">
        <v>164</v>
      </c>
      <c r="G13" s="170" t="s">
        <v>164</v>
      </c>
      <c r="H13" s="170" t="s">
        <v>845</v>
      </c>
      <c r="I13" s="167" t="s">
        <v>162</v>
      </c>
    </row>
    <row r="14" spans="2:9">
      <c r="B14" s="167">
        <v>12</v>
      </c>
      <c r="C14" s="170" t="s">
        <v>164</v>
      </c>
      <c r="D14" s="170" t="s">
        <v>749</v>
      </c>
      <c r="E14" s="170" t="s">
        <v>167</v>
      </c>
      <c r="F14" s="170" t="s">
        <v>167</v>
      </c>
      <c r="G14" s="170" t="s">
        <v>164</v>
      </c>
      <c r="H14" s="170" t="s">
        <v>752</v>
      </c>
      <c r="I14" s="167" t="s">
        <v>165</v>
      </c>
    </row>
    <row r="15" spans="2:9">
      <c r="B15" s="167">
        <v>13</v>
      </c>
      <c r="C15" s="170" t="s">
        <v>178</v>
      </c>
      <c r="D15" s="170" t="s">
        <v>874</v>
      </c>
      <c r="E15" s="170" t="s">
        <v>178</v>
      </c>
      <c r="F15" s="170" t="s">
        <v>868</v>
      </c>
      <c r="G15" s="170" t="s">
        <v>178</v>
      </c>
      <c r="H15" s="170" t="s">
        <v>870</v>
      </c>
      <c r="I15" s="167" t="s">
        <v>177</v>
      </c>
    </row>
    <row r="16" spans="2:9">
      <c r="B16" s="167">
        <v>14</v>
      </c>
      <c r="C16" s="170" t="s">
        <v>179</v>
      </c>
      <c r="D16" s="170" t="s">
        <v>867</v>
      </c>
      <c r="E16" s="170" t="s">
        <v>179</v>
      </c>
      <c r="F16" s="170" t="s">
        <v>869</v>
      </c>
      <c r="G16" s="170" t="s">
        <v>179</v>
      </c>
      <c r="H16" s="170" t="s">
        <v>871</v>
      </c>
      <c r="I16" s="167" t="s">
        <v>177</v>
      </c>
    </row>
    <row r="17" spans="2:9">
      <c r="B17" s="167">
        <v>15</v>
      </c>
      <c r="C17" s="170" t="s">
        <v>160</v>
      </c>
      <c r="D17" s="170" t="s">
        <v>160</v>
      </c>
      <c r="E17" s="170" t="s">
        <v>160</v>
      </c>
      <c r="F17" s="170" t="s">
        <v>160</v>
      </c>
      <c r="G17" s="170" t="s">
        <v>160</v>
      </c>
      <c r="H17" s="170" t="s">
        <v>1009</v>
      </c>
      <c r="I17" s="167" t="s">
        <v>189</v>
      </c>
    </row>
    <row r="18" spans="2:9">
      <c r="B18" s="167">
        <v>16</v>
      </c>
      <c r="C18" s="170" t="s">
        <v>194</v>
      </c>
      <c r="D18" s="170" t="s">
        <v>1416</v>
      </c>
      <c r="E18" s="170" t="s">
        <v>301</v>
      </c>
      <c r="F18" s="170" t="s">
        <v>930</v>
      </c>
      <c r="G18" s="170" t="s">
        <v>194</v>
      </c>
      <c r="H18" s="170" t="s">
        <v>932</v>
      </c>
      <c r="I18" s="167" t="s">
        <v>193</v>
      </c>
    </row>
    <row r="19" spans="2:9">
      <c r="B19" s="167">
        <v>17</v>
      </c>
      <c r="C19" s="170" t="s">
        <v>161</v>
      </c>
      <c r="D19" s="170" t="s">
        <v>1008</v>
      </c>
      <c r="E19" s="170" t="s">
        <v>161</v>
      </c>
      <c r="F19" s="170" t="s">
        <v>161</v>
      </c>
      <c r="G19" s="170" t="s">
        <v>161</v>
      </c>
      <c r="H19" s="170" t="s">
        <v>1010</v>
      </c>
      <c r="I19" s="167" t="s">
        <v>189</v>
      </c>
    </row>
    <row r="20" spans="2:9">
      <c r="B20" s="167">
        <v>18</v>
      </c>
      <c r="C20" s="170" t="s">
        <v>195</v>
      </c>
      <c r="D20" s="170" t="s">
        <v>1417</v>
      </c>
      <c r="E20" s="170" t="s">
        <v>302</v>
      </c>
      <c r="F20" s="170" t="s">
        <v>931</v>
      </c>
      <c r="G20" s="170" t="s">
        <v>195</v>
      </c>
      <c r="H20" s="170" t="s">
        <v>933</v>
      </c>
      <c r="I20" s="167" t="s">
        <v>193</v>
      </c>
    </row>
    <row r="21" spans="2:9">
      <c r="B21" s="167">
        <v>19</v>
      </c>
      <c r="C21" s="170" t="s">
        <v>182</v>
      </c>
      <c r="D21" s="170" t="s">
        <v>770</v>
      </c>
      <c r="E21" s="170" t="s">
        <v>303</v>
      </c>
      <c r="F21" s="170" t="s">
        <v>182</v>
      </c>
      <c r="G21" s="170" t="s">
        <v>182</v>
      </c>
      <c r="H21" s="170" t="s">
        <v>1462</v>
      </c>
      <c r="I21" s="167" t="s">
        <v>180</v>
      </c>
    </row>
    <row r="22" spans="2:9">
      <c r="B22" s="167">
        <v>20</v>
      </c>
      <c r="C22" s="170" t="s">
        <v>181</v>
      </c>
      <c r="D22" s="170" t="s">
        <v>769</v>
      </c>
      <c r="E22" s="170" t="s">
        <v>305</v>
      </c>
      <c r="F22" s="170" t="s">
        <v>181</v>
      </c>
      <c r="G22" s="170" t="s">
        <v>181</v>
      </c>
      <c r="H22" s="170" t="s">
        <v>771</v>
      </c>
      <c r="I22" s="167" t="s">
        <v>180</v>
      </c>
    </row>
    <row r="23" spans="2:9">
      <c r="B23" s="167">
        <v>21</v>
      </c>
      <c r="C23" s="170" t="s">
        <v>200</v>
      </c>
      <c r="D23" s="170" t="s">
        <v>200</v>
      </c>
      <c r="E23" s="170" t="s">
        <v>200</v>
      </c>
      <c r="F23" s="170" t="s">
        <v>200</v>
      </c>
      <c r="G23" s="170" t="s">
        <v>200</v>
      </c>
      <c r="H23" s="170" t="s">
        <v>917</v>
      </c>
      <c r="I23" s="167" t="s">
        <v>199</v>
      </c>
    </row>
    <row r="24" spans="2:9">
      <c r="B24" s="167">
        <v>22</v>
      </c>
      <c r="C24" s="170" t="s">
        <v>204</v>
      </c>
      <c r="D24" s="170" t="s">
        <v>957</v>
      </c>
      <c r="E24" s="170" t="s">
        <v>306</v>
      </c>
      <c r="F24" s="170" t="s">
        <v>960</v>
      </c>
      <c r="G24" s="170" t="s">
        <v>204</v>
      </c>
      <c r="H24" s="170" t="s">
        <v>962</v>
      </c>
      <c r="I24" s="167" t="s">
        <v>203</v>
      </c>
    </row>
    <row r="25" spans="2:9">
      <c r="B25" s="167">
        <v>23</v>
      </c>
      <c r="C25" s="170" t="s">
        <v>212</v>
      </c>
      <c r="D25" s="170" t="s">
        <v>212</v>
      </c>
      <c r="E25" s="170" t="s">
        <v>212</v>
      </c>
      <c r="F25" s="170" t="s">
        <v>212</v>
      </c>
      <c r="G25" s="170" t="s">
        <v>212</v>
      </c>
      <c r="H25" s="170" t="s">
        <v>878</v>
      </c>
      <c r="I25" s="167" t="s">
        <v>211</v>
      </c>
    </row>
    <row r="26" spans="2:9">
      <c r="B26" s="167">
        <v>24</v>
      </c>
      <c r="C26" s="170" t="s">
        <v>218</v>
      </c>
      <c r="D26" s="170" t="s">
        <v>1429</v>
      </c>
      <c r="E26" s="170" t="s">
        <v>307</v>
      </c>
      <c r="F26" s="170" t="s">
        <v>982</v>
      </c>
      <c r="G26" s="170" t="s">
        <v>218</v>
      </c>
      <c r="H26" s="170" t="s">
        <v>984</v>
      </c>
      <c r="I26" s="167" t="s">
        <v>217</v>
      </c>
    </row>
    <row r="27" spans="2:9">
      <c r="B27" s="167">
        <v>25</v>
      </c>
      <c r="C27" s="170" t="s">
        <v>213</v>
      </c>
      <c r="D27" s="170" t="s">
        <v>877</v>
      </c>
      <c r="E27" s="170" t="s">
        <v>213</v>
      </c>
      <c r="F27" s="170" t="s">
        <v>213</v>
      </c>
      <c r="G27" s="170" t="s">
        <v>213</v>
      </c>
      <c r="H27" s="170" t="s">
        <v>879</v>
      </c>
      <c r="I27" s="167" t="s">
        <v>211</v>
      </c>
    </row>
    <row r="28" spans="2:9">
      <c r="B28" s="167">
        <v>26</v>
      </c>
      <c r="C28" s="325" t="s">
        <v>219</v>
      </c>
      <c r="D28" s="325" t="s">
        <v>1463</v>
      </c>
      <c r="E28" s="325" t="s">
        <v>309</v>
      </c>
      <c r="F28" s="325" t="s">
        <v>1464</v>
      </c>
      <c r="G28" s="325" t="s">
        <v>219</v>
      </c>
      <c r="H28" s="325" t="s">
        <v>985</v>
      </c>
      <c r="I28" s="326" t="s">
        <v>217</v>
      </c>
    </row>
    <row r="29" spans="2:9">
      <c r="B29" s="167">
        <v>27</v>
      </c>
      <c r="C29" s="325" t="s">
        <v>228</v>
      </c>
      <c r="D29" s="325" t="s">
        <v>837</v>
      </c>
      <c r="E29" s="325" t="s">
        <v>228</v>
      </c>
      <c r="F29" s="325" t="s">
        <v>228</v>
      </c>
      <c r="G29" s="325" t="s">
        <v>228</v>
      </c>
      <c r="H29" s="325" t="s">
        <v>839</v>
      </c>
      <c r="I29" s="326" t="s">
        <v>226</v>
      </c>
    </row>
    <row r="30" spans="2:9">
      <c r="B30" s="167">
        <v>28</v>
      </c>
      <c r="C30" s="170" t="s">
        <v>221</v>
      </c>
      <c r="D30" s="170" t="s">
        <v>221</v>
      </c>
      <c r="E30" s="170" t="s">
        <v>221</v>
      </c>
      <c r="F30" s="170" t="s">
        <v>221</v>
      </c>
      <c r="G30" s="170" t="s">
        <v>221</v>
      </c>
      <c r="H30" s="170" t="s">
        <v>861</v>
      </c>
      <c r="I30" s="167" t="s">
        <v>220</v>
      </c>
    </row>
    <row r="31" spans="2:9">
      <c r="B31" s="167">
        <v>29</v>
      </c>
      <c r="C31" s="170" t="s">
        <v>142</v>
      </c>
      <c r="D31" s="170" t="s">
        <v>142</v>
      </c>
      <c r="E31" s="170" t="s">
        <v>142</v>
      </c>
      <c r="F31" s="170" t="s">
        <v>142</v>
      </c>
      <c r="G31" s="170" t="s">
        <v>142</v>
      </c>
      <c r="H31" s="170" t="s">
        <v>715</v>
      </c>
      <c r="I31" s="167" t="s">
        <v>141</v>
      </c>
    </row>
    <row r="32" spans="2:9">
      <c r="B32" s="167">
        <v>30</v>
      </c>
      <c r="C32" s="170" t="s">
        <v>227</v>
      </c>
      <c r="D32" s="170" t="s">
        <v>836</v>
      </c>
      <c r="E32" s="170" t="s">
        <v>227</v>
      </c>
      <c r="F32" s="170" t="s">
        <v>227</v>
      </c>
      <c r="G32" s="170" t="s">
        <v>227</v>
      </c>
      <c r="H32" s="170" t="s">
        <v>838</v>
      </c>
      <c r="I32" s="167" t="s">
        <v>226</v>
      </c>
    </row>
    <row r="33" spans="2:9">
      <c r="B33" s="167">
        <v>31</v>
      </c>
      <c r="C33" s="170" t="s">
        <v>222</v>
      </c>
      <c r="D33" s="170" t="s">
        <v>1408</v>
      </c>
      <c r="E33" s="170" t="s">
        <v>222</v>
      </c>
      <c r="F33" s="170" t="s">
        <v>222</v>
      </c>
      <c r="G33" s="170" t="s">
        <v>222</v>
      </c>
      <c r="H33" s="170" t="s">
        <v>862</v>
      </c>
      <c r="I33" s="167" t="s">
        <v>220</v>
      </c>
    </row>
    <row r="34" spans="2:9">
      <c r="B34" s="167">
        <v>32</v>
      </c>
      <c r="C34" s="170" t="s">
        <v>143</v>
      </c>
      <c r="D34" s="170" t="s">
        <v>714</v>
      </c>
      <c r="E34" s="170" t="s">
        <v>143</v>
      </c>
      <c r="F34" s="170" t="s">
        <v>143</v>
      </c>
      <c r="G34" s="170" t="s">
        <v>143</v>
      </c>
      <c r="H34" s="170" t="s">
        <v>716</v>
      </c>
      <c r="I34" s="167" t="s">
        <v>141</v>
      </c>
    </row>
    <row r="35" spans="2:9">
      <c r="B35" s="167">
        <v>33</v>
      </c>
      <c r="C35" s="170" t="s">
        <v>197</v>
      </c>
      <c r="D35" s="170" t="s">
        <v>1401</v>
      </c>
      <c r="E35" s="170" t="s">
        <v>197</v>
      </c>
      <c r="F35" s="170" t="s">
        <v>793</v>
      </c>
      <c r="G35" s="170" t="s">
        <v>197</v>
      </c>
      <c r="H35" s="170" t="s">
        <v>795</v>
      </c>
      <c r="I35" s="167" t="s">
        <v>196</v>
      </c>
    </row>
    <row r="36" spans="2:9">
      <c r="B36" s="167">
        <v>34</v>
      </c>
      <c r="C36" s="170" t="s">
        <v>233</v>
      </c>
      <c r="D36" s="170" t="s">
        <v>1454</v>
      </c>
      <c r="E36" s="170" t="s">
        <v>310</v>
      </c>
      <c r="F36" s="170" t="s">
        <v>1078</v>
      </c>
      <c r="G36" s="170" t="s">
        <v>233</v>
      </c>
      <c r="H36" s="170" t="s">
        <v>1080</v>
      </c>
      <c r="I36" s="167" t="s">
        <v>232</v>
      </c>
    </row>
    <row r="37" spans="2:9">
      <c r="B37" s="167">
        <v>35</v>
      </c>
      <c r="C37" s="170" t="s">
        <v>198</v>
      </c>
      <c r="D37" s="170" t="s">
        <v>792</v>
      </c>
      <c r="E37" s="170" t="s">
        <v>198</v>
      </c>
      <c r="F37" s="170" t="s">
        <v>794</v>
      </c>
      <c r="G37" s="170" t="s">
        <v>198</v>
      </c>
      <c r="H37" s="170" t="s">
        <v>796</v>
      </c>
      <c r="I37" s="167" t="s">
        <v>196</v>
      </c>
    </row>
    <row r="38" spans="2:9">
      <c r="B38" s="167">
        <v>36</v>
      </c>
      <c r="C38" s="170" t="s">
        <v>201</v>
      </c>
      <c r="D38" s="170" t="s">
        <v>916</v>
      </c>
      <c r="E38" s="170" t="s">
        <v>201</v>
      </c>
      <c r="F38" s="170" t="s">
        <v>201</v>
      </c>
      <c r="G38" s="170" t="s">
        <v>201</v>
      </c>
      <c r="H38" s="170" t="s">
        <v>918</v>
      </c>
      <c r="I38" s="167" t="s">
        <v>199</v>
      </c>
    </row>
    <row r="39" spans="2:9">
      <c r="B39" s="167">
        <v>37</v>
      </c>
      <c r="C39" s="170" t="s">
        <v>148</v>
      </c>
      <c r="D39" s="170" t="s">
        <v>148</v>
      </c>
      <c r="E39" s="170" t="s">
        <v>148</v>
      </c>
      <c r="F39" s="170" t="s">
        <v>148</v>
      </c>
      <c r="G39" s="170" t="s">
        <v>148</v>
      </c>
      <c r="H39" s="170" t="s">
        <v>722</v>
      </c>
      <c r="I39" s="167" t="s">
        <v>147</v>
      </c>
    </row>
    <row r="40" spans="2:9">
      <c r="B40" s="167">
        <v>38</v>
      </c>
      <c r="C40" s="170" t="s">
        <v>224</v>
      </c>
      <c r="D40" s="170" t="s">
        <v>224</v>
      </c>
      <c r="E40" s="170" t="s">
        <v>224</v>
      </c>
      <c r="F40" s="170" t="s">
        <v>224</v>
      </c>
      <c r="G40" s="170" t="s">
        <v>224</v>
      </c>
      <c r="H40" s="170" t="s">
        <v>832</v>
      </c>
      <c r="I40" s="167" t="s">
        <v>223</v>
      </c>
    </row>
    <row r="41" spans="2:9">
      <c r="B41" s="167">
        <v>39</v>
      </c>
      <c r="C41" s="170" t="s">
        <v>236</v>
      </c>
      <c r="D41" s="170" t="s">
        <v>236</v>
      </c>
      <c r="E41" s="170" t="s">
        <v>236</v>
      </c>
      <c r="F41" s="170" t="s">
        <v>236</v>
      </c>
      <c r="G41" s="170" t="s">
        <v>236</v>
      </c>
      <c r="H41" s="170" t="s">
        <v>951</v>
      </c>
      <c r="I41" s="167" t="s">
        <v>235</v>
      </c>
    </row>
    <row r="42" spans="2:9">
      <c r="B42" s="167">
        <v>40</v>
      </c>
      <c r="C42" s="170" t="s">
        <v>237</v>
      </c>
      <c r="D42" s="170" t="s">
        <v>1422</v>
      </c>
      <c r="E42" s="170" t="s">
        <v>237</v>
      </c>
      <c r="F42" s="170" t="s">
        <v>237</v>
      </c>
      <c r="G42" s="170" t="s">
        <v>237</v>
      </c>
      <c r="H42" s="170" t="s">
        <v>952</v>
      </c>
      <c r="I42" s="167" t="s">
        <v>235</v>
      </c>
    </row>
    <row r="43" spans="2:9">
      <c r="B43" s="167">
        <v>41</v>
      </c>
      <c r="C43" s="170" t="s">
        <v>210</v>
      </c>
      <c r="D43" s="170" t="s">
        <v>811</v>
      </c>
      <c r="E43" s="170" t="s">
        <v>210</v>
      </c>
      <c r="F43" s="170" t="s">
        <v>210</v>
      </c>
      <c r="G43" s="170" t="s">
        <v>210</v>
      </c>
      <c r="H43" s="170" t="s">
        <v>813</v>
      </c>
      <c r="I43" s="167" t="s">
        <v>208</v>
      </c>
    </row>
    <row r="44" spans="2:9">
      <c r="B44" s="167">
        <v>42</v>
      </c>
      <c r="C44" s="170" t="s">
        <v>209</v>
      </c>
      <c r="D44" s="170" t="s">
        <v>810</v>
      </c>
      <c r="E44" s="170" t="s">
        <v>209</v>
      </c>
      <c r="F44" s="170" t="s">
        <v>209</v>
      </c>
      <c r="G44" s="170" t="s">
        <v>209</v>
      </c>
      <c r="H44" s="170" t="s">
        <v>812</v>
      </c>
      <c r="I44" s="167" t="s">
        <v>208</v>
      </c>
    </row>
    <row r="45" spans="2:9">
      <c r="B45" s="167">
        <v>43</v>
      </c>
      <c r="C45" s="170" t="s">
        <v>149</v>
      </c>
      <c r="D45" s="170" t="s">
        <v>721</v>
      </c>
      <c r="E45" s="170" t="s">
        <v>149</v>
      </c>
      <c r="F45" s="170" t="s">
        <v>149</v>
      </c>
      <c r="G45" s="170" t="s">
        <v>149</v>
      </c>
      <c r="H45" s="170" t="s">
        <v>723</v>
      </c>
      <c r="I45" s="167" t="s">
        <v>147</v>
      </c>
    </row>
    <row r="46" spans="2:9">
      <c r="B46" s="167">
        <v>44</v>
      </c>
      <c r="C46" s="170" t="s">
        <v>225</v>
      </c>
      <c r="D46" s="170" t="s">
        <v>831</v>
      </c>
      <c r="E46" s="170" t="s">
        <v>225</v>
      </c>
      <c r="F46" s="170" t="s">
        <v>225</v>
      </c>
      <c r="G46" s="170" t="s">
        <v>225</v>
      </c>
      <c r="H46" s="170" t="s">
        <v>833</v>
      </c>
      <c r="I46" s="167" t="s">
        <v>223</v>
      </c>
    </row>
    <row r="47" spans="2:9">
      <c r="B47" s="167">
        <v>45</v>
      </c>
      <c r="C47" s="170" t="s">
        <v>242</v>
      </c>
      <c r="D47" s="170" t="s">
        <v>242</v>
      </c>
      <c r="E47" s="170" t="s">
        <v>242</v>
      </c>
      <c r="F47" s="170" t="s">
        <v>242</v>
      </c>
      <c r="G47" s="170" t="s">
        <v>242</v>
      </c>
      <c r="H47" s="170" t="s">
        <v>923</v>
      </c>
      <c r="I47" s="167" t="s">
        <v>241</v>
      </c>
    </row>
    <row r="48" spans="2:9">
      <c r="B48" s="167">
        <v>46</v>
      </c>
      <c r="C48" s="170" t="s">
        <v>248</v>
      </c>
      <c r="D48" s="170" t="s">
        <v>1460</v>
      </c>
      <c r="E48" s="170" t="s">
        <v>311</v>
      </c>
      <c r="F48" s="170" t="s">
        <v>1108</v>
      </c>
      <c r="G48" s="170" t="s">
        <v>248</v>
      </c>
      <c r="H48" s="170" t="s">
        <v>1110</v>
      </c>
      <c r="I48" s="167" t="s">
        <v>255</v>
      </c>
    </row>
    <row r="49" spans="2:9">
      <c r="B49" s="167">
        <v>47</v>
      </c>
      <c r="C49" s="325" t="s">
        <v>249</v>
      </c>
      <c r="D49" s="325" t="s">
        <v>1465</v>
      </c>
      <c r="E49" s="325" t="s">
        <v>312</v>
      </c>
      <c r="F49" s="325" t="s">
        <v>1466</v>
      </c>
      <c r="G49" s="325" t="s">
        <v>249</v>
      </c>
      <c r="H49" s="325" t="s">
        <v>1111</v>
      </c>
      <c r="I49" s="326" t="s">
        <v>255</v>
      </c>
    </row>
    <row r="50" spans="2:9">
      <c r="B50" s="167">
        <v>48</v>
      </c>
      <c r="C50" s="170" t="s">
        <v>27</v>
      </c>
      <c r="D50" s="170" t="s">
        <v>1445</v>
      </c>
      <c r="E50" s="170" t="s">
        <v>27</v>
      </c>
      <c r="F50" s="170" t="s">
        <v>27</v>
      </c>
      <c r="G50" s="170" t="s">
        <v>27</v>
      </c>
      <c r="H50" s="170" t="s">
        <v>1038</v>
      </c>
      <c r="I50" s="167" t="s">
        <v>251</v>
      </c>
    </row>
    <row r="51" spans="2:9">
      <c r="B51" s="167">
        <v>49</v>
      </c>
      <c r="C51" s="325" t="s">
        <v>252</v>
      </c>
      <c r="D51" s="325" t="s">
        <v>1467</v>
      </c>
      <c r="E51" s="325" t="s">
        <v>252</v>
      </c>
      <c r="F51" s="325" t="s">
        <v>252</v>
      </c>
      <c r="G51" s="325" t="s">
        <v>252</v>
      </c>
      <c r="H51" s="325" t="s">
        <v>1039</v>
      </c>
      <c r="I51" s="326" t="s">
        <v>251</v>
      </c>
    </row>
    <row r="52" spans="2:9">
      <c r="B52" s="167">
        <v>50</v>
      </c>
      <c r="C52" s="170" t="s">
        <v>48</v>
      </c>
      <c r="D52" s="170" t="s">
        <v>1435</v>
      </c>
      <c r="E52" s="170" t="s">
        <v>48</v>
      </c>
      <c r="F52" s="170" t="s">
        <v>48</v>
      </c>
      <c r="G52" s="170" t="s">
        <v>48</v>
      </c>
      <c r="H52" s="170" t="s">
        <v>1003</v>
      </c>
      <c r="I52" s="167" t="s">
        <v>260</v>
      </c>
    </row>
    <row r="53" spans="2:9">
      <c r="B53" s="167">
        <v>51</v>
      </c>
      <c r="C53" s="325" t="s">
        <v>254</v>
      </c>
      <c r="D53" s="325" t="s">
        <v>1468</v>
      </c>
      <c r="E53" s="325" t="s">
        <v>254</v>
      </c>
      <c r="F53" s="325" t="s">
        <v>254</v>
      </c>
      <c r="G53" s="325" t="s">
        <v>254</v>
      </c>
      <c r="H53" s="325" t="s">
        <v>1004</v>
      </c>
      <c r="I53" s="326" t="s">
        <v>260</v>
      </c>
    </row>
    <row r="54" spans="2:9">
      <c r="B54" s="167">
        <v>52</v>
      </c>
      <c r="C54" s="170" t="s">
        <v>215</v>
      </c>
      <c r="D54" s="170" t="s">
        <v>215</v>
      </c>
      <c r="E54" s="170" t="s">
        <v>215</v>
      </c>
      <c r="F54" s="170" t="s">
        <v>215</v>
      </c>
      <c r="G54" s="170" t="s">
        <v>215</v>
      </c>
      <c r="H54" s="170" t="s">
        <v>819</v>
      </c>
      <c r="I54" s="167" t="s">
        <v>214</v>
      </c>
    </row>
    <row r="55" spans="2:9">
      <c r="B55" s="167">
        <v>53</v>
      </c>
      <c r="C55" s="170" t="s">
        <v>258</v>
      </c>
      <c r="D55" s="170" t="s">
        <v>1442</v>
      </c>
      <c r="E55" s="170" t="s">
        <v>313</v>
      </c>
      <c r="F55" s="170" t="s">
        <v>1029</v>
      </c>
      <c r="G55" s="170" t="s">
        <v>258</v>
      </c>
      <c r="H55" s="170" t="s">
        <v>1031</v>
      </c>
      <c r="I55" s="167" t="s">
        <v>256</v>
      </c>
    </row>
    <row r="56" spans="2:9">
      <c r="B56" s="167">
        <v>54</v>
      </c>
      <c r="C56" s="170" t="s">
        <v>191</v>
      </c>
      <c r="D56" s="170" t="s">
        <v>1399</v>
      </c>
      <c r="E56" s="170" t="s">
        <v>1469</v>
      </c>
      <c r="F56" s="170" t="s">
        <v>191</v>
      </c>
      <c r="G56" s="170" t="s">
        <v>191</v>
      </c>
      <c r="H56" s="170" t="s">
        <v>786</v>
      </c>
      <c r="I56" s="167" t="s">
        <v>190</v>
      </c>
    </row>
    <row r="57" spans="2:9">
      <c r="B57" s="167">
        <v>55</v>
      </c>
      <c r="C57" s="170" t="s">
        <v>230</v>
      </c>
      <c r="D57" s="170" t="s">
        <v>230</v>
      </c>
      <c r="E57" s="170" t="s">
        <v>315</v>
      </c>
      <c r="F57" s="170" t="s">
        <v>230</v>
      </c>
      <c r="G57" s="170" t="s">
        <v>230</v>
      </c>
      <c r="H57" s="170" t="s">
        <v>848</v>
      </c>
      <c r="I57" s="167" t="s">
        <v>229</v>
      </c>
    </row>
    <row r="58" spans="2:9">
      <c r="B58" s="167">
        <v>56</v>
      </c>
      <c r="C58" s="170" t="s">
        <v>265</v>
      </c>
      <c r="D58" s="170" t="s">
        <v>1432</v>
      </c>
      <c r="E58" s="170" t="s">
        <v>316</v>
      </c>
      <c r="F58" s="170" t="s">
        <v>993</v>
      </c>
      <c r="G58" s="170" t="s">
        <v>265</v>
      </c>
      <c r="H58" s="170" t="s">
        <v>995</v>
      </c>
      <c r="I58" s="167" t="s">
        <v>264</v>
      </c>
    </row>
    <row r="59" spans="2:9">
      <c r="B59" s="167">
        <v>57</v>
      </c>
      <c r="C59" s="170" t="s">
        <v>231</v>
      </c>
      <c r="D59" s="170" t="s">
        <v>847</v>
      </c>
      <c r="E59" s="170" t="s">
        <v>317</v>
      </c>
      <c r="F59" s="170" t="s">
        <v>231</v>
      </c>
      <c r="G59" s="170" t="s">
        <v>231</v>
      </c>
      <c r="H59" s="170" t="s">
        <v>849</v>
      </c>
      <c r="I59" s="167" t="s">
        <v>229</v>
      </c>
    </row>
    <row r="60" spans="2:9">
      <c r="B60" s="167">
        <v>58</v>
      </c>
      <c r="C60" s="170" t="s">
        <v>175</v>
      </c>
      <c r="D60" s="170" t="s">
        <v>175</v>
      </c>
      <c r="E60" s="170" t="s">
        <v>318</v>
      </c>
      <c r="F60" s="170" t="s">
        <v>175</v>
      </c>
      <c r="G60" s="170" t="s">
        <v>175</v>
      </c>
      <c r="H60" s="170" t="s">
        <v>763</v>
      </c>
      <c r="I60" s="167" t="s">
        <v>174</v>
      </c>
    </row>
    <row r="61" spans="2:9">
      <c r="B61" s="167">
        <v>59</v>
      </c>
      <c r="C61" s="170" t="s">
        <v>273</v>
      </c>
      <c r="D61" s="170" t="s">
        <v>1450</v>
      </c>
      <c r="E61" s="170" t="s">
        <v>319</v>
      </c>
      <c r="F61" s="170" t="s">
        <v>1054</v>
      </c>
      <c r="G61" s="170" t="s">
        <v>273</v>
      </c>
      <c r="H61" s="170" t="s">
        <v>1056</v>
      </c>
      <c r="I61" s="167" t="s">
        <v>276</v>
      </c>
    </row>
    <row r="62" spans="2:9">
      <c r="B62" s="167">
        <v>60</v>
      </c>
      <c r="C62" s="325" t="s">
        <v>187</v>
      </c>
      <c r="D62" s="325" t="s">
        <v>187</v>
      </c>
      <c r="E62" s="325" t="s">
        <v>320</v>
      </c>
      <c r="F62" s="325" t="s">
        <v>187</v>
      </c>
      <c r="G62" s="325" t="s">
        <v>187</v>
      </c>
      <c r="H62" s="325" t="s">
        <v>776</v>
      </c>
      <c r="I62" s="326" t="s">
        <v>186</v>
      </c>
    </row>
    <row r="63" spans="2:9">
      <c r="B63" s="167">
        <v>61</v>
      </c>
      <c r="C63" s="170" t="s">
        <v>270</v>
      </c>
      <c r="D63" s="170" t="s">
        <v>1043</v>
      </c>
      <c r="E63" s="170" t="s">
        <v>321</v>
      </c>
      <c r="F63" s="170" t="s">
        <v>270</v>
      </c>
      <c r="G63" s="170" t="s">
        <v>270</v>
      </c>
      <c r="H63" s="170" t="s">
        <v>1046</v>
      </c>
      <c r="I63" s="167" t="s">
        <v>269</v>
      </c>
    </row>
    <row r="64" spans="2:9">
      <c r="B64" s="167">
        <v>62</v>
      </c>
      <c r="C64" s="170" t="s">
        <v>188</v>
      </c>
      <c r="D64" s="170" t="s">
        <v>775</v>
      </c>
      <c r="E64" s="170" t="s">
        <v>322</v>
      </c>
      <c r="F64" s="170" t="s">
        <v>188</v>
      </c>
      <c r="G64" s="170" t="s">
        <v>188</v>
      </c>
      <c r="H64" s="170" t="s">
        <v>777</v>
      </c>
      <c r="I64" s="167" t="s">
        <v>186</v>
      </c>
    </row>
    <row r="65" spans="2:9">
      <c r="B65" s="167">
        <v>63</v>
      </c>
      <c r="C65" s="170" t="s">
        <v>239</v>
      </c>
      <c r="D65" s="170" t="s">
        <v>239</v>
      </c>
      <c r="E65" s="170" t="s">
        <v>323</v>
      </c>
      <c r="F65" s="170" t="s">
        <v>239</v>
      </c>
      <c r="G65" s="170" t="s">
        <v>239</v>
      </c>
      <c r="H65" s="170" t="s">
        <v>1470</v>
      </c>
      <c r="I65" s="167" t="s">
        <v>238</v>
      </c>
    </row>
    <row r="66" spans="2:9">
      <c r="B66" s="167">
        <v>64</v>
      </c>
      <c r="C66" s="170" t="s">
        <v>240</v>
      </c>
      <c r="D66" s="170" t="s">
        <v>885</v>
      </c>
      <c r="E66" s="170" t="s">
        <v>324</v>
      </c>
      <c r="F66" s="170" t="s">
        <v>240</v>
      </c>
      <c r="G66" s="170" t="s">
        <v>240</v>
      </c>
      <c r="H66" s="170" t="s">
        <v>1471</v>
      </c>
      <c r="I66" s="167" t="s">
        <v>238</v>
      </c>
    </row>
    <row r="67" spans="2:9">
      <c r="B67" s="167">
        <v>65</v>
      </c>
      <c r="C67" s="170" t="s">
        <v>216</v>
      </c>
      <c r="D67" s="170" t="s">
        <v>1405</v>
      </c>
      <c r="E67" s="170" t="s">
        <v>216</v>
      </c>
      <c r="F67" s="170" t="s">
        <v>216</v>
      </c>
      <c r="G67" s="170" t="s">
        <v>216</v>
      </c>
      <c r="H67" s="170" t="s">
        <v>820</v>
      </c>
      <c r="I67" s="167" t="s">
        <v>214</v>
      </c>
    </row>
    <row r="68" spans="2:9">
      <c r="B68" s="167">
        <v>67</v>
      </c>
      <c r="C68" s="170" t="s">
        <v>259</v>
      </c>
      <c r="D68" s="170" t="s">
        <v>1472</v>
      </c>
      <c r="E68" s="170" t="s">
        <v>325</v>
      </c>
      <c r="F68" s="170" t="s">
        <v>1473</v>
      </c>
      <c r="G68" s="170" t="s">
        <v>259</v>
      </c>
      <c r="H68" s="170" t="s">
        <v>1032</v>
      </c>
      <c r="I68" s="167" t="s">
        <v>256</v>
      </c>
    </row>
    <row r="69" spans="2:9">
      <c r="B69" s="167">
        <v>68</v>
      </c>
      <c r="C69" s="170" t="s">
        <v>170</v>
      </c>
      <c r="D69" s="170" t="s">
        <v>756</v>
      </c>
      <c r="E69" s="170" t="s">
        <v>170</v>
      </c>
      <c r="F69" s="170" t="s">
        <v>170</v>
      </c>
      <c r="G69" s="170" t="s">
        <v>170</v>
      </c>
      <c r="H69" s="170" t="s">
        <v>758</v>
      </c>
      <c r="I69" s="167" t="s">
        <v>168</v>
      </c>
    </row>
    <row r="70" spans="2:9">
      <c r="B70" s="167">
        <v>69</v>
      </c>
      <c r="C70" s="170" t="s">
        <v>262</v>
      </c>
      <c r="D70" s="170" t="s">
        <v>1084</v>
      </c>
      <c r="E70" s="170" t="s">
        <v>262</v>
      </c>
      <c r="F70" s="170" t="s">
        <v>262</v>
      </c>
      <c r="G70" s="170" t="s">
        <v>262</v>
      </c>
      <c r="H70" s="170" t="s">
        <v>1086</v>
      </c>
      <c r="I70" s="167" t="s">
        <v>261</v>
      </c>
    </row>
    <row r="71" spans="2:9">
      <c r="B71" s="167">
        <v>70</v>
      </c>
      <c r="C71" s="170" t="s">
        <v>169</v>
      </c>
      <c r="D71" s="170" t="s">
        <v>755</v>
      </c>
      <c r="E71" s="170" t="s">
        <v>169</v>
      </c>
      <c r="F71" s="170" t="s">
        <v>169</v>
      </c>
      <c r="G71" s="170" t="s">
        <v>169</v>
      </c>
      <c r="H71" s="170" t="s">
        <v>757</v>
      </c>
      <c r="I71" s="167" t="s">
        <v>168</v>
      </c>
    </row>
    <row r="72" spans="2:9">
      <c r="B72" s="167">
        <v>71</v>
      </c>
      <c r="C72" s="170" t="s">
        <v>245</v>
      </c>
      <c r="D72" s="170" t="s">
        <v>245</v>
      </c>
      <c r="E72" s="170" t="s">
        <v>245</v>
      </c>
      <c r="F72" s="170" t="s">
        <v>245</v>
      </c>
      <c r="G72" s="170" t="s">
        <v>245</v>
      </c>
      <c r="H72" s="170" t="s">
        <v>904</v>
      </c>
      <c r="I72" s="167" t="s">
        <v>275</v>
      </c>
    </row>
    <row r="73" spans="2:9">
      <c r="B73" s="167">
        <v>72</v>
      </c>
      <c r="C73" s="170" t="s">
        <v>246</v>
      </c>
      <c r="D73" s="170" t="s">
        <v>903</v>
      </c>
      <c r="E73" s="170" t="s">
        <v>246</v>
      </c>
      <c r="F73" s="170" t="s">
        <v>246</v>
      </c>
      <c r="G73" s="170" t="s">
        <v>246</v>
      </c>
      <c r="H73" s="170" t="s">
        <v>905</v>
      </c>
      <c r="I73" s="167" t="s">
        <v>275</v>
      </c>
    </row>
    <row r="74" spans="2:9">
      <c r="B74" s="167">
        <v>73</v>
      </c>
      <c r="C74" s="170" t="s">
        <v>154</v>
      </c>
      <c r="D74" s="170" t="s">
        <v>154</v>
      </c>
      <c r="E74" s="170" t="s">
        <v>154</v>
      </c>
      <c r="F74" s="170" t="s">
        <v>154</v>
      </c>
      <c r="G74" s="170" t="s">
        <v>154</v>
      </c>
      <c r="H74" s="170" t="s">
        <v>729</v>
      </c>
      <c r="I74" s="167" t="s">
        <v>153</v>
      </c>
    </row>
    <row r="75" spans="2:9">
      <c r="B75" s="167">
        <v>74</v>
      </c>
      <c r="C75" s="170" t="s">
        <v>136</v>
      </c>
      <c r="D75" s="170" t="s">
        <v>136</v>
      </c>
      <c r="E75" s="170" t="s">
        <v>136</v>
      </c>
      <c r="F75" s="170" t="s">
        <v>136</v>
      </c>
      <c r="G75" s="170" t="s">
        <v>136</v>
      </c>
      <c r="H75" s="170" t="s">
        <v>708</v>
      </c>
      <c r="I75" s="167" t="s">
        <v>135</v>
      </c>
    </row>
    <row r="76" spans="2:9">
      <c r="B76" s="167">
        <v>75</v>
      </c>
      <c r="C76" s="170" t="s">
        <v>137</v>
      </c>
      <c r="D76" s="170" t="s">
        <v>707</v>
      </c>
      <c r="E76" s="170" t="s">
        <v>137</v>
      </c>
      <c r="F76" s="170" t="s">
        <v>137</v>
      </c>
      <c r="G76" s="170" t="s">
        <v>137</v>
      </c>
      <c r="H76" s="170" t="s">
        <v>709</v>
      </c>
      <c r="I76" s="167" t="s">
        <v>135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0F00-9A7B-394E-8DF1-DFA069925AC0}">
  <sheetPr codeName="工作表24">
    <tabColor rgb="FFFFFF00"/>
  </sheetPr>
  <dimension ref="B1:G24"/>
  <sheetViews>
    <sheetView workbookViewId="0">
      <selection activeCell="K8" sqref="K8"/>
    </sheetView>
  </sheetViews>
  <sheetFormatPr defaultColWidth="10.7265625" defaultRowHeight="25.5" outlineLevelRow="1" outlineLevelCol="1"/>
  <cols>
    <col min="1" max="1" width="2.1796875" style="6" customWidth="1"/>
    <col min="2" max="2" width="8.26953125" style="6" customWidth="1"/>
    <col min="3" max="3" width="10.7265625" style="6"/>
    <col min="4" max="4" width="12.7265625" style="6" customWidth="1"/>
    <col min="5" max="5" width="10.7265625" style="6" customWidth="1" outlineLevel="1"/>
    <col min="6" max="6" width="12.7265625" style="6" customWidth="1"/>
    <col min="7" max="16384" width="10.7265625" style="6"/>
  </cols>
  <sheetData>
    <row r="1" spans="2:7" outlineLevel="1">
      <c r="B1" s="6" cm="1">
        <f t="array" ref="B1" xml:space="preserve"> COLUMN() - COLUMN($A:$A)</f>
        <v>1</v>
      </c>
      <c r="C1" s="6" cm="1">
        <f t="array" ref="C1" xml:space="preserve"> COLUMN() - COLUMN($A:$A)</f>
        <v>2</v>
      </c>
      <c r="D1" s="6" cm="1">
        <f t="array" ref="D1" xml:space="preserve"> COLUMN() - COLUMN($A:$A)</f>
        <v>3</v>
      </c>
      <c r="E1" s="6" cm="1">
        <f t="array" ref="E1" xml:space="preserve"> COLUMN() - COLUMN($A:$A)</f>
        <v>4</v>
      </c>
      <c r="F1" s="6" cm="1">
        <f t="array" ref="F1" xml:space="preserve"> COLUMN() - COLUMN($A:$A)</f>
        <v>5</v>
      </c>
    </row>
    <row r="2" spans="2:7" outlineLevel="1">
      <c r="D2" s="119">
        <v>6</v>
      </c>
      <c r="F2" s="119">
        <v>7</v>
      </c>
    </row>
    <row r="4" spans="2:7">
      <c r="B4" s="121" t="s">
        <v>1474</v>
      </c>
    </row>
    <row r="6" spans="2:7">
      <c r="B6" s="105" t="s">
        <v>287</v>
      </c>
      <c r="C6" s="109" t="s">
        <v>1475</v>
      </c>
      <c r="D6" s="109" t="s">
        <v>1476</v>
      </c>
      <c r="E6" s="269" t="s">
        <v>1477</v>
      </c>
      <c r="F6" s="109" t="s">
        <v>1478</v>
      </c>
    </row>
    <row r="7" spans="2:7" ht="38.25">
      <c r="B7" s="106" cm="1">
        <f t="array" ref="B7" xml:space="preserve"> ROW() - ROW($6:$6)</f>
        <v>1</v>
      </c>
      <c r="C7" s="379" t="s">
        <v>19</v>
      </c>
      <c r="D7" s="384" t="s">
        <v>16</v>
      </c>
      <c r="E7" s="120">
        <f t="shared" ref="E7:E24" si="0" xml:space="preserve"> MATCH($D7, 聲母碼,0)</f>
        <v>2</v>
      </c>
      <c r="F7" s="122" t="str" cm="1">
        <f t="array" ref="F7" xml:space="preserve"> INDEX(聲母碼表, $E7, F$2)</f>
        <v>b</v>
      </c>
    </row>
    <row r="8" spans="2:7" ht="38.25">
      <c r="B8" s="106" cm="1">
        <f t="array" ref="B8" xml:space="preserve"> ROW() - ROW($6:$6)</f>
        <v>2</v>
      </c>
      <c r="C8" s="379" t="s">
        <v>34</v>
      </c>
      <c r="D8" s="384" t="s">
        <v>19</v>
      </c>
      <c r="E8" s="120">
        <f t="shared" si="0"/>
        <v>3</v>
      </c>
      <c r="F8" s="122" t="str" cm="1">
        <f t="array" ref="F8" xml:space="preserve"> INDEX(聲母碼表, $E8, F$2)</f>
        <v>bb</v>
      </c>
    </row>
    <row r="9" spans="2:7" ht="38.25">
      <c r="B9" s="106" cm="1">
        <f t="array" ref="B9" xml:space="preserve"> ROW() - ROW($6:$6)</f>
        <v>3</v>
      </c>
      <c r="C9" s="379" t="s">
        <v>16</v>
      </c>
      <c r="D9" s="384" t="s">
        <v>22</v>
      </c>
      <c r="E9" s="120">
        <f t="shared" si="0"/>
        <v>4</v>
      </c>
      <c r="F9" s="122" t="str" cm="1">
        <f t="array" ref="F9" xml:space="preserve"> INDEX(聲母碼表, $E9, F$2)</f>
        <v>p</v>
      </c>
      <c r="G9" s="6" t="s">
        <v>1479</v>
      </c>
    </row>
    <row r="10" spans="2:7" ht="38.25">
      <c r="B10" s="106" cm="1">
        <f t="array" ref="B10" xml:space="preserve"> ROW() - ROW($6:$6)</f>
        <v>4</v>
      </c>
      <c r="C10" s="379" t="s">
        <v>1360</v>
      </c>
      <c r="D10" s="384" t="s">
        <v>27</v>
      </c>
      <c r="E10" s="120">
        <f t="shared" si="0"/>
        <v>5</v>
      </c>
      <c r="F10" s="122" t="str" cm="1">
        <f t="array" ref="F10" xml:space="preserve"> INDEX(聲母碼表, $E10, F$2)</f>
        <v>bbn</v>
      </c>
    </row>
    <row r="11" spans="2:7" ht="38.25">
      <c r="B11" s="106" cm="1">
        <f t="array" ref="B11" xml:space="preserve"> ROW() - ROW($6:$6)</f>
        <v>5</v>
      </c>
      <c r="C11" s="379" t="s">
        <v>61</v>
      </c>
      <c r="D11" s="384" t="s">
        <v>58</v>
      </c>
      <c r="E11" s="120">
        <f t="shared" si="0"/>
        <v>6</v>
      </c>
      <c r="F11" s="122" t="str" cm="1">
        <f t="array" ref="F11" xml:space="preserve"> INDEX(聲母碼表, $E11, F$2)</f>
        <v>d</v>
      </c>
    </row>
    <row r="12" spans="2:7" ht="38.25">
      <c r="B12" s="106" cm="1">
        <f t="array" ref="B12" xml:space="preserve"> ROW() - ROW($6:$6)</f>
        <v>6</v>
      </c>
      <c r="C12" s="379" t="s">
        <v>1480</v>
      </c>
      <c r="D12" s="384" t="s">
        <v>1480</v>
      </c>
      <c r="E12" s="120" t="e">
        <f t="shared" si="0"/>
        <v>#N/A</v>
      </c>
      <c r="F12" s="122" t="e" cm="1">
        <f t="array" ref="F12" xml:space="preserve"> INDEX(聲母碼表, $E12, F$2)</f>
        <v>#N/A</v>
      </c>
    </row>
    <row r="13" spans="2:7" ht="38.25">
      <c r="B13" s="106" cm="1">
        <f t="array" ref="B13" xml:space="preserve"> ROW() - ROW($6:$6)</f>
        <v>7</v>
      </c>
      <c r="C13" s="379" t="s">
        <v>58</v>
      </c>
      <c r="D13" s="384" t="s">
        <v>64</v>
      </c>
      <c r="E13" s="120">
        <f t="shared" si="0"/>
        <v>7</v>
      </c>
      <c r="F13" s="122" t="str" cm="1">
        <f t="array" ref="F13" xml:space="preserve"> INDEX(聲母碼表, $E13, F$2)</f>
        <v>t</v>
      </c>
      <c r="G13" s="6" t="s">
        <v>1481</v>
      </c>
    </row>
    <row r="14" spans="2:7" ht="38.25">
      <c r="B14" s="106" cm="1">
        <f t="array" ref="B14" xml:space="preserve"> ROW() - ROW($6:$6)</f>
        <v>8</v>
      </c>
      <c r="C14" s="379" t="s">
        <v>72</v>
      </c>
      <c r="D14" s="384" t="s">
        <v>69</v>
      </c>
      <c r="E14" s="120">
        <f t="shared" si="0"/>
        <v>8</v>
      </c>
      <c r="F14" s="122" t="str" cm="1">
        <f t="array" ref="F14" xml:space="preserve"> INDEX(聲母碼表, $E14, F$2)</f>
        <v>ln</v>
      </c>
    </row>
    <row r="15" spans="2:7" ht="38.25">
      <c r="B15" s="106" cm="1">
        <f t="array" ref="B15" xml:space="preserve"> ROW() - ROW($6:$6)</f>
        <v>9</v>
      </c>
      <c r="C15" s="379" t="s">
        <v>75</v>
      </c>
      <c r="D15" s="384" t="s">
        <v>75</v>
      </c>
      <c r="E15" s="120">
        <f t="shared" si="0"/>
        <v>9</v>
      </c>
      <c r="F15" s="122" t="str" cm="1">
        <f t="array" ref="F15" xml:space="preserve"> INDEX(聲母碼表, $E15, F$2)</f>
        <v>l</v>
      </c>
    </row>
    <row r="16" spans="2:7" ht="38.25">
      <c r="B16" s="106" cm="1">
        <f t="array" ref="B16" xml:space="preserve"> ROW() - ROW($6:$6)</f>
        <v>10</v>
      </c>
      <c r="C16" s="379" t="s">
        <v>40</v>
      </c>
      <c r="D16" s="384" t="s">
        <v>37</v>
      </c>
      <c r="E16" s="120">
        <f t="shared" si="0"/>
        <v>10</v>
      </c>
      <c r="F16" s="122" t="str" cm="1">
        <f t="array" ref="F16" xml:space="preserve"> INDEX(聲母碼表, $E16, F$2)</f>
        <v>g</v>
      </c>
    </row>
    <row r="17" spans="2:7" ht="38.25">
      <c r="B17" s="106" cm="1">
        <f t="array" ref="B17" xml:space="preserve"> ROW() - ROW($6:$6)</f>
        <v>11</v>
      </c>
      <c r="C17" s="379" t="s">
        <v>37</v>
      </c>
      <c r="D17" s="384" t="s">
        <v>43</v>
      </c>
      <c r="E17" s="120">
        <f t="shared" si="0"/>
        <v>11</v>
      </c>
      <c r="F17" s="122" t="str" cm="1">
        <f t="array" ref="F17" xml:space="preserve"> INDEX(聲母碼表, $E17, F$2)</f>
        <v>k</v>
      </c>
    </row>
    <row r="18" spans="2:7" ht="38.25">
      <c r="B18" s="106" cm="1">
        <f t="array" ref="B18" xml:space="preserve"> ROW() - ROW($6:$6)</f>
        <v>12</v>
      </c>
      <c r="C18" s="379" t="s">
        <v>55</v>
      </c>
      <c r="D18" s="384" t="s">
        <v>40</v>
      </c>
      <c r="E18" s="120">
        <f t="shared" si="0"/>
        <v>12</v>
      </c>
      <c r="F18" s="122" t="str" cm="1">
        <f t="array" ref="F18" xml:space="preserve"> INDEX(聲母碼表, $E18, F$2)</f>
        <v>gg</v>
      </c>
    </row>
    <row r="19" spans="2:7" ht="38.25">
      <c r="B19" s="106" cm="1">
        <f t="array" ref="B19" xml:space="preserve"> ROW() - ROW($6:$6)</f>
        <v>13</v>
      </c>
      <c r="C19" s="379" t="s">
        <v>51</v>
      </c>
      <c r="D19" s="384" t="s">
        <v>48</v>
      </c>
      <c r="E19" s="120">
        <f t="shared" si="0"/>
        <v>13</v>
      </c>
      <c r="F19" s="122" t="str" cm="1">
        <f t="array" ref="F19" xml:space="preserve"> INDEX(聲母碼表, $E19, F$2)</f>
        <v>ggn</v>
      </c>
    </row>
    <row r="20" spans="2:7" ht="38.25">
      <c r="B20" s="106" cm="1">
        <f t="array" ref="B20" xml:space="preserve"> ROW() - ROW($6:$6)</f>
        <v>14</v>
      </c>
      <c r="C20" s="379" t="s">
        <v>116</v>
      </c>
      <c r="D20" s="384" t="s">
        <v>116</v>
      </c>
      <c r="E20" s="120">
        <f t="shared" si="0"/>
        <v>14</v>
      </c>
      <c r="F20" s="122" t="str" cm="1">
        <f t="array" ref="F20" xml:space="preserve"> INDEX(聲母碼表, $E20, F$2)</f>
        <v>h</v>
      </c>
      <c r="G20" s="6" t="s">
        <v>1482</v>
      </c>
    </row>
    <row r="21" spans="2:7" ht="38.25">
      <c r="B21" s="106" cm="1">
        <f t="array" ref="B21" xml:space="preserve"> ROW() - ROW($6:$6)</f>
        <v>15</v>
      </c>
      <c r="C21" s="379" t="s">
        <v>83</v>
      </c>
      <c r="D21" s="384" t="s">
        <v>79</v>
      </c>
      <c r="E21" s="120">
        <f t="shared" si="0"/>
        <v>15</v>
      </c>
      <c r="F21" s="122" t="str" cm="1">
        <f t="array" ref="F21" xml:space="preserve"> INDEX(聲母碼表, $E21, F$2)</f>
        <v>z</v>
      </c>
    </row>
    <row r="22" spans="2:7" ht="38.25">
      <c r="B22" s="106" cm="1">
        <f t="array" ref="B22" xml:space="preserve"> ROW() - ROW($6:$6)</f>
        <v>16</v>
      </c>
      <c r="C22" s="379" t="s">
        <v>91</v>
      </c>
      <c r="D22" s="384" t="s">
        <v>86</v>
      </c>
      <c r="E22" s="120">
        <f t="shared" si="0"/>
        <v>16</v>
      </c>
      <c r="F22" s="122" t="str" cm="1">
        <f t="array" ref="F22" xml:space="preserve"> INDEX(聲母碼表, $E22, F$2)</f>
        <v>c</v>
      </c>
    </row>
    <row r="23" spans="2:7" ht="38.25">
      <c r="B23" s="106" cm="1">
        <f t="array" ref="B23" xml:space="preserve"> ROW() - ROW($6:$6)</f>
        <v>17</v>
      </c>
      <c r="C23" s="379" t="s">
        <v>98</v>
      </c>
      <c r="D23" s="384" t="s">
        <v>98</v>
      </c>
      <c r="E23" s="120">
        <f t="shared" si="0"/>
        <v>17</v>
      </c>
      <c r="F23" s="122" t="str" cm="1">
        <f t="array" ref="F23" xml:space="preserve"> INDEX(聲母碼表, $E23, F$2)</f>
        <v>s</v>
      </c>
    </row>
    <row r="24" spans="2:7" ht="38.25">
      <c r="B24" s="106" cm="1">
        <f t="array" ref="B24" xml:space="preserve"> ROW() - ROW($6:$6)</f>
        <v>18</v>
      </c>
      <c r="C24" s="379" t="s">
        <v>1483</v>
      </c>
      <c r="D24" s="384" t="s">
        <v>107</v>
      </c>
      <c r="E24" s="120">
        <f t="shared" si="0"/>
        <v>18</v>
      </c>
      <c r="F24" s="122" t="str" cm="1">
        <f t="array" ref="F24" xml:space="preserve"> INDEX(聲母碼表, $E24, F$2)</f>
        <v>zzi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6905-CFFE-B14F-8F5D-F6408DB80BEC}">
  <sheetPr codeName="工作表25">
    <tabColor rgb="FFFFFF00"/>
  </sheetPr>
  <dimension ref="B1:AF92"/>
  <sheetViews>
    <sheetView workbookViewId="0">
      <pane ySplit="6" topLeftCell="A7" activePane="bottomLeft" state="frozenSplit"/>
      <selection activeCell="K8" sqref="K8"/>
      <selection pane="bottomLeft" activeCell="K8" sqref="K8"/>
    </sheetView>
  </sheetViews>
  <sheetFormatPr defaultColWidth="10.7265625" defaultRowHeight="25.5" outlineLevelRow="1" outlineLevelCol="1"/>
  <cols>
    <col min="1" max="1" width="2.1796875" style="6" customWidth="1"/>
    <col min="2" max="2" width="6.08984375" style="6" customWidth="1"/>
    <col min="3" max="3" width="10.7265625" style="23"/>
    <col min="4" max="4" width="10.7265625" style="95"/>
    <col min="5" max="7" width="12.90625" style="6" hidden="1" customWidth="1" outlineLevel="1"/>
    <col min="8" max="8" width="10.7265625" style="95" collapsed="1"/>
    <col min="9" max="9" width="12.90625" style="6" hidden="1" customWidth="1" outlineLevel="1"/>
    <col min="10" max="10" width="12.90625" style="6" customWidth="1" collapsed="1"/>
    <col min="11" max="11" width="10.7265625" style="6"/>
    <col min="12" max="13" width="8.36328125" style="6" customWidth="1"/>
    <col min="14" max="14" width="3.81640625" style="6" customWidth="1"/>
    <col min="15" max="17" width="4.36328125" style="6" customWidth="1"/>
    <col min="18" max="18" width="4.7265625" style="6" customWidth="1"/>
    <col min="19" max="19" width="6.08984375" style="6" bestFit="1" customWidth="1"/>
    <col min="20" max="21" width="4.36328125" style="6" customWidth="1"/>
    <col min="22" max="22" width="10.7265625" style="6"/>
    <col min="23" max="24" width="8.36328125" style="6" customWidth="1"/>
    <col min="25" max="25" width="4.7265625" style="6" customWidth="1"/>
    <col min="26" max="28" width="4.36328125" style="6" customWidth="1"/>
    <col min="29" max="29" width="3.81640625" style="6" customWidth="1"/>
    <col min="30" max="32" width="4.36328125" style="6" customWidth="1"/>
    <col min="33" max="33" width="10.7265625" style="6"/>
    <col min="34" max="34" width="4.7265625" style="6" customWidth="1"/>
    <col min="35" max="16384" width="10.7265625" style="6"/>
  </cols>
  <sheetData>
    <row r="1" spans="2:32" outlineLevel="1">
      <c r="B1" s="386" cm="1">
        <f t="array" ref="B1">COLUMN() - COLUMN($A:$A)</f>
        <v>1</v>
      </c>
      <c r="C1" s="386" cm="1">
        <f t="array" ref="C1">COLUMN() - COLUMN($A:$A)</f>
        <v>2</v>
      </c>
      <c r="D1" s="386" cm="1">
        <f t="array" ref="D1">COLUMN() - COLUMN($A:$A)</f>
        <v>3</v>
      </c>
      <c r="E1" s="386" cm="1">
        <f t="array" ref="E1">COLUMN() - COLUMN($A:$A)</f>
        <v>4</v>
      </c>
      <c r="F1" s="386" cm="1">
        <f t="array" ref="F1">COLUMN() - COLUMN($A:$A)</f>
        <v>5</v>
      </c>
      <c r="G1" s="386" cm="1">
        <f t="array" ref="G1">COLUMN() - COLUMN($A:$A)</f>
        <v>6</v>
      </c>
      <c r="H1" s="386" cm="1">
        <f t="array" ref="H1">COLUMN() - COLUMN($A:$A)</f>
        <v>7</v>
      </c>
      <c r="I1" s="386" cm="1">
        <f t="array" ref="I1">COLUMN() - COLUMN($A:$A)</f>
        <v>8</v>
      </c>
      <c r="J1" s="386" cm="1">
        <f t="array" ref="J1">COLUMN() - COLUMN($A:$A)</f>
        <v>9</v>
      </c>
    </row>
    <row r="2" spans="2:32" outlineLevel="1">
      <c r="D2" s="381">
        <v>6</v>
      </c>
      <c r="G2" s="6">
        <v>13</v>
      </c>
      <c r="H2" s="381"/>
      <c r="I2" s="6">
        <v>5</v>
      </c>
      <c r="S2" s="381">
        <v>2</v>
      </c>
      <c r="T2" s="381">
        <v>3</v>
      </c>
      <c r="AA2" s="381">
        <v>3</v>
      </c>
    </row>
    <row r="3" spans="2:32">
      <c r="G3" s="6">
        <v>14</v>
      </c>
      <c r="I3" s="6">
        <v>6</v>
      </c>
    </row>
    <row r="4" spans="2:32">
      <c r="B4" s="382" t="s">
        <v>1484</v>
      </c>
    </row>
    <row r="6" spans="2:32">
      <c r="B6" s="105" t="s">
        <v>287</v>
      </c>
      <c r="C6" s="105" t="s">
        <v>1117</v>
      </c>
      <c r="D6" s="268" t="s">
        <v>1485</v>
      </c>
      <c r="E6" s="109" t="s">
        <v>1486</v>
      </c>
      <c r="F6" s="109" t="s">
        <v>1487</v>
      </c>
      <c r="G6" s="109" t="s">
        <v>1488</v>
      </c>
      <c r="H6" s="109" t="s">
        <v>1489</v>
      </c>
      <c r="I6" s="109" t="s">
        <v>1490</v>
      </c>
      <c r="J6" s="109" t="s">
        <v>1491</v>
      </c>
      <c r="L6" s="6" t="s">
        <v>1492</v>
      </c>
      <c r="M6" s="6" t="s">
        <v>591</v>
      </c>
      <c r="O6" s="469" t="s">
        <v>591</v>
      </c>
      <c r="P6" s="469"/>
      <c r="Q6" s="469"/>
      <c r="S6" s="470" t="s">
        <v>7</v>
      </c>
      <c r="T6" s="471"/>
      <c r="U6" s="471"/>
      <c r="W6" s="6" t="s">
        <v>1492</v>
      </c>
      <c r="X6" s="385" t="s">
        <v>7</v>
      </c>
      <c r="Z6" s="470" t="s">
        <v>7</v>
      </c>
      <c r="AA6" s="471"/>
      <c r="AB6" s="471"/>
      <c r="AD6" s="469" t="s">
        <v>591</v>
      </c>
      <c r="AE6" s="469"/>
      <c r="AF6" s="469"/>
    </row>
    <row r="7" spans="2:32" ht="42">
      <c r="B7" s="106">
        <v>1</v>
      </c>
      <c r="C7" s="132" t="s">
        <v>713</v>
      </c>
      <c r="D7" s="380" t="s">
        <v>139</v>
      </c>
      <c r="E7" s="120">
        <f xml:space="preserve"> IFERROR( MATCH($D7,'十五音-韻母'!$D$5:$D$54,0), 0)</f>
        <v>28</v>
      </c>
      <c r="F7" s="120" t="str">
        <f>IF(E7&lt;&gt;0,"",(IFERROR(MATCH($D7,'十五音-韻母'!$E$5:$E$54,0),0)))</f>
        <v/>
      </c>
      <c r="G7" s="120">
        <f xml:space="preserve"> IF(E7&lt;&gt;0, $G$2, IF(F7&lt;&gt;0, $G$3, 0))</f>
        <v>13</v>
      </c>
      <c r="H7" s="380" t="str" cm="1">
        <f t="array" ref="H7" xml:space="preserve"> IF(E7&lt;&gt;0, INDEX(十五音韻母對照表, E7, $G7), IF(G7&lt;&gt;0, INDEX(十五音韻母對照表, F7, $G7), ""))</f>
        <v>ㄚ</v>
      </c>
      <c r="I7" s="120">
        <f xml:space="preserve"> IF($E7&lt;&gt;0, $I$2, IF($F7&lt;&gt;0, $I$3, 0))</f>
        <v>5</v>
      </c>
      <c r="J7" s="383" t="str" cm="1">
        <f t="array" ref="J7" xml:space="preserve"> IF($E7&lt;&gt;0, INDEX(十五音韻母對照表, $E7, $I7), IF($F7&lt;&gt;0, INDEX(十五音韻母對照表, $F7, $I7), ""))</f>
        <v>a</v>
      </c>
      <c r="L7" s="6" t="s">
        <v>1493</v>
      </c>
      <c r="M7" s="6" t="s">
        <v>1494</v>
      </c>
      <c r="O7" s="6" t="s">
        <v>26</v>
      </c>
      <c r="P7" s="6" t="s">
        <v>739</v>
      </c>
      <c r="Q7" s="6">
        <v>7</v>
      </c>
      <c r="S7" s="6" t="str" cm="1">
        <f t="array" ref="S7" xml:space="preserve"> INDEX( '閩拼-聲母'!$B$7:$G$22, MATCH(O7, '閩拼-聲母'!$D$7:$D$22, 0), $S$2)</f>
        <v>bb</v>
      </c>
      <c r="T7" s="6" t="str" cm="1">
        <f t="array" ref="T7" xml:space="preserve"> INDEX($B$7:$H$92, MATCH(P7, $C$7:$C$92,0), T$2)</f>
        <v>e</v>
      </c>
      <c r="U7" s="6">
        <f xml:space="preserve"> INDEX( '閩拼-聲調'!$S$3:$U$10, MATCH($Q7, '閩拼-聲調'!$S$3:$S$10, 0), 3)</f>
        <v>6</v>
      </c>
      <c r="W7" s="6" t="s">
        <v>1495</v>
      </c>
      <c r="X7" s="6" t="s">
        <v>1496</v>
      </c>
      <c r="Z7" s="6" t="str">
        <f xml:space="preserve"> INDEX( '閩拼-聲母'!$B$7:$F$22, MATCH(AD7, '閩拼-聲母'!$D$7:$D$22, 0), 2)</f>
        <v>b</v>
      </c>
      <c r="AA7" s="6" t="str" cm="1">
        <f t="array" ref="AA7" xml:space="preserve"> INDEX($B$7:$H$92, MATCH(AE7, $D$7:$D$92,0), AA$2)</f>
        <v>ai</v>
      </c>
      <c r="AB7" s="6">
        <f xml:space="preserve"> INDEX( '閩拼-聲調'!$S$3:$U$10, MATCH($AF7, '閩拼-聲調'!$U$3:$U$10, 0), 1)</f>
        <v>2</v>
      </c>
      <c r="AD7" s="6" t="s">
        <v>15</v>
      </c>
      <c r="AE7" s="6" t="s">
        <v>725</v>
      </c>
      <c r="AF7" s="6">
        <v>3</v>
      </c>
    </row>
    <row r="8" spans="2:32" ht="42">
      <c r="B8" s="106">
        <v>2</v>
      </c>
      <c r="C8" s="132" t="s">
        <v>1497</v>
      </c>
      <c r="D8" s="380" t="s">
        <v>145</v>
      </c>
      <c r="E8" s="120">
        <f xml:space="preserve"> IFERROR( MATCH($D8,'十五音-韻母'!$D$5:$D$54,0), 0)</f>
        <v>26</v>
      </c>
      <c r="F8" s="120" t="str">
        <f>IF(E8&lt;&gt;0,"",(IFERROR(MATCH($D8,'十五音-韻母'!$E$5:$E$54,0),0)))</f>
        <v/>
      </c>
      <c r="G8" s="120">
        <f t="shared" ref="G8:G71" si="0" xml:space="preserve"> IF(E8&lt;&gt;0, $G$2, IF(F8&lt;&gt;0, $G$3, 0))</f>
        <v>13</v>
      </c>
      <c r="H8" s="380" t="str" cm="1">
        <f t="array" ref="H8" xml:space="preserve"> IF(E8&lt;&gt;0, INDEX(十五音韻母對照表, E8, $G8), IF(G8&lt;&gt;0, INDEX(十五音韻母對照表, F8, $G8), ""))</f>
        <v>ㆩ</v>
      </c>
      <c r="I8" s="120">
        <f t="shared" ref="I8:I71" si="1" xml:space="preserve"> IF($E8&lt;&gt;0, $I$2, IF($F8&lt;&gt;0, $I$3, 0))</f>
        <v>5</v>
      </c>
      <c r="J8" s="383" t="str" cm="1">
        <f t="array" ref="J8" xml:space="preserve"> IF($E8&lt;&gt;0, INDEX(十五音韻母對照表, $E8, $I8), IF($F8&lt;&gt;0, INDEX(十五音韻母對照表, $F8, $I8), ""))</f>
        <v>ã</v>
      </c>
      <c r="L8" s="6" t="s">
        <v>1493</v>
      </c>
      <c r="M8" s="6" t="s">
        <v>1498</v>
      </c>
      <c r="O8" s="6" t="s">
        <v>26</v>
      </c>
      <c r="P8" s="6" t="s">
        <v>1042</v>
      </c>
      <c r="Q8" s="6">
        <v>7</v>
      </c>
      <c r="S8" s="6" t="str" cm="1">
        <f t="array" ref="S8" xml:space="preserve"> INDEX( '閩拼-聲母'!$B$7:$G$22, MATCH(O8, '閩拼-聲母'!$D$7:$D$22, 0), $S$2)</f>
        <v>bb</v>
      </c>
      <c r="T8" s="6" t="str" cm="1">
        <f t="array" ref="T8" xml:space="preserve"> INDEX($B$7:$H$92, MATCH(P8, $C$7:$C$92,0), T$2)</f>
        <v>ue</v>
      </c>
      <c r="U8" s="6">
        <f xml:space="preserve"> INDEX( '閩拼-聲調'!$S$3:$U$10, MATCH($Q8, '閩拼-聲調'!$S$3:$S$10, 0), 3)</f>
        <v>6</v>
      </c>
      <c r="W8" s="6" t="s">
        <v>1493</v>
      </c>
    </row>
    <row r="9" spans="2:32" ht="42">
      <c r="B9" s="106">
        <v>3</v>
      </c>
      <c r="C9" s="132" t="s">
        <v>1499</v>
      </c>
      <c r="D9" s="380" t="s">
        <v>140</v>
      </c>
      <c r="E9" s="120">
        <f xml:space="preserve"> IFERROR( MATCH($D9,'十五音-韻母'!$D$5:$D$54,0), 0)</f>
        <v>0</v>
      </c>
      <c r="F9" s="120">
        <f>IF(E9&lt;&gt;0,"",(IFERROR(MATCH($D9,'十五音-韻母'!$E$5:$E$54,0),0)))</f>
        <v>28</v>
      </c>
      <c r="G9" s="120">
        <f t="shared" si="0"/>
        <v>14</v>
      </c>
      <c r="H9" s="380" t="str" cm="1">
        <f t="array" ref="H9" xml:space="preserve"> IF(E9&lt;&gt;0, INDEX(十五音韻母對照表, E9, $G9), IF(G9&lt;&gt;0, INDEX(十五音韻母對照表, F9, $G9), ""))</f>
        <v>ㄚㆷ</v>
      </c>
      <c r="I9" s="120">
        <f t="shared" si="1"/>
        <v>6</v>
      </c>
      <c r="J9" s="383" t="str" cm="1">
        <f t="array" ref="J9" xml:space="preserve"> IF($E9&lt;&gt;0, INDEX(十五音韻母對照表, $E9, $I9), IF($F9&lt;&gt;0, INDEX(十五音韻母對照表, $F9, $I9), ""))</f>
        <v>a?</v>
      </c>
      <c r="L9" s="6" t="s">
        <v>1500</v>
      </c>
      <c r="M9" s="6" t="s">
        <v>1501</v>
      </c>
      <c r="O9" s="6" t="s">
        <v>36</v>
      </c>
      <c r="P9" s="6" t="s">
        <v>725</v>
      </c>
      <c r="Q9" s="6">
        <v>3</v>
      </c>
      <c r="S9" s="6" t="str" cm="1">
        <f t="array" ref="S9" xml:space="preserve"> INDEX( '閩拼-聲母'!$B$7:$G$22, MATCH(O9, '閩拼-聲母'!$D$7:$D$22, 0), $S$2)</f>
        <v>bbn</v>
      </c>
      <c r="T9" s="6" t="str" cm="1">
        <f t="array" ref="T9" xml:space="preserve"> INDEX($B$7:$H$92, MATCH(P9, $C$7:$C$92,0), T$2)</f>
        <v>ai</v>
      </c>
      <c r="U9" s="6">
        <f xml:space="preserve"> INDEX( '閩拼-聲調'!$S$3:$U$10, MATCH($Q9, '閩拼-聲調'!$S$3:$S$10, 0), 3)</f>
        <v>5</v>
      </c>
      <c r="W9" s="6" t="s">
        <v>1493</v>
      </c>
    </row>
    <row r="10" spans="2:32" ht="42">
      <c r="B10" s="106"/>
      <c r="C10" s="132" t="s">
        <v>1502</v>
      </c>
      <c r="D10" s="380" t="s">
        <v>146</v>
      </c>
      <c r="E10" s="120">
        <f xml:space="preserve"> IFERROR( MATCH($D10,'十五音-韻母'!$D$5:$D$54,0), 0)</f>
        <v>0</v>
      </c>
      <c r="F10" s="120">
        <f>IF(E10&lt;&gt;0,"",(IFERROR(MATCH($D10,'十五音-韻母'!$E$5:$E$54,0),0)))</f>
        <v>26</v>
      </c>
      <c r="G10" s="120">
        <f t="shared" si="0"/>
        <v>14</v>
      </c>
      <c r="H10" s="380" t="str" cm="1">
        <f t="array" ref="H10" xml:space="preserve"> IF(E10&lt;&gt;0, INDEX(十五音韻母對照表, E10, $G10), IF(G10&lt;&gt;0, INDEX(十五音韻母對照表, F10, $G10), ""))</f>
        <v>ㆩㆷ</v>
      </c>
      <c r="I10" s="120">
        <f t="shared" si="1"/>
        <v>6</v>
      </c>
      <c r="J10" s="383" t="str" cm="1">
        <f t="array" ref="J10" xml:space="preserve"> IF($E10&lt;&gt;0, INDEX(十五音韻母對照表, $E10, $I10), IF($F10&lt;&gt;0, INDEX(十五音韻母對照表, $F10, $I10), ""))</f>
        <v>ã?</v>
      </c>
      <c r="W10" s="6" t="s">
        <v>1500</v>
      </c>
    </row>
    <row r="11" spans="2:32" ht="42">
      <c r="B11" s="106">
        <v>4</v>
      </c>
      <c r="C11" s="132" t="s">
        <v>1503</v>
      </c>
      <c r="D11" s="380" t="s">
        <v>191</v>
      </c>
      <c r="E11" s="120">
        <f xml:space="preserve"> IFERROR( MATCH($D11,'十五音-韻母'!$D$5:$D$54,0), 0)</f>
        <v>11</v>
      </c>
      <c r="F11" s="120" t="str">
        <f>IF(E11&lt;&gt;0,"",(IFERROR(MATCH($D11,'十五音-韻母'!$E$5:$E$54,0),0)))</f>
        <v/>
      </c>
      <c r="G11" s="120">
        <f t="shared" si="0"/>
        <v>13</v>
      </c>
      <c r="H11" s="380" t="str" cm="1">
        <f t="array" ref="H11" xml:space="preserve"> IF(E11&lt;&gt;0, INDEX(十五音韻母對照表, E11, $G11), IF(G11&lt;&gt;0, INDEX(十五音韻母對照表, F11, $G11), ""))</f>
        <v>ㆦ</v>
      </c>
      <c r="I11" s="120">
        <f t="shared" si="1"/>
        <v>5</v>
      </c>
      <c r="J11" s="383" t="str" cm="1">
        <f t="array" ref="J11" xml:space="preserve"> IF($E11&lt;&gt;0, INDEX(十五音韻母對照表, $E11, $I11), IF($F11&lt;&gt;0, INDEX(十五音韻母對照表, $F11, $I11), ""))</f>
        <v>ou</v>
      </c>
    </row>
    <row r="12" spans="2:32" ht="42">
      <c r="B12" s="106">
        <v>5</v>
      </c>
      <c r="C12" s="132" t="s">
        <v>1504</v>
      </c>
      <c r="D12" s="380" t="s">
        <v>258</v>
      </c>
      <c r="E12" s="120">
        <f xml:space="preserve"> IFERROR( MATCH($D12,'十五音-韻母'!$D$5:$D$54,0), 0)</f>
        <v>49</v>
      </c>
      <c r="F12" s="120" t="str">
        <f>IF(E12&lt;&gt;0,"",(IFERROR(MATCH($D12,'十五音-韻母'!$E$5:$E$54,0),0)))</f>
        <v/>
      </c>
      <c r="G12" s="120">
        <f t="shared" si="0"/>
        <v>13</v>
      </c>
      <c r="H12" s="380" t="str" cm="1">
        <f t="array" ref="H12" xml:space="preserve"> IF(E12&lt;&gt;0, INDEX(十五音韻母對照表, E12, $G12), IF(G12&lt;&gt;0, INDEX(十五音韻母對照表, F12, $G12), ""))</f>
        <v>ㆧ</v>
      </c>
      <c r="I12" s="120">
        <f t="shared" si="1"/>
        <v>5</v>
      </c>
      <c r="J12" s="383" t="str" cm="1">
        <f t="array" ref="J12" xml:space="preserve"> IF($E12&lt;&gt;0, INDEX(十五音韻母對照表, $E12, $I12), IF($F12&lt;&gt;0, INDEX(十五音韻母對照表, $F12, $I12), ""))</f>
        <v>ɔ̃</v>
      </c>
    </row>
    <row r="13" spans="2:32" ht="42">
      <c r="B13" s="106">
        <v>6</v>
      </c>
      <c r="C13" s="132" t="s">
        <v>785</v>
      </c>
      <c r="D13" s="380" t="s">
        <v>785</v>
      </c>
      <c r="E13" s="120">
        <f xml:space="preserve"> IFERROR( MATCH($D13,'十五音-韻母'!$D$5:$D$54,0), 0)</f>
        <v>0</v>
      </c>
      <c r="F13" s="120">
        <f>IF(E13&lt;&gt;0,"",(IFERROR(MATCH($D13,'十五音-韻母'!$E$5:$E$54,0),0)))</f>
        <v>11</v>
      </c>
      <c r="G13" s="120">
        <f t="shared" si="0"/>
        <v>14</v>
      </c>
      <c r="H13" s="380" t="str" cm="1">
        <f t="array" ref="H13" xml:space="preserve"> IF(E13&lt;&gt;0, INDEX(十五音韻母對照表, E13, $G13), IF(G13&lt;&gt;0, INDEX(十五音韻母對照表, F13, $G13), ""))</f>
        <v>ㆦㆷ</v>
      </c>
      <c r="I13" s="120">
        <f t="shared" si="1"/>
        <v>6</v>
      </c>
      <c r="J13" s="383" t="str" cm="1">
        <f t="array" ref="J13" xml:space="preserve"> IF($E13&lt;&gt;0, INDEX(十五音韻母對照表, $E13, $I13), IF($F13&lt;&gt;0, INDEX(十五音韻母對照表, $F13, $I13), ""))</f>
        <v>ou?</v>
      </c>
    </row>
    <row r="14" spans="2:32" ht="42">
      <c r="B14" s="106">
        <v>7</v>
      </c>
      <c r="C14" s="133" t="s">
        <v>1030</v>
      </c>
      <c r="D14" s="380" t="s">
        <v>259</v>
      </c>
      <c r="E14" s="120">
        <f xml:space="preserve"> IFERROR( MATCH($D14,'十五音-韻母'!$D$5:$D$54,0), 0)</f>
        <v>0</v>
      </c>
      <c r="F14" s="120">
        <f>IF(E14&lt;&gt;0,"",(IFERROR(MATCH($D14,'十五音-韻母'!$E$5:$E$54,0),0)))</f>
        <v>49</v>
      </c>
      <c r="G14" s="120">
        <f t="shared" si="0"/>
        <v>14</v>
      </c>
      <c r="H14" s="380" t="str" cm="1">
        <f t="array" ref="H14" xml:space="preserve"> IF(E14&lt;&gt;0, INDEX(十五音韻母對照表, E14, $G14), IF(G14&lt;&gt;0, INDEX(十五音韻母對照表, F14, $G14), ""))</f>
        <v>ㆧㆷ</v>
      </c>
      <c r="I14" s="120">
        <f t="shared" si="1"/>
        <v>6</v>
      </c>
      <c r="J14" s="383" t="str" cm="1">
        <f t="array" ref="J14" xml:space="preserve"> IF($E14&lt;&gt;0, INDEX(十五音韻母對照表, $E14, $I14), IF($F14&lt;&gt;0, INDEX(十五音韻母對照表, $F14, $I14), ""))</f>
        <v>ɔ̃h</v>
      </c>
    </row>
    <row r="15" spans="2:32" ht="42">
      <c r="B15" s="106">
        <v>8</v>
      </c>
      <c r="C15" s="132" t="s">
        <v>1503</v>
      </c>
      <c r="D15" s="380" t="s">
        <v>191</v>
      </c>
      <c r="E15" s="120">
        <f xml:space="preserve"> IFERROR( MATCH($D15,'十五音-韻母'!$D$5:$D$54,0), 0)</f>
        <v>11</v>
      </c>
      <c r="F15" s="120" t="str">
        <f>IF(E15&lt;&gt;0,"",(IFERROR(MATCH($D15,'十五音-韻母'!$E$5:$E$54,0),0)))</f>
        <v/>
      </c>
      <c r="G15" s="120">
        <f t="shared" si="0"/>
        <v>13</v>
      </c>
      <c r="H15" s="380" t="str" cm="1">
        <f t="array" ref="H15" xml:space="preserve"> IF(E15&lt;&gt;0, INDEX(十五音韻母對照表, E15, $G15), IF(G15&lt;&gt;0, INDEX(十五音韻母對照表, F15, $G15), ""))</f>
        <v>ㆦ</v>
      </c>
      <c r="I15" s="120">
        <f t="shared" si="1"/>
        <v>5</v>
      </c>
      <c r="J15" s="383" t="str" cm="1">
        <f t="array" ref="J15" xml:space="preserve"> IF($E15&lt;&gt;0, INDEX(十五音韻母對照表, $E15, $I15), IF($F15&lt;&gt;0, INDEX(十五音韻母對照表, $F15, $I15), ""))</f>
        <v>ou</v>
      </c>
    </row>
    <row r="16" spans="2:32" ht="42">
      <c r="B16" s="106">
        <v>9</v>
      </c>
      <c r="C16" s="132" t="s">
        <v>1505</v>
      </c>
      <c r="D16" s="380" t="s">
        <v>216</v>
      </c>
      <c r="E16" s="120">
        <f xml:space="preserve"> IFERROR( MATCH($D16,'十五音-韻母'!$D$5:$D$54,0), 0)</f>
        <v>0</v>
      </c>
      <c r="F16" s="120">
        <f>IF(E16&lt;&gt;0,"",(IFERROR(MATCH($D16,'十五音-韻母'!$E$5:$E$54,0),0)))</f>
        <v>15</v>
      </c>
      <c r="G16" s="120">
        <f t="shared" si="0"/>
        <v>14</v>
      </c>
      <c r="H16" s="380" t="str" cm="1">
        <f t="array" ref="H16" xml:space="preserve"> IF(E16&lt;&gt;0, INDEX(十五音韻母對照表, E16, $G16), IF(G16&lt;&gt;0, INDEX(十五音韻母對照表, F16, $G16), ""))</f>
        <v>ㄜㆷ</v>
      </c>
      <c r="I16" s="120">
        <f t="shared" si="1"/>
        <v>6</v>
      </c>
      <c r="J16" s="383" t="str" cm="1">
        <f t="array" ref="J16" xml:space="preserve"> IF($E16&lt;&gt;0, INDEX(十五音韻母對照表, $E16, $I16), IF($F16&lt;&gt;0, INDEX(十五音韻母對照表, $F16, $I16), ""))</f>
        <v>o?</v>
      </c>
    </row>
    <row r="17" spans="2:10" ht="42">
      <c r="B17" s="106">
        <v>10</v>
      </c>
      <c r="C17" s="132" t="s">
        <v>739</v>
      </c>
      <c r="D17" s="380" t="s">
        <v>160</v>
      </c>
      <c r="E17" s="120">
        <f xml:space="preserve"> IFERROR( MATCH($D17,'十五音-韻母'!$D$5:$D$54,0), 0)</f>
        <v>39</v>
      </c>
      <c r="F17" s="120" t="str">
        <f>IF(E17&lt;&gt;0,"",(IFERROR(MATCH($D17,'十五音-韻母'!$E$5:$E$54,0),0)))</f>
        <v/>
      </c>
      <c r="G17" s="120">
        <f t="shared" si="0"/>
        <v>13</v>
      </c>
      <c r="H17" s="380" t="str" cm="1">
        <f t="array" ref="H17" xml:space="preserve"> IF(E17&lt;&gt;0, INDEX(十五音韻母對照表, E17, $G17), IF(G17&lt;&gt;0, INDEX(十五音韻母對照表, F17, $G17), ""))</f>
        <v>ㆤ</v>
      </c>
      <c r="I17" s="120">
        <f t="shared" si="1"/>
        <v>5</v>
      </c>
      <c r="J17" s="383" t="str" cm="1">
        <f t="array" ref="J17" xml:space="preserve"> IF($E17&lt;&gt;0, INDEX(十五音韻母對照表, $E17, $I17), IF($F17&lt;&gt;0, INDEX(十五音韻母對照表, $F17, $I17), ""))</f>
        <v>e</v>
      </c>
    </row>
    <row r="18" spans="2:10" ht="42">
      <c r="B18" s="106">
        <v>11</v>
      </c>
      <c r="C18" s="132" t="s">
        <v>1506</v>
      </c>
      <c r="D18" s="380" t="s">
        <v>194</v>
      </c>
      <c r="E18" s="120">
        <f xml:space="preserve"> IFERROR( MATCH($D18,'十五音-韻母'!$D$5:$D$54,0), 0)</f>
        <v>31</v>
      </c>
      <c r="F18" s="120" t="str">
        <f>IF(E18&lt;&gt;0,"",(IFERROR(MATCH($D18,'十五音-韻母'!$E$5:$E$54,0),0)))</f>
        <v/>
      </c>
      <c r="G18" s="120">
        <f t="shared" si="0"/>
        <v>13</v>
      </c>
      <c r="H18" s="380" t="str" cm="1">
        <f t="array" ref="H18" xml:space="preserve"> IF(E18&lt;&gt;0, INDEX(十五音韻母對照表, E18, $G18), IF(G18&lt;&gt;0, INDEX(十五音韻母對照表, F18, $G18), ""))</f>
        <v>ㆥ</v>
      </c>
      <c r="I18" s="120">
        <f t="shared" si="1"/>
        <v>5</v>
      </c>
      <c r="J18" s="383" t="str" cm="1">
        <f t="array" ref="J18" xml:space="preserve"> IF($E18&lt;&gt;0, INDEX(十五音韻母對照表, $E18, $I18), IF($F18&lt;&gt;0, INDEX(十五音韻母對照表, $F18, $I18), ""))</f>
        <v>ɛ̃</v>
      </c>
    </row>
    <row r="19" spans="2:10" ht="42">
      <c r="B19" s="106">
        <v>12</v>
      </c>
      <c r="C19" s="132" t="s">
        <v>740</v>
      </c>
      <c r="D19" s="380" t="s">
        <v>161</v>
      </c>
      <c r="E19" s="120">
        <f xml:space="preserve"> IFERROR( MATCH($D19,'十五音-韻母'!$D$5:$D$54,0), 0)</f>
        <v>0</v>
      </c>
      <c r="F19" s="120">
        <f>IF(E19&lt;&gt;0,"",(IFERROR(MATCH($D19,'十五音-韻母'!$E$5:$E$54,0),0)))</f>
        <v>39</v>
      </c>
      <c r="G19" s="120">
        <f t="shared" si="0"/>
        <v>14</v>
      </c>
      <c r="H19" s="380" t="str" cm="1">
        <f t="array" ref="H19" xml:space="preserve"> IF(E19&lt;&gt;0, INDEX(十五音韻母對照表, E19, $G19), IF(G19&lt;&gt;0, INDEX(十五音韻母對照表, F19, $G19), ""))</f>
        <v>ㆤㆷ</v>
      </c>
      <c r="I19" s="120">
        <f t="shared" si="1"/>
        <v>6</v>
      </c>
      <c r="J19" s="383" t="str" cm="1">
        <f t="array" ref="J19" xml:space="preserve"> IF($E19&lt;&gt;0, INDEX(十五音韻母對照表, $E19, $I19), IF($F19&lt;&gt;0, INDEX(十五音韻母對照表, $F19, $I19), ""))</f>
        <v>e?</v>
      </c>
    </row>
    <row r="20" spans="2:10" ht="42">
      <c r="B20" s="106">
        <v>13</v>
      </c>
      <c r="C20" s="132" t="s">
        <v>1507</v>
      </c>
      <c r="D20" s="380" t="s">
        <v>195</v>
      </c>
      <c r="E20" s="120">
        <f xml:space="preserve"> IFERROR( MATCH($D20,'十五音-韻母'!$D$5:$D$54,0), 0)</f>
        <v>0</v>
      </c>
      <c r="F20" s="120">
        <f>IF(E20&lt;&gt;0,"",(IFERROR(MATCH($D20,'十五音-韻母'!$E$5:$E$54,0),0)))</f>
        <v>31</v>
      </c>
      <c r="G20" s="120">
        <f t="shared" si="0"/>
        <v>14</v>
      </c>
      <c r="H20" s="380" t="str" cm="1">
        <f t="array" ref="H20" xml:space="preserve"> IF(E20&lt;&gt;0, INDEX(十五音韻母對照表, E20, $G20), IF(G20&lt;&gt;0, INDEX(十五音韻母對照表, F20, $G20), ""))</f>
        <v>ㆥㆷ</v>
      </c>
      <c r="I20" s="120">
        <f t="shared" si="1"/>
        <v>6</v>
      </c>
      <c r="J20" s="383" t="str" cm="1">
        <f t="array" ref="J20" xml:space="preserve"> IF($E20&lt;&gt;0, INDEX(十五音韻母對照表, $E20, $I20), IF($F20&lt;&gt;0, INDEX(十五音韻母對照表, $F20, $I20), ""))</f>
        <v>ɛ̃?</v>
      </c>
    </row>
    <row r="21" spans="2:10" ht="42">
      <c r="B21" s="106">
        <v>14</v>
      </c>
      <c r="C21" s="132" t="s">
        <v>1508</v>
      </c>
      <c r="D21" s="380" t="s">
        <v>151</v>
      </c>
      <c r="E21" s="120">
        <f xml:space="preserve"> IFERROR( MATCH($D21,'十五音-韻母'!$D$5:$D$54,0), 0)</f>
        <v>16</v>
      </c>
      <c r="F21" s="120" t="str">
        <f>IF(E21&lt;&gt;0,"",(IFERROR(MATCH($D21,'十五音-韻母'!$E$5:$E$54,0),0)))</f>
        <v/>
      </c>
      <c r="G21" s="120">
        <f t="shared" si="0"/>
        <v>13</v>
      </c>
      <c r="H21" s="380" t="str" cm="1">
        <f t="array" ref="H21" xml:space="preserve"> IF(E21&lt;&gt;0, INDEX(十五音韻母對照表, E21, $G21), IF(G21&lt;&gt;0, INDEX(十五音韻母對照表, F21, $G21), ""))</f>
        <v>ㄞ</v>
      </c>
      <c r="I21" s="120">
        <f t="shared" si="1"/>
        <v>5</v>
      </c>
      <c r="J21" s="383" t="str" cm="1">
        <f t="array" ref="J21" xml:space="preserve"> IF($E21&lt;&gt;0, INDEX(十五音韻母對照表, $E21, $I21), IF($F21&lt;&gt;0, INDEX(十五音韻母對照表, $F21, $I21), ""))</f>
        <v>ai</v>
      </c>
    </row>
    <row r="22" spans="2:10" ht="42">
      <c r="B22" s="106">
        <v>15</v>
      </c>
      <c r="C22" s="132" t="s">
        <v>1509</v>
      </c>
      <c r="D22" s="380" t="s">
        <v>157</v>
      </c>
      <c r="E22" s="120">
        <f xml:space="preserve"> IFERROR( MATCH($D22,'十五音-韻母'!$D$5:$D$54,0), 0)</f>
        <v>40</v>
      </c>
      <c r="F22" s="120" t="str">
        <f>IF(E22&lt;&gt;0,"",(IFERROR(MATCH($D22,'十五音-韻母'!$E$5:$E$54,0),0)))</f>
        <v/>
      </c>
      <c r="G22" s="120">
        <f t="shared" si="0"/>
        <v>13</v>
      </c>
      <c r="H22" s="380" t="str" cm="1">
        <f t="array" ref="H22" xml:space="preserve"> IF(E22&lt;&gt;0, INDEX(十五音韻母對照表, E22, $G22), IF(G22&lt;&gt;0, INDEX(十五音韻母對照表, F22, $G22), ""))</f>
        <v>ㆮ</v>
      </c>
      <c r="I22" s="120">
        <f t="shared" si="1"/>
        <v>5</v>
      </c>
      <c r="J22" s="383" t="str" cm="1">
        <f t="array" ref="J22" xml:space="preserve"> IF($E22&lt;&gt;0, INDEX(十五音韻母對照表, $E22, $I22), IF($F22&lt;&gt;0, INDEX(十五音韻母對照表, $F22, $I22), ""))</f>
        <v>aĩ</v>
      </c>
    </row>
    <row r="23" spans="2:10" ht="42">
      <c r="B23" s="106"/>
      <c r="C23" s="133" t="s">
        <v>825</v>
      </c>
      <c r="D23" s="380" t="s">
        <v>825</v>
      </c>
      <c r="E23" s="120">
        <f xml:space="preserve"> IFERROR( MATCH($D23,'十五音-韻母'!$D$5:$D$54,0), 0)</f>
        <v>0</v>
      </c>
      <c r="F23" s="120">
        <f>IF(E23&lt;&gt;0,"",(IFERROR(MATCH($D23,'十五音-韻母'!$E$5:$E$54,0),0)))</f>
        <v>16</v>
      </c>
      <c r="G23" s="120">
        <f t="shared" si="0"/>
        <v>14</v>
      </c>
      <c r="H23" s="380" t="str" cm="1">
        <f t="array" ref="H23" xml:space="preserve"> IF(E23&lt;&gt;0, INDEX(十五音韻母對照表, E23, $G23), IF(G23&lt;&gt;0, INDEX(十五音韻母對照表, F23, $G23), ""))</f>
        <v>ㄞㆷ</v>
      </c>
      <c r="I23" s="120">
        <f t="shared" si="1"/>
        <v>6</v>
      </c>
      <c r="J23" s="383" t="str" cm="1">
        <f t="array" ref="J23" xml:space="preserve"> IF($E23&lt;&gt;0, INDEX(十五音韻母對照表, $E23, $I23), IF($F23&lt;&gt;0, INDEX(十五音韻母對照表, $F23, $I23), ""))</f>
        <v>ai?</v>
      </c>
    </row>
    <row r="24" spans="2:10" ht="42">
      <c r="B24" s="106">
        <v>16</v>
      </c>
      <c r="C24" s="133" t="s">
        <v>1017</v>
      </c>
      <c r="D24" s="380" t="s">
        <v>1510</v>
      </c>
      <c r="E24" s="120">
        <f xml:space="preserve"> IFERROR( MATCH($D24,'十五音-韻母'!$D$5:$D$54,0), 0)</f>
        <v>0</v>
      </c>
      <c r="F24" s="120">
        <f>IF(E24&lt;&gt;0,"",(IFERROR(MATCH($D24,'十五音-韻母'!$E$5:$E$54,0),0)))</f>
        <v>40</v>
      </c>
      <c r="G24" s="120">
        <f t="shared" si="0"/>
        <v>14</v>
      </c>
      <c r="H24" s="380" t="str" cm="1">
        <f t="array" ref="H24" xml:space="preserve"> IF(E24&lt;&gt;0, INDEX(十五音韻母對照表, E24, $G24), IF(G24&lt;&gt;0, INDEX(十五音韻母對照表, F24, $G24), ""))</f>
        <v>ㆮㆷ</v>
      </c>
      <c r="I24" s="120">
        <f t="shared" si="1"/>
        <v>6</v>
      </c>
      <c r="J24" s="383" t="str" cm="1">
        <f t="array" ref="J24" xml:space="preserve"> IF($E24&lt;&gt;0, INDEX(十五音韻母對照表, $E24, $I24), IF($F24&lt;&gt;0, INDEX(十五音韻母對照表, $F24, $I24), ""))</f>
        <v>aĩ?</v>
      </c>
    </row>
    <row r="25" spans="2:10" ht="42">
      <c r="B25" s="106">
        <v>17</v>
      </c>
      <c r="C25" s="132" t="s">
        <v>1511</v>
      </c>
      <c r="D25" s="380" t="s">
        <v>178</v>
      </c>
      <c r="E25" s="120">
        <f xml:space="preserve"> IFERROR( MATCH($D25,'十五音-韻母'!$D$5:$D$54,0), 0)</f>
        <v>23</v>
      </c>
      <c r="F25" s="120" t="str">
        <f>IF(E25&lt;&gt;0,"",(IFERROR(MATCH($D25,'十五音-韻母'!$E$5:$E$54,0),0)))</f>
        <v/>
      </c>
      <c r="G25" s="120">
        <f t="shared" si="0"/>
        <v>13</v>
      </c>
      <c r="H25" s="380" t="str" cm="1">
        <f t="array" ref="H25" xml:space="preserve"> IF(E25&lt;&gt;0, INDEX(十五音韻母對照表, E25, $G25), IF(G25&lt;&gt;0, INDEX(十五音韻母對照表, F25, $G25), ""))</f>
        <v>ㄠ</v>
      </c>
      <c r="I25" s="120">
        <f t="shared" si="1"/>
        <v>5</v>
      </c>
      <c r="J25" s="383" t="str" cm="1">
        <f t="array" ref="J25" xml:space="preserve"> IF($E25&lt;&gt;0, INDEX(十五音韻母對照表, $E25, $I25), IF($F25&lt;&gt;0, INDEX(十五音韻母對照表, $F25, $I25), ""))</f>
        <v>au</v>
      </c>
    </row>
    <row r="26" spans="2:10" ht="42">
      <c r="B26" s="106">
        <v>19</v>
      </c>
      <c r="C26" s="132" t="s">
        <v>1512</v>
      </c>
      <c r="D26" s="380" t="s">
        <v>179</v>
      </c>
      <c r="E26" s="120">
        <f xml:space="preserve"> IFERROR( MATCH($D26,'十五音-韻母'!$D$5:$D$54,0), 0)</f>
        <v>0</v>
      </c>
      <c r="F26" s="120">
        <f>IF(E26&lt;&gt;0,"",(IFERROR(MATCH($D26,'十五音-韻母'!$E$5:$E$54,0),0)))</f>
        <v>23</v>
      </c>
      <c r="G26" s="120">
        <f t="shared" si="0"/>
        <v>14</v>
      </c>
      <c r="H26" s="380" t="str" cm="1">
        <f t="array" ref="H26" xml:space="preserve"> IF(E26&lt;&gt;0, INDEX(十五音韻母對照表, E26, $G26), IF(G26&lt;&gt;0, INDEX(十五音韻母對照表, F26, $G26), ""))</f>
        <v>ㄠㆷ</v>
      </c>
      <c r="I26" s="120">
        <f t="shared" si="1"/>
        <v>6</v>
      </c>
      <c r="J26" s="383" t="str" cm="1">
        <f t="array" ref="J26" xml:space="preserve"> IF($E26&lt;&gt;0, INDEX(十五音韻母對照表, $E26, $I26), IF($F26&lt;&gt;0, INDEX(十五音韻母對照表, $F26, $I26), ""))</f>
        <v>au?</v>
      </c>
    </row>
    <row r="27" spans="2:10" ht="42">
      <c r="B27" s="106">
        <v>18</v>
      </c>
      <c r="C27" s="133" t="s">
        <v>1513</v>
      </c>
      <c r="D27" s="380" t="s">
        <v>774</v>
      </c>
      <c r="E27" s="120">
        <f xml:space="preserve"> IFERROR( MATCH($D27,'十五音-韻母'!$D$5:$D$54,0), 0)</f>
        <v>48</v>
      </c>
      <c r="F27" s="120" t="str">
        <f>IF(E27&lt;&gt;0,"",(IFERROR(MATCH($D27,'十五音-韻母'!$E$5:$E$54,0),0)))</f>
        <v/>
      </c>
      <c r="G27" s="120">
        <f t="shared" si="0"/>
        <v>13</v>
      </c>
      <c r="H27" s="380" t="str" cm="1">
        <f t="array" ref="H27" xml:space="preserve"> IF(E27&lt;&gt;0, INDEX(十五音韻母對照表, E27, $G27), IF(G27&lt;&gt;0, INDEX(十五音韻母對照表, F27, $G27), ""))</f>
        <v>ㆯ</v>
      </c>
      <c r="I27" s="120">
        <f t="shared" si="1"/>
        <v>5</v>
      </c>
      <c r="J27" s="383" t="str" cm="1">
        <f t="array" ref="J27" xml:space="preserve"> IF($E27&lt;&gt;0, INDEX(十五音韻母對照表, $E27, $I27), IF($F27&lt;&gt;0, INDEX(十五音韻母對照表, $F27, $I27), ""))</f>
        <v>ãu</v>
      </c>
    </row>
    <row r="28" spans="2:10" ht="42">
      <c r="B28" s="106">
        <v>20</v>
      </c>
      <c r="C28" s="133" t="s">
        <v>1094</v>
      </c>
      <c r="D28" s="380" t="s">
        <v>1514</v>
      </c>
      <c r="E28" s="120">
        <f xml:space="preserve"> IFERROR( MATCH($D28,'十五音-韻母'!$D$5:$D$54,0), 0)</f>
        <v>0</v>
      </c>
      <c r="F28" s="120">
        <f>IF(E28&lt;&gt;0,"",(IFERROR(MATCH($D28,'十五音-韻母'!$E$5:$E$54,0),0)))</f>
        <v>48</v>
      </c>
      <c r="G28" s="120">
        <f t="shared" si="0"/>
        <v>14</v>
      </c>
      <c r="H28" s="380" t="str" cm="1">
        <f t="array" ref="H28" xml:space="preserve"> IF(E28&lt;&gt;0, INDEX(十五音韻母對照表, E28, $G28), IF(G28&lt;&gt;0, INDEX(十五音韻母對照表, F28, $G28), ""))</f>
        <v>ㆯㆷ</v>
      </c>
      <c r="I28" s="120">
        <f t="shared" si="1"/>
        <v>6</v>
      </c>
      <c r="J28" s="383" t="str" cm="1">
        <f t="array" ref="J28" xml:space="preserve"> IF($E28&lt;&gt;0, INDEX(十五音韻母對照表, $E28, $I28), IF($F28&lt;&gt;0, INDEX(十五音韻母對照表, $F28, $I28), ""))</f>
        <v>ãu?</v>
      </c>
    </row>
    <row r="29" spans="2:10" ht="42">
      <c r="B29" s="106">
        <v>21</v>
      </c>
      <c r="C29" s="132" t="s">
        <v>36</v>
      </c>
      <c r="D29" s="380" t="s">
        <v>27</v>
      </c>
      <c r="E29" s="120">
        <f xml:space="preserve"> IFERROR( MATCH($D29,'十五音-韻母'!$D$5:$D$54,0), 0)</f>
        <v>42</v>
      </c>
      <c r="F29" s="120" t="str">
        <f>IF(E29&lt;&gt;0,"",(IFERROR(MATCH($D29,'十五音-韻母'!$E$5:$E$54,0),0)))</f>
        <v/>
      </c>
      <c r="G29" s="120">
        <f t="shared" si="0"/>
        <v>13</v>
      </c>
      <c r="H29" s="380" t="str" cm="1">
        <f t="array" ref="H29" xml:space="preserve"> IF(E29&lt;&gt;0, INDEX(十五音韻母對照表, E29, $G29), IF(G29&lt;&gt;0, INDEX(十五音韻母對照表, F29, $G29), ""))</f>
        <v>ㆬ</v>
      </c>
      <c r="I29" s="120">
        <f t="shared" si="1"/>
        <v>5</v>
      </c>
      <c r="J29" s="383" t="str" cm="1">
        <f t="array" ref="J29" xml:space="preserve"> IF($E29&lt;&gt;0, INDEX(十五音韻母對照表, $E29, $I29), IF($F29&lt;&gt;0, INDEX(十五音韻母對照表, $F29, $I29), ""))</f>
        <v>m</v>
      </c>
    </row>
    <row r="30" spans="2:10" ht="42">
      <c r="B30" s="106">
        <v>22</v>
      </c>
      <c r="C30" s="132" t="s">
        <v>1037</v>
      </c>
      <c r="D30" s="380" t="s">
        <v>252</v>
      </c>
      <c r="E30" s="120">
        <f xml:space="preserve"> IFERROR( MATCH($D30,'十五音-韻母'!$D$5:$D$54,0), 0)</f>
        <v>0</v>
      </c>
      <c r="F30" s="120">
        <f>IF(E30&lt;&gt;0,"",(IFERROR(MATCH($D30,'十五音-韻母'!$E$5:$E$54,0),0)))</f>
        <v>42</v>
      </c>
      <c r="G30" s="120">
        <f t="shared" si="0"/>
        <v>14</v>
      </c>
      <c r="H30" s="380" t="str" cm="1">
        <f t="array" ref="H30" xml:space="preserve"> IF(E30&lt;&gt;0, INDEX(十五音韻母對照表, E30, $G30), IF(G30&lt;&gt;0, INDEX(十五音韻母對照表, F30, $G30), ""))</f>
        <v>ㆬㆷ</v>
      </c>
      <c r="I30" s="120">
        <f t="shared" si="1"/>
        <v>6</v>
      </c>
      <c r="J30" s="383" t="str" cm="1">
        <f t="array" ref="J30" xml:space="preserve"> IF($E30&lt;&gt;0, INDEX(十五音韻母對照表, $E30, $I30), IF($F30&lt;&gt;0, INDEX(十五音韻母對照表, $F30, $I30), ""))</f>
        <v>mh</v>
      </c>
    </row>
    <row r="31" spans="2:10" ht="42">
      <c r="B31" s="106">
        <v>23</v>
      </c>
      <c r="C31" s="132" t="s">
        <v>747</v>
      </c>
      <c r="D31" s="380" t="s">
        <v>163</v>
      </c>
      <c r="E31" s="120">
        <f xml:space="preserve"> IFERROR( MATCH($D31,'十五音-韻母'!$D$5:$D$54,0), 0)</f>
        <v>19</v>
      </c>
      <c r="F31" s="120" t="str">
        <f>IF(E31&lt;&gt;0,"",(IFERROR(MATCH($D31,'十五音-韻母'!$E$5:$E$54,0),0)))</f>
        <v/>
      </c>
      <c r="G31" s="120">
        <f t="shared" si="0"/>
        <v>13</v>
      </c>
      <c r="H31" s="380" t="str" cm="1">
        <f t="array" ref="H31" xml:space="preserve"> IF(E31&lt;&gt;0, INDEX(十五音韻母對照表, E31, $G31), IF(G31&lt;&gt;0, INDEX(十五音韻母對照表, F31, $G31), ""))</f>
        <v>ㆰ</v>
      </c>
      <c r="I31" s="120">
        <f t="shared" si="1"/>
        <v>5</v>
      </c>
      <c r="J31" s="383" t="str" cm="1">
        <f t="array" ref="J31" xml:space="preserve"> IF($E31&lt;&gt;0, INDEX(十五音韻母對照表, $E31, $I31), IF($F31&lt;&gt;0, INDEX(十五音韻母對照表, $F31, $I31), ""))</f>
        <v>am</v>
      </c>
    </row>
    <row r="32" spans="2:10" ht="42">
      <c r="B32" s="106">
        <v>24</v>
      </c>
      <c r="C32" s="132" t="s">
        <v>750</v>
      </c>
      <c r="D32" s="380" t="s">
        <v>164</v>
      </c>
      <c r="E32" s="120">
        <f xml:space="preserve"> IFERROR( MATCH($D32,'十五音-韻母'!$D$5:$D$54,0), 0)</f>
        <v>0</v>
      </c>
      <c r="F32" s="120">
        <f>IF(E32&lt;&gt;0,"",(IFERROR(MATCH($D32,'十五音-韻母'!$E$5:$E$54,0),0)))</f>
        <v>19</v>
      </c>
      <c r="G32" s="120">
        <f t="shared" si="0"/>
        <v>14</v>
      </c>
      <c r="H32" s="380" t="str" cm="1">
        <f t="array" ref="H32" xml:space="preserve"> IF(E32&lt;&gt;0, INDEX(十五音韻母對照表, E32, $G32), IF(G32&lt;&gt;0, INDEX(十五音韻母對照表, F32, $G32), ""))</f>
        <v>ㄚㆴ</v>
      </c>
      <c r="I32" s="120">
        <f t="shared" si="1"/>
        <v>6</v>
      </c>
      <c r="J32" s="383" t="str" cm="1">
        <f t="array" ref="J32" xml:space="preserve"> IF($E32&lt;&gt;0, INDEX(十五音韻母對照表, $E32, $I32), IF($F32&lt;&gt;0, INDEX(十五音韻母對照表, $F32, $I32), ""))</f>
        <v>ap̚</v>
      </c>
    </row>
    <row r="33" spans="2:10" ht="42">
      <c r="B33" s="106">
        <v>25</v>
      </c>
      <c r="C33" s="132" t="s">
        <v>754</v>
      </c>
      <c r="D33" s="380" t="s">
        <v>166</v>
      </c>
      <c r="E33" s="120">
        <f xml:space="preserve"> IFERROR( MATCH($D33,'十五音-韻母'!$D$5:$D$54,0), 0)</f>
        <v>6</v>
      </c>
      <c r="F33" s="120" t="str">
        <f>IF(E33&lt;&gt;0,"",(IFERROR(MATCH($D33,'十五音-韻母'!$E$5:$E$54,0),0)))</f>
        <v/>
      </c>
      <c r="G33" s="120">
        <f t="shared" si="0"/>
        <v>13</v>
      </c>
      <c r="H33" s="380" t="str" cm="1">
        <f t="array" ref="H33" xml:space="preserve"> IF(E33&lt;&gt;0, INDEX(十五音韻母對照表, E33, $G33), IF(G33&lt;&gt;0, INDEX(十五音韻母對照表, F33, $G33), ""))</f>
        <v>ㄢ</v>
      </c>
      <c r="I33" s="120">
        <f t="shared" si="1"/>
        <v>5</v>
      </c>
      <c r="J33" s="383" t="str" cm="1">
        <f t="array" ref="J33" xml:space="preserve"> IF($E33&lt;&gt;0, INDEX(十五音韻母對照表, $E33, $I33), IF($F33&lt;&gt;0, INDEX(十五音韻母對照表, $F33, $I33), ""))</f>
        <v>an</v>
      </c>
    </row>
    <row r="34" spans="2:10" ht="42">
      <c r="B34" s="106">
        <v>26</v>
      </c>
      <c r="C34" s="132" t="s">
        <v>748</v>
      </c>
      <c r="D34" s="380" t="s">
        <v>164</v>
      </c>
      <c r="E34" s="120">
        <f xml:space="preserve"> IFERROR( MATCH($D34,'十五音-韻母'!$D$5:$D$54,0), 0)</f>
        <v>0</v>
      </c>
      <c r="F34" s="120">
        <f>IF(E34&lt;&gt;0,"",(IFERROR(MATCH($D34,'十五音-韻母'!$E$5:$E$54,0),0)))</f>
        <v>19</v>
      </c>
      <c r="G34" s="120">
        <f t="shared" si="0"/>
        <v>14</v>
      </c>
      <c r="H34" s="380" t="str" cm="1">
        <f t="array" ref="H34" xml:space="preserve"> IF(E34&lt;&gt;0, INDEX(十五音韻母對照表, E34, $G34), IF(G34&lt;&gt;0, INDEX(十五音韻母對照表, F34, $G34), ""))</f>
        <v>ㄚㆴ</v>
      </c>
      <c r="I34" s="120">
        <f t="shared" si="1"/>
        <v>6</v>
      </c>
      <c r="J34" s="383" t="str" cm="1">
        <f t="array" ref="J34" xml:space="preserve"> IF($E34&lt;&gt;0, INDEX(十五音韻母對照表, $E34, $I34), IF($F34&lt;&gt;0, INDEX(十五音韻母對照表, $F34, $I34), ""))</f>
        <v>ap̚</v>
      </c>
    </row>
    <row r="35" spans="2:10" ht="42">
      <c r="B35" s="106">
        <v>27</v>
      </c>
      <c r="C35" s="132" t="s">
        <v>68</v>
      </c>
      <c r="D35" s="380" t="s">
        <v>48</v>
      </c>
      <c r="E35" s="120">
        <f xml:space="preserve"> IFERROR( MATCH($D35,'十五音-韻母'!$D$5:$D$54,0), 0)</f>
        <v>38</v>
      </c>
      <c r="F35" s="120" t="str">
        <f>IF(E35&lt;&gt;0,"",(IFERROR(MATCH($D35,'十五音-韻母'!$E$5:$E$54,0),0)))</f>
        <v/>
      </c>
      <c r="G35" s="120">
        <f t="shared" si="0"/>
        <v>13</v>
      </c>
      <c r="H35" s="380" t="str" cm="1">
        <f t="array" ref="H35" xml:space="preserve"> IF(E35&lt;&gt;0, INDEX(十五音韻母對照表, E35, $G35), IF(G35&lt;&gt;0, INDEX(十五音韻母對照表, F35, $G35), ""))</f>
        <v>ㆭ</v>
      </c>
      <c r="I35" s="120">
        <f t="shared" si="1"/>
        <v>5</v>
      </c>
      <c r="J35" s="383" t="str" cm="1">
        <f t="array" ref="J35" xml:space="preserve"> IF($E35&lt;&gt;0, INDEX(十五音韻母對照表, $E35, $I35), IF($F35&lt;&gt;0, INDEX(十五音韻母對照表, $F35, $I35), ""))</f>
        <v>ŋ</v>
      </c>
    </row>
    <row r="36" spans="2:10" ht="42">
      <c r="B36" s="106">
        <v>28</v>
      </c>
      <c r="C36" s="132" t="s">
        <v>1002</v>
      </c>
      <c r="D36" s="380" t="s">
        <v>254</v>
      </c>
      <c r="E36" s="120">
        <f xml:space="preserve"> IFERROR( MATCH($D36,'十五音-韻母'!$D$5:$D$54,0), 0)</f>
        <v>0</v>
      </c>
      <c r="F36" s="120">
        <f>IF(E36&lt;&gt;0,"",(IFERROR(MATCH($D36,'十五音-韻母'!$E$5:$E$54,0),0)))</f>
        <v>38</v>
      </c>
      <c r="G36" s="120">
        <f t="shared" si="0"/>
        <v>14</v>
      </c>
      <c r="H36" s="380" t="str" cm="1">
        <f t="array" ref="H36" xml:space="preserve"> IF(E36&lt;&gt;0, INDEX(十五音韻母對照表, E36, $G36), IF(G36&lt;&gt;0, INDEX(十五音韻母對照表, F36, $G36), ""))</f>
        <v>ㆭㆷ</v>
      </c>
      <c r="I36" s="120">
        <f t="shared" si="1"/>
        <v>6</v>
      </c>
      <c r="J36" s="383" t="str" cm="1">
        <f t="array" ref="J36" xml:space="preserve"> IF($E36&lt;&gt;0, INDEX(十五音韻母對照表, $E36, $I36), IF($F36&lt;&gt;0, INDEX(十五音韻母對照表, $F36, $I36), ""))</f>
        <v>ŋ?</v>
      </c>
    </row>
    <row r="37" spans="2:10" ht="42">
      <c r="B37" s="106">
        <v>29</v>
      </c>
      <c r="C37" s="132" t="s">
        <v>760</v>
      </c>
      <c r="D37" s="380" t="s">
        <v>172</v>
      </c>
      <c r="E37" s="120">
        <f xml:space="preserve"> IFERROR( MATCH($D37,'十五音-韻母'!$D$5:$D$54,0), 0)</f>
        <v>21</v>
      </c>
      <c r="F37" s="120" t="str">
        <f>IF(E37&lt;&gt;0,"",(IFERROR(MATCH($D37,'十五音-韻母'!$E$5:$E$54,0),0)))</f>
        <v/>
      </c>
      <c r="G37" s="120">
        <f t="shared" si="0"/>
        <v>13</v>
      </c>
      <c r="H37" s="380" t="str" cm="1">
        <f t="array" ref="H37" xml:space="preserve"> IF(E37&lt;&gt;0, INDEX(十五音韻母對照表, E37, $G37), IF(G37&lt;&gt;0, INDEX(十五音韻母對照表, F37, $G37), ""))</f>
        <v>ㄤ</v>
      </c>
      <c r="I37" s="120">
        <f t="shared" si="1"/>
        <v>5</v>
      </c>
      <c r="J37" s="383" t="str" cm="1">
        <f t="array" ref="J37" xml:space="preserve"> IF($E37&lt;&gt;0, INDEX(十五音韻母對照表, $E37, $I37), IF($F37&lt;&gt;0, INDEX(十五音韻母對照表, $F37, $I37), ""))</f>
        <v>aŋ</v>
      </c>
    </row>
    <row r="38" spans="2:10" ht="42">
      <c r="B38" s="106">
        <v>30</v>
      </c>
      <c r="C38" s="132" t="s">
        <v>1515</v>
      </c>
      <c r="D38" s="380" t="s">
        <v>173</v>
      </c>
      <c r="E38" s="120">
        <f xml:space="preserve"> IFERROR( MATCH($D38,'十五音-韻母'!$D$5:$D$54,0), 0)</f>
        <v>0</v>
      </c>
      <c r="F38" s="120">
        <f>IF(E38&lt;&gt;0,"",(IFERROR(MATCH($D38,'十五音-韻母'!$E$5:$E$54,0),0)))</f>
        <v>21</v>
      </c>
      <c r="G38" s="120">
        <f t="shared" si="0"/>
        <v>14</v>
      </c>
      <c r="H38" s="380" t="str" cm="1">
        <f t="array" ref="H38" xml:space="preserve"> IF(E38&lt;&gt;0, INDEX(十五音韻母對照表, E38, $G38), IF(G38&lt;&gt;0, INDEX(十五音韻母對照表, F38, $G38), ""))</f>
        <v>ㄚㆻ</v>
      </c>
      <c r="I38" s="120">
        <f t="shared" si="1"/>
        <v>6</v>
      </c>
      <c r="J38" s="383" t="str" cm="1">
        <f t="array" ref="J38" xml:space="preserve"> IF($E38&lt;&gt;0, INDEX(十五音韻母對照表, $E38, $I38), IF($F38&lt;&gt;0, INDEX(十五音韻母對照表, $F38, $I38), ""))</f>
        <v>ak̚</v>
      </c>
    </row>
    <row r="39" spans="2:10" ht="42">
      <c r="B39" s="106">
        <v>31</v>
      </c>
      <c r="C39" s="132" t="s">
        <v>978</v>
      </c>
      <c r="D39" s="380" t="s">
        <v>169</v>
      </c>
      <c r="E39" s="120">
        <f xml:space="preserve"> IFERROR( MATCH($D39,'十五音-韻母'!$D$5:$D$54,0), 0)</f>
        <v>7</v>
      </c>
      <c r="F39" s="120" t="str">
        <f>IF(E39&lt;&gt;0,"",(IFERROR(MATCH($D39,'十五音-韻母'!$E$5:$E$54,0),0)))</f>
        <v/>
      </c>
      <c r="G39" s="120">
        <f t="shared" si="0"/>
        <v>13</v>
      </c>
      <c r="H39" s="380" t="str" cm="1">
        <f t="array" ref="H39" xml:space="preserve"> IF(E39&lt;&gt;0, INDEX(十五音韻母對照表, E39, $G39), IF(G39&lt;&gt;0, INDEX(十五音韻母對照表, F39, $G39), ""))</f>
        <v>ㆲ</v>
      </c>
      <c r="I39" s="120">
        <f t="shared" si="1"/>
        <v>5</v>
      </c>
      <c r="J39" s="383" t="str" cm="1">
        <f t="array" ref="J39" xml:space="preserve"> IF($E39&lt;&gt;0, INDEX(十五音韻母對照表, $E39, $I39), IF($F39&lt;&gt;0, INDEX(十五音韻母對照表, $F39, $I39), ""))</f>
        <v>ɔŋ</v>
      </c>
    </row>
    <row r="40" spans="2:10" ht="42">
      <c r="B40" s="106">
        <v>32</v>
      </c>
      <c r="C40" s="132" t="s">
        <v>1516</v>
      </c>
      <c r="D40" s="380" t="s">
        <v>170</v>
      </c>
      <c r="E40" s="120">
        <f xml:space="preserve"> IFERROR( MATCH($D40,'十五音-韻母'!$D$5:$D$54,0), 0)</f>
        <v>0</v>
      </c>
      <c r="F40" s="120">
        <f>IF(E40&lt;&gt;0,"",(IFERROR(MATCH($D40,'十五音-韻母'!$E$5:$E$54,0),0)))</f>
        <v>7</v>
      </c>
      <c r="G40" s="120">
        <f t="shared" si="0"/>
        <v>14</v>
      </c>
      <c r="H40" s="380" t="str" cm="1">
        <f t="array" ref="H40" xml:space="preserve"> IF(E40&lt;&gt;0, INDEX(十五音韻母對照表, E40, $G40), IF(G40&lt;&gt;0, INDEX(十五音韻母對照表, F40, $G40), ""))</f>
        <v>ㆦㆻ</v>
      </c>
      <c r="I40" s="120">
        <f t="shared" si="1"/>
        <v>6</v>
      </c>
      <c r="J40" s="383" t="str" cm="1">
        <f t="array" ref="J40" xml:space="preserve"> IF($E40&lt;&gt;0, INDEX(十五音韻母對照表, $E40, $I40), IF($F40&lt;&gt;0, INDEX(十五音韻母對照表, $F40, $I40), ""))</f>
        <v>ɔk̚</v>
      </c>
    </row>
    <row r="41" spans="2:10" ht="42">
      <c r="B41" s="106">
        <v>33</v>
      </c>
      <c r="C41" s="132" t="s">
        <v>800</v>
      </c>
      <c r="D41" s="380" t="s">
        <v>200</v>
      </c>
      <c r="E41" s="120">
        <f xml:space="preserve"> IFERROR( MATCH($D41,'十五音-韻母'!$D$5:$D$54,0), 0)</f>
        <v>29</v>
      </c>
      <c r="F41" s="120" t="str">
        <f>IF(E41&lt;&gt;0,"",(IFERROR(MATCH($D41,'十五音-韻母'!$E$5:$E$54,0),0)))</f>
        <v/>
      </c>
      <c r="G41" s="120">
        <f t="shared" si="0"/>
        <v>13</v>
      </c>
      <c r="H41" s="380" t="str" cm="1">
        <f t="array" ref="H41" xml:space="preserve"> IF(E41&lt;&gt;0, INDEX(十五音韻母對照表, E41, $G41), IF(G41&lt;&gt;0, INDEX(十五音韻母對照表, F41, $G41), ""))</f>
        <v>ㄧ</v>
      </c>
      <c r="I41" s="120">
        <f t="shared" si="1"/>
        <v>5</v>
      </c>
      <c r="J41" s="383" t="str" cm="1">
        <f t="array" ref="J41" xml:space="preserve"> IF($E41&lt;&gt;0, INDEX(十五音韻母對照表, $E41, $I41), IF($F41&lt;&gt;0, INDEX(十五音韻母對照表, $F41, $I41), ""))</f>
        <v>i</v>
      </c>
    </row>
    <row r="42" spans="2:10" ht="42">
      <c r="B42" s="106">
        <v>34</v>
      </c>
      <c r="C42" s="132" t="s">
        <v>1517</v>
      </c>
      <c r="D42" s="380" t="s">
        <v>204</v>
      </c>
      <c r="E42" s="120">
        <f xml:space="preserve"> IFERROR( MATCH($D42,'十五音-韻母'!$D$5:$D$54,0), 0)</f>
        <v>34</v>
      </c>
      <c r="F42" s="120" t="str">
        <f>IF(E42&lt;&gt;0,"",(IFERROR(MATCH($D42,'十五音-韻母'!$E$5:$E$54,0),0)))</f>
        <v/>
      </c>
      <c r="G42" s="120">
        <f t="shared" si="0"/>
        <v>13</v>
      </c>
      <c r="H42" s="380" t="str" cm="1">
        <f t="array" ref="H42" xml:space="preserve"> IF(E42&lt;&gt;0, INDEX(十五音韻母對照表, E42, $G42), IF(G42&lt;&gt;0, INDEX(十五音韻母對照表, F42, $G42), ""))</f>
        <v>ㆪ</v>
      </c>
      <c r="I42" s="120">
        <f t="shared" si="1"/>
        <v>5</v>
      </c>
      <c r="J42" s="383" t="str" cm="1">
        <f t="array" ref="J42" xml:space="preserve"> IF($E42&lt;&gt;0, INDEX(十五音韻母對照表, $E42, $I42), IF($F42&lt;&gt;0, INDEX(十五音韻母對照表, $F42, $I42), ""))</f>
        <v>ĩ</v>
      </c>
    </row>
    <row r="43" spans="2:10" ht="42">
      <c r="B43" s="106">
        <v>35</v>
      </c>
      <c r="C43" s="132" t="s">
        <v>1518</v>
      </c>
      <c r="D43" s="380" t="s">
        <v>201</v>
      </c>
      <c r="E43" s="120">
        <f xml:space="preserve"> IFERROR( MATCH($D43,'十五音-韻母'!$D$5:$D$54,0), 0)</f>
        <v>0</v>
      </c>
      <c r="F43" s="120">
        <f>IF(E43&lt;&gt;0,"",(IFERROR(MATCH($D43,'十五音-韻母'!$E$5:$E$54,0),0)))</f>
        <v>29</v>
      </c>
      <c r="G43" s="120">
        <f t="shared" si="0"/>
        <v>14</v>
      </c>
      <c r="H43" s="380" t="str" cm="1">
        <f t="array" ref="H43" xml:space="preserve"> IF(E43&lt;&gt;0, INDEX(十五音韻母對照表, E43, $G43), IF(G43&lt;&gt;0, INDEX(十五音韻母對照表, F43, $G43), ""))</f>
        <v>ㄧㆷ</v>
      </c>
      <c r="I43" s="120">
        <f t="shared" si="1"/>
        <v>6</v>
      </c>
      <c r="J43" s="383" t="str" cm="1">
        <f t="array" ref="J43" xml:space="preserve"> IF($E43&lt;&gt;0, INDEX(十五音韻母對照表, $E43, $I43), IF($F43&lt;&gt;0, INDEX(十五音韻母對照表, $F43, $I43), ""))</f>
        <v>i?</v>
      </c>
    </row>
    <row r="44" spans="2:10" ht="42">
      <c r="B44" s="106">
        <v>36</v>
      </c>
      <c r="C44" s="133" t="s">
        <v>1519</v>
      </c>
      <c r="D44" s="380" t="s">
        <v>1520</v>
      </c>
      <c r="E44" s="120">
        <f xml:space="preserve"> IFERROR( MATCH($D44,'十五音-韻母'!$D$5:$D$54,0), 0)</f>
        <v>0</v>
      </c>
      <c r="F44" s="120">
        <f>IF(E44&lt;&gt;0,"",(IFERROR(MATCH($D44,'十五音-韻母'!$E$5:$E$54,0),0)))</f>
        <v>34</v>
      </c>
      <c r="G44" s="120">
        <f t="shared" si="0"/>
        <v>14</v>
      </c>
      <c r="H44" s="380" t="str" cm="1">
        <f t="array" ref="H44" xml:space="preserve"> IF(E44&lt;&gt;0, INDEX(十五音韻母對照表, E44, $G44), IF(G44&lt;&gt;0, INDEX(十五音韻母對照表, F44, $G44), ""))</f>
        <v>ㆪ</v>
      </c>
      <c r="I44" s="120">
        <f t="shared" si="1"/>
        <v>6</v>
      </c>
      <c r="J44" s="383" t="str" cm="1">
        <f t="array" ref="J44" xml:space="preserve"> IF($E44&lt;&gt;0, INDEX(十五音韻母對照表, $E44, $I44), IF($F44&lt;&gt;0, INDEX(十五音韻母對照表, $F44, $I44), ""))</f>
        <v>ĩ?</v>
      </c>
    </row>
    <row r="45" spans="2:10" ht="42">
      <c r="B45" s="106">
        <v>37</v>
      </c>
      <c r="C45" s="132" t="s">
        <v>817</v>
      </c>
      <c r="D45" s="380" t="s">
        <v>212</v>
      </c>
      <c r="E45" s="120">
        <f xml:space="preserve"> IFERROR( MATCH($D45,'十五音-韻母'!$D$5:$D$54,0), 0)</f>
        <v>24</v>
      </c>
      <c r="F45" s="120" t="str">
        <f>IF(E45&lt;&gt;0,"",(IFERROR(MATCH($D45,'十五音-韻母'!$E$5:$E$54,0),0)))</f>
        <v/>
      </c>
      <c r="G45" s="120">
        <f t="shared" si="0"/>
        <v>13</v>
      </c>
      <c r="H45" s="380" t="str" cm="1">
        <f t="array" ref="H45" xml:space="preserve"> IF(E45&lt;&gt;0, INDEX(十五音韻母對照表, E45, $G45), IF(G45&lt;&gt;0, INDEX(十五音韻母對照表, F45, $G45), ""))</f>
        <v>ㄧㄚ</v>
      </c>
      <c r="I45" s="120">
        <f t="shared" si="1"/>
        <v>5</v>
      </c>
      <c r="J45" s="383" t="str" cm="1">
        <f t="array" ref="J45" xml:space="preserve"> IF($E45&lt;&gt;0, INDEX(十五音韻母對照表, $E45, $I45), IF($F45&lt;&gt;0, INDEX(十五音韻母對照表, $F45, $I45), ""))</f>
        <v>ia</v>
      </c>
    </row>
    <row r="46" spans="2:10" ht="42">
      <c r="B46" s="106">
        <v>38</v>
      </c>
      <c r="C46" s="132" t="s">
        <v>1521</v>
      </c>
      <c r="D46" s="380" t="s">
        <v>218</v>
      </c>
      <c r="E46" s="120">
        <f xml:space="preserve"> IFERROR( MATCH($D46,'十五音-韻母'!$D$5:$D$54,0), 0)</f>
        <v>36</v>
      </c>
      <c r="F46" s="120" t="str">
        <f>IF(E46&lt;&gt;0,"",(IFERROR(MATCH($D46,'十五音-韻母'!$E$5:$E$54,0),0)))</f>
        <v/>
      </c>
      <c r="G46" s="120">
        <f t="shared" si="0"/>
        <v>13</v>
      </c>
      <c r="H46" s="380" t="str" cm="1">
        <f t="array" ref="H46" xml:space="preserve"> IF(E46&lt;&gt;0, INDEX(十五音韻母對照表, E46, $G46), IF(G46&lt;&gt;0, INDEX(十五音韻母對照表, F46, $G46), ""))</f>
        <v>ㄧㆩ</v>
      </c>
      <c r="I46" s="120">
        <f t="shared" si="1"/>
        <v>5</v>
      </c>
      <c r="J46" s="383" t="str" cm="1">
        <f t="array" ref="J46" xml:space="preserve"> IF($E46&lt;&gt;0, INDEX(十五音韻母對照表, $E46, $I46), IF($F46&lt;&gt;0, INDEX(十五音韻母對照表, $F46, $I46), ""))</f>
        <v>iã</v>
      </c>
    </row>
    <row r="47" spans="2:10" ht="42">
      <c r="B47" s="106">
        <v>39</v>
      </c>
      <c r="C47" s="132" t="s">
        <v>1522</v>
      </c>
      <c r="D47" s="380" t="s">
        <v>213</v>
      </c>
      <c r="E47" s="120">
        <f xml:space="preserve"> IFERROR( MATCH($D47,'十五音-韻母'!$D$5:$D$54,0), 0)</f>
        <v>0</v>
      </c>
      <c r="F47" s="120">
        <f>IF(E47&lt;&gt;0,"",(IFERROR(MATCH($D47,'十五音-韻母'!$E$5:$E$54,0),0)))</f>
        <v>24</v>
      </c>
      <c r="G47" s="120">
        <f t="shared" si="0"/>
        <v>14</v>
      </c>
      <c r="H47" s="380" t="str" cm="1">
        <f t="array" ref="H47" xml:space="preserve"> IF(E47&lt;&gt;0, INDEX(十五音韻母對照表, E47, $G47), IF(G47&lt;&gt;0, INDEX(十五音韻母對照表, F47, $G47), ""))</f>
        <v>ㄧㄚㆷ</v>
      </c>
      <c r="I47" s="120">
        <f t="shared" si="1"/>
        <v>6</v>
      </c>
      <c r="J47" s="383" t="str" cm="1">
        <f t="array" ref="J47" xml:space="preserve"> IF($E47&lt;&gt;0, INDEX(十五音韻母對照表, $E47, $I47), IF($F47&lt;&gt;0, INDEX(十五音韻母對照表, $F47, $I47), ""))</f>
        <v>ia?</v>
      </c>
    </row>
    <row r="48" spans="2:10" ht="42">
      <c r="B48" s="106">
        <v>40</v>
      </c>
      <c r="C48" s="132" t="s">
        <v>983</v>
      </c>
      <c r="D48" s="380" t="s">
        <v>219</v>
      </c>
      <c r="E48" s="120">
        <f xml:space="preserve"> IFERROR( MATCH($D48,'十五音-韻母'!$D$5:$D$54,0), 0)</f>
        <v>0</v>
      </c>
      <c r="F48" s="120">
        <f>IF(E48&lt;&gt;0,"",(IFERROR(MATCH($D48,'十五音-韻母'!$E$5:$E$54,0),0)))</f>
        <v>36</v>
      </c>
      <c r="G48" s="120">
        <f t="shared" si="0"/>
        <v>14</v>
      </c>
      <c r="H48" s="380" t="str" cm="1">
        <f t="array" ref="H48" xml:space="preserve"> IF(E48&lt;&gt;0, INDEX(十五音韻母對照表, E48, $G48), IF(G48&lt;&gt;0, INDEX(十五音韻母對照表, F48, $G48), ""))</f>
        <v>ㄧㆩㆷ</v>
      </c>
      <c r="I48" s="120">
        <f t="shared" si="1"/>
        <v>6</v>
      </c>
      <c r="J48" s="383" t="str" cm="1">
        <f t="array" ref="J48" xml:space="preserve"> IF($E48&lt;&gt;0, INDEX(十五音韻母對照表, $E48, $I48), IF($F48&lt;&gt;0, INDEX(十五音韻母對照表, $F48, $I48), ""))</f>
        <v>iã?</v>
      </c>
    </row>
    <row r="49" spans="2:10" ht="42">
      <c r="B49" s="106">
        <v>41</v>
      </c>
      <c r="C49" s="133" t="s">
        <v>1523</v>
      </c>
      <c r="D49" s="380" t="s">
        <v>1524</v>
      </c>
      <c r="E49" s="120">
        <f xml:space="preserve"> IFERROR( MATCH($D49,'十五音-韻母'!$D$5:$D$54,0), 0)</f>
        <v>0</v>
      </c>
      <c r="F49" s="120">
        <f>IF(E49&lt;&gt;0,"",(IFERROR(MATCH($D49,'十五音-韻母'!$E$5:$E$54,0),0)))</f>
        <v>35</v>
      </c>
      <c r="G49" s="120">
        <f t="shared" si="0"/>
        <v>14</v>
      </c>
      <c r="H49" s="380" t="str" cm="1">
        <f t="array" ref="H49" xml:space="preserve"> IF(E49&lt;&gt;0, INDEX(十五音韻母對照表, E49, $G49), IF(G49&lt;&gt;0, INDEX(十五音韻母對照表, F49, $G49), ""))</f>
        <v>ㄧㆧㆷ</v>
      </c>
      <c r="I49" s="120">
        <f t="shared" si="1"/>
        <v>6</v>
      </c>
      <c r="J49" s="383" t="str" cm="1">
        <f t="array" ref="J49" xml:space="preserve"> IF($E49&lt;&gt;0, INDEX(十五音韻母對照表, $E49, $I49), IF($F49&lt;&gt;0, INDEX(十五音韻母對照表, $F49, $I49), ""))</f>
        <v>iɔ̃?</v>
      </c>
    </row>
    <row r="50" spans="2:10" ht="42">
      <c r="B50" s="106">
        <v>42</v>
      </c>
      <c r="C50" s="132" t="s">
        <v>884</v>
      </c>
      <c r="D50" s="380" t="s">
        <v>236</v>
      </c>
      <c r="E50" s="120">
        <f xml:space="preserve"> IFERROR( MATCH($D50,'十五音-韻母'!$D$5:$D$54,0), 0)</f>
        <v>33</v>
      </c>
      <c r="F50" s="120" t="str">
        <f>IF(E50&lt;&gt;0,"",(IFERROR(MATCH($D50,'十五音-韻母'!$E$5:$E$54,0),0)))</f>
        <v/>
      </c>
      <c r="G50" s="120">
        <f t="shared" si="0"/>
        <v>13</v>
      </c>
      <c r="H50" s="380" t="str" cm="1">
        <f t="array" ref="H50" xml:space="preserve"> IF(E50&lt;&gt;0, INDEX(十五音韻母對照表, E50, $G50), IF(G50&lt;&gt;0, INDEX(十五音韻母對照表, F50, $G50), ""))</f>
        <v>ㄧㄜ</v>
      </c>
      <c r="I50" s="120">
        <f t="shared" si="1"/>
        <v>5</v>
      </c>
      <c r="J50" s="383" t="str" cm="1">
        <f t="array" ref="J50" xml:space="preserve"> IF($E50&lt;&gt;0, INDEX(十五音韻母對照表, $E50, $I50), IF($F50&lt;&gt;0, INDEX(十五音韻母對照表, $F50, $I50), ""))</f>
        <v>io</v>
      </c>
    </row>
    <row r="51" spans="2:10" ht="42">
      <c r="B51" s="106">
        <v>43</v>
      </c>
      <c r="C51" s="132" t="s">
        <v>1525</v>
      </c>
      <c r="D51" s="380" t="s">
        <v>237</v>
      </c>
      <c r="E51" s="120">
        <f xml:space="preserve"> IFERROR( MATCH($D51,'十五音-韻母'!$D$5:$D$54,0), 0)</f>
        <v>0</v>
      </c>
      <c r="F51" s="120">
        <f>IF(E51&lt;&gt;0,"",(IFERROR(MATCH($D51,'十五音-韻母'!$E$5:$E$54,0),0)))</f>
        <v>33</v>
      </c>
      <c r="G51" s="120">
        <f t="shared" si="0"/>
        <v>14</v>
      </c>
      <c r="H51" s="380" t="str" cm="1">
        <f t="array" ref="H51" xml:space="preserve"> IF(E51&lt;&gt;0, INDEX(十五音韻母對照表, E51, $G51), IF(G51&lt;&gt;0, INDEX(十五音韻母對照表, F51, $G51), ""))</f>
        <v>ㄧㄜㆷ</v>
      </c>
      <c r="I51" s="120">
        <f t="shared" si="1"/>
        <v>6</v>
      </c>
      <c r="J51" s="383" t="str" cm="1">
        <f t="array" ref="J51" xml:space="preserve"> IF($E51&lt;&gt;0, INDEX(十五音韻母對照表, $E51, $I51), IF($F51&lt;&gt;0, INDEX(十五音韻母對照表, $F51, $I51), ""))</f>
        <v>io?</v>
      </c>
    </row>
    <row r="52" spans="2:10" ht="42">
      <c r="B52" s="106">
        <v>44</v>
      </c>
      <c r="C52" s="132" t="s">
        <v>909</v>
      </c>
      <c r="D52" s="380" t="s">
        <v>242</v>
      </c>
      <c r="E52" s="120">
        <f xml:space="preserve"> IFERROR( MATCH($D52,'十五音-韻母'!$D$5:$D$54,0), 0)</f>
        <v>30</v>
      </c>
      <c r="F52" s="120" t="str">
        <f>IF(E52&lt;&gt;0,"",(IFERROR(MATCH($D52,'十五音-韻母'!$E$5:$E$54,0),0)))</f>
        <v/>
      </c>
      <c r="G52" s="120">
        <f t="shared" si="0"/>
        <v>13</v>
      </c>
      <c r="H52" s="380" t="str" cm="1">
        <f t="array" ref="H52" xml:space="preserve"> IF(E52&lt;&gt;0, INDEX(十五音韻母對照表, E52, $G52), IF(G52&lt;&gt;0, INDEX(十五音韻母對照表, F52, $G52), ""))</f>
        <v>ㄧㄨ</v>
      </c>
      <c r="I52" s="120">
        <f t="shared" si="1"/>
        <v>5</v>
      </c>
      <c r="J52" s="383" t="str" cm="1">
        <f t="array" ref="J52" xml:space="preserve"> IF($E52&lt;&gt;0, INDEX(十五音韻母對照表, $E52, $I52), IF($F52&lt;&gt;0, INDEX(十五音韻母對照表, $F52, $I52), ""))</f>
        <v>iu</v>
      </c>
    </row>
    <row r="53" spans="2:10" ht="42">
      <c r="B53" s="106">
        <v>45</v>
      </c>
      <c r="C53" s="132" t="s">
        <v>1526</v>
      </c>
      <c r="D53" s="380" t="s">
        <v>248</v>
      </c>
      <c r="E53" s="120">
        <f xml:space="preserve"> IFERROR( MATCH($D53,'十五音-韻母'!$D$5:$D$54,0), 0)</f>
        <v>50</v>
      </c>
      <c r="F53" s="120" t="str">
        <f>IF(E53&lt;&gt;0,"",(IFERROR(MATCH($D53,'十五音-韻母'!$E$5:$E$54,0),0)))</f>
        <v/>
      </c>
      <c r="G53" s="120">
        <f t="shared" si="0"/>
        <v>13</v>
      </c>
      <c r="H53" s="380" t="str" cm="1">
        <f t="array" ref="H53" xml:space="preserve"> IF(E53&lt;&gt;0, INDEX(十五音韻母對照表, E53, $G53), IF(G53&lt;&gt;0, INDEX(十五音韻母對照表, F53, $G53), ""))</f>
        <v>ㄧㆫ</v>
      </c>
      <c r="I53" s="120">
        <f t="shared" si="1"/>
        <v>5</v>
      </c>
      <c r="J53" s="383" t="str" cm="1">
        <f t="array" ref="J53" xml:space="preserve"> IF($E53&lt;&gt;0, INDEX(十五音韻母對照表, $E53, $I53), IF($F53&lt;&gt;0, INDEX(十五音韻母對照表, $F53, $I53), ""))</f>
        <v>iũ</v>
      </c>
    </row>
    <row r="54" spans="2:10" ht="42">
      <c r="B54" s="106">
        <v>46</v>
      </c>
      <c r="C54" s="132" t="s">
        <v>1109</v>
      </c>
      <c r="D54" s="380" t="s">
        <v>249</v>
      </c>
      <c r="E54" s="120">
        <f xml:space="preserve"> IFERROR( MATCH($D54,'十五音-韻母'!$D$5:$D$54,0), 0)</f>
        <v>0</v>
      </c>
      <c r="F54" s="120">
        <f>IF(E54&lt;&gt;0,"",(IFERROR(MATCH($D54,'十五音-韻母'!$E$5:$E$54,0),0)))</f>
        <v>50</v>
      </c>
      <c r="G54" s="120">
        <f t="shared" si="0"/>
        <v>14</v>
      </c>
      <c r="H54" s="380" t="str" cm="1">
        <f t="array" ref="H54" xml:space="preserve"> IF(E54&lt;&gt;0, INDEX(十五音韻母對照表, E54, $G54), IF(G54&lt;&gt;0, INDEX(十五音韻母對照表, F54, $G54), ""))</f>
        <v>ㄧㆫㆷ</v>
      </c>
      <c r="I54" s="120">
        <f t="shared" si="1"/>
        <v>6</v>
      </c>
      <c r="J54" s="383" t="str" cm="1">
        <f t="array" ref="J54" xml:space="preserve"> IF($E54&lt;&gt;0, INDEX(十五音韻母對照表, $E54, $I54), IF($F54&lt;&gt;0, INDEX(十五音韻母對照表, $F54, $I54), ""))</f>
        <v>iũh</v>
      </c>
    </row>
    <row r="55" spans="2:10" ht="42">
      <c r="B55" s="106">
        <v>47</v>
      </c>
      <c r="C55" s="132" t="s">
        <v>1527</v>
      </c>
      <c r="D55" s="380" t="s">
        <v>197</v>
      </c>
      <c r="E55" s="120">
        <f xml:space="preserve"> IFERROR( MATCH($D55,'十五音-韻母'!$D$5:$D$54,0), 0)</f>
        <v>12</v>
      </c>
      <c r="F55" s="120" t="str">
        <f>IF(E55&lt;&gt;0,"",(IFERROR(MATCH($D55,'十五音-韻母'!$E$5:$E$54,0),0)))</f>
        <v/>
      </c>
      <c r="G55" s="120">
        <f t="shared" si="0"/>
        <v>13</v>
      </c>
      <c r="H55" s="380" t="str" cm="1">
        <f t="array" ref="H55" xml:space="preserve"> IF(E55&lt;&gt;0, INDEX(十五音韻母對照表, E55, $G55), IF(G55&lt;&gt;0, INDEX(十五音韻母對照表, F55, $G55), ""))</f>
        <v>ㄧㄠ</v>
      </c>
      <c r="I55" s="120">
        <f t="shared" si="1"/>
        <v>5</v>
      </c>
      <c r="J55" s="383" t="str" cm="1">
        <f t="array" ref="J55" xml:space="preserve"> IF($E55&lt;&gt;0, INDEX(十五音韻母對照表, $E55, $I55), IF($F55&lt;&gt;0, INDEX(十五音韻母對照表, $F55, $I55), ""))</f>
        <v>iau</v>
      </c>
    </row>
    <row r="56" spans="2:10" ht="42">
      <c r="B56" s="106">
        <v>48</v>
      </c>
      <c r="C56" s="132" t="s">
        <v>1528</v>
      </c>
      <c r="D56" s="380" t="s">
        <v>233</v>
      </c>
      <c r="E56" s="120">
        <f xml:space="preserve"> IFERROR( MATCH($D56,'十五音-韻母'!$D$5:$D$54,0), 0)</f>
        <v>46</v>
      </c>
      <c r="F56" s="120" t="str">
        <f>IF(E56&lt;&gt;0,"",(IFERROR(MATCH($D56,'十五音-韻母'!$E$5:$E$54,0),0)))</f>
        <v/>
      </c>
      <c r="G56" s="120">
        <f t="shared" si="0"/>
        <v>13</v>
      </c>
      <c r="H56" s="380" t="str" cm="1">
        <f t="array" ref="H56" xml:space="preserve"> IF(E56&lt;&gt;0, INDEX(十五音韻母對照表, E56, $G56), IF(G56&lt;&gt;0, INDEX(十五音韻母對照表, F56, $G56), ""))</f>
        <v>ㄧㆯ</v>
      </c>
      <c r="I56" s="120">
        <f t="shared" si="1"/>
        <v>5</v>
      </c>
      <c r="J56" s="383" t="str" cm="1">
        <f t="array" ref="J56" xml:space="preserve"> IF($E56&lt;&gt;0, INDEX(十五音韻母對照表, $E56, $I56), IF($F56&lt;&gt;0, INDEX(十五音韻母對照表, $F56, $I56), ""))</f>
        <v>iãu</v>
      </c>
    </row>
    <row r="57" spans="2:10" ht="42">
      <c r="B57" s="106">
        <v>49</v>
      </c>
      <c r="C57" s="133" t="s">
        <v>1529</v>
      </c>
      <c r="D57" s="380" t="s">
        <v>1530</v>
      </c>
      <c r="E57" s="120">
        <f xml:space="preserve"> IFERROR( MATCH($D57,'十五音-韻母'!$D$5:$D$54,0), 0)</f>
        <v>0</v>
      </c>
      <c r="F57" s="120">
        <f>IF(E57&lt;&gt;0,"",(IFERROR(MATCH($D57,'十五音-韻母'!$E$5:$E$54,0),0)))</f>
        <v>46</v>
      </c>
      <c r="G57" s="120">
        <f t="shared" si="0"/>
        <v>14</v>
      </c>
      <c r="H57" s="380" t="str" cm="1">
        <f t="array" ref="H57" xml:space="preserve"> IF(E57&lt;&gt;0, INDEX(十五音韻母對照表, E57, $G57), IF(G57&lt;&gt;0, INDEX(十五音韻母對照表, F57, $G57), ""))</f>
        <v>ㄧㆯㆷ</v>
      </c>
      <c r="I57" s="120">
        <f t="shared" si="1"/>
        <v>6</v>
      </c>
      <c r="J57" s="383" t="str" cm="1">
        <f t="array" ref="J57" xml:space="preserve"> IF($E57&lt;&gt;0, INDEX(十五音韻母對照表, $E57, $I57), IF($F57&lt;&gt;0, INDEX(十五音韻母對照表, $F57, $I57), ""))</f>
        <v>iãu?</v>
      </c>
    </row>
    <row r="58" spans="2:10" ht="42">
      <c r="B58" s="106">
        <v>50</v>
      </c>
      <c r="C58" s="132" t="s">
        <v>830</v>
      </c>
      <c r="D58" s="380" t="s">
        <v>221</v>
      </c>
      <c r="E58" s="120">
        <f xml:space="preserve"> IFERROR( MATCH($D58,'十五音-韻母'!$D$5:$D$54,0), 0)</f>
        <v>22</v>
      </c>
      <c r="F58" s="120" t="str">
        <f>IF(E58&lt;&gt;0,"",(IFERROR(MATCH($D58,'十五音-韻母'!$E$5:$E$54,0),0)))</f>
        <v/>
      </c>
      <c r="G58" s="120">
        <f t="shared" si="0"/>
        <v>13</v>
      </c>
      <c r="H58" s="380" t="str" cm="1">
        <f t="array" ref="H58" xml:space="preserve"> IF(E58&lt;&gt;0, INDEX(十五音韻母對照表, E58, $G58), IF(G58&lt;&gt;0, INDEX(十五音韻母對照表, F58, $G58), ""))</f>
        <v>ㄧㆰ</v>
      </c>
      <c r="I58" s="120">
        <f t="shared" si="1"/>
        <v>5</v>
      </c>
      <c r="J58" s="383" t="str" cm="1">
        <f t="array" ref="J58" xml:space="preserve"> IF($E58&lt;&gt;0, INDEX(十五音韻母對照表, $E58, $I58), IF($F58&lt;&gt;0, INDEX(十五音韻母對照表, $F58, $I58), ""))</f>
        <v>iam</v>
      </c>
    </row>
    <row r="59" spans="2:10" ht="42">
      <c r="B59" s="106">
        <v>51</v>
      </c>
      <c r="C59" s="132" t="s">
        <v>1531</v>
      </c>
      <c r="D59" s="380" t="s">
        <v>222</v>
      </c>
      <c r="E59" s="120">
        <f xml:space="preserve"> IFERROR( MATCH($D59,'十五音-韻母'!$D$5:$D$54,0), 0)</f>
        <v>0</v>
      </c>
      <c r="F59" s="120">
        <f>IF(E59&lt;&gt;0,"",(IFERROR(MATCH($D59,'十五音-韻母'!$E$5:$E$54,0),0)))</f>
        <v>22</v>
      </c>
      <c r="G59" s="120">
        <f t="shared" si="0"/>
        <v>14</v>
      </c>
      <c r="H59" s="380" t="str" cm="1">
        <f t="array" ref="H59" xml:space="preserve"> IF(E59&lt;&gt;0, INDEX(十五音韻母對照表, E59, $G59), IF(G59&lt;&gt;0, INDEX(十五音韻母對照表, F59, $G59), ""))</f>
        <v>ㄧㄚㆴ</v>
      </c>
      <c r="I59" s="120">
        <f t="shared" si="1"/>
        <v>6</v>
      </c>
      <c r="J59" s="383" t="str" cm="1">
        <f t="array" ref="J59" xml:space="preserve"> IF($E59&lt;&gt;0, INDEX(十五音韻母對照表, $E59, $I59), IF($F59&lt;&gt;0, INDEX(十五音韻母對照表, $F59, $I59), ""))</f>
        <v>iap̚</v>
      </c>
    </row>
    <row r="60" spans="2:10" ht="42">
      <c r="B60" s="106">
        <v>52</v>
      </c>
      <c r="C60" s="132" t="s">
        <v>859</v>
      </c>
      <c r="D60" s="380" t="s">
        <v>148</v>
      </c>
      <c r="E60" s="120">
        <f xml:space="preserve"> IFERROR( MATCH($D60,'十五音-韻母'!$D$5:$D$54,0), 0)</f>
        <v>3</v>
      </c>
      <c r="F60" s="120" t="str">
        <f>IF(E60&lt;&gt;0,"",(IFERROR(MATCH($D60,'十五音-韻母'!$E$5:$E$54,0),0)))</f>
        <v/>
      </c>
      <c r="G60" s="120">
        <f t="shared" si="0"/>
        <v>13</v>
      </c>
      <c r="H60" s="380" t="str" cm="1">
        <f t="array" ref="H60" xml:space="preserve"> IF(E60&lt;&gt;0, INDEX(十五音韻母對照表, E60, $G60), IF(G60&lt;&gt;0, INDEX(十五音韻母對照表, F60, $G60), ""))</f>
        <v>ㄧㆬ</v>
      </c>
      <c r="I60" s="120">
        <f t="shared" si="1"/>
        <v>5</v>
      </c>
      <c r="J60" s="383" t="str" cm="1">
        <f t="array" ref="J60" xml:space="preserve"> IF($E60&lt;&gt;0, INDEX(十五音韻母對照表, $E60, $I60), IF($F60&lt;&gt;0, INDEX(十五音韻母對照表, $F60, $I60), ""))</f>
        <v>im</v>
      </c>
    </row>
    <row r="61" spans="2:10" ht="42">
      <c r="B61" s="106">
        <v>53</v>
      </c>
      <c r="C61" s="132" t="s">
        <v>1532</v>
      </c>
      <c r="D61" s="380" t="s">
        <v>149</v>
      </c>
      <c r="E61" s="120">
        <f xml:space="preserve"> IFERROR( MATCH($D61,'十五音-韻母'!$D$5:$D$54,0), 0)</f>
        <v>0</v>
      </c>
      <c r="F61" s="120">
        <f>IF(E61&lt;&gt;0,"",(IFERROR(MATCH($D61,'十五音-韻母'!$E$5:$E$54,0),0)))</f>
        <v>3</v>
      </c>
      <c r="G61" s="120">
        <f t="shared" si="0"/>
        <v>14</v>
      </c>
      <c r="H61" s="380" t="str" cm="1">
        <f t="array" ref="H61" xml:space="preserve"> IF(E61&lt;&gt;0, INDEX(十五音韻母對照表, E61, $G61), IF(G61&lt;&gt;0, INDEX(十五音韻母對照表, F61, $G61), ""))</f>
        <v>ㄧㆴ</v>
      </c>
      <c r="I61" s="120">
        <f t="shared" si="1"/>
        <v>6</v>
      </c>
      <c r="J61" s="383" t="str" cm="1">
        <f t="array" ref="J61" xml:space="preserve"> IF($E61&lt;&gt;0, INDEX(十五音韻母對照表, $E61, $I61), IF($F61&lt;&gt;0, INDEX(十五音韻母對照表, $F61, $I61), ""))</f>
        <v>ip̚</v>
      </c>
    </row>
    <row r="62" spans="2:10" ht="42">
      <c r="B62" s="106">
        <v>54</v>
      </c>
      <c r="C62" s="132" t="s">
        <v>866</v>
      </c>
      <c r="D62" s="380" t="s">
        <v>224</v>
      </c>
      <c r="E62" s="120">
        <f xml:space="preserve"> IFERROR( MATCH($D62,'十五音-韻母'!$D$5:$D$54,0), 0)</f>
        <v>17</v>
      </c>
      <c r="F62" s="120" t="str">
        <f>IF(E62&lt;&gt;0,"",(IFERROR(MATCH($D62,'十五音-韻母'!$E$5:$E$54,0),0)))</f>
        <v/>
      </c>
      <c r="G62" s="120">
        <f t="shared" si="0"/>
        <v>13</v>
      </c>
      <c r="H62" s="380" t="str" cm="1">
        <f t="array" ref="H62" xml:space="preserve"> IF(E62&lt;&gt;0, INDEX(十五音韻母對照表, E62, $G62), IF(G62&lt;&gt;0, INDEX(十五音韻母對照表, F62, $G62), ""))</f>
        <v>ㄧㄣ</v>
      </c>
      <c r="I62" s="120">
        <f t="shared" si="1"/>
        <v>5</v>
      </c>
      <c r="J62" s="383" t="str" cm="1">
        <f t="array" ref="J62" xml:space="preserve"> IF($E62&lt;&gt;0, INDEX(十五音韻母對照表, $E62, $I62), IF($F62&lt;&gt;0, INDEX(十五音韻母對照表, $F62, $I62), ""))</f>
        <v>in</v>
      </c>
    </row>
    <row r="63" spans="2:10" ht="42">
      <c r="B63" s="106">
        <v>55</v>
      </c>
      <c r="C63" s="132" t="s">
        <v>1533</v>
      </c>
      <c r="D63" s="380" t="s">
        <v>225</v>
      </c>
      <c r="E63" s="120">
        <f xml:space="preserve"> IFERROR( MATCH($D63,'十五音-韻母'!$D$5:$D$54,0), 0)</f>
        <v>0</v>
      </c>
      <c r="F63" s="120">
        <f>IF(E63&lt;&gt;0,"",(IFERROR(MATCH($D63,'十五音-韻母'!$E$5:$E$54,0),0)))</f>
        <v>17</v>
      </c>
      <c r="G63" s="120">
        <f t="shared" si="0"/>
        <v>14</v>
      </c>
      <c r="H63" s="380" t="str" cm="1">
        <f t="array" ref="H63" xml:space="preserve"> IF(E63&lt;&gt;0, INDEX(十五音韻母對照表, E63, $G63), IF(G63&lt;&gt;0, INDEX(十五音韻母對照表, F63, $G63), ""))</f>
        <v>ㄧㆵ</v>
      </c>
      <c r="I63" s="120">
        <f t="shared" si="1"/>
        <v>6</v>
      </c>
      <c r="J63" s="383" t="str" cm="1">
        <f t="array" ref="J63" xml:space="preserve"> IF($E63&lt;&gt;0, INDEX(十五音韻母對照表, $E63, $I63), IF($F63&lt;&gt;0, INDEX(十五音韻母對照表, $F63, $I63), ""))</f>
        <v>it̚</v>
      </c>
    </row>
    <row r="64" spans="2:10" ht="42">
      <c r="B64" s="106">
        <v>56</v>
      </c>
      <c r="C64" s="132" t="s">
        <v>835</v>
      </c>
      <c r="D64" s="380" t="s">
        <v>142</v>
      </c>
      <c r="E64" s="120">
        <f xml:space="preserve"> IFERROR( MATCH($D64,'十五音-韻母'!$D$5:$D$54,0), 0)</f>
        <v>2</v>
      </c>
      <c r="F64" s="120" t="str">
        <f>IF(E64&lt;&gt;0,"",(IFERROR(MATCH($D64,'十五音-韻母'!$E$5:$E$54,0),0)))</f>
        <v/>
      </c>
      <c r="G64" s="120">
        <f t="shared" si="0"/>
        <v>13</v>
      </c>
      <c r="H64" s="380" t="str" cm="1">
        <f t="array" ref="H64" xml:space="preserve"> IF(E64&lt;&gt;0, INDEX(十五音韻母對照表, E64, $G64), IF(G64&lt;&gt;0, INDEX(十五音韻母對照表, F64, $G64), ""))</f>
        <v>ㄧㄢ</v>
      </c>
      <c r="I64" s="120">
        <f t="shared" si="1"/>
        <v>5</v>
      </c>
      <c r="J64" s="383" t="str" cm="1">
        <f t="array" ref="J64" xml:space="preserve"> IF($E64&lt;&gt;0, INDEX(十五音韻母對照表, $E64, $I64), IF($F64&lt;&gt;0, INDEX(十五音韻母對照表, $F64, $I64), ""))</f>
        <v>ian</v>
      </c>
    </row>
    <row r="65" spans="2:10" ht="42">
      <c r="B65" s="106">
        <v>57</v>
      </c>
      <c r="C65" s="132" t="s">
        <v>1534</v>
      </c>
      <c r="D65" s="380" t="s">
        <v>143</v>
      </c>
      <c r="E65" s="120">
        <f xml:space="preserve"> IFERROR( MATCH($D65,'十五音-韻母'!$D$5:$D$54,0), 0)</f>
        <v>0</v>
      </c>
      <c r="F65" s="120">
        <f>IF(E65&lt;&gt;0,"",(IFERROR(MATCH($D65,'十五音-韻母'!$E$5:$E$54,0),0)))</f>
        <v>2</v>
      </c>
      <c r="G65" s="120">
        <f t="shared" si="0"/>
        <v>14</v>
      </c>
      <c r="H65" s="380" t="str" cm="1">
        <f t="array" ref="H65" xml:space="preserve"> IF(E65&lt;&gt;0, INDEX(十五音韻母對照表, E65, $G65), IF(G65&lt;&gt;0, INDEX(十五音韻母對照表, F65, $G65), ""))</f>
        <v>ㄧㄚㆵ</v>
      </c>
      <c r="I65" s="120">
        <f t="shared" si="1"/>
        <v>6</v>
      </c>
      <c r="J65" s="383" t="str" cm="1">
        <f t="array" ref="J65" xml:space="preserve"> IF($E65&lt;&gt;0, INDEX(十五音韻母對照表, $E65, $I65), IF($F65&lt;&gt;0, INDEX(十五音韻母對照表, $F65, $I65), ""))</f>
        <v>iat̚</v>
      </c>
    </row>
    <row r="66" spans="2:10" ht="42">
      <c r="B66" s="106">
        <v>58</v>
      </c>
      <c r="C66" s="132" t="s">
        <v>876</v>
      </c>
      <c r="D66" s="380" t="s">
        <v>181</v>
      </c>
      <c r="E66" s="120">
        <f xml:space="preserve"> IFERROR( MATCH($D66,'十五音-韻母'!$D$5:$D$54,0), 0)</f>
        <v>9</v>
      </c>
      <c r="F66" s="120" t="str">
        <f>IF(E66&lt;&gt;0,"",(IFERROR(MATCH($D66,'十五音-韻母'!$E$5:$E$54,0),0)))</f>
        <v/>
      </c>
      <c r="G66" s="120">
        <f t="shared" si="0"/>
        <v>13</v>
      </c>
      <c r="H66" s="380" t="str" cm="1">
        <f t="array" ref="H66" xml:space="preserve"> IF(E66&lt;&gt;0, INDEX(十五音韻母對照表, E66, $G66), IF(G66&lt;&gt;0, INDEX(十五音韻母對照表, F66, $G66), ""))</f>
        <v>ㄧㄥ</v>
      </c>
      <c r="I66" s="120">
        <f t="shared" si="1"/>
        <v>5</v>
      </c>
      <c r="J66" s="383" t="str" cm="1">
        <f t="array" ref="J66" xml:space="preserve"> IF($E66&lt;&gt;0, INDEX(十五音韻母對照表, $E66, $I66), IF($F66&lt;&gt;0, INDEX(十五音韻母對照表, $F66, $I66), ""))</f>
        <v>ɪŋ</v>
      </c>
    </row>
    <row r="67" spans="2:10" ht="42">
      <c r="B67" s="106">
        <v>59</v>
      </c>
      <c r="C67" s="132" t="s">
        <v>1535</v>
      </c>
      <c r="D67" s="380" t="s">
        <v>182</v>
      </c>
      <c r="E67" s="120">
        <f xml:space="preserve"> IFERROR( MATCH($D67,'十五音-韻母'!$D$5:$D$54,0), 0)</f>
        <v>0</v>
      </c>
      <c r="F67" s="120">
        <f>IF(E67&lt;&gt;0,"",(IFERROR(MATCH($D67,'十五音-韻母'!$E$5:$E$54,0),0)))</f>
        <v>9</v>
      </c>
      <c r="G67" s="120">
        <f t="shared" si="0"/>
        <v>14</v>
      </c>
      <c r="H67" s="380" t="str" cm="1">
        <f t="array" ref="H67" xml:space="preserve"> IF(E67&lt;&gt;0, INDEX(十五音韻母對照表, E67, $G67), IF(G67&lt;&gt;0, INDEX(十五音韻母對照表, F67, $G67), ""))</f>
        <v>ㄧㆻ</v>
      </c>
      <c r="I67" s="120">
        <f t="shared" si="1"/>
        <v>6</v>
      </c>
      <c r="J67" s="383" t="str" cm="1">
        <f t="array" ref="J67" xml:space="preserve"> IF($E67&lt;&gt;0, INDEX(十五音韻母對照表, $E67, $I67), IF($F67&lt;&gt;0, INDEX(十五音韻母對照表, $F67, $I67), ""))</f>
        <v>ik̚</v>
      </c>
    </row>
    <row r="68" spans="2:10" ht="42">
      <c r="B68" s="106">
        <v>60</v>
      </c>
      <c r="C68" s="132" t="s">
        <v>842</v>
      </c>
      <c r="D68" s="380" t="s">
        <v>227</v>
      </c>
      <c r="E68" s="120">
        <f xml:space="preserve"> IFERROR( MATCH($D68,'十五音-韻母'!$D$5:$D$54,0), 0)</f>
        <v>18</v>
      </c>
      <c r="F68" s="120" t="str">
        <f>IF(E68&lt;&gt;0,"",(IFERROR(MATCH($D68,'十五音-韻母'!$E$5:$E$54,0),0)))</f>
        <v/>
      </c>
      <c r="G68" s="120">
        <f t="shared" si="0"/>
        <v>13</v>
      </c>
      <c r="H68" s="380" t="str" cm="1">
        <f t="array" ref="H68" xml:space="preserve"> IF(E68&lt;&gt;0, INDEX(十五音韻母對照表, E68, $G68), IF(G68&lt;&gt;0, INDEX(十五音韻母對照表, F68, $G68), ""))</f>
        <v>ㄧㄤ</v>
      </c>
      <c r="I68" s="120">
        <f t="shared" si="1"/>
        <v>5</v>
      </c>
      <c r="J68" s="383" t="str" cm="1">
        <f t="array" ref="J68" xml:space="preserve"> IF($E68&lt;&gt;0, INDEX(十五音韻母對照表, $E68, $I68), IF($F68&lt;&gt;0, INDEX(十五音韻母對照表, $F68, $I68), ""))</f>
        <v>iaŋ</v>
      </c>
    </row>
    <row r="69" spans="2:10" ht="42">
      <c r="B69" s="106">
        <v>61</v>
      </c>
      <c r="C69" s="132" t="s">
        <v>1536</v>
      </c>
      <c r="D69" s="380" t="s">
        <v>228</v>
      </c>
      <c r="E69" s="120">
        <f xml:space="preserve"> IFERROR( MATCH($D69,'十五音-韻母'!$D$5:$D$54,0), 0)</f>
        <v>0</v>
      </c>
      <c r="F69" s="120">
        <f>IF(E69&lt;&gt;0,"",(IFERROR(MATCH($D69,'十五音-韻母'!$E$5:$E$54,0),0)))</f>
        <v>18</v>
      </c>
      <c r="G69" s="120">
        <f t="shared" si="0"/>
        <v>14</v>
      </c>
      <c r="H69" s="380" t="str" cm="1">
        <f t="array" ref="H69" xml:space="preserve"> IF(E69&lt;&gt;0, INDEX(十五音韻母對照表, E69, $G69), IF(G69&lt;&gt;0, INDEX(十五音韻母對照表, F69, $G69), ""))</f>
        <v>ㄧㄚㆻ</v>
      </c>
      <c r="I69" s="120">
        <f t="shared" si="1"/>
        <v>6</v>
      </c>
      <c r="J69" s="383" t="str" cm="1">
        <f t="array" ref="J69" xml:space="preserve"> IF($E69&lt;&gt;0, INDEX(十五音韻母對照表, $E69, $I69), IF($F69&lt;&gt;0, INDEX(十五音韻母對照表, $F69, $I69), ""))</f>
        <v>iak̚</v>
      </c>
    </row>
    <row r="70" spans="2:10" ht="42">
      <c r="B70" s="106">
        <v>62</v>
      </c>
      <c r="C70" s="132" t="s">
        <v>902</v>
      </c>
      <c r="D70" s="380" t="s">
        <v>209</v>
      </c>
      <c r="E70" s="120">
        <f xml:space="preserve"> IFERROR( MATCH($D70,'十五音-韻母'!$D$5:$D$54,0), 0)</f>
        <v>14</v>
      </c>
      <c r="F70" s="120" t="str">
        <f>IF(E70&lt;&gt;0,"",(IFERROR(MATCH($D70,'十五音-韻母'!$E$5:$E$54,0),0)))</f>
        <v/>
      </c>
      <c r="G70" s="120">
        <f t="shared" si="0"/>
        <v>13</v>
      </c>
      <c r="H70" s="380" t="str" cm="1">
        <f t="array" ref="H70" xml:space="preserve"> IF(E70&lt;&gt;0, INDEX(十五音韻母對照表, E70, $G70), IF(G70&lt;&gt;0, INDEX(十五音韻母對照表, F70, $G70), ""))</f>
        <v>ㄧㆲ</v>
      </c>
      <c r="I70" s="120">
        <f t="shared" si="1"/>
        <v>5</v>
      </c>
      <c r="J70" s="383" t="str" cm="1">
        <f t="array" ref="J70" xml:space="preserve"> IF($E70&lt;&gt;0, INDEX(十五音韻母對照表, $E70, $I70), IF($F70&lt;&gt;0, INDEX(十五音韻母對照表, $F70, $I70), ""))</f>
        <v>iɔŋ</v>
      </c>
    </row>
    <row r="71" spans="2:10" ht="42">
      <c r="B71" s="106">
        <v>63</v>
      </c>
      <c r="C71" s="132" t="s">
        <v>1537</v>
      </c>
      <c r="D71" s="380" t="s">
        <v>210</v>
      </c>
      <c r="E71" s="120">
        <f xml:space="preserve"> IFERROR( MATCH($D71,'十五音-韻母'!$D$5:$D$54,0), 0)</f>
        <v>0</v>
      </c>
      <c r="F71" s="120">
        <f>IF(E71&lt;&gt;0,"",(IFERROR(MATCH($D71,'十五音-韻母'!$E$5:$E$54,0),0)))</f>
        <v>14</v>
      </c>
      <c r="G71" s="120">
        <f t="shared" si="0"/>
        <v>14</v>
      </c>
      <c r="H71" s="380" t="str" cm="1">
        <f t="array" ref="H71" xml:space="preserve"> IF(E71&lt;&gt;0, INDEX(十五音韻母對照表, E71, $G71), IF(G71&lt;&gt;0, INDEX(十五音韻母對照表, F71, $G71), ""))</f>
        <v>ㄧㆦㆻ</v>
      </c>
      <c r="I71" s="120">
        <f t="shared" si="1"/>
        <v>6</v>
      </c>
      <c r="J71" s="383" t="str" cm="1">
        <f t="array" ref="J71" xml:space="preserve"> IF($E71&lt;&gt;0, INDEX(十五音韻母對照表, $E71, $I71), IF($F71&lt;&gt;0, INDEX(十五音韻母對照表, $F71, $I71), ""))</f>
        <v>iɔk̚</v>
      </c>
    </row>
    <row r="72" spans="2:10" ht="42">
      <c r="B72" s="106">
        <v>64</v>
      </c>
      <c r="C72" s="132" t="s">
        <v>989</v>
      </c>
      <c r="D72" s="380" t="s">
        <v>245</v>
      </c>
      <c r="E72" s="120">
        <f xml:space="preserve"> IFERROR( MATCH($D72,'十五音-韻母'!$D$5:$D$54,0), 0)</f>
        <v>27</v>
      </c>
      <c r="F72" s="120" t="str">
        <f>IF(E72&lt;&gt;0,"",(IFERROR(MATCH($D72,'十五音-韻母'!$E$5:$E$54,0),0)))</f>
        <v/>
      </c>
      <c r="G72" s="120">
        <f t="shared" ref="G72:G92" si="2" xml:space="preserve"> IF(E72&lt;&gt;0, $G$2, IF(F72&lt;&gt;0, $G$3, 0))</f>
        <v>13</v>
      </c>
      <c r="H72" s="380" t="str" cm="1">
        <f t="array" ref="H72" xml:space="preserve"> IF(E72&lt;&gt;0, INDEX(十五音韻母對照表, E72, $G72), IF(G72&lt;&gt;0, INDEX(十五音韻母對照表, F72, $G72), ""))</f>
        <v>ㄨ</v>
      </c>
      <c r="I72" s="120">
        <f t="shared" ref="I72:I92" si="3" xml:space="preserve"> IF($E72&lt;&gt;0, $I$2, IF($F72&lt;&gt;0, $I$3, 0))</f>
        <v>5</v>
      </c>
      <c r="J72" s="383" t="str" cm="1">
        <f t="array" ref="J72" xml:space="preserve"> IF($E72&lt;&gt;0, INDEX(十五音韻母對照表, $E72, $I72), IF($F72&lt;&gt;0, INDEX(十五音韻母對照表, $F72, $I72), ""))</f>
        <v>u</v>
      </c>
    </row>
    <row r="73" spans="2:10" ht="42">
      <c r="B73" s="106">
        <v>65</v>
      </c>
      <c r="C73" s="133" t="s">
        <v>1538</v>
      </c>
      <c r="D73" s="380" t="s">
        <v>1539</v>
      </c>
      <c r="E73" s="120">
        <f xml:space="preserve"> IFERROR( MATCH($D73,'十五音-韻母'!$D$5:$D$54,0), 0)</f>
        <v>0</v>
      </c>
      <c r="F73" s="120">
        <f>IF(E73&lt;&gt;0,"",(IFERROR(MATCH($D73,'十五音-韻母'!$E$5:$E$54,0),0)))</f>
        <v>0</v>
      </c>
      <c r="G73" s="120">
        <f t="shared" si="2"/>
        <v>0</v>
      </c>
      <c r="H73" s="380" t="str" cm="1">
        <f t="array" ref="H73" xml:space="preserve"> IF(E73&lt;&gt;0, INDEX(十五音韻母對照表, E73, $G73), IF(G73&lt;&gt;0, INDEX(十五音韻母對照表, F73, $G73), ""))</f>
        <v/>
      </c>
      <c r="I73" s="120">
        <f t="shared" si="3"/>
        <v>0</v>
      </c>
      <c r="J73" s="383" t="str" cm="1">
        <f t="array" ref="J73" xml:space="preserve"> IF($E73&lt;&gt;0, INDEX(十五音韻母對照表, $E73, $I73), IF($F73&lt;&gt;0, INDEX(十五音韻母對照表, $F73, $I73), ""))</f>
        <v/>
      </c>
    </row>
    <row r="74" spans="2:10" ht="42">
      <c r="B74" s="106">
        <v>66</v>
      </c>
      <c r="C74" s="132" t="s">
        <v>1540</v>
      </c>
      <c r="D74" s="380" t="s">
        <v>246</v>
      </c>
      <c r="E74" s="120">
        <f xml:space="preserve"> IFERROR( MATCH($D74,'十五音-韻母'!$D$5:$D$54,0), 0)</f>
        <v>0</v>
      </c>
      <c r="F74" s="120">
        <f>IF(E74&lt;&gt;0,"",(IFERROR(MATCH($D74,'十五音-韻母'!$E$5:$E$54,0),0)))</f>
        <v>27</v>
      </c>
      <c r="G74" s="120">
        <f t="shared" si="2"/>
        <v>14</v>
      </c>
      <c r="H74" s="380" t="str" cm="1">
        <f t="array" ref="H74" xml:space="preserve"> IF(E74&lt;&gt;0, INDEX(十五音韻母對照表, E74, $G74), IF(G74&lt;&gt;0, INDEX(十五音韻母對照表, F74, $G74), ""))</f>
        <v>ㄨㆷ</v>
      </c>
      <c r="I74" s="120">
        <f t="shared" si="3"/>
        <v>6</v>
      </c>
      <c r="J74" s="383" t="str" cm="1">
        <f t="array" ref="J74" xml:space="preserve"> IF($E74&lt;&gt;0, INDEX(十五音韻母對照表, $E74, $I74), IF($F74&lt;&gt;0, INDEX(十五音韻母對照表, $F74, $I74), ""))</f>
        <v>u?</v>
      </c>
    </row>
    <row r="75" spans="2:10" ht="42">
      <c r="B75" s="106">
        <v>67</v>
      </c>
      <c r="C75" s="132" t="s">
        <v>999</v>
      </c>
      <c r="D75" s="380" t="s">
        <v>230</v>
      </c>
      <c r="E75" s="120">
        <f xml:space="preserve"> IFERROR( MATCH($D75,'十五音-韻母'!$D$5:$D$54,0), 0)</f>
        <v>20</v>
      </c>
      <c r="F75" s="120" t="str">
        <f>IF(E75&lt;&gt;0,"",(IFERROR(MATCH($D75,'十五音-韻母'!$E$5:$E$54,0),0)))</f>
        <v/>
      </c>
      <c r="G75" s="120">
        <f t="shared" si="2"/>
        <v>13</v>
      </c>
      <c r="H75" s="380" t="str" cm="1">
        <f t="array" ref="H75" xml:space="preserve"> IF(E75&lt;&gt;0, INDEX(十五音韻母對照表, E75, $G75), IF(G75&lt;&gt;0, INDEX(十五音韻母對照表, F75, $G75), ""))</f>
        <v>ㄨㄚ</v>
      </c>
      <c r="I75" s="120">
        <f t="shared" si="3"/>
        <v>5</v>
      </c>
      <c r="J75" s="383" t="str" cm="1">
        <f t="array" ref="J75" xml:space="preserve"> IF($E75&lt;&gt;0, INDEX(十五音韻母對照表, $E75, $I75), IF($F75&lt;&gt;0, INDEX(十五音韻母對照表, $F75, $I75), ""))</f>
        <v>ua</v>
      </c>
    </row>
    <row r="76" spans="2:10" ht="42">
      <c r="B76" s="106">
        <v>68</v>
      </c>
      <c r="C76" s="132" t="s">
        <v>1541</v>
      </c>
      <c r="D76" s="380" t="s">
        <v>265</v>
      </c>
      <c r="E76" s="120">
        <f xml:space="preserve"> IFERROR( MATCH($D76,'十五音-韻母'!$D$5:$D$54,0), 0)</f>
        <v>37</v>
      </c>
      <c r="F76" s="120" t="str">
        <f>IF(E76&lt;&gt;0,"",(IFERROR(MATCH($D76,'十五音-韻母'!$E$5:$E$54,0),0)))</f>
        <v/>
      </c>
      <c r="G76" s="120">
        <f t="shared" si="2"/>
        <v>13</v>
      </c>
      <c r="H76" s="380" t="str" cm="1">
        <f t="array" ref="H76" xml:space="preserve"> IF(E76&lt;&gt;0, INDEX(十五音韻母對照表, E76, $G76), IF(G76&lt;&gt;0, INDEX(十五音韻母對照表, F76, $G76), ""))</f>
        <v>ㄨㆩ</v>
      </c>
      <c r="I76" s="120">
        <f t="shared" si="3"/>
        <v>5</v>
      </c>
      <c r="J76" s="383" t="str" cm="1">
        <f t="array" ref="J76" xml:space="preserve"> IF($E76&lt;&gt;0, INDEX(十五音韻母對照表, $E76, $I76), IF($F76&lt;&gt;0, INDEX(十五音韻母對照表, $F76, $I76), ""))</f>
        <v>uã</v>
      </c>
    </row>
    <row r="77" spans="2:10" ht="42">
      <c r="B77" s="106">
        <v>69</v>
      </c>
      <c r="C77" s="132" t="s">
        <v>1542</v>
      </c>
      <c r="D77" s="380" t="s">
        <v>231</v>
      </c>
      <c r="E77" s="120">
        <f xml:space="preserve"> IFERROR( MATCH($D77,'十五音-韻母'!$D$5:$D$54,0), 0)</f>
        <v>0</v>
      </c>
      <c r="F77" s="120">
        <f>IF(E77&lt;&gt;0,"",(IFERROR(MATCH($D77,'十五音-韻母'!$E$5:$E$54,0),0)))</f>
        <v>20</v>
      </c>
      <c r="G77" s="120">
        <f t="shared" si="2"/>
        <v>14</v>
      </c>
      <c r="H77" s="380" t="str" cm="1">
        <f t="array" ref="H77" xml:space="preserve"> IF(E77&lt;&gt;0, INDEX(十五音韻母對照表, E77, $G77), IF(G77&lt;&gt;0, INDEX(十五音韻母對照表, F77, $G77), ""))</f>
        <v>ㄨㄚㆷ</v>
      </c>
      <c r="I77" s="120">
        <f t="shared" si="3"/>
        <v>6</v>
      </c>
      <c r="J77" s="383" t="str" cm="1">
        <f t="array" ref="J77" xml:space="preserve"> IF($E77&lt;&gt;0, INDEX(十五音韻母對照表, $E77, $I77), IF($F77&lt;&gt;0, INDEX(十五音韻母對照表, $F77, $I77), ""))</f>
        <v>ua?</v>
      </c>
    </row>
    <row r="78" spans="2:10" ht="42">
      <c r="B78" s="106">
        <v>70</v>
      </c>
      <c r="C78" s="132" t="s">
        <v>1042</v>
      </c>
      <c r="D78" s="380" t="s">
        <v>239</v>
      </c>
      <c r="E78" s="120">
        <f xml:space="preserve"> IFERROR( MATCH($D78,'十五音-韻母'!$D$5:$D$54,0), 0)</f>
        <v>25</v>
      </c>
      <c r="F78" s="120" t="str">
        <f>IF(E78&lt;&gt;0,"",(IFERROR(MATCH($D78,'十五音-韻母'!$E$5:$E$54,0),0)))</f>
        <v/>
      </c>
      <c r="G78" s="120">
        <f t="shared" si="2"/>
        <v>13</v>
      </c>
      <c r="H78" s="380" t="str" cm="1">
        <f t="array" ref="H78" xml:space="preserve"> IF(E78&lt;&gt;0, INDEX(十五音韻母對照表, E78, $G78), IF(G78&lt;&gt;0, INDEX(十五音韻母對照表, F78, $G78), ""))</f>
        <v>ㄨㆤ</v>
      </c>
      <c r="I78" s="120">
        <f t="shared" si="3"/>
        <v>5</v>
      </c>
      <c r="J78" s="383" t="str" cm="1">
        <f t="array" ref="J78" xml:space="preserve"> IF($E78&lt;&gt;0, INDEX(十五音韻母對照表, $E78, $I78), IF($F78&lt;&gt;0, INDEX(十五音韻母對照表, $F78, $I78), ""))</f>
        <v>ue</v>
      </c>
    </row>
    <row r="79" spans="2:10" ht="42">
      <c r="B79" s="106">
        <v>71</v>
      </c>
      <c r="C79" s="133" t="s">
        <v>1543</v>
      </c>
      <c r="D79" s="380" t="s">
        <v>1544</v>
      </c>
      <c r="E79" s="120">
        <f xml:space="preserve"> IFERROR( MATCH($D79,'十五音-韻母'!$D$5:$D$54,0), 0)</f>
        <v>45</v>
      </c>
      <c r="F79" s="120" t="str">
        <f>IF(E79&lt;&gt;0,"",(IFERROR(MATCH($D79,'十五音-韻母'!$E$5:$E$54,0),0)))</f>
        <v/>
      </c>
      <c r="G79" s="120">
        <f t="shared" si="2"/>
        <v>13</v>
      </c>
      <c r="H79" s="380" t="str" cm="1">
        <f t="array" ref="H79" xml:space="preserve"> IF(E79&lt;&gt;0, INDEX(十五音韻母對照表, E79, $G79), IF(G79&lt;&gt;0, INDEX(十五音韻母對照表, F79, $G79), ""))</f>
        <v>ㄨㆥ</v>
      </c>
      <c r="I79" s="120">
        <f t="shared" si="3"/>
        <v>5</v>
      </c>
      <c r="J79" s="383" t="str" cm="1">
        <f t="array" ref="J79" xml:space="preserve"> IF($E79&lt;&gt;0, INDEX(十五音韻母對照表, $E79, $I79), IF($F79&lt;&gt;0, INDEX(十五音韻母對照表, $F79, $I79), ""))</f>
        <v>uẽi</v>
      </c>
    </row>
    <row r="80" spans="2:10" ht="42">
      <c r="B80" s="106">
        <v>72</v>
      </c>
      <c r="C80" s="132" t="s">
        <v>1545</v>
      </c>
      <c r="D80" s="380" t="s">
        <v>240</v>
      </c>
      <c r="E80" s="120">
        <f xml:space="preserve"> IFERROR( MATCH($D80,'十五音-韻母'!$D$5:$D$54,0), 0)</f>
        <v>0</v>
      </c>
      <c r="F80" s="120">
        <f>IF(E80&lt;&gt;0,"",(IFERROR(MATCH($D80,'十五音-韻母'!$E$5:$E$54,0),0)))</f>
        <v>25</v>
      </c>
      <c r="G80" s="120">
        <f t="shared" si="2"/>
        <v>14</v>
      </c>
      <c r="H80" s="380" t="str" cm="1">
        <f t="array" ref="H80" xml:space="preserve"> IF(E80&lt;&gt;0, INDEX(十五音韻母對照表, E80, $G80), IF(G80&lt;&gt;0, INDEX(十五音韻母對照表, F80, $G80), ""))</f>
        <v>ㄨㆤㆷ</v>
      </c>
      <c r="I80" s="120">
        <f t="shared" si="3"/>
        <v>6</v>
      </c>
      <c r="J80" s="383" t="str" cm="1">
        <f t="array" ref="J80" xml:space="preserve"> IF($E80&lt;&gt;0, INDEX(十五音韻母對照表, $E80, $I80), IF($F80&lt;&gt;0, INDEX(十五音韻母對照表, $F80, $I80), ""))</f>
        <v>ue?</v>
      </c>
    </row>
    <row r="81" spans="2:10" ht="42">
      <c r="B81" s="106">
        <v>73</v>
      </c>
      <c r="C81" s="133" t="s">
        <v>1068</v>
      </c>
      <c r="D81" s="380" t="s">
        <v>1546</v>
      </c>
      <c r="E81" s="120">
        <f xml:space="preserve"> IFERROR( MATCH($D81,'十五音-韻母'!$D$5:$D$54,0), 0)</f>
        <v>0</v>
      </c>
      <c r="F81" s="120">
        <f>IF(E81&lt;&gt;0,"",(IFERROR(MATCH($D81,'十五音-韻母'!$E$5:$E$54,0),0)))</f>
        <v>45</v>
      </c>
      <c r="G81" s="120">
        <f t="shared" si="2"/>
        <v>14</v>
      </c>
      <c r="H81" s="380" t="str" cm="1">
        <f t="array" ref="H81" xml:space="preserve"> IF(E81&lt;&gt;0, INDEX(十五音韻母對照表, E81, $G81), IF(G81&lt;&gt;0, INDEX(十五音韻母對照表, F81, $G81), ""))</f>
        <v>ㄨㆥㆷ</v>
      </c>
      <c r="I81" s="120">
        <f t="shared" si="3"/>
        <v>6</v>
      </c>
      <c r="J81" s="383" t="str" cm="1">
        <f t="array" ref="J81" xml:space="preserve"> IF($E81&lt;&gt;0, INDEX(十五音韻母對照表, $E81, $I81), IF($F81&lt;&gt;0, INDEX(十五音韻母對照表, $F81, $I81), ""))</f>
        <v>uẽi?</v>
      </c>
    </row>
    <row r="82" spans="2:10" ht="42">
      <c r="B82" s="106">
        <v>74</v>
      </c>
      <c r="C82" s="132" t="s">
        <v>727</v>
      </c>
      <c r="D82" s="380" t="s">
        <v>154</v>
      </c>
      <c r="E82" s="120">
        <f xml:space="preserve"> IFERROR( MATCH($D82,'十五音-韻母'!$D$5:$D$54,0), 0)</f>
        <v>4</v>
      </c>
      <c r="F82" s="120" t="str">
        <f>IF(E82&lt;&gt;0,"",(IFERROR(MATCH($D82,'十五音-韻母'!$E$5:$E$54,0),0)))</f>
        <v/>
      </c>
      <c r="G82" s="120">
        <f t="shared" si="2"/>
        <v>13</v>
      </c>
      <c r="H82" s="380" t="str" cm="1">
        <f t="array" ref="H82" xml:space="preserve"> IF(E82&lt;&gt;0, INDEX(十五音韻母對照表, E82, $G82), IF(G82&lt;&gt;0, INDEX(十五音韻母對照表, F82, $G82), ""))</f>
        <v>ㄨㄧ</v>
      </c>
      <c r="I82" s="120">
        <f t="shared" si="3"/>
        <v>5</v>
      </c>
      <c r="J82" s="383" t="str" cm="1">
        <f t="array" ref="J82" xml:space="preserve"> IF($E82&lt;&gt;0, INDEX(十五音韻母對照表, $E82, $I82), IF($F82&lt;&gt;0, INDEX(十五音韻母對照表, $F82, $I82), ""))</f>
        <v>ui</v>
      </c>
    </row>
    <row r="83" spans="2:10" ht="42">
      <c r="B83" s="106">
        <v>75</v>
      </c>
      <c r="C83" s="133" t="s">
        <v>1547</v>
      </c>
      <c r="D83" s="380" t="s">
        <v>1062</v>
      </c>
      <c r="E83" s="120">
        <f xml:space="preserve"> IFERROR( MATCH($D83,'十五音-韻母'!$D$5:$D$54,0), 0)</f>
        <v>32</v>
      </c>
      <c r="F83" s="120" t="str">
        <f>IF(E83&lt;&gt;0,"",(IFERROR(MATCH($D83,'十五音-韻母'!$E$5:$E$54,0),0)))</f>
        <v/>
      </c>
      <c r="G83" s="120">
        <f t="shared" si="2"/>
        <v>13</v>
      </c>
      <c r="H83" s="380" t="str" cm="1">
        <f t="array" ref="H83" xml:space="preserve"> IF(E83&lt;&gt;0, INDEX(十五音韻母對照表, E83, $G83), IF(G83&lt;&gt;0, INDEX(十五音韻母對照表, F83, $G83), ""))</f>
        <v>ㄨㆪ</v>
      </c>
      <c r="I83" s="120">
        <f t="shared" si="3"/>
        <v>5</v>
      </c>
      <c r="J83" s="383" t="str" cm="1">
        <f t="array" ref="J83" xml:space="preserve"> IF($E83&lt;&gt;0, INDEX(十五音韻母對照表, $E83, $I83), IF($F83&lt;&gt;0, INDEX(十五音韻母對照表, $F83, $I83), ""))</f>
        <v>uĩ</v>
      </c>
    </row>
    <row r="84" spans="2:10" ht="42">
      <c r="B84" s="106">
        <v>76</v>
      </c>
      <c r="C84" s="133" t="s">
        <v>728</v>
      </c>
      <c r="D84" s="380" t="s">
        <v>922</v>
      </c>
      <c r="E84" s="120">
        <f xml:space="preserve"> IFERROR( MATCH($D84,'十五音-韻母'!$D$5:$D$54,0), 0)</f>
        <v>0</v>
      </c>
      <c r="F84" s="120">
        <f>IF(E84&lt;&gt;0,"",(IFERROR(MATCH($D84,'十五音-韻母'!$E$5:$E$54,0),0)))</f>
        <v>30</v>
      </c>
      <c r="G84" s="120">
        <f t="shared" si="2"/>
        <v>14</v>
      </c>
      <c r="H84" s="380" t="str" cm="1">
        <f t="array" ref="H84" xml:space="preserve"> IF(E84&lt;&gt;0, INDEX(十五音韻母對照表, E84, $G84), IF(G84&lt;&gt;0, INDEX(十五音韻母對照表, F84, $G84), ""))</f>
        <v>ㄧㄨㆷ</v>
      </c>
      <c r="I84" s="120">
        <f t="shared" si="3"/>
        <v>6</v>
      </c>
      <c r="J84" s="383" t="str" cm="1">
        <f t="array" ref="J84" xml:space="preserve"> IF($E84&lt;&gt;0, INDEX(十五音韻母對照表, $E84, $I84), IF($F84&lt;&gt;0, INDEX(十五音韻母對照表, $F84, $I84), ""))</f>
        <v>iu?</v>
      </c>
    </row>
    <row r="85" spans="2:10" ht="42">
      <c r="B85" s="106">
        <v>77</v>
      </c>
      <c r="C85" s="132" t="s">
        <v>1012</v>
      </c>
      <c r="D85" s="380" t="s">
        <v>175</v>
      </c>
      <c r="E85" s="120">
        <f xml:space="preserve"> IFERROR( MATCH($D85,'十五音-韻母'!$D$5:$D$54,0), 0)</f>
        <v>8</v>
      </c>
      <c r="F85" s="120" t="str">
        <f>IF(E85&lt;&gt;0,"",(IFERROR(MATCH($D85,'十五音-韻母'!$E$5:$E$54,0),0)))</f>
        <v/>
      </c>
      <c r="G85" s="120">
        <f t="shared" si="2"/>
        <v>13</v>
      </c>
      <c r="H85" s="380" t="str" cm="1">
        <f t="array" ref="H85" xml:space="preserve"> IF(E85&lt;&gt;0, INDEX(十五音韻母對照表, E85, $G85), IF(G85&lt;&gt;0, INDEX(十五音韻母對照表, F85, $G85), ""))</f>
        <v>ㄨㄞ</v>
      </c>
      <c r="I85" s="120">
        <f t="shared" si="3"/>
        <v>5</v>
      </c>
      <c r="J85" s="383" t="str" cm="1">
        <f t="array" ref="J85" xml:space="preserve"> IF($E85&lt;&gt;0, INDEX(十五音韻母對照表, $E85, $I85), IF($F85&lt;&gt;0, INDEX(十五音韻母對照表, $F85, $I85), ""))</f>
        <v>uai</v>
      </c>
    </row>
    <row r="86" spans="2:10" ht="42">
      <c r="B86" s="106">
        <v>78</v>
      </c>
      <c r="C86" s="132" t="s">
        <v>1548</v>
      </c>
      <c r="D86" s="380" t="s">
        <v>273</v>
      </c>
      <c r="E86" s="120">
        <f xml:space="preserve"> IFERROR( MATCH($D86,'十五音-韻母'!$D$5:$D$54,0), 0)</f>
        <v>44</v>
      </c>
      <c r="F86" s="120" t="str">
        <f>IF(E86&lt;&gt;0,"",(IFERROR(MATCH($D86,'十五音-韻母'!$E$5:$E$54,0),0)))</f>
        <v/>
      </c>
      <c r="G86" s="120">
        <f t="shared" si="2"/>
        <v>13</v>
      </c>
      <c r="H86" s="380" t="str" cm="1">
        <f t="array" ref="H86" xml:space="preserve"> IF(E86&lt;&gt;0, INDEX(十五音韻母對照表, E86, $G86), IF(G86&lt;&gt;0, INDEX(十五音韻母對照表, F86, $G86), ""))</f>
        <v>ㄨㆮ</v>
      </c>
      <c r="I86" s="120">
        <f t="shared" si="3"/>
        <v>5</v>
      </c>
      <c r="J86" s="383" t="str" cm="1">
        <f t="array" ref="J86" xml:space="preserve"> IF($E86&lt;&gt;0, INDEX(十五音韻母對照表, $E86, $I86), IF($F86&lt;&gt;0, INDEX(十五音韻母對照表, $F86, $I86), ""))</f>
        <v>uãi</v>
      </c>
    </row>
    <row r="87" spans="2:10" ht="42">
      <c r="B87" s="106">
        <v>79</v>
      </c>
      <c r="C87" s="132" t="s">
        <v>1548</v>
      </c>
      <c r="D87" s="380" t="s">
        <v>273</v>
      </c>
      <c r="E87" s="120">
        <f xml:space="preserve"> IFERROR( MATCH($D87,'十五音-韻母'!$D$5:$D$54,0), 0)</f>
        <v>44</v>
      </c>
      <c r="F87" s="120" t="str">
        <f>IF(E87&lt;&gt;0,"",(IFERROR(MATCH($D87,'十五音-韻母'!$E$5:$E$54,0),0)))</f>
        <v/>
      </c>
      <c r="G87" s="120">
        <f t="shared" si="2"/>
        <v>13</v>
      </c>
      <c r="H87" s="380" t="str" cm="1">
        <f t="array" ref="H87" xml:space="preserve"> IF(E87&lt;&gt;0, INDEX(十五音韻母對照表, E87, $G87), IF(G87&lt;&gt;0, INDEX(十五音韻母對照表, F87, $G87), ""))</f>
        <v>ㄨㆮ</v>
      </c>
      <c r="I87" s="120">
        <f t="shared" si="3"/>
        <v>5</v>
      </c>
      <c r="J87" s="383" t="str" cm="1">
        <f t="array" ref="J87" xml:space="preserve"> IF($E87&lt;&gt;0, INDEX(十五音韻母對照表, $E87, $I87), IF($F87&lt;&gt;0, INDEX(十五音韻母對照表, $F87, $I87), ""))</f>
        <v>uãi</v>
      </c>
    </row>
    <row r="88" spans="2:10" ht="42">
      <c r="B88" s="106">
        <v>80</v>
      </c>
      <c r="C88" s="132" t="s">
        <v>1074</v>
      </c>
      <c r="D88" s="380" t="s">
        <v>136</v>
      </c>
      <c r="E88" s="120">
        <f xml:space="preserve"> IFERROR( MATCH($D88,'十五音-韻母'!$D$5:$D$54,0), 0)</f>
        <v>1</v>
      </c>
      <c r="F88" s="120" t="str">
        <f>IF(E88&lt;&gt;0,"",(IFERROR(MATCH($D88,'十五音-韻母'!$E$5:$E$54,0),0)))</f>
        <v/>
      </c>
      <c r="G88" s="120">
        <f t="shared" si="2"/>
        <v>13</v>
      </c>
      <c r="H88" s="380" t="str" cm="1">
        <f t="array" ref="H88" xml:space="preserve"> IF(E88&lt;&gt;0, INDEX(十五音韻母對照表, E88, $G88), IF(G88&lt;&gt;0, INDEX(十五音韻母對照表, F88, $G88), ""))</f>
        <v>ㄨㄣ</v>
      </c>
      <c r="I88" s="120">
        <f t="shared" si="3"/>
        <v>5</v>
      </c>
      <c r="J88" s="383" t="str" cm="1">
        <f t="array" ref="J88" xml:space="preserve"> IF($E88&lt;&gt;0, INDEX(十五音韻母對照表, $E88, $I88), IF($F88&lt;&gt;0, INDEX(十五音韻母對照表, $F88, $I88), ""))</f>
        <v>un</v>
      </c>
    </row>
    <row r="89" spans="2:10" ht="42">
      <c r="B89" s="106">
        <v>81</v>
      </c>
      <c r="C89" s="132" t="s">
        <v>1549</v>
      </c>
      <c r="D89" s="380" t="s">
        <v>137</v>
      </c>
      <c r="E89" s="120">
        <f xml:space="preserve"> IFERROR( MATCH($D89,'十五音-韻母'!$D$5:$D$54,0), 0)</f>
        <v>0</v>
      </c>
      <c r="F89" s="120">
        <f>IF(E89&lt;&gt;0,"",(IFERROR(MATCH($D89,'十五音-韻母'!$E$5:$E$54,0),0)))</f>
        <v>1</v>
      </c>
      <c r="G89" s="120">
        <f t="shared" si="2"/>
        <v>14</v>
      </c>
      <c r="H89" s="380" t="str" cm="1">
        <f t="array" ref="H89" xml:space="preserve"> IF(E89&lt;&gt;0, INDEX(十五音韻母對照表, E89, $G89), IF(G89&lt;&gt;0, INDEX(十五音韻母對照表, F89, $G89), ""))</f>
        <v>ㄨㆵ</v>
      </c>
      <c r="I89" s="120">
        <f t="shared" si="3"/>
        <v>6</v>
      </c>
      <c r="J89" s="383" t="str" cm="1">
        <f t="array" ref="J89" xml:space="preserve"> IF($E89&lt;&gt;0, INDEX(十五音韻母對照表, $E89, $I89), IF($F89&lt;&gt;0, INDEX(十五音韻母對照表, $F89, $I89), ""))</f>
        <v>ut̚</v>
      </c>
    </row>
    <row r="90" spans="2:10" ht="42">
      <c r="B90" s="106">
        <v>82</v>
      </c>
      <c r="C90" s="132" t="s">
        <v>1036</v>
      </c>
      <c r="D90" s="380" t="s">
        <v>187</v>
      </c>
      <c r="E90" s="120">
        <f xml:space="preserve"> IFERROR( MATCH($D90,'十五音-韻母'!$D$5:$D$54,0), 0)</f>
        <v>10</v>
      </c>
      <c r="F90" s="120" t="str">
        <f>IF(E90&lt;&gt;0,"",(IFERROR(MATCH($D90,'十五音-韻母'!$E$5:$E$54,0),0)))</f>
        <v/>
      </c>
      <c r="G90" s="120">
        <f t="shared" si="2"/>
        <v>13</v>
      </c>
      <c r="H90" s="380" t="str" cm="1">
        <f t="array" ref="H90" xml:space="preserve"> IF(E90&lt;&gt;0, INDEX(十五音韻母對照表, E90, $G90), IF(G90&lt;&gt;0, INDEX(十五音韻母對照表, F90, $G90), ""))</f>
        <v>ㄨㄢ</v>
      </c>
      <c r="I90" s="120">
        <f t="shared" si="3"/>
        <v>5</v>
      </c>
      <c r="J90" s="383" t="str" cm="1">
        <f t="array" ref="J90" xml:space="preserve"> IF($E90&lt;&gt;0, INDEX(十五音韻母對照表, $E90, $I90), IF($F90&lt;&gt;0, INDEX(十五音韻母對照表, $F90, $I90), ""))</f>
        <v>uan</v>
      </c>
    </row>
    <row r="91" spans="2:10" ht="42">
      <c r="B91" s="106">
        <v>83</v>
      </c>
      <c r="C91" s="132" t="s">
        <v>1550</v>
      </c>
      <c r="D91" s="380" t="s">
        <v>188</v>
      </c>
      <c r="E91" s="120">
        <f xml:space="preserve"> IFERROR( MATCH($D91,'十五音-韻母'!$D$5:$D$54,0), 0)</f>
        <v>0</v>
      </c>
      <c r="F91" s="120">
        <f>IF(E91&lt;&gt;0,"",(IFERROR(MATCH($D91,'十五音-韻母'!$E$5:$E$54,0),0)))</f>
        <v>10</v>
      </c>
      <c r="G91" s="120">
        <f t="shared" si="2"/>
        <v>14</v>
      </c>
      <c r="H91" s="380" t="str" cm="1">
        <f t="array" ref="H91" xml:space="preserve"> IF(E91&lt;&gt;0, INDEX(十五音韻母對照表, E91, $G91), IF(G91&lt;&gt;0, INDEX(十五音韻母對照表, F91, $G91), ""))</f>
        <v>ㄨㄚㆵ</v>
      </c>
      <c r="I91" s="120">
        <f t="shared" si="3"/>
        <v>6</v>
      </c>
      <c r="J91" s="383" t="str" cm="1">
        <f t="array" ref="J91" xml:space="preserve"> IF($E91&lt;&gt;0, INDEX(十五音韻母對照表, $E91, $I91), IF($F91&lt;&gt;0, INDEX(十五音韻母對照表, $F91, $I91), ""))</f>
        <v>uat̚</v>
      </c>
    </row>
    <row r="92" spans="2:10" ht="42">
      <c r="B92" s="106">
        <v>84</v>
      </c>
      <c r="C92" s="132" t="s">
        <v>1551</v>
      </c>
      <c r="D92" s="380" t="s">
        <v>270</v>
      </c>
      <c r="E92" s="120">
        <f xml:space="preserve"> IFERROR( MATCH($D92,'十五音-韻母'!$D$5:$D$54,0), 0)</f>
        <v>43</v>
      </c>
      <c r="F92" s="120" t="str">
        <f>IF(E92&lt;&gt;0,"",(IFERROR(MATCH($D92,'十五音-韻母'!$E$5:$E$54,0),0)))</f>
        <v/>
      </c>
      <c r="G92" s="120">
        <f t="shared" si="2"/>
        <v>13</v>
      </c>
      <c r="H92" s="380" t="str" cm="1">
        <f t="array" ref="H92" xml:space="preserve"> IF(E92&lt;&gt;0, INDEX(十五音韻母對照表, E92, $G92), IF(G92&lt;&gt;0, INDEX(十五音韻母對照表, F92, $G92), ""))</f>
        <v>ㄨㄤ</v>
      </c>
      <c r="I92" s="120">
        <f t="shared" si="3"/>
        <v>5</v>
      </c>
      <c r="J92" s="383" t="str" cm="1">
        <f t="array" ref="J92" xml:space="preserve"> IF($E92&lt;&gt;0, INDEX(十五音韻母對照表, $E92, $I92), IF($F92&lt;&gt;0, INDEX(十五音韻母對照表, $F92, $I92), ""))</f>
        <v>uaŋ</v>
      </c>
    </row>
  </sheetData>
  <mergeCells count="4">
    <mergeCell ref="O6:Q6"/>
    <mergeCell ref="S6:U6"/>
    <mergeCell ref="AD6:AF6"/>
    <mergeCell ref="Z6:AB6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970F-1B06-734E-9B4B-E256F34F91A4}">
  <sheetPr codeName="工作表29">
    <tabColor rgb="FFFFFF00"/>
  </sheetPr>
  <dimension ref="B2:U27"/>
  <sheetViews>
    <sheetView workbookViewId="0">
      <selection activeCell="K8" sqref="K8"/>
    </sheetView>
  </sheetViews>
  <sheetFormatPr defaultColWidth="10.7265625" defaultRowHeight="25.5"/>
  <cols>
    <col min="1" max="1" width="4.26953125" style="271" customWidth="1"/>
    <col min="2" max="2" width="11.36328125" style="172" customWidth="1"/>
    <col min="3" max="10" width="11.36328125" style="271" customWidth="1"/>
    <col min="11" max="15" width="6.6328125" style="271" customWidth="1"/>
    <col min="16" max="17" width="8" style="271" customWidth="1"/>
    <col min="18" max="18" width="8" style="172" customWidth="1"/>
    <col min="19" max="16384" width="10.7265625" style="271"/>
  </cols>
  <sheetData>
    <row r="2" spans="2:21">
      <c r="B2" s="282" t="s">
        <v>1552</v>
      </c>
      <c r="C2" s="282" t="s">
        <v>1553</v>
      </c>
      <c r="D2" s="282" t="s">
        <v>1554</v>
      </c>
      <c r="E2" s="282" t="s">
        <v>1555</v>
      </c>
      <c r="F2" s="282" t="s">
        <v>1556</v>
      </c>
      <c r="S2" s="282" t="s">
        <v>1552</v>
      </c>
      <c r="T2" s="282" t="s">
        <v>1553</v>
      </c>
      <c r="U2" s="282" t="s">
        <v>1554</v>
      </c>
    </row>
    <row r="3" spans="2:21" s="172" customFormat="1" ht="30" customHeight="1">
      <c r="B3" s="173">
        <v>1</v>
      </c>
      <c r="C3" s="267" t="s">
        <v>1557</v>
      </c>
      <c r="D3" s="173">
        <v>1</v>
      </c>
      <c r="E3" s="173" t="s">
        <v>1558</v>
      </c>
      <c r="F3" s="173">
        <v>44</v>
      </c>
      <c r="H3" s="272"/>
      <c r="I3" s="272"/>
      <c r="J3" s="272"/>
      <c r="K3" s="272"/>
      <c r="L3" s="272"/>
      <c r="M3" s="272"/>
      <c r="N3" s="272"/>
      <c r="Q3" s="273"/>
      <c r="R3" s="273"/>
      <c r="S3" s="173">
        <v>1</v>
      </c>
      <c r="T3" s="267" t="s">
        <v>1557</v>
      </c>
      <c r="U3" s="173">
        <v>1</v>
      </c>
    </row>
    <row r="4" spans="2:21" ht="30" customHeight="1">
      <c r="B4" s="173">
        <v>2</v>
      </c>
      <c r="C4" s="267" t="s">
        <v>1559</v>
      </c>
      <c r="D4" s="173">
        <v>3</v>
      </c>
      <c r="E4" s="270" t="s">
        <v>1560</v>
      </c>
      <c r="F4" s="173">
        <v>53</v>
      </c>
      <c r="Q4" s="273"/>
      <c r="R4" s="273"/>
      <c r="S4" s="173">
        <v>2</v>
      </c>
      <c r="T4" s="267" t="s">
        <v>1559</v>
      </c>
      <c r="U4" s="173">
        <v>3</v>
      </c>
    </row>
    <row r="5" spans="2:21" ht="30" customHeight="1">
      <c r="B5" s="173">
        <v>3</v>
      </c>
      <c r="C5" s="267" t="s">
        <v>1561</v>
      </c>
      <c r="D5" s="173">
        <v>5</v>
      </c>
      <c r="E5" s="270" t="s">
        <v>1562</v>
      </c>
      <c r="F5" s="173">
        <v>21</v>
      </c>
      <c r="H5" s="272"/>
      <c r="I5" s="272"/>
      <c r="J5" s="272"/>
      <c r="K5" s="272"/>
      <c r="L5" s="272"/>
      <c r="M5" s="272"/>
      <c r="N5" s="272"/>
      <c r="Q5" s="273"/>
      <c r="R5" s="273"/>
      <c r="S5" s="173">
        <v>3</v>
      </c>
      <c r="T5" s="267" t="s">
        <v>1561</v>
      </c>
      <c r="U5" s="173">
        <v>5</v>
      </c>
    </row>
    <row r="6" spans="2:21" ht="30" customHeight="1">
      <c r="B6" s="173">
        <v>4</v>
      </c>
      <c r="C6" s="267" t="s">
        <v>1563</v>
      </c>
      <c r="D6" s="173">
        <v>7</v>
      </c>
      <c r="E6" s="173" t="s">
        <v>1564</v>
      </c>
      <c r="F6" s="173" t="s">
        <v>1565</v>
      </c>
      <c r="Q6" s="273"/>
      <c r="R6" s="273"/>
      <c r="S6" s="173">
        <v>4</v>
      </c>
      <c r="T6" s="267" t="s">
        <v>1563</v>
      </c>
      <c r="U6" s="173">
        <v>7</v>
      </c>
    </row>
    <row r="7" spans="2:21" ht="30" customHeight="1">
      <c r="B7" s="173">
        <v>5</v>
      </c>
      <c r="C7" s="267" t="s">
        <v>1566</v>
      </c>
      <c r="D7" s="173">
        <v>2</v>
      </c>
      <c r="E7" s="173" t="s">
        <v>418</v>
      </c>
      <c r="F7" s="173">
        <v>24</v>
      </c>
      <c r="Q7" s="273"/>
      <c r="R7" s="273"/>
      <c r="S7" s="173">
        <v>5</v>
      </c>
      <c r="T7" s="267" t="s">
        <v>1566</v>
      </c>
      <c r="U7" s="173">
        <v>2</v>
      </c>
    </row>
    <row r="8" spans="2:21" ht="30" customHeight="1">
      <c r="B8" s="173">
        <v>6</v>
      </c>
      <c r="C8" s="267" t="s">
        <v>1567</v>
      </c>
      <c r="D8" s="274">
        <v>4</v>
      </c>
      <c r="E8" s="274"/>
      <c r="F8" s="274"/>
      <c r="Q8" s="273"/>
      <c r="R8" s="273"/>
      <c r="S8" s="173">
        <v>6</v>
      </c>
      <c r="T8" s="267" t="s">
        <v>1567</v>
      </c>
      <c r="U8" s="274">
        <v>4</v>
      </c>
    </row>
    <row r="9" spans="2:21" ht="30" customHeight="1">
      <c r="B9" s="173">
        <v>7</v>
      </c>
      <c r="C9" s="267" t="s">
        <v>1568</v>
      </c>
      <c r="D9" s="173">
        <v>6</v>
      </c>
      <c r="E9" s="270" t="s">
        <v>1569</v>
      </c>
      <c r="F9" s="173">
        <v>33</v>
      </c>
      <c r="Q9" s="281"/>
      <c r="R9" s="273"/>
      <c r="S9" s="173">
        <v>7</v>
      </c>
      <c r="T9" s="267" t="s">
        <v>1568</v>
      </c>
      <c r="U9" s="173">
        <v>6</v>
      </c>
    </row>
    <row r="10" spans="2:21" ht="30" customHeight="1">
      <c r="B10" s="173">
        <v>8</v>
      </c>
      <c r="C10" s="267" t="s">
        <v>1570</v>
      </c>
      <c r="D10" s="173">
        <v>8</v>
      </c>
      <c r="E10" s="173" t="s">
        <v>1571</v>
      </c>
      <c r="F10" s="173" t="s">
        <v>1572</v>
      </c>
      <c r="Q10" s="273"/>
      <c r="R10" s="273"/>
      <c r="S10" s="173">
        <v>8</v>
      </c>
      <c r="T10" s="267" t="s">
        <v>1570</v>
      </c>
      <c r="U10" s="173">
        <v>8</v>
      </c>
    </row>
    <row r="12" spans="2:21">
      <c r="B12" s="271" t="s">
        <v>1573</v>
      </c>
    </row>
    <row r="13" spans="2:21" ht="84.95" customHeight="1">
      <c r="B13" s="476" t="s">
        <v>1574</v>
      </c>
      <c r="C13" s="476"/>
      <c r="D13" s="476"/>
      <c r="E13" s="476"/>
      <c r="F13" s="476"/>
      <c r="G13" s="476"/>
      <c r="H13" s="476"/>
      <c r="I13" s="476"/>
      <c r="J13" s="476"/>
      <c r="K13" s="476"/>
      <c r="L13" s="476"/>
      <c r="M13" s="476"/>
      <c r="N13" s="476"/>
      <c r="O13" s="476"/>
      <c r="P13" s="476"/>
    </row>
    <row r="14" spans="2:21">
      <c r="B14" s="271"/>
    </row>
    <row r="15" spans="2:21">
      <c r="B15" s="472" t="s">
        <v>1575</v>
      </c>
      <c r="C15" s="472"/>
      <c r="D15" s="472"/>
      <c r="E15" s="472"/>
      <c r="F15" s="472"/>
      <c r="G15" s="472"/>
      <c r="H15" s="472"/>
      <c r="I15" s="472"/>
      <c r="J15" s="472"/>
      <c r="L15" s="473" t="s">
        <v>1576</v>
      </c>
      <c r="M15" s="474"/>
      <c r="N15" s="475"/>
    </row>
    <row r="16" spans="2:21">
      <c r="B16" s="275" t="s">
        <v>1577</v>
      </c>
      <c r="C16" s="276" t="s">
        <v>1578</v>
      </c>
      <c r="D16" s="276" t="s">
        <v>1579</v>
      </c>
      <c r="E16" s="276" t="s">
        <v>1580</v>
      </c>
      <c r="F16" s="276" t="s">
        <v>1581</v>
      </c>
      <c r="G16" s="276" t="s">
        <v>1582</v>
      </c>
      <c r="H16" s="276" t="s">
        <v>1583</v>
      </c>
      <c r="I16" s="276" t="s">
        <v>1584</v>
      </c>
      <c r="J16" s="276" t="s">
        <v>463</v>
      </c>
      <c r="L16" s="277" t="s">
        <v>1585</v>
      </c>
      <c r="M16" s="277" t="s">
        <v>1585</v>
      </c>
      <c r="N16" s="277" t="s">
        <v>1585</v>
      </c>
    </row>
    <row r="17" spans="2:14">
      <c r="B17" s="173" t="s">
        <v>1586</v>
      </c>
      <c r="C17" s="276" t="s">
        <v>372</v>
      </c>
      <c r="D17" s="276" t="s">
        <v>458</v>
      </c>
      <c r="E17" s="276" t="s">
        <v>1587</v>
      </c>
      <c r="F17" s="276" t="s">
        <v>416</v>
      </c>
      <c r="G17" s="276" t="s">
        <v>487</v>
      </c>
      <c r="H17" s="276" t="s">
        <v>440</v>
      </c>
      <c r="I17" s="276" t="s">
        <v>510</v>
      </c>
      <c r="J17" s="276" t="s">
        <v>468</v>
      </c>
      <c r="L17" s="277" t="s">
        <v>519</v>
      </c>
      <c r="M17" s="278" t="s">
        <v>521</v>
      </c>
      <c r="N17" s="278" t="s">
        <v>1588</v>
      </c>
    </row>
    <row r="18" spans="2:14">
      <c r="B18" s="173" t="s">
        <v>1589</v>
      </c>
      <c r="C18" s="276" t="s">
        <v>1558</v>
      </c>
      <c r="D18" s="276" t="s">
        <v>460</v>
      </c>
      <c r="E18" s="276" t="s">
        <v>397</v>
      </c>
      <c r="F18" s="276" t="s">
        <v>418</v>
      </c>
      <c r="G18" s="276" t="s">
        <v>489</v>
      </c>
      <c r="H18" s="276" t="s">
        <v>1590</v>
      </c>
      <c r="I18" s="276" t="s">
        <v>1571</v>
      </c>
      <c r="J18" s="276" t="s">
        <v>520</v>
      </c>
      <c r="L18" s="277" t="s">
        <v>1591</v>
      </c>
      <c r="M18" s="279"/>
      <c r="N18" s="279"/>
    </row>
    <row r="19" spans="2:14">
      <c r="B19" s="173" t="s">
        <v>1592</v>
      </c>
      <c r="C19" s="276">
        <v>44</v>
      </c>
      <c r="D19" s="276">
        <v>24</v>
      </c>
      <c r="E19" s="276">
        <v>53</v>
      </c>
      <c r="F19" s="276">
        <v>21</v>
      </c>
      <c r="G19" s="276">
        <v>33</v>
      </c>
      <c r="H19" s="276" t="s">
        <v>1593</v>
      </c>
      <c r="I19" s="276" t="s">
        <v>1572</v>
      </c>
      <c r="J19" s="276">
        <v>45</v>
      </c>
      <c r="L19" s="277">
        <v>55</v>
      </c>
      <c r="M19" s="277"/>
      <c r="N19" s="277"/>
    </row>
    <row r="20" spans="2:14">
      <c r="B20" s="271"/>
    </row>
    <row r="21" spans="2:14">
      <c r="B21" s="271" t="s">
        <v>1594</v>
      </c>
    </row>
    <row r="22" spans="2:14">
      <c r="B22" s="272" t="s">
        <v>1595</v>
      </c>
    </row>
    <row r="23" spans="2:14">
      <c r="B23" s="272" t="s">
        <v>1596</v>
      </c>
    </row>
    <row r="24" spans="2:14">
      <c r="B24" s="280" t="s">
        <v>1597</v>
      </c>
    </row>
    <row r="25" spans="2:14">
      <c r="B25" s="271" t="s">
        <v>1598</v>
      </c>
    </row>
    <row r="26" spans="2:14">
      <c r="B26" s="271" t="s">
        <v>1599</v>
      </c>
    </row>
    <row r="27" spans="2:14">
      <c r="B27" s="271" t="s">
        <v>1600</v>
      </c>
    </row>
  </sheetData>
  <mergeCells count="3">
    <mergeCell ref="B15:J15"/>
    <mergeCell ref="L15:N15"/>
    <mergeCell ref="B13:P13"/>
  </mergeCells>
  <phoneticPr fontId="1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A61D-4F33-0D4A-B65F-7C6F9647BDF8}">
  <sheetPr codeName="工作表28">
    <tabColor rgb="FFFFFF00"/>
  </sheetPr>
  <dimension ref="A1:AJ54"/>
  <sheetViews>
    <sheetView topLeftCell="L1" workbookViewId="0">
      <selection activeCell="K8" sqref="K8"/>
    </sheetView>
  </sheetViews>
  <sheetFormatPr defaultColWidth="10.90625" defaultRowHeight="25.5" outlineLevelCol="2"/>
  <cols>
    <col min="1" max="1" width="1.90625" style="300" customWidth="1" outlineLevel="2"/>
    <col min="2" max="11" width="4.26953125" style="300" customWidth="1" outlineLevel="1"/>
    <col min="12" max="12" width="2.08984375" style="300" customWidth="1"/>
    <col min="13" max="13" width="3.453125" style="300" customWidth="1"/>
    <col min="14" max="14" width="5.36328125" style="300" customWidth="1"/>
    <col min="15" max="16" width="11.08984375" style="300" customWidth="1"/>
    <col min="17" max="17" width="7.6328125" style="300" customWidth="1"/>
    <col min="18" max="25" width="8.36328125" style="300" customWidth="1"/>
    <col min="26" max="26" width="2.08984375" style="300" customWidth="1"/>
    <col min="27" max="28" width="8.453125" style="300" customWidth="1"/>
    <col min="29" max="36" width="5.453125" style="300" customWidth="1"/>
  </cols>
  <sheetData>
    <row r="1" spans="2:36">
      <c r="B1" s="299" t="s">
        <v>1601</v>
      </c>
      <c r="C1" s="284"/>
      <c r="D1" s="284"/>
      <c r="E1" s="298"/>
      <c r="F1" s="298"/>
      <c r="G1" s="298"/>
      <c r="H1" s="298"/>
      <c r="I1" s="298"/>
      <c r="J1" s="298"/>
      <c r="K1" s="298"/>
      <c r="L1" s="298"/>
      <c r="M1" s="299" t="s">
        <v>1602</v>
      </c>
      <c r="O1" s="102">
        <v>9</v>
      </c>
      <c r="R1" s="284">
        <v>12</v>
      </c>
      <c r="S1" s="298"/>
      <c r="T1" s="298"/>
      <c r="U1" s="298">
        <f>R1 + 1</f>
        <v>13</v>
      </c>
      <c r="V1" s="298"/>
      <c r="W1" s="298"/>
      <c r="X1" s="298"/>
      <c r="Y1" s="298"/>
      <c r="AA1" s="301"/>
      <c r="AB1" s="301"/>
      <c r="AC1" s="301"/>
      <c r="AD1" s="301"/>
    </row>
    <row r="2" spans="2:36"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02"/>
      <c r="R2" s="302"/>
      <c r="S2" s="302"/>
      <c r="T2" s="302"/>
      <c r="U2" s="302"/>
      <c r="V2" s="302"/>
      <c r="W2" s="302"/>
      <c r="X2" s="302"/>
      <c r="Y2" s="302"/>
      <c r="AA2" s="301"/>
      <c r="AB2" s="301"/>
      <c r="AC2" s="301"/>
      <c r="AD2" s="301"/>
    </row>
    <row r="3" spans="2:36">
      <c r="B3" s="465" t="s">
        <v>133</v>
      </c>
      <c r="C3" s="465" t="s">
        <v>1603</v>
      </c>
      <c r="D3" s="303" t="s">
        <v>372</v>
      </c>
      <c r="E3" s="303" t="s">
        <v>1604</v>
      </c>
      <c r="F3" s="303" t="s">
        <v>1605</v>
      </c>
      <c r="G3" s="303" t="s">
        <v>1606</v>
      </c>
      <c r="H3" s="303" t="s">
        <v>1607</v>
      </c>
      <c r="I3" s="303" t="s">
        <v>1608</v>
      </c>
      <c r="J3" s="303" t="s">
        <v>1609</v>
      </c>
      <c r="K3" s="303" t="s">
        <v>510</v>
      </c>
      <c r="L3" s="302"/>
      <c r="M3" s="479" t="s">
        <v>133</v>
      </c>
      <c r="N3" s="465" t="s">
        <v>4</v>
      </c>
      <c r="O3" s="465" t="s">
        <v>1119</v>
      </c>
      <c r="P3" s="465" t="s">
        <v>1120</v>
      </c>
      <c r="Q3" s="465" t="s">
        <v>1610</v>
      </c>
      <c r="R3" s="303" t="s">
        <v>372</v>
      </c>
      <c r="S3" s="303" t="s">
        <v>458</v>
      </c>
      <c r="T3" s="303" t="s">
        <v>1122</v>
      </c>
      <c r="U3" s="303" t="s">
        <v>468</v>
      </c>
      <c r="V3" s="303" t="s">
        <v>416</v>
      </c>
      <c r="W3" s="303" t="s">
        <v>487</v>
      </c>
      <c r="X3" s="303" t="s">
        <v>440</v>
      </c>
      <c r="Y3" s="303" t="s">
        <v>510</v>
      </c>
      <c r="AA3" s="478" t="s">
        <v>1611</v>
      </c>
      <c r="AB3" s="478" t="s">
        <v>1612</v>
      </c>
      <c r="AC3" s="303" t="s">
        <v>372</v>
      </c>
      <c r="AD3" s="303" t="s">
        <v>458</v>
      </c>
      <c r="AE3" s="303" t="s">
        <v>1122</v>
      </c>
      <c r="AF3" s="303" t="s">
        <v>468</v>
      </c>
      <c r="AG3" s="303" t="s">
        <v>416</v>
      </c>
      <c r="AH3" s="303" t="s">
        <v>487</v>
      </c>
      <c r="AI3" s="303" t="s">
        <v>440</v>
      </c>
      <c r="AJ3" s="303" t="s">
        <v>510</v>
      </c>
    </row>
    <row r="4" spans="2:36">
      <c r="B4" s="477"/>
      <c r="C4" s="477"/>
      <c r="D4" s="303">
        <v>1</v>
      </c>
      <c r="E4" s="303">
        <v>2</v>
      </c>
      <c r="F4" s="303">
        <v>3</v>
      </c>
      <c r="G4" s="303">
        <v>4</v>
      </c>
      <c r="H4" s="303">
        <v>5</v>
      </c>
      <c r="I4" s="303">
        <v>6</v>
      </c>
      <c r="J4" s="303">
        <v>7</v>
      </c>
      <c r="K4" s="303">
        <v>8</v>
      </c>
      <c r="L4" s="302"/>
      <c r="M4" s="480"/>
      <c r="N4" s="477"/>
      <c r="O4" s="477"/>
      <c r="P4" s="477"/>
      <c r="Q4" s="477"/>
      <c r="R4" s="303">
        <v>1</v>
      </c>
      <c r="S4" s="303">
        <v>2</v>
      </c>
      <c r="T4" s="303">
        <v>3</v>
      </c>
      <c r="U4" s="303">
        <v>4</v>
      </c>
      <c r="V4" s="303">
        <v>5</v>
      </c>
      <c r="W4" s="303">
        <v>6</v>
      </c>
      <c r="X4" s="303">
        <v>7</v>
      </c>
      <c r="Y4" s="303">
        <v>8</v>
      </c>
      <c r="AA4" s="477"/>
      <c r="AB4" s="477"/>
      <c r="AC4" s="303">
        <v>1</v>
      </c>
      <c r="AD4" s="303">
        <v>2</v>
      </c>
      <c r="AE4" s="303">
        <v>3</v>
      </c>
      <c r="AF4" s="303">
        <v>4</v>
      </c>
      <c r="AG4" s="303">
        <v>5</v>
      </c>
      <c r="AH4" s="303">
        <v>6</v>
      </c>
      <c r="AI4" s="303">
        <v>7</v>
      </c>
      <c r="AJ4" s="303">
        <v>8</v>
      </c>
    </row>
    <row r="5" spans="2:36" ht="32.25">
      <c r="B5" s="304">
        <v>1</v>
      </c>
      <c r="C5" s="305" t="s">
        <v>139</v>
      </c>
      <c r="D5" s="305" t="s">
        <v>471</v>
      </c>
      <c r="E5" s="305" t="s">
        <v>378</v>
      </c>
      <c r="F5" s="305" t="s">
        <v>462</v>
      </c>
      <c r="G5" s="307" t="s">
        <v>462</v>
      </c>
      <c r="H5" s="305" t="s">
        <v>399</v>
      </c>
      <c r="I5" s="305" t="s">
        <v>444</v>
      </c>
      <c r="J5" s="305" t="s">
        <v>471</v>
      </c>
      <c r="K5" s="306" t="s">
        <v>378</v>
      </c>
      <c r="L5" s="302"/>
      <c r="M5" s="304">
        <v>1</v>
      </c>
      <c r="N5" s="308" t="s">
        <v>135</v>
      </c>
      <c r="O5" s="312" t="str" cm="1">
        <f t="array" ref="O5">INDEX(韻母對照表, (($M5-1)*2 +1), $O$1)</f>
        <v>un</v>
      </c>
      <c r="P5" s="312" t="str" cm="1">
        <f t="array" ref="P5">INDEX(韻母對照表, (($M5-1)*2 +2), $O$1)</f>
        <v>ut</v>
      </c>
      <c r="Q5" s="308" t="s">
        <v>245</v>
      </c>
      <c r="R5" s="313" t="str">
        <f xml:space="preserve"> IF(AND(R$4&lt;&gt;4,R$4&lt;&gt;8),  SUBSTITUTE($O5, $Q5,  INDEX($AC5:$AJ5, 1, R$4)),  SUBSTITUTE($P5, $Q5,  INDEX($AC5:$AJ5, 1, R$4)))</f>
        <v>ūn</v>
      </c>
      <c r="S5" s="313" t="str">
        <f t="shared" ref="S5:Y20" si="0" xml:space="preserve"> IF(AND(S$4&lt;&gt;4,S$4&lt;&gt;8),  SUBSTITUTE($O5, $Q5,  INDEX($AC5:$AJ5, 1, S$4)),  SUBSTITUTE($P5, $Q5,  INDEX($AC5:$AJ5, 1, S$4)))</f>
        <v>ún</v>
      </c>
      <c r="T5" s="313" t="str">
        <f t="shared" si="0"/>
        <v>ǔn</v>
      </c>
      <c r="U5" s="314" t="str">
        <f t="shared" si="0"/>
        <v>ǔt</v>
      </c>
      <c r="V5" s="313" t="str">
        <f t="shared" si="0"/>
        <v>ùn</v>
      </c>
      <c r="W5" s="313" t="str">
        <f t="shared" si="0"/>
        <v>ûn</v>
      </c>
      <c r="X5" s="313" t="str">
        <f t="shared" si="0"/>
        <v>ūn</v>
      </c>
      <c r="Y5" s="314" t="str">
        <f t="shared" si="0"/>
        <v>út</v>
      </c>
      <c r="AA5" s="301">
        <f t="shared" ref="AA5:AA12" si="1">FIND(Q5, O5, 1)</f>
        <v>1</v>
      </c>
      <c r="AB5" s="301">
        <f t="shared" ref="AB5:AB36" si="2">MATCH(Q5, $C$5:$C$12, 0)</f>
        <v>6</v>
      </c>
      <c r="AC5" s="301" t="str">
        <f t="shared" ref="AC5:AJ14" si="3">INDEX($D$5:$K$12, $AB5, AC$4)</f>
        <v>ū</v>
      </c>
      <c r="AD5" s="301" t="str">
        <f t="shared" si="3"/>
        <v>ú</v>
      </c>
      <c r="AE5" s="301" t="str">
        <f t="shared" si="3"/>
        <v>ǔ</v>
      </c>
      <c r="AF5" s="301" t="str">
        <f t="shared" si="3"/>
        <v>ǔ</v>
      </c>
      <c r="AG5" s="301" t="str">
        <f t="shared" si="3"/>
        <v>ù</v>
      </c>
      <c r="AH5" s="301" t="str">
        <f t="shared" si="3"/>
        <v>û</v>
      </c>
      <c r="AI5" s="301" t="str">
        <f t="shared" si="3"/>
        <v>ū</v>
      </c>
      <c r="AJ5" s="301" t="str">
        <f t="shared" si="3"/>
        <v>ú</v>
      </c>
    </row>
    <row r="6" spans="2:36" ht="32.25">
      <c r="B6" s="304">
        <v>2</v>
      </c>
      <c r="C6" s="305" t="s">
        <v>160</v>
      </c>
      <c r="D6" s="305" t="s">
        <v>1613</v>
      </c>
      <c r="E6" s="305" t="s">
        <v>1614</v>
      </c>
      <c r="F6" s="305" t="s">
        <v>1615</v>
      </c>
      <c r="G6" s="307" t="s">
        <v>1615</v>
      </c>
      <c r="H6" s="305" t="s">
        <v>1616</v>
      </c>
      <c r="I6" s="305" t="s">
        <v>1617</v>
      </c>
      <c r="J6" s="305" t="s">
        <v>1613</v>
      </c>
      <c r="K6" s="306" t="s">
        <v>1614</v>
      </c>
      <c r="L6" s="302"/>
      <c r="M6" s="304">
        <v>2</v>
      </c>
      <c r="N6" s="308" t="s">
        <v>141</v>
      </c>
      <c r="O6" s="312" t="str" cm="1">
        <f t="array" ref="O6">INDEX(韻母對照表, (($M6-1)*2 +1), $O$1)</f>
        <v>ian</v>
      </c>
      <c r="P6" s="312" t="str" cm="1">
        <f t="array" ref="P6">INDEX(韻母對照表, (($M6-1)*2 +2), $O$1)</f>
        <v>iat</v>
      </c>
      <c r="Q6" s="308" t="s">
        <v>139</v>
      </c>
      <c r="R6" s="313" t="str">
        <f t="shared" ref="R6:Y37" si="4" xml:space="preserve"> IF(AND(R$4&lt;&gt;4,R$4&lt;&gt;8),  SUBSTITUTE($O6, $Q6,  INDEX($AC6:$AJ6, 1, R$4)),  SUBSTITUTE($P6, $Q6,  INDEX($AC6:$AJ6, 1, R$4)))</f>
        <v>iān</v>
      </c>
      <c r="S6" s="313" t="str">
        <f t="shared" si="0"/>
        <v>ián</v>
      </c>
      <c r="T6" s="313" t="str">
        <f t="shared" si="0"/>
        <v>iǎn</v>
      </c>
      <c r="U6" s="314" t="str">
        <f t="shared" si="0"/>
        <v>iǎt</v>
      </c>
      <c r="V6" s="313" t="str">
        <f t="shared" si="0"/>
        <v>iàn</v>
      </c>
      <c r="W6" s="313" t="str">
        <f t="shared" si="0"/>
        <v>iân</v>
      </c>
      <c r="X6" s="313" t="str">
        <f t="shared" si="0"/>
        <v>iān</v>
      </c>
      <c r="Y6" s="314" t="str">
        <f t="shared" si="0"/>
        <v>iát</v>
      </c>
      <c r="AA6" s="301">
        <f t="shared" si="1"/>
        <v>2</v>
      </c>
      <c r="AB6" s="301">
        <f t="shared" si="2"/>
        <v>1</v>
      </c>
      <c r="AC6" s="301" t="str">
        <f t="shared" si="3"/>
        <v>ā</v>
      </c>
      <c r="AD6" s="301" t="str">
        <f t="shared" si="3"/>
        <v>á</v>
      </c>
      <c r="AE6" s="301" t="str">
        <f t="shared" si="3"/>
        <v>ǎ</v>
      </c>
      <c r="AF6" s="301" t="str">
        <f t="shared" si="3"/>
        <v>ǎ</v>
      </c>
      <c r="AG6" s="301" t="str">
        <f t="shared" si="3"/>
        <v>à</v>
      </c>
      <c r="AH6" s="301" t="str">
        <f t="shared" si="3"/>
        <v>â</v>
      </c>
      <c r="AI6" s="301" t="str">
        <f t="shared" si="3"/>
        <v>ā</v>
      </c>
      <c r="AJ6" s="301" t="str">
        <f t="shared" si="3"/>
        <v>á</v>
      </c>
    </row>
    <row r="7" spans="2:36" ht="32.25">
      <c r="B7" s="304">
        <v>3</v>
      </c>
      <c r="C7" s="305" t="s">
        <v>200</v>
      </c>
      <c r="D7" s="305" t="s">
        <v>1618</v>
      </c>
      <c r="E7" s="305" t="s">
        <v>1619</v>
      </c>
      <c r="F7" s="305" t="s">
        <v>1620</v>
      </c>
      <c r="G7" s="307" t="s">
        <v>1620</v>
      </c>
      <c r="H7" s="305" t="s">
        <v>1621</v>
      </c>
      <c r="I7" s="305" t="s">
        <v>1622</v>
      </c>
      <c r="J7" s="305" t="s">
        <v>1618</v>
      </c>
      <c r="K7" s="306" t="s">
        <v>1619</v>
      </c>
      <c r="L7" s="302"/>
      <c r="M7" s="304">
        <v>3</v>
      </c>
      <c r="N7" s="308" t="s">
        <v>147</v>
      </c>
      <c r="O7" s="312" t="str" cm="1">
        <f t="array" ref="O7">INDEX(韻母對照表, (($M7-1)*2 +1), $O$1)</f>
        <v>im</v>
      </c>
      <c r="P7" s="312" t="str" cm="1">
        <f t="array" ref="P7">INDEX(韻母對照表, (($M7-1)*2 +2), $O$1)</f>
        <v>ip</v>
      </c>
      <c r="Q7" s="308" t="s">
        <v>200</v>
      </c>
      <c r="R7" s="313" t="str">
        <f t="shared" si="4"/>
        <v>īm</v>
      </c>
      <c r="S7" s="313" t="str">
        <f t="shared" si="0"/>
        <v>ím</v>
      </c>
      <c r="T7" s="313" t="str">
        <f t="shared" si="0"/>
        <v>ǐm</v>
      </c>
      <c r="U7" s="314" t="str">
        <f t="shared" si="0"/>
        <v>ǐp</v>
      </c>
      <c r="V7" s="313" t="str">
        <f t="shared" si="0"/>
        <v>ìm</v>
      </c>
      <c r="W7" s="313" t="str">
        <f t="shared" si="0"/>
        <v>îm</v>
      </c>
      <c r="X7" s="313" t="str">
        <f t="shared" si="0"/>
        <v>īm</v>
      </c>
      <c r="Y7" s="314" t="str">
        <f t="shared" si="0"/>
        <v>íp</v>
      </c>
      <c r="AA7" s="301">
        <f t="shared" si="1"/>
        <v>1</v>
      </c>
      <c r="AB7" s="301">
        <f t="shared" si="2"/>
        <v>3</v>
      </c>
      <c r="AC7" s="301" t="str">
        <f t="shared" si="3"/>
        <v>ī</v>
      </c>
      <c r="AD7" s="301" t="str">
        <f t="shared" si="3"/>
        <v>í</v>
      </c>
      <c r="AE7" s="301" t="str">
        <f t="shared" si="3"/>
        <v>ǐ</v>
      </c>
      <c r="AF7" s="301" t="str">
        <f t="shared" si="3"/>
        <v>ǐ</v>
      </c>
      <c r="AG7" s="301" t="str">
        <f t="shared" si="3"/>
        <v>ì</v>
      </c>
      <c r="AH7" s="301" t="str">
        <f t="shared" si="3"/>
        <v>î</v>
      </c>
      <c r="AI7" s="301" t="str">
        <f t="shared" si="3"/>
        <v>ī</v>
      </c>
      <c r="AJ7" s="301" t="str">
        <f t="shared" si="3"/>
        <v>í</v>
      </c>
    </row>
    <row r="8" spans="2:36" ht="32.25">
      <c r="B8" s="304">
        <v>4</v>
      </c>
      <c r="C8" s="305" t="s">
        <v>215</v>
      </c>
      <c r="D8" s="305" t="s">
        <v>1623</v>
      </c>
      <c r="E8" s="305" t="s">
        <v>1624</v>
      </c>
      <c r="F8" s="305" t="s">
        <v>1625</v>
      </c>
      <c r="G8" s="307" t="s">
        <v>1625</v>
      </c>
      <c r="H8" s="305" t="s">
        <v>1626</v>
      </c>
      <c r="I8" s="305" t="s">
        <v>1627</v>
      </c>
      <c r="J8" s="305" t="s">
        <v>1623</v>
      </c>
      <c r="K8" s="306" t="s">
        <v>1624</v>
      </c>
      <c r="L8" s="302"/>
      <c r="M8" s="304">
        <v>4</v>
      </c>
      <c r="N8" s="308" t="s">
        <v>153</v>
      </c>
      <c r="O8" s="312" t="str" cm="1">
        <f t="array" ref="O8">INDEX(韻母對照表, (($M8-1)*2 +1), $O$1)</f>
        <v>ui</v>
      </c>
      <c r="P8" s="312" t="str" cm="1">
        <f t="array" ref="P8">INDEX(韻母對照表, (($M8-1)*2 +2), $O$1)</f>
        <v>uih</v>
      </c>
      <c r="Q8" s="308" t="s">
        <v>245</v>
      </c>
      <c r="R8" s="313" t="str">
        <f t="shared" si="4"/>
        <v>ūi</v>
      </c>
      <c r="S8" s="313" t="str">
        <f t="shared" si="0"/>
        <v>úi</v>
      </c>
      <c r="T8" s="313" t="str">
        <f t="shared" si="0"/>
        <v>ǔi</v>
      </c>
      <c r="U8" s="314" t="str">
        <f t="shared" si="0"/>
        <v>ǔih</v>
      </c>
      <c r="V8" s="313" t="str">
        <f t="shared" si="0"/>
        <v>ùi</v>
      </c>
      <c r="W8" s="313" t="str">
        <f t="shared" si="0"/>
        <v>ûi</v>
      </c>
      <c r="X8" s="313" t="str">
        <f t="shared" si="0"/>
        <v>ūi</v>
      </c>
      <c r="Y8" s="314" t="str">
        <f t="shared" si="0"/>
        <v>úih</v>
      </c>
      <c r="AA8" s="301">
        <f t="shared" si="1"/>
        <v>1</v>
      </c>
      <c r="AB8" s="301">
        <f t="shared" si="2"/>
        <v>6</v>
      </c>
      <c r="AC8" s="301" t="str">
        <f t="shared" si="3"/>
        <v>ū</v>
      </c>
      <c r="AD8" s="301" t="str">
        <f t="shared" si="3"/>
        <v>ú</v>
      </c>
      <c r="AE8" s="301" t="str">
        <f t="shared" si="3"/>
        <v>ǔ</v>
      </c>
      <c r="AF8" s="301" t="str">
        <f t="shared" si="3"/>
        <v>ǔ</v>
      </c>
      <c r="AG8" s="301" t="str">
        <f t="shared" si="3"/>
        <v>ù</v>
      </c>
      <c r="AH8" s="301" t="str">
        <f t="shared" si="3"/>
        <v>û</v>
      </c>
      <c r="AI8" s="301" t="str">
        <f t="shared" si="3"/>
        <v>ū</v>
      </c>
      <c r="AJ8" s="301" t="str">
        <f t="shared" si="3"/>
        <v>ú</v>
      </c>
    </row>
    <row r="9" spans="2:36" ht="32.25">
      <c r="B9" s="304">
        <v>5</v>
      </c>
      <c r="C9" s="305" t="s">
        <v>191</v>
      </c>
      <c r="D9" s="305" t="s">
        <v>1628</v>
      </c>
      <c r="E9" s="305" t="s">
        <v>1629</v>
      </c>
      <c r="F9" s="305" t="s">
        <v>1630</v>
      </c>
      <c r="G9" s="307" t="s">
        <v>1630</v>
      </c>
      <c r="H9" s="305" t="s">
        <v>1631</v>
      </c>
      <c r="I9" s="305" t="s">
        <v>1632</v>
      </c>
      <c r="J9" s="305" t="s">
        <v>1628</v>
      </c>
      <c r="K9" s="306" t="s">
        <v>1629</v>
      </c>
      <c r="L9" s="302"/>
      <c r="M9" s="304">
        <v>5</v>
      </c>
      <c r="N9" s="308" t="s">
        <v>159</v>
      </c>
      <c r="O9" s="312" t="str" cm="1">
        <f t="array" ref="O9">INDEX(韻母對照表, (($M9-1)*2 +1), $O$1)</f>
        <v>e</v>
      </c>
      <c r="P9" s="312" t="str" cm="1">
        <f t="array" ref="P9">INDEX(韻母對照表, (($M9-1)*2 +2), $O$1)</f>
        <v>eh</v>
      </c>
      <c r="Q9" s="308" t="s">
        <v>160</v>
      </c>
      <c r="R9" s="313" t="str">
        <f t="shared" si="4"/>
        <v>ē</v>
      </c>
      <c r="S9" s="313" t="str">
        <f t="shared" si="0"/>
        <v>é</v>
      </c>
      <c r="T9" s="313" t="str">
        <f t="shared" si="0"/>
        <v>ě</v>
      </c>
      <c r="U9" s="314" t="str">
        <f t="shared" si="0"/>
        <v>ěh</v>
      </c>
      <c r="V9" s="313" t="str">
        <f t="shared" si="0"/>
        <v>è</v>
      </c>
      <c r="W9" s="313" t="str">
        <f t="shared" si="0"/>
        <v>ê</v>
      </c>
      <c r="X9" s="313" t="str">
        <f t="shared" si="0"/>
        <v>ē</v>
      </c>
      <c r="Y9" s="314" t="str">
        <f t="shared" si="0"/>
        <v>éh</v>
      </c>
      <c r="AA9" s="301">
        <f t="shared" si="1"/>
        <v>1</v>
      </c>
      <c r="AB9" s="301">
        <f t="shared" si="2"/>
        <v>2</v>
      </c>
      <c r="AC9" s="301" t="str">
        <f t="shared" si="3"/>
        <v>ē</v>
      </c>
      <c r="AD9" s="301" t="str">
        <f t="shared" si="3"/>
        <v>é</v>
      </c>
      <c r="AE9" s="301" t="str">
        <f t="shared" si="3"/>
        <v>ě</v>
      </c>
      <c r="AF9" s="301" t="str">
        <f t="shared" si="3"/>
        <v>ě</v>
      </c>
      <c r="AG9" s="301" t="str">
        <f t="shared" si="3"/>
        <v>è</v>
      </c>
      <c r="AH9" s="301" t="str">
        <f t="shared" si="3"/>
        <v>ê</v>
      </c>
      <c r="AI9" s="301" t="str">
        <f t="shared" si="3"/>
        <v>ē</v>
      </c>
      <c r="AJ9" s="301" t="str">
        <f t="shared" si="3"/>
        <v>é</v>
      </c>
    </row>
    <row r="10" spans="2:36" ht="32.25">
      <c r="B10" s="304">
        <v>6</v>
      </c>
      <c r="C10" s="305" t="s">
        <v>245</v>
      </c>
      <c r="D10" s="305" t="s">
        <v>1633</v>
      </c>
      <c r="E10" s="305" t="s">
        <v>1634</v>
      </c>
      <c r="F10" s="305" t="s">
        <v>1635</v>
      </c>
      <c r="G10" s="307" t="s">
        <v>1635</v>
      </c>
      <c r="H10" s="305" t="s">
        <v>1636</v>
      </c>
      <c r="I10" s="305" t="s">
        <v>1637</v>
      </c>
      <c r="J10" s="305" t="s">
        <v>1633</v>
      </c>
      <c r="K10" s="306" t="s">
        <v>1634</v>
      </c>
      <c r="L10" s="302"/>
      <c r="M10" s="304">
        <v>6</v>
      </c>
      <c r="N10" s="308" t="s">
        <v>165</v>
      </c>
      <c r="O10" s="312" t="str" cm="1">
        <f t="array" ref="O10">INDEX(韻母對照表, (($M10-1)*2 +1), $O$1)</f>
        <v>an</v>
      </c>
      <c r="P10" s="312" t="str" cm="1">
        <f t="array" ref="P10">INDEX(韻母對照表, (($M10-1)*2 +2), $O$1)</f>
        <v>at</v>
      </c>
      <c r="Q10" s="308" t="s">
        <v>139</v>
      </c>
      <c r="R10" s="313" t="str">
        <f t="shared" si="4"/>
        <v>ān</v>
      </c>
      <c r="S10" s="313" t="str">
        <f t="shared" si="0"/>
        <v>án</v>
      </c>
      <c r="T10" s="313" t="str">
        <f t="shared" si="0"/>
        <v>ǎn</v>
      </c>
      <c r="U10" s="314" t="str">
        <f t="shared" si="0"/>
        <v>ǎt</v>
      </c>
      <c r="V10" s="313" t="str">
        <f t="shared" si="0"/>
        <v>àn</v>
      </c>
      <c r="W10" s="313" t="str">
        <f t="shared" si="0"/>
        <v>ân</v>
      </c>
      <c r="X10" s="313" t="str">
        <f t="shared" si="0"/>
        <v>ān</v>
      </c>
      <c r="Y10" s="314" t="str">
        <f t="shared" si="0"/>
        <v>át</v>
      </c>
      <c r="AA10" s="301">
        <f t="shared" si="1"/>
        <v>1</v>
      </c>
      <c r="AB10" s="301">
        <f t="shared" si="2"/>
        <v>1</v>
      </c>
      <c r="AC10" s="301" t="str">
        <f t="shared" si="3"/>
        <v>ā</v>
      </c>
      <c r="AD10" s="301" t="str">
        <f t="shared" si="3"/>
        <v>á</v>
      </c>
      <c r="AE10" s="301" t="str">
        <f t="shared" si="3"/>
        <v>ǎ</v>
      </c>
      <c r="AF10" s="301" t="str">
        <f t="shared" si="3"/>
        <v>ǎ</v>
      </c>
      <c r="AG10" s="301" t="str">
        <f t="shared" si="3"/>
        <v>à</v>
      </c>
      <c r="AH10" s="301" t="str">
        <f t="shared" si="3"/>
        <v>â</v>
      </c>
      <c r="AI10" s="301" t="str">
        <f t="shared" si="3"/>
        <v>ā</v>
      </c>
      <c r="AJ10" s="301" t="str">
        <f t="shared" si="3"/>
        <v>á</v>
      </c>
    </row>
    <row r="11" spans="2:36" ht="32.25">
      <c r="B11" s="304">
        <v>7</v>
      </c>
      <c r="C11" s="305" t="s">
        <v>27</v>
      </c>
      <c r="D11" s="305" t="s">
        <v>1638</v>
      </c>
      <c r="E11" s="305" t="s">
        <v>1639</v>
      </c>
      <c r="F11" s="305" t="s">
        <v>1640</v>
      </c>
      <c r="G11" s="307" t="s">
        <v>1640</v>
      </c>
      <c r="H11" s="305" t="s">
        <v>1641</v>
      </c>
      <c r="I11" s="305" t="s">
        <v>1642</v>
      </c>
      <c r="J11" s="305" t="s">
        <v>1638</v>
      </c>
      <c r="K11" s="306" t="s">
        <v>1639</v>
      </c>
      <c r="L11" s="302"/>
      <c r="M11" s="304">
        <v>7</v>
      </c>
      <c r="N11" s="308" t="s">
        <v>168</v>
      </c>
      <c r="O11" s="312" t="str" cm="1">
        <f t="array" ref="O11">INDEX(韻母對照表, (($M11-1)*2 +1), $O$1)</f>
        <v>ong</v>
      </c>
      <c r="P11" s="312" t="str" cm="1">
        <f t="array" ref="P11">INDEX(韻母對照表, (($M11-1)*2 +2), $O$1)</f>
        <v>ok</v>
      </c>
      <c r="Q11" s="308" t="s">
        <v>215</v>
      </c>
      <c r="R11" s="313" t="str">
        <f t="shared" si="4"/>
        <v>ōng</v>
      </c>
      <c r="S11" s="313" t="str">
        <f t="shared" si="0"/>
        <v>óng</v>
      </c>
      <c r="T11" s="313" t="str">
        <f t="shared" si="0"/>
        <v>ǒng</v>
      </c>
      <c r="U11" s="314" t="str">
        <f t="shared" si="0"/>
        <v>ǒk</v>
      </c>
      <c r="V11" s="313" t="str">
        <f t="shared" si="0"/>
        <v>òng</v>
      </c>
      <c r="W11" s="313" t="str">
        <f t="shared" si="0"/>
        <v>ông</v>
      </c>
      <c r="X11" s="313" t="str">
        <f t="shared" si="0"/>
        <v>ōng</v>
      </c>
      <c r="Y11" s="314" t="str">
        <f t="shared" si="0"/>
        <v>ók</v>
      </c>
      <c r="AA11" s="301">
        <f t="shared" si="1"/>
        <v>1</v>
      </c>
      <c r="AB11" s="301">
        <f t="shared" si="2"/>
        <v>4</v>
      </c>
      <c r="AC11" s="301" t="str">
        <f t="shared" si="3"/>
        <v>ō</v>
      </c>
      <c r="AD11" s="301" t="str">
        <f t="shared" si="3"/>
        <v>ó</v>
      </c>
      <c r="AE11" s="301" t="str">
        <f t="shared" si="3"/>
        <v>ǒ</v>
      </c>
      <c r="AF11" s="301" t="str">
        <f t="shared" si="3"/>
        <v>ǒ</v>
      </c>
      <c r="AG11" s="301" t="str">
        <f t="shared" si="3"/>
        <v>ò</v>
      </c>
      <c r="AH11" s="301" t="str">
        <f t="shared" si="3"/>
        <v>ô</v>
      </c>
      <c r="AI11" s="301" t="str">
        <f t="shared" si="3"/>
        <v>ō</v>
      </c>
      <c r="AJ11" s="301" t="str">
        <f t="shared" si="3"/>
        <v>ó</v>
      </c>
    </row>
    <row r="12" spans="2:36" ht="32.25">
      <c r="B12" s="304">
        <v>8</v>
      </c>
      <c r="C12" s="305" t="s">
        <v>68</v>
      </c>
      <c r="D12" s="305" t="s">
        <v>1643</v>
      </c>
      <c r="E12" s="305" t="s">
        <v>1644</v>
      </c>
      <c r="F12" s="305" t="s">
        <v>1645</v>
      </c>
      <c r="G12" s="307" t="s">
        <v>1646</v>
      </c>
      <c r="H12" s="315" t="s">
        <v>1647</v>
      </c>
      <c r="I12" s="315" t="s">
        <v>1648</v>
      </c>
      <c r="J12" s="315" t="s">
        <v>1643</v>
      </c>
      <c r="K12" s="316" t="s">
        <v>1644</v>
      </c>
      <c r="L12" s="302"/>
      <c r="M12" s="304">
        <v>8</v>
      </c>
      <c r="N12" s="308" t="s">
        <v>174</v>
      </c>
      <c r="O12" s="312" t="str" cm="1">
        <f t="array" ref="O12">INDEX(韻母對照表, (($M12-1)*2 +1), $O$1)</f>
        <v>uai</v>
      </c>
      <c r="P12" s="312" t="str" cm="1">
        <f t="array" ref="P12">INDEX(韻母對照表, (($M12-1)*2 +2), $O$1)</f>
        <v>uaih</v>
      </c>
      <c r="Q12" s="308" t="s">
        <v>139</v>
      </c>
      <c r="R12" s="313" t="str">
        <f t="shared" si="4"/>
        <v>uāi</v>
      </c>
      <c r="S12" s="313" t="str">
        <f t="shared" si="0"/>
        <v>uái</v>
      </c>
      <c r="T12" s="313" t="str">
        <f t="shared" si="0"/>
        <v>uǎi</v>
      </c>
      <c r="U12" s="314" t="str">
        <f t="shared" si="0"/>
        <v>uǎih</v>
      </c>
      <c r="V12" s="313" t="str">
        <f t="shared" si="0"/>
        <v>uài</v>
      </c>
      <c r="W12" s="313" t="str">
        <f t="shared" si="0"/>
        <v>uâi</v>
      </c>
      <c r="X12" s="313" t="str">
        <f t="shared" si="0"/>
        <v>uāi</v>
      </c>
      <c r="Y12" s="314" t="str">
        <f t="shared" si="0"/>
        <v>uáih</v>
      </c>
      <c r="AA12" s="301">
        <f t="shared" si="1"/>
        <v>2</v>
      </c>
      <c r="AB12" s="301">
        <f t="shared" si="2"/>
        <v>1</v>
      </c>
      <c r="AC12" s="301" t="str">
        <f t="shared" si="3"/>
        <v>ā</v>
      </c>
      <c r="AD12" s="301" t="str">
        <f t="shared" si="3"/>
        <v>á</v>
      </c>
      <c r="AE12" s="301" t="str">
        <f t="shared" si="3"/>
        <v>ǎ</v>
      </c>
      <c r="AF12" s="301" t="str">
        <f t="shared" si="3"/>
        <v>ǎ</v>
      </c>
      <c r="AG12" s="301" t="str">
        <f t="shared" si="3"/>
        <v>à</v>
      </c>
      <c r="AH12" s="301" t="str">
        <f t="shared" si="3"/>
        <v>â</v>
      </c>
      <c r="AI12" s="301" t="str">
        <f t="shared" si="3"/>
        <v>ā</v>
      </c>
      <c r="AJ12" s="301" t="str">
        <f t="shared" si="3"/>
        <v>á</v>
      </c>
    </row>
    <row r="13" spans="2:36" ht="32.25">
      <c r="B13" s="302"/>
      <c r="C13" s="302"/>
      <c r="D13" s="302"/>
      <c r="E13" s="302"/>
      <c r="F13" s="302"/>
      <c r="G13" s="302"/>
      <c r="H13" s="302"/>
      <c r="I13" s="302"/>
      <c r="J13" s="302"/>
      <c r="K13" s="302"/>
      <c r="L13" s="302"/>
      <c r="M13" s="304">
        <v>9</v>
      </c>
      <c r="N13" s="308" t="s">
        <v>180</v>
      </c>
      <c r="O13" s="312" t="str" cm="1">
        <f t="array" ref="O13">INDEX(韻母對照表, (($M13-1)*2 +1), $O$1)</f>
        <v>ing</v>
      </c>
      <c r="P13" s="312" t="str" cm="1">
        <f t="array" ref="P13">INDEX(韻母對照表, (($M13-1)*2 +2), $O$1)</f>
        <v>ik</v>
      </c>
      <c r="Q13" s="308" t="s">
        <v>800</v>
      </c>
      <c r="R13" s="313" t="str">
        <f t="shared" si="4"/>
        <v>īng</v>
      </c>
      <c r="S13" s="313" t="str">
        <f t="shared" si="0"/>
        <v>íng</v>
      </c>
      <c r="T13" s="313" t="str">
        <f t="shared" si="0"/>
        <v>ǐng</v>
      </c>
      <c r="U13" s="314" t="str">
        <f t="shared" si="0"/>
        <v>ǐk</v>
      </c>
      <c r="V13" s="313" t="str">
        <f t="shared" si="0"/>
        <v>ìng</v>
      </c>
      <c r="W13" s="313" t="str">
        <f t="shared" si="0"/>
        <v>îng</v>
      </c>
      <c r="X13" s="313" t="str">
        <f t="shared" si="0"/>
        <v>īng</v>
      </c>
      <c r="Y13" s="314" t="str">
        <f t="shared" si="0"/>
        <v>ík</v>
      </c>
      <c r="AA13" s="301">
        <f>FIND(Q13, O13, 1)</f>
        <v>1</v>
      </c>
      <c r="AB13" s="301">
        <f t="shared" si="2"/>
        <v>3</v>
      </c>
      <c r="AC13" s="301" t="str">
        <f t="shared" si="3"/>
        <v>ī</v>
      </c>
      <c r="AD13" s="301" t="str">
        <f t="shared" si="3"/>
        <v>í</v>
      </c>
      <c r="AE13" s="301" t="str">
        <f t="shared" si="3"/>
        <v>ǐ</v>
      </c>
      <c r="AF13" s="301" t="str">
        <f t="shared" si="3"/>
        <v>ǐ</v>
      </c>
      <c r="AG13" s="301" t="str">
        <f t="shared" si="3"/>
        <v>ì</v>
      </c>
      <c r="AH13" s="301" t="str">
        <f t="shared" si="3"/>
        <v>î</v>
      </c>
      <c r="AI13" s="301" t="str">
        <f t="shared" si="3"/>
        <v>ī</v>
      </c>
      <c r="AJ13" s="301" t="str">
        <f t="shared" si="3"/>
        <v>í</v>
      </c>
    </row>
    <row r="14" spans="2:36" ht="32.25">
      <c r="B14" s="302"/>
      <c r="C14" s="302"/>
      <c r="D14" s="302"/>
      <c r="E14" s="302"/>
      <c r="F14" s="302"/>
      <c r="G14" s="302"/>
      <c r="H14" s="302"/>
      <c r="I14" s="302"/>
      <c r="J14" s="302"/>
      <c r="K14" s="302"/>
      <c r="L14" s="311"/>
      <c r="M14" s="304">
        <v>10</v>
      </c>
      <c r="N14" s="308" t="s">
        <v>186</v>
      </c>
      <c r="O14" s="312" t="str" cm="1">
        <f t="array" ref="O14">INDEX(韻母對照表, (($M14-1)*2 +1), $O$1)</f>
        <v>uan</v>
      </c>
      <c r="P14" s="312" t="str" cm="1">
        <f t="array" ref="P14">INDEX(韻母對照表, (($M14-1)*2 +2), $O$1)</f>
        <v>uat</v>
      </c>
      <c r="Q14" s="308" t="s">
        <v>139</v>
      </c>
      <c r="R14" s="313" t="str">
        <f t="shared" si="4"/>
        <v>uān</v>
      </c>
      <c r="S14" s="313" t="str">
        <f t="shared" si="0"/>
        <v>uán</v>
      </c>
      <c r="T14" s="313" t="str">
        <f t="shared" si="0"/>
        <v>uǎn</v>
      </c>
      <c r="U14" s="314" t="str">
        <f t="shared" si="0"/>
        <v>uǎt</v>
      </c>
      <c r="V14" s="313" t="str">
        <f t="shared" si="0"/>
        <v>uàn</v>
      </c>
      <c r="W14" s="313" t="str">
        <f t="shared" si="0"/>
        <v>uân</v>
      </c>
      <c r="X14" s="313" t="str">
        <f t="shared" si="0"/>
        <v>uān</v>
      </c>
      <c r="Y14" s="314" t="str">
        <f t="shared" si="0"/>
        <v>uát</v>
      </c>
      <c r="AA14" s="301">
        <f t="shared" ref="AA14:AA54" si="5">FIND(Q14, O14, 1)</f>
        <v>2</v>
      </c>
      <c r="AB14" s="301">
        <f t="shared" si="2"/>
        <v>1</v>
      </c>
      <c r="AC14" s="301" t="str">
        <f t="shared" si="3"/>
        <v>ā</v>
      </c>
      <c r="AD14" s="301" t="str">
        <f t="shared" si="3"/>
        <v>á</v>
      </c>
      <c r="AE14" s="301" t="str">
        <f t="shared" si="3"/>
        <v>ǎ</v>
      </c>
      <c r="AF14" s="301" t="str">
        <f t="shared" si="3"/>
        <v>ǎ</v>
      </c>
      <c r="AG14" s="301" t="str">
        <f t="shared" si="3"/>
        <v>à</v>
      </c>
      <c r="AH14" s="301" t="str">
        <f t="shared" si="3"/>
        <v>â</v>
      </c>
      <c r="AI14" s="301" t="str">
        <f t="shared" si="3"/>
        <v>ā</v>
      </c>
      <c r="AJ14" s="301" t="str">
        <f t="shared" si="3"/>
        <v>á</v>
      </c>
    </row>
    <row r="15" spans="2:36" ht="32.25">
      <c r="B15" s="302"/>
      <c r="C15" s="302"/>
      <c r="D15" s="302"/>
      <c r="E15" s="302"/>
      <c r="F15" s="302"/>
      <c r="G15" s="302"/>
      <c r="H15" s="302"/>
      <c r="I15" s="302"/>
      <c r="J15" s="302"/>
      <c r="K15" s="302"/>
      <c r="L15" s="302"/>
      <c r="M15" s="304">
        <v>11</v>
      </c>
      <c r="N15" s="308" t="s">
        <v>190</v>
      </c>
      <c r="O15" s="312" t="str" cm="1">
        <f t="array" ref="O15">INDEX(韻母對照表, (($M15-1)*2 +1), $O$1)</f>
        <v>oo</v>
      </c>
      <c r="P15" s="312" t="str" cm="1">
        <f t="array" ref="P15">INDEX(韻母對照表, (($M15-1)*2 +2), $O$1)</f>
        <v>ooh</v>
      </c>
      <c r="Q15" s="308" t="s">
        <v>191</v>
      </c>
      <c r="R15" s="313" t="str">
        <f t="shared" si="4"/>
        <v>ōo</v>
      </c>
      <c r="S15" s="313" t="str">
        <f t="shared" si="0"/>
        <v>óo</v>
      </c>
      <c r="T15" s="313" t="str">
        <f t="shared" si="0"/>
        <v>ǒo</v>
      </c>
      <c r="U15" s="314" t="str">
        <f t="shared" si="0"/>
        <v>ǒoh</v>
      </c>
      <c r="V15" s="313" t="str">
        <f t="shared" si="0"/>
        <v>òo</v>
      </c>
      <c r="W15" s="313" t="str">
        <f t="shared" si="0"/>
        <v>ôo</v>
      </c>
      <c r="X15" s="313" t="str">
        <f t="shared" si="0"/>
        <v>ōo</v>
      </c>
      <c r="Y15" s="314" t="str">
        <f t="shared" si="0"/>
        <v>óoh</v>
      </c>
      <c r="AA15" s="301">
        <f t="shared" si="5"/>
        <v>1</v>
      </c>
      <c r="AB15" s="301">
        <f t="shared" si="2"/>
        <v>5</v>
      </c>
      <c r="AC15" s="301" t="str">
        <f t="shared" ref="AC15:AJ24" si="6">INDEX($D$5:$K$12, $AB15, AC$4)</f>
        <v>ōo</v>
      </c>
      <c r="AD15" s="301" t="str">
        <f t="shared" si="6"/>
        <v>óo</v>
      </c>
      <c r="AE15" s="301" t="str">
        <f t="shared" si="6"/>
        <v>ǒo</v>
      </c>
      <c r="AF15" s="301" t="str">
        <f t="shared" si="6"/>
        <v>ǒo</v>
      </c>
      <c r="AG15" s="301" t="str">
        <f t="shared" si="6"/>
        <v>òo</v>
      </c>
      <c r="AH15" s="301" t="str">
        <f t="shared" si="6"/>
        <v>ôo</v>
      </c>
      <c r="AI15" s="301" t="str">
        <f t="shared" si="6"/>
        <v>ōo</v>
      </c>
      <c r="AJ15" s="301" t="str">
        <f t="shared" si="6"/>
        <v>óo</v>
      </c>
    </row>
    <row r="16" spans="2:36" ht="32.25">
      <c r="B16" s="302"/>
      <c r="C16" s="302"/>
      <c r="D16" s="302"/>
      <c r="E16" s="302"/>
      <c r="F16" s="302"/>
      <c r="G16" s="302"/>
      <c r="H16" s="302"/>
      <c r="I16" s="302"/>
      <c r="J16" s="302"/>
      <c r="K16" s="302"/>
      <c r="L16" s="302"/>
      <c r="M16" s="304">
        <v>12</v>
      </c>
      <c r="N16" s="308" t="s">
        <v>196</v>
      </c>
      <c r="O16" s="312" t="str" cm="1">
        <f t="array" ref="O16">INDEX(韻母對照表, (($M16-1)*2 +1), $O$1)</f>
        <v>iao</v>
      </c>
      <c r="P16" s="312" t="str" cm="1">
        <f t="array" ref="P16">INDEX(韻母對照表, (($M16-1)*2 +2), $O$1)</f>
        <v>iaoh</v>
      </c>
      <c r="Q16" s="308" t="s">
        <v>139</v>
      </c>
      <c r="R16" s="313" t="str">
        <f t="shared" si="4"/>
        <v>iāo</v>
      </c>
      <c r="S16" s="313" t="str">
        <f t="shared" si="0"/>
        <v>iáo</v>
      </c>
      <c r="T16" s="313" t="str">
        <f t="shared" si="0"/>
        <v>iǎo</v>
      </c>
      <c r="U16" s="314" t="str">
        <f t="shared" si="0"/>
        <v>iǎoh</v>
      </c>
      <c r="V16" s="313" t="str">
        <f t="shared" si="0"/>
        <v>iào</v>
      </c>
      <c r="W16" s="313" t="str">
        <f t="shared" si="0"/>
        <v>iâo</v>
      </c>
      <c r="X16" s="313" t="str">
        <f t="shared" si="0"/>
        <v>iāo</v>
      </c>
      <c r="Y16" s="314" t="str">
        <f t="shared" si="0"/>
        <v>iáoh</v>
      </c>
      <c r="AA16" s="301">
        <f t="shared" si="5"/>
        <v>2</v>
      </c>
      <c r="AB16" s="301">
        <f t="shared" si="2"/>
        <v>1</v>
      </c>
      <c r="AC16" s="301" t="str">
        <f t="shared" si="6"/>
        <v>ā</v>
      </c>
      <c r="AD16" s="301" t="str">
        <f t="shared" si="6"/>
        <v>á</v>
      </c>
      <c r="AE16" s="301" t="str">
        <f t="shared" si="6"/>
        <v>ǎ</v>
      </c>
      <c r="AF16" s="301" t="str">
        <f t="shared" si="6"/>
        <v>ǎ</v>
      </c>
      <c r="AG16" s="301" t="str">
        <f t="shared" si="6"/>
        <v>à</v>
      </c>
      <c r="AH16" s="301" t="str">
        <f t="shared" si="6"/>
        <v>â</v>
      </c>
      <c r="AI16" s="301" t="str">
        <f t="shared" si="6"/>
        <v>ā</v>
      </c>
      <c r="AJ16" s="301" t="str">
        <f t="shared" si="6"/>
        <v>á</v>
      </c>
    </row>
    <row r="17" spans="13:36" ht="32.25">
      <c r="M17" s="304">
        <v>13</v>
      </c>
      <c r="N17" s="308" t="s">
        <v>206</v>
      </c>
      <c r="O17" s="312" t="str" cm="1">
        <f t="array" ref="O17">INDEX(韻母對照表, (($M17-1)*2 +1), $O$1)</f>
        <v>e</v>
      </c>
      <c r="P17" s="312" t="str" cm="1">
        <f t="array" ref="P17">INDEX(韻母對照表, (($M17-1)*2 +2), $O$1)</f>
        <v>eh</v>
      </c>
      <c r="Q17" s="308" t="s">
        <v>160</v>
      </c>
      <c r="R17" s="313" t="str">
        <f t="shared" si="4"/>
        <v>ē</v>
      </c>
      <c r="S17" s="313" t="str">
        <f t="shared" si="0"/>
        <v>é</v>
      </c>
      <c r="T17" s="313" t="str">
        <f t="shared" si="0"/>
        <v>ě</v>
      </c>
      <c r="U17" s="314" t="str">
        <f t="shared" si="0"/>
        <v>ěh</v>
      </c>
      <c r="V17" s="313" t="str">
        <f t="shared" si="0"/>
        <v>è</v>
      </c>
      <c r="W17" s="313" t="str">
        <f t="shared" si="0"/>
        <v>ê</v>
      </c>
      <c r="X17" s="313" t="str">
        <f t="shared" si="0"/>
        <v>ē</v>
      </c>
      <c r="Y17" s="314" t="str">
        <f t="shared" si="0"/>
        <v>éh</v>
      </c>
      <c r="AA17" s="301">
        <f t="shared" si="5"/>
        <v>1</v>
      </c>
      <c r="AB17" s="301">
        <f t="shared" si="2"/>
        <v>2</v>
      </c>
      <c r="AC17" s="301" t="str">
        <f t="shared" si="6"/>
        <v>ē</v>
      </c>
      <c r="AD17" s="301" t="str">
        <f t="shared" si="6"/>
        <v>é</v>
      </c>
      <c r="AE17" s="301" t="str">
        <f t="shared" si="6"/>
        <v>ě</v>
      </c>
      <c r="AF17" s="301" t="str">
        <f t="shared" si="6"/>
        <v>ě</v>
      </c>
      <c r="AG17" s="301" t="str">
        <f t="shared" si="6"/>
        <v>è</v>
      </c>
      <c r="AH17" s="301" t="str">
        <f t="shared" si="6"/>
        <v>ê</v>
      </c>
      <c r="AI17" s="301" t="str">
        <f t="shared" si="6"/>
        <v>ē</v>
      </c>
      <c r="AJ17" s="301" t="str">
        <f t="shared" si="6"/>
        <v>é</v>
      </c>
    </row>
    <row r="18" spans="13:36" ht="32.25">
      <c r="M18" s="304">
        <v>14</v>
      </c>
      <c r="N18" s="308" t="s">
        <v>208</v>
      </c>
      <c r="O18" s="312" t="str" cm="1">
        <f t="array" ref="O18">INDEX(韻母對照表, (($M18-1)*2 +1), $O$1)</f>
        <v>iong</v>
      </c>
      <c r="P18" s="312" t="str" cm="1">
        <f t="array" ref="P18">INDEX(韻母對照表, (($M18-1)*2 +2), $O$1)</f>
        <v>iok</v>
      </c>
      <c r="Q18" s="308" t="s">
        <v>215</v>
      </c>
      <c r="R18" s="313" t="str">
        <f t="shared" si="4"/>
        <v>iōng</v>
      </c>
      <c r="S18" s="313" t="str">
        <f t="shared" si="0"/>
        <v>ióng</v>
      </c>
      <c r="T18" s="313" t="str">
        <f t="shared" si="0"/>
        <v>iǒng</v>
      </c>
      <c r="U18" s="314" t="str">
        <f t="shared" si="0"/>
        <v>iǒk</v>
      </c>
      <c r="V18" s="313" t="str">
        <f t="shared" si="0"/>
        <v>iòng</v>
      </c>
      <c r="W18" s="313" t="str">
        <f t="shared" si="0"/>
        <v>iông</v>
      </c>
      <c r="X18" s="313" t="str">
        <f t="shared" si="0"/>
        <v>iōng</v>
      </c>
      <c r="Y18" s="314" t="str">
        <f t="shared" si="0"/>
        <v>iók</v>
      </c>
      <c r="AA18" s="301">
        <f t="shared" si="5"/>
        <v>2</v>
      </c>
      <c r="AB18" s="301">
        <f t="shared" si="2"/>
        <v>4</v>
      </c>
      <c r="AC18" s="301" t="str">
        <f t="shared" si="6"/>
        <v>ō</v>
      </c>
      <c r="AD18" s="301" t="str">
        <f t="shared" si="6"/>
        <v>ó</v>
      </c>
      <c r="AE18" s="301" t="str">
        <f t="shared" si="6"/>
        <v>ǒ</v>
      </c>
      <c r="AF18" s="301" t="str">
        <f t="shared" si="6"/>
        <v>ǒ</v>
      </c>
      <c r="AG18" s="301" t="str">
        <f t="shared" si="6"/>
        <v>ò</v>
      </c>
      <c r="AH18" s="301" t="str">
        <f t="shared" si="6"/>
        <v>ô</v>
      </c>
      <c r="AI18" s="301" t="str">
        <f t="shared" si="6"/>
        <v>ō</v>
      </c>
      <c r="AJ18" s="301" t="str">
        <f t="shared" si="6"/>
        <v>ó</v>
      </c>
    </row>
    <row r="19" spans="13:36" ht="32.25">
      <c r="M19" s="304">
        <v>15</v>
      </c>
      <c r="N19" s="308" t="s">
        <v>214</v>
      </c>
      <c r="O19" s="312" t="str" cm="1">
        <f t="array" ref="O19">INDEX(韻母對照表, (($M19-1)*2 +1), $O$1)</f>
        <v>o</v>
      </c>
      <c r="P19" s="312" t="str" cm="1">
        <f t="array" ref="P19">INDEX(韻母對照表, (($M19-1)*2 +2), $O$1)</f>
        <v>oh</v>
      </c>
      <c r="Q19" s="308" t="s">
        <v>215</v>
      </c>
      <c r="R19" s="313" t="str">
        <f t="shared" si="4"/>
        <v>ō</v>
      </c>
      <c r="S19" s="313" t="str">
        <f t="shared" si="0"/>
        <v>ó</v>
      </c>
      <c r="T19" s="313" t="str">
        <f t="shared" si="0"/>
        <v>ǒ</v>
      </c>
      <c r="U19" s="314" t="str">
        <f t="shared" si="0"/>
        <v>ǒh</v>
      </c>
      <c r="V19" s="313" t="str">
        <f t="shared" si="0"/>
        <v>ò</v>
      </c>
      <c r="W19" s="313" t="str">
        <f t="shared" si="0"/>
        <v>ô</v>
      </c>
      <c r="X19" s="313" t="str">
        <f t="shared" si="0"/>
        <v>ō</v>
      </c>
      <c r="Y19" s="314" t="str">
        <f t="shared" si="0"/>
        <v>óh</v>
      </c>
      <c r="AA19" s="301">
        <f t="shared" si="5"/>
        <v>1</v>
      </c>
      <c r="AB19" s="301">
        <f t="shared" si="2"/>
        <v>4</v>
      </c>
      <c r="AC19" s="301" t="str">
        <f t="shared" si="6"/>
        <v>ō</v>
      </c>
      <c r="AD19" s="301" t="str">
        <f t="shared" si="6"/>
        <v>ó</v>
      </c>
      <c r="AE19" s="301" t="str">
        <f t="shared" si="6"/>
        <v>ǒ</v>
      </c>
      <c r="AF19" s="301" t="str">
        <f t="shared" si="6"/>
        <v>ǒ</v>
      </c>
      <c r="AG19" s="301" t="str">
        <f t="shared" si="6"/>
        <v>ò</v>
      </c>
      <c r="AH19" s="301" t="str">
        <f t="shared" si="6"/>
        <v>ô</v>
      </c>
      <c r="AI19" s="301" t="str">
        <f t="shared" si="6"/>
        <v>ō</v>
      </c>
      <c r="AJ19" s="301" t="str">
        <f t="shared" si="6"/>
        <v>ó</v>
      </c>
    </row>
    <row r="20" spans="13:36" ht="32.25">
      <c r="M20" s="304">
        <v>16</v>
      </c>
      <c r="N20" s="308" t="s">
        <v>150</v>
      </c>
      <c r="O20" s="312" t="str" cm="1">
        <f t="array" ref="O20">INDEX(韻母對照表, (($M20-1)*2 +1), $O$1)</f>
        <v>ai</v>
      </c>
      <c r="P20" s="312" t="str" cm="1">
        <f t="array" ref="P20">INDEX(韻母對照表, (($M20-1)*2 +2), $O$1)</f>
        <v>aih</v>
      </c>
      <c r="Q20" s="308" t="s">
        <v>139</v>
      </c>
      <c r="R20" s="313" t="str">
        <f t="shared" si="4"/>
        <v>āi</v>
      </c>
      <c r="S20" s="313" t="str">
        <f t="shared" si="0"/>
        <v>ái</v>
      </c>
      <c r="T20" s="313" t="str">
        <f t="shared" si="0"/>
        <v>ǎi</v>
      </c>
      <c r="U20" s="314" t="str">
        <f t="shared" si="0"/>
        <v>ǎih</v>
      </c>
      <c r="V20" s="313" t="str">
        <f t="shared" si="0"/>
        <v>ài</v>
      </c>
      <c r="W20" s="313" t="str">
        <f t="shared" si="0"/>
        <v>âi</v>
      </c>
      <c r="X20" s="313" t="str">
        <f t="shared" si="0"/>
        <v>āi</v>
      </c>
      <c r="Y20" s="314" t="str">
        <f t="shared" si="0"/>
        <v>áih</v>
      </c>
      <c r="AA20" s="301">
        <f t="shared" si="5"/>
        <v>1</v>
      </c>
      <c r="AB20" s="301">
        <f t="shared" si="2"/>
        <v>1</v>
      </c>
      <c r="AC20" s="301" t="str">
        <f t="shared" si="6"/>
        <v>ā</v>
      </c>
      <c r="AD20" s="301" t="str">
        <f t="shared" si="6"/>
        <v>á</v>
      </c>
      <c r="AE20" s="301" t="str">
        <f t="shared" si="6"/>
        <v>ǎ</v>
      </c>
      <c r="AF20" s="301" t="str">
        <f t="shared" si="6"/>
        <v>ǎ</v>
      </c>
      <c r="AG20" s="301" t="str">
        <f t="shared" si="6"/>
        <v>à</v>
      </c>
      <c r="AH20" s="301" t="str">
        <f t="shared" si="6"/>
        <v>â</v>
      </c>
      <c r="AI20" s="301" t="str">
        <f t="shared" si="6"/>
        <v>ā</v>
      </c>
      <c r="AJ20" s="301" t="str">
        <f t="shared" si="6"/>
        <v>á</v>
      </c>
    </row>
    <row r="21" spans="13:36" ht="32.25">
      <c r="M21" s="304">
        <v>17</v>
      </c>
      <c r="N21" s="308" t="s">
        <v>223</v>
      </c>
      <c r="O21" s="312" t="str" cm="1">
        <f t="array" ref="O21">INDEX(韻母對照表, (($M21-1)*2 +1), $O$1)</f>
        <v>in</v>
      </c>
      <c r="P21" s="312" t="str" cm="1">
        <f t="array" ref="P21">INDEX(韻母對照表, (($M21-1)*2 +2), $O$1)</f>
        <v>it</v>
      </c>
      <c r="Q21" s="308" t="s">
        <v>200</v>
      </c>
      <c r="R21" s="313" t="str">
        <f t="shared" si="4"/>
        <v>īn</v>
      </c>
      <c r="S21" s="313" t="str">
        <f t="shared" si="4"/>
        <v>ín</v>
      </c>
      <c r="T21" s="313" t="str">
        <f t="shared" si="4"/>
        <v>ǐn</v>
      </c>
      <c r="U21" s="314" t="str">
        <f t="shared" si="4"/>
        <v>ǐt</v>
      </c>
      <c r="V21" s="313" t="str">
        <f t="shared" si="4"/>
        <v>ìn</v>
      </c>
      <c r="W21" s="313" t="str">
        <f t="shared" si="4"/>
        <v>în</v>
      </c>
      <c r="X21" s="313" t="str">
        <f t="shared" si="4"/>
        <v>īn</v>
      </c>
      <c r="Y21" s="314" t="str">
        <f t="shared" si="4"/>
        <v>ít</v>
      </c>
      <c r="AA21" s="301">
        <f t="shared" si="5"/>
        <v>1</v>
      </c>
      <c r="AB21" s="301">
        <f t="shared" si="2"/>
        <v>3</v>
      </c>
      <c r="AC21" s="301" t="str">
        <f t="shared" si="6"/>
        <v>ī</v>
      </c>
      <c r="AD21" s="301" t="str">
        <f t="shared" si="6"/>
        <v>í</v>
      </c>
      <c r="AE21" s="301" t="str">
        <f t="shared" si="6"/>
        <v>ǐ</v>
      </c>
      <c r="AF21" s="301" t="str">
        <f t="shared" si="6"/>
        <v>ǐ</v>
      </c>
      <c r="AG21" s="301" t="str">
        <f t="shared" si="6"/>
        <v>ì</v>
      </c>
      <c r="AH21" s="301" t="str">
        <f t="shared" si="6"/>
        <v>î</v>
      </c>
      <c r="AI21" s="301" t="str">
        <f t="shared" si="6"/>
        <v>ī</v>
      </c>
      <c r="AJ21" s="301" t="str">
        <f t="shared" si="6"/>
        <v>í</v>
      </c>
    </row>
    <row r="22" spans="13:36" ht="32.25">
      <c r="M22" s="304">
        <v>18</v>
      </c>
      <c r="N22" s="308" t="s">
        <v>226</v>
      </c>
      <c r="O22" s="312" t="str" cm="1">
        <f t="array" ref="O22">INDEX(韻母對照表, (($M22-1)*2 +1), $O$1)</f>
        <v>iang</v>
      </c>
      <c r="P22" s="312" t="str" cm="1">
        <f t="array" ref="P22">INDEX(韻母對照表, (($M22-1)*2 +2), $O$1)</f>
        <v>iak</v>
      </c>
      <c r="Q22" s="308" t="s">
        <v>139</v>
      </c>
      <c r="R22" s="313" t="str">
        <f t="shared" si="4"/>
        <v>iāng</v>
      </c>
      <c r="S22" s="313" t="str">
        <f t="shared" si="4"/>
        <v>iáng</v>
      </c>
      <c r="T22" s="313" t="str">
        <f t="shared" si="4"/>
        <v>iǎng</v>
      </c>
      <c r="U22" s="314" t="str">
        <f t="shared" si="4"/>
        <v>iǎk</v>
      </c>
      <c r="V22" s="313" t="str">
        <f t="shared" si="4"/>
        <v>iàng</v>
      </c>
      <c r="W22" s="313" t="str">
        <f t="shared" si="4"/>
        <v>iâng</v>
      </c>
      <c r="X22" s="313" t="str">
        <f t="shared" si="4"/>
        <v>iāng</v>
      </c>
      <c r="Y22" s="314" t="str">
        <f t="shared" si="4"/>
        <v>iák</v>
      </c>
      <c r="AA22" s="301">
        <f t="shared" si="5"/>
        <v>2</v>
      </c>
      <c r="AB22" s="301">
        <f t="shared" si="2"/>
        <v>1</v>
      </c>
      <c r="AC22" s="301" t="str">
        <f t="shared" si="6"/>
        <v>ā</v>
      </c>
      <c r="AD22" s="301" t="str">
        <f t="shared" si="6"/>
        <v>á</v>
      </c>
      <c r="AE22" s="301" t="str">
        <f t="shared" si="6"/>
        <v>ǎ</v>
      </c>
      <c r="AF22" s="301" t="str">
        <f t="shared" si="6"/>
        <v>ǎ</v>
      </c>
      <c r="AG22" s="301" t="str">
        <f t="shared" si="6"/>
        <v>à</v>
      </c>
      <c r="AH22" s="301" t="str">
        <f t="shared" si="6"/>
        <v>â</v>
      </c>
      <c r="AI22" s="301" t="str">
        <f t="shared" si="6"/>
        <v>ā</v>
      </c>
      <c r="AJ22" s="301" t="str">
        <f t="shared" si="6"/>
        <v>á</v>
      </c>
    </row>
    <row r="23" spans="13:36" ht="32.25">
      <c r="M23" s="304">
        <v>19</v>
      </c>
      <c r="N23" s="308" t="s">
        <v>162</v>
      </c>
      <c r="O23" s="312" t="str" cm="1">
        <f t="array" ref="O23">INDEX(韻母對照表, (($M23-1)*2 +1), $O$1)</f>
        <v>am</v>
      </c>
      <c r="P23" s="312" t="str" cm="1">
        <f t="array" ref="P23">INDEX(韻母對照表, (($M23-1)*2 +2), $O$1)</f>
        <v>ap</v>
      </c>
      <c r="Q23" s="308" t="s">
        <v>139</v>
      </c>
      <c r="R23" s="313" t="str">
        <f t="shared" si="4"/>
        <v>ām</v>
      </c>
      <c r="S23" s="313" t="str">
        <f t="shared" si="4"/>
        <v>ám</v>
      </c>
      <c r="T23" s="313" t="str">
        <f t="shared" si="4"/>
        <v>ǎm</v>
      </c>
      <c r="U23" s="314" t="str">
        <f t="shared" si="4"/>
        <v>ǎp</v>
      </c>
      <c r="V23" s="313" t="str">
        <f t="shared" si="4"/>
        <v>àm</v>
      </c>
      <c r="W23" s="313" t="str">
        <f t="shared" si="4"/>
        <v>âm</v>
      </c>
      <c r="X23" s="313" t="str">
        <f t="shared" si="4"/>
        <v>ām</v>
      </c>
      <c r="Y23" s="314" t="str">
        <f t="shared" si="4"/>
        <v>áp</v>
      </c>
      <c r="AA23" s="301">
        <f t="shared" si="5"/>
        <v>1</v>
      </c>
      <c r="AB23" s="301">
        <f t="shared" si="2"/>
        <v>1</v>
      </c>
      <c r="AC23" s="301" t="str">
        <f t="shared" si="6"/>
        <v>ā</v>
      </c>
      <c r="AD23" s="301" t="str">
        <f t="shared" si="6"/>
        <v>á</v>
      </c>
      <c r="AE23" s="301" t="str">
        <f t="shared" si="6"/>
        <v>ǎ</v>
      </c>
      <c r="AF23" s="301" t="str">
        <f t="shared" si="6"/>
        <v>ǎ</v>
      </c>
      <c r="AG23" s="301" t="str">
        <f t="shared" si="6"/>
        <v>à</v>
      </c>
      <c r="AH23" s="301" t="str">
        <f t="shared" si="6"/>
        <v>â</v>
      </c>
      <c r="AI23" s="301" t="str">
        <f t="shared" si="6"/>
        <v>ā</v>
      </c>
      <c r="AJ23" s="301" t="str">
        <f t="shared" si="6"/>
        <v>á</v>
      </c>
    </row>
    <row r="24" spans="13:36" ht="32.25">
      <c r="M24" s="304">
        <v>20</v>
      </c>
      <c r="N24" s="308" t="s">
        <v>229</v>
      </c>
      <c r="O24" s="312" t="str" cm="1">
        <f t="array" ref="O24">INDEX(韻母對照表, (($M24-1)*2 +1), $O$1)</f>
        <v>ua</v>
      </c>
      <c r="P24" s="312" t="str" cm="1">
        <f t="array" ref="P24">INDEX(韻母對照表, (($M24-1)*2 +2), $O$1)</f>
        <v>uah</v>
      </c>
      <c r="Q24" s="308" t="s">
        <v>989</v>
      </c>
      <c r="R24" s="313" t="str">
        <f t="shared" si="4"/>
        <v>ūa</v>
      </c>
      <c r="S24" s="313" t="str">
        <f t="shared" si="4"/>
        <v>úa</v>
      </c>
      <c r="T24" s="313" t="str">
        <f t="shared" si="4"/>
        <v>ǔa</v>
      </c>
      <c r="U24" s="314" t="str">
        <f t="shared" si="4"/>
        <v>ǔah</v>
      </c>
      <c r="V24" s="313" t="str">
        <f t="shared" si="4"/>
        <v>ùa</v>
      </c>
      <c r="W24" s="313" t="str">
        <f t="shared" si="4"/>
        <v>ûa</v>
      </c>
      <c r="X24" s="313" t="str">
        <f t="shared" si="4"/>
        <v>ūa</v>
      </c>
      <c r="Y24" s="314" t="str">
        <f t="shared" si="4"/>
        <v>úah</v>
      </c>
      <c r="AA24" s="301">
        <f t="shared" si="5"/>
        <v>1</v>
      </c>
      <c r="AB24" s="301">
        <f t="shared" si="2"/>
        <v>6</v>
      </c>
      <c r="AC24" s="301" t="str">
        <f t="shared" si="6"/>
        <v>ū</v>
      </c>
      <c r="AD24" s="301" t="str">
        <f t="shared" si="6"/>
        <v>ú</v>
      </c>
      <c r="AE24" s="301" t="str">
        <f t="shared" si="6"/>
        <v>ǔ</v>
      </c>
      <c r="AF24" s="301" t="str">
        <f t="shared" si="6"/>
        <v>ǔ</v>
      </c>
      <c r="AG24" s="301" t="str">
        <f t="shared" si="6"/>
        <v>ù</v>
      </c>
      <c r="AH24" s="301" t="str">
        <f t="shared" si="6"/>
        <v>û</v>
      </c>
      <c r="AI24" s="301" t="str">
        <f t="shared" si="6"/>
        <v>ū</v>
      </c>
      <c r="AJ24" s="301" t="str">
        <f t="shared" si="6"/>
        <v>ú</v>
      </c>
    </row>
    <row r="25" spans="13:36" ht="32.25">
      <c r="M25" s="304">
        <v>21</v>
      </c>
      <c r="N25" s="308" t="s">
        <v>171</v>
      </c>
      <c r="O25" s="312" t="str" cm="1">
        <f t="array" ref="O25">INDEX(韻母對照表, (($M25-1)*2 +1), $O$1)</f>
        <v>ang</v>
      </c>
      <c r="P25" s="312" t="str" cm="1">
        <f t="array" ref="P25">INDEX(韻母對照表, (($M25-1)*2 +2), $O$1)</f>
        <v>ak</v>
      </c>
      <c r="Q25" s="308" t="s">
        <v>139</v>
      </c>
      <c r="R25" s="313" t="str">
        <f t="shared" si="4"/>
        <v>āng</v>
      </c>
      <c r="S25" s="313" t="str">
        <f t="shared" si="4"/>
        <v>áng</v>
      </c>
      <c r="T25" s="313" t="str">
        <f t="shared" si="4"/>
        <v>ǎng</v>
      </c>
      <c r="U25" s="314" t="str">
        <f t="shared" si="4"/>
        <v>ǎk</v>
      </c>
      <c r="V25" s="313" t="str">
        <f t="shared" si="4"/>
        <v>àng</v>
      </c>
      <c r="W25" s="313" t="str">
        <f t="shared" si="4"/>
        <v>âng</v>
      </c>
      <c r="X25" s="313" t="str">
        <f t="shared" si="4"/>
        <v>āng</v>
      </c>
      <c r="Y25" s="314" t="str">
        <f t="shared" si="4"/>
        <v>ák</v>
      </c>
      <c r="AA25" s="301">
        <f t="shared" si="5"/>
        <v>1</v>
      </c>
      <c r="AB25" s="301">
        <f t="shared" si="2"/>
        <v>1</v>
      </c>
      <c r="AC25" s="301" t="str">
        <f t="shared" ref="AC25:AJ34" si="7">INDEX($D$5:$K$12, $AB25, AC$4)</f>
        <v>ā</v>
      </c>
      <c r="AD25" s="301" t="str">
        <f t="shared" si="7"/>
        <v>á</v>
      </c>
      <c r="AE25" s="301" t="str">
        <f t="shared" si="7"/>
        <v>ǎ</v>
      </c>
      <c r="AF25" s="301" t="str">
        <f t="shared" si="7"/>
        <v>ǎ</v>
      </c>
      <c r="AG25" s="301" t="str">
        <f t="shared" si="7"/>
        <v>à</v>
      </c>
      <c r="AH25" s="301" t="str">
        <f t="shared" si="7"/>
        <v>â</v>
      </c>
      <c r="AI25" s="301" t="str">
        <f t="shared" si="7"/>
        <v>ā</v>
      </c>
      <c r="AJ25" s="301" t="str">
        <f t="shared" si="7"/>
        <v>á</v>
      </c>
    </row>
    <row r="26" spans="13:36" ht="32.25">
      <c r="M26" s="304">
        <v>22</v>
      </c>
      <c r="N26" s="308" t="s">
        <v>220</v>
      </c>
      <c r="O26" s="312" t="str" cm="1">
        <f t="array" ref="O26">INDEX(韻母對照表, (($M26-1)*2 +1), $O$1)</f>
        <v>iam</v>
      </c>
      <c r="P26" s="312" t="str" cm="1">
        <f t="array" ref="P26">INDEX(韻母對照表, (($M26-1)*2 +2), $O$1)</f>
        <v>iap</v>
      </c>
      <c r="Q26" s="308" t="s">
        <v>139</v>
      </c>
      <c r="R26" s="313" t="str">
        <f t="shared" si="4"/>
        <v>iām</v>
      </c>
      <c r="S26" s="313" t="str">
        <f t="shared" si="4"/>
        <v>iám</v>
      </c>
      <c r="T26" s="313" t="str">
        <f t="shared" si="4"/>
        <v>iǎm</v>
      </c>
      <c r="U26" s="314" t="str">
        <f t="shared" si="4"/>
        <v>iǎp</v>
      </c>
      <c r="V26" s="313" t="str">
        <f t="shared" si="4"/>
        <v>iàm</v>
      </c>
      <c r="W26" s="313" t="str">
        <f t="shared" si="4"/>
        <v>iâm</v>
      </c>
      <c r="X26" s="313" t="str">
        <f t="shared" si="4"/>
        <v>iām</v>
      </c>
      <c r="Y26" s="314" t="str">
        <f t="shared" si="4"/>
        <v>iáp</v>
      </c>
      <c r="AA26" s="301">
        <f t="shared" si="5"/>
        <v>2</v>
      </c>
      <c r="AB26" s="301">
        <f t="shared" si="2"/>
        <v>1</v>
      </c>
      <c r="AC26" s="301" t="str">
        <f t="shared" si="7"/>
        <v>ā</v>
      </c>
      <c r="AD26" s="301" t="str">
        <f t="shared" si="7"/>
        <v>á</v>
      </c>
      <c r="AE26" s="301" t="str">
        <f t="shared" si="7"/>
        <v>ǎ</v>
      </c>
      <c r="AF26" s="301" t="str">
        <f t="shared" si="7"/>
        <v>ǎ</v>
      </c>
      <c r="AG26" s="301" t="str">
        <f t="shared" si="7"/>
        <v>à</v>
      </c>
      <c r="AH26" s="301" t="str">
        <f t="shared" si="7"/>
        <v>â</v>
      </c>
      <c r="AI26" s="301" t="str">
        <f t="shared" si="7"/>
        <v>ā</v>
      </c>
      <c r="AJ26" s="301" t="str">
        <f t="shared" si="7"/>
        <v>á</v>
      </c>
    </row>
    <row r="27" spans="13:36" ht="32.25">
      <c r="M27" s="304">
        <v>23</v>
      </c>
      <c r="N27" s="308" t="s">
        <v>177</v>
      </c>
      <c r="O27" s="312" t="str" cm="1">
        <f t="array" ref="O27">INDEX(韻母對照表, (($M27-1)*2 +1), $O$1)</f>
        <v>ao</v>
      </c>
      <c r="P27" s="312" t="str" cm="1">
        <f t="array" ref="P27">INDEX(韻母對照表, (($M27-1)*2 +2), $O$1)</f>
        <v>aoh</v>
      </c>
      <c r="Q27" s="308" t="s">
        <v>139</v>
      </c>
      <c r="R27" s="313" t="str">
        <f t="shared" si="4"/>
        <v>āo</v>
      </c>
      <c r="S27" s="313" t="str">
        <f t="shared" si="4"/>
        <v>áo</v>
      </c>
      <c r="T27" s="313" t="str">
        <f t="shared" si="4"/>
        <v>ǎo</v>
      </c>
      <c r="U27" s="314" t="str">
        <f t="shared" si="4"/>
        <v>ǎoh</v>
      </c>
      <c r="V27" s="313" t="str">
        <f t="shared" si="4"/>
        <v>ào</v>
      </c>
      <c r="W27" s="313" t="str">
        <f t="shared" si="4"/>
        <v>âo</v>
      </c>
      <c r="X27" s="313" t="str">
        <f t="shared" si="4"/>
        <v>āo</v>
      </c>
      <c r="Y27" s="314" t="str">
        <f t="shared" si="4"/>
        <v>áoh</v>
      </c>
      <c r="AA27" s="301">
        <f t="shared" si="5"/>
        <v>1</v>
      </c>
      <c r="AB27" s="301">
        <f t="shared" si="2"/>
        <v>1</v>
      </c>
      <c r="AC27" s="301" t="str">
        <f t="shared" si="7"/>
        <v>ā</v>
      </c>
      <c r="AD27" s="301" t="str">
        <f t="shared" si="7"/>
        <v>á</v>
      </c>
      <c r="AE27" s="301" t="str">
        <f t="shared" si="7"/>
        <v>ǎ</v>
      </c>
      <c r="AF27" s="301" t="str">
        <f t="shared" si="7"/>
        <v>ǎ</v>
      </c>
      <c r="AG27" s="301" t="str">
        <f t="shared" si="7"/>
        <v>à</v>
      </c>
      <c r="AH27" s="301" t="str">
        <f t="shared" si="7"/>
        <v>â</v>
      </c>
      <c r="AI27" s="301" t="str">
        <f t="shared" si="7"/>
        <v>ā</v>
      </c>
      <c r="AJ27" s="301" t="str">
        <f t="shared" si="7"/>
        <v>á</v>
      </c>
    </row>
    <row r="28" spans="13:36" ht="32.25">
      <c r="M28" s="304">
        <v>24</v>
      </c>
      <c r="N28" s="308" t="s">
        <v>211</v>
      </c>
      <c r="O28" s="312" t="str" cm="1">
        <f t="array" ref="O28">INDEX(韻母對照表, (($M28-1)*2 +1), $O$1)</f>
        <v>ia</v>
      </c>
      <c r="P28" s="312" t="str" cm="1">
        <f t="array" ref="P28">INDEX(韻母對照表, (($M28-1)*2 +2), $O$1)</f>
        <v>iah</v>
      </c>
      <c r="Q28" s="308" t="s">
        <v>139</v>
      </c>
      <c r="R28" s="313" t="str">
        <f t="shared" si="4"/>
        <v>iā</v>
      </c>
      <c r="S28" s="313" t="str">
        <f t="shared" si="4"/>
        <v>iá</v>
      </c>
      <c r="T28" s="313" t="str">
        <f t="shared" si="4"/>
        <v>iǎ</v>
      </c>
      <c r="U28" s="314" t="str">
        <f t="shared" si="4"/>
        <v>iǎh</v>
      </c>
      <c r="V28" s="313" t="str">
        <f t="shared" si="4"/>
        <v>ià</v>
      </c>
      <c r="W28" s="313" t="str">
        <f t="shared" si="4"/>
        <v>iâ</v>
      </c>
      <c r="X28" s="313" t="str">
        <f t="shared" si="4"/>
        <v>iā</v>
      </c>
      <c r="Y28" s="314" t="str">
        <f t="shared" si="4"/>
        <v>iáh</v>
      </c>
      <c r="AA28" s="301">
        <f t="shared" si="5"/>
        <v>2</v>
      </c>
      <c r="AB28" s="301">
        <f t="shared" si="2"/>
        <v>1</v>
      </c>
      <c r="AC28" s="301" t="str">
        <f t="shared" si="7"/>
        <v>ā</v>
      </c>
      <c r="AD28" s="301" t="str">
        <f t="shared" si="7"/>
        <v>á</v>
      </c>
      <c r="AE28" s="301" t="str">
        <f t="shared" si="7"/>
        <v>ǎ</v>
      </c>
      <c r="AF28" s="301" t="str">
        <f t="shared" si="7"/>
        <v>ǎ</v>
      </c>
      <c r="AG28" s="301" t="str">
        <f t="shared" si="7"/>
        <v>à</v>
      </c>
      <c r="AH28" s="301" t="str">
        <f t="shared" si="7"/>
        <v>â</v>
      </c>
      <c r="AI28" s="301" t="str">
        <f t="shared" si="7"/>
        <v>ā</v>
      </c>
      <c r="AJ28" s="301" t="str">
        <f t="shared" si="7"/>
        <v>á</v>
      </c>
    </row>
    <row r="29" spans="13:36" ht="32.25">
      <c r="M29" s="304">
        <v>25</v>
      </c>
      <c r="N29" s="308" t="s">
        <v>238</v>
      </c>
      <c r="O29" s="312" t="str" cm="1">
        <f t="array" ref="O29">INDEX(韻母對照表, (($M29-1)*2 +1), $O$1)</f>
        <v>ue</v>
      </c>
      <c r="P29" s="312" t="str" cm="1">
        <f t="array" ref="P29">INDEX(韻母對照表, (($M29-1)*2 +2), $O$1)</f>
        <v>ueh</v>
      </c>
      <c r="Q29" s="308" t="s">
        <v>989</v>
      </c>
      <c r="R29" s="313" t="str">
        <f t="shared" si="4"/>
        <v>ūe</v>
      </c>
      <c r="S29" s="313" t="str">
        <f t="shared" si="4"/>
        <v>úe</v>
      </c>
      <c r="T29" s="313" t="str">
        <f t="shared" si="4"/>
        <v>ǔe</v>
      </c>
      <c r="U29" s="314" t="str">
        <f t="shared" si="4"/>
        <v>ǔeh</v>
      </c>
      <c r="V29" s="313" t="str">
        <f t="shared" si="4"/>
        <v>ùe</v>
      </c>
      <c r="W29" s="313" t="str">
        <f t="shared" si="4"/>
        <v>ûe</v>
      </c>
      <c r="X29" s="313" t="str">
        <f t="shared" si="4"/>
        <v>ūe</v>
      </c>
      <c r="Y29" s="314" t="str">
        <f t="shared" si="4"/>
        <v>úeh</v>
      </c>
      <c r="AA29" s="301">
        <f t="shared" si="5"/>
        <v>1</v>
      </c>
      <c r="AB29" s="301">
        <f t="shared" si="2"/>
        <v>6</v>
      </c>
      <c r="AC29" s="301" t="str">
        <f t="shared" si="7"/>
        <v>ū</v>
      </c>
      <c r="AD29" s="301" t="str">
        <f t="shared" si="7"/>
        <v>ú</v>
      </c>
      <c r="AE29" s="301" t="str">
        <f t="shared" si="7"/>
        <v>ǔ</v>
      </c>
      <c r="AF29" s="301" t="str">
        <f t="shared" si="7"/>
        <v>ǔ</v>
      </c>
      <c r="AG29" s="301" t="str">
        <f t="shared" si="7"/>
        <v>ù</v>
      </c>
      <c r="AH29" s="301" t="str">
        <f t="shared" si="7"/>
        <v>û</v>
      </c>
      <c r="AI29" s="301" t="str">
        <f t="shared" si="7"/>
        <v>ū</v>
      </c>
      <c r="AJ29" s="301" t="str">
        <f t="shared" si="7"/>
        <v>ú</v>
      </c>
    </row>
    <row r="30" spans="13:36" ht="32.25">
      <c r="M30" s="304">
        <v>26</v>
      </c>
      <c r="N30" s="308" t="s">
        <v>144</v>
      </c>
      <c r="O30" s="312" t="str" cm="1">
        <f t="array" ref="O30">INDEX(韻母對照表, (($M30-1)*2 +1), $O$1)</f>
        <v>na</v>
      </c>
      <c r="P30" s="312" t="str" cm="1">
        <f t="array" ref="P30">INDEX(韻母對照表, (($M30-1)*2 +2), $O$1)</f>
        <v>nah</v>
      </c>
      <c r="Q30" s="308" t="s">
        <v>139</v>
      </c>
      <c r="R30" s="313" t="str">
        <f t="shared" si="4"/>
        <v>nā</v>
      </c>
      <c r="S30" s="313" t="str">
        <f t="shared" si="4"/>
        <v>ná</v>
      </c>
      <c r="T30" s="313" t="str">
        <f t="shared" si="4"/>
        <v>nǎ</v>
      </c>
      <c r="U30" s="314" t="str">
        <f t="shared" si="4"/>
        <v>nǎh</v>
      </c>
      <c r="V30" s="313" t="str">
        <f t="shared" si="4"/>
        <v>nà</v>
      </c>
      <c r="W30" s="313" t="str">
        <f t="shared" si="4"/>
        <v>nâ</v>
      </c>
      <c r="X30" s="313" t="str">
        <f t="shared" si="4"/>
        <v>nā</v>
      </c>
      <c r="Y30" s="314" t="str">
        <f t="shared" si="4"/>
        <v>náh</v>
      </c>
      <c r="AA30" s="301">
        <f t="shared" si="5"/>
        <v>2</v>
      </c>
      <c r="AB30" s="301">
        <f t="shared" si="2"/>
        <v>1</v>
      </c>
      <c r="AC30" s="301" t="str">
        <f t="shared" si="7"/>
        <v>ā</v>
      </c>
      <c r="AD30" s="301" t="str">
        <f t="shared" si="7"/>
        <v>á</v>
      </c>
      <c r="AE30" s="301" t="str">
        <f t="shared" si="7"/>
        <v>ǎ</v>
      </c>
      <c r="AF30" s="301" t="str">
        <f t="shared" si="7"/>
        <v>ǎ</v>
      </c>
      <c r="AG30" s="301" t="str">
        <f t="shared" si="7"/>
        <v>à</v>
      </c>
      <c r="AH30" s="301" t="str">
        <f t="shared" si="7"/>
        <v>â</v>
      </c>
      <c r="AI30" s="301" t="str">
        <f t="shared" si="7"/>
        <v>ā</v>
      </c>
      <c r="AJ30" s="301" t="str">
        <f t="shared" si="7"/>
        <v>á</v>
      </c>
    </row>
    <row r="31" spans="13:36" ht="32.25">
      <c r="M31" s="304">
        <v>27</v>
      </c>
      <c r="N31" s="308" t="s">
        <v>275</v>
      </c>
      <c r="O31" s="312" t="str" cm="1">
        <f t="array" ref="O31">INDEX(韻母對照表, (($M31-1)*2 +1), $O$1)</f>
        <v>u</v>
      </c>
      <c r="P31" s="312" t="str" cm="1">
        <f t="array" ref="P31">INDEX(韻母對照表, (($M31-1)*2 +2), $O$1)</f>
        <v>uh</v>
      </c>
      <c r="Q31" s="308" t="s">
        <v>245</v>
      </c>
      <c r="R31" s="313" t="str">
        <f t="shared" si="4"/>
        <v>ū</v>
      </c>
      <c r="S31" s="313" t="str">
        <f t="shared" si="4"/>
        <v>ú</v>
      </c>
      <c r="T31" s="313" t="str">
        <f t="shared" si="4"/>
        <v>ǔ</v>
      </c>
      <c r="U31" s="314" t="str">
        <f t="shared" si="4"/>
        <v>ǔh</v>
      </c>
      <c r="V31" s="313" t="str">
        <f t="shared" si="4"/>
        <v>ù</v>
      </c>
      <c r="W31" s="313" t="str">
        <f t="shared" si="4"/>
        <v>û</v>
      </c>
      <c r="X31" s="313" t="str">
        <f t="shared" si="4"/>
        <v>ū</v>
      </c>
      <c r="Y31" s="314" t="str">
        <f t="shared" si="4"/>
        <v>úh</v>
      </c>
      <c r="AA31" s="301">
        <f t="shared" si="5"/>
        <v>1</v>
      </c>
      <c r="AB31" s="301">
        <f t="shared" si="2"/>
        <v>6</v>
      </c>
      <c r="AC31" s="301" t="str">
        <f t="shared" si="7"/>
        <v>ū</v>
      </c>
      <c r="AD31" s="301" t="str">
        <f t="shared" si="7"/>
        <v>ú</v>
      </c>
      <c r="AE31" s="301" t="str">
        <f t="shared" si="7"/>
        <v>ǔ</v>
      </c>
      <c r="AF31" s="301" t="str">
        <f t="shared" si="7"/>
        <v>ǔ</v>
      </c>
      <c r="AG31" s="301" t="str">
        <f t="shared" si="7"/>
        <v>ù</v>
      </c>
      <c r="AH31" s="301" t="str">
        <f t="shared" si="7"/>
        <v>û</v>
      </c>
      <c r="AI31" s="301" t="str">
        <f t="shared" si="7"/>
        <v>ū</v>
      </c>
      <c r="AJ31" s="301" t="str">
        <f t="shared" si="7"/>
        <v>ú</v>
      </c>
    </row>
    <row r="32" spans="13:36" ht="32.25">
      <c r="M32" s="304">
        <v>28</v>
      </c>
      <c r="N32" s="308" t="s">
        <v>138</v>
      </c>
      <c r="O32" s="312" t="str" cm="1">
        <f t="array" ref="O32">INDEX(韻母對照表, (($M32-1)*2 +1), $O$1)</f>
        <v>a</v>
      </c>
      <c r="P32" s="312" t="str" cm="1">
        <f t="array" ref="P32">INDEX(韻母對照表, (($M32-1)*2 +2), $O$1)</f>
        <v>ah</v>
      </c>
      <c r="Q32" s="308" t="s">
        <v>139</v>
      </c>
      <c r="R32" s="313" t="str">
        <f t="shared" si="4"/>
        <v>ā</v>
      </c>
      <c r="S32" s="313" t="str">
        <f t="shared" si="4"/>
        <v>á</v>
      </c>
      <c r="T32" s="313" t="str">
        <f t="shared" si="4"/>
        <v>ǎ</v>
      </c>
      <c r="U32" s="314" t="str">
        <f t="shared" si="4"/>
        <v>ǎh</v>
      </c>
      <c r="V32" s="313" t="str">
        <f t="shared" si="4"/>
        <v>à</v>
      </c>
      <c r="W32" s="313" t="str">
        <f t="shared" si="4"/>
        <v>â</v>
      </c>
      <c r="X32" s="313" t="str">
        <f t="shared" si="4"/>
        <v>ā</v>
      </c>
      <c r="Y32" s="314" t="str">
        <f t="shared" si="4"/>
        <v>áh</v>
      </c>
      <c r="AA32" s="301">
        <f t="shared" si="5"/>
        <v>1</v>
      </c>
      <c r="AB32" s="301">
        <f t="shared" si="2"/>
        <v>1</v>
      </c>
      <c r="AC32" s="301" t="str">
        <f t="shared" si="7"/>
        <v>ā</v>
      </c>
      <c r="AD32" s="301" t="str">
        <f t="shared" si="7"/>
        <v>á</v>
      </c>
      <c r="AE32" s="301" t="str">
        <f t="shared" si="7"/>
        <v>ǎ</v>
      </c>
      <c r="AF32" s="301" t="str">
        <f t="shared" si="7"/>
        <v>ǎ</v>
      </c>
      <c r="AG32" s="301" t="str">
        <f t="shared" si="7"/>
        <v>à</v>
      </c>
      <c r="AH32" s="301" t="str">
        <f t="shared" si="7"/>
        <v>â</v>
      </c>
      <c r="AI32" s="301" t="str">
        <f t="shared" si="7"/>
        <v>ā</v>
      </c>
      <c r="AJ32" s="301" t="str">
        <f t="shared" si="7"/>
        <v>á</v>
      </c>
    </row>
    <row r="33" spans="13:36" ht="32.25">
      <c r="M33" s="304">
        <v>29</v>
      </c>
      <c r="N33" s="308" t="s">
        <v>199</v>
      </c>
      <c r="O33" s="312" t="str" cm="1">
        <f t="array" ref="O33">INDEX(韻母對照表, (($M33-1)*2 +1), $O$1)</f>
        <v>i</v>
      </c>
      <c r="P33" s="312" t="str" cm="1">
        <f t="array" ref="P33">INDEX(韻母對照表, (($M33-1)*2 +2), $O$1)</f>
        <v>ih</v>
      </c>
      <c r="Q33" s="308" t="s">
        <v>200</v>
      </c>
      <c r="R33" s="313" t="str">
        <f t="shared" si="4"/>
        <v>ī</v>
      </c>
      <c r="S33" s="313" t="str">
        <f t="shared" si="4"/>
        <v>í</v>
      </c>
      <c r="T33" s="313" t="str">
        <f t="shared" si="4"/>
        <v>ǐ</v>
      </c>
      <c r="U33" s="314" t="str">
        <f t="shared" si="4"/>
        <v>ǐh</v>
      </c>
      <c r="V33" s="313" t="str">
        <f t="shared" si="4"/>
        <v>ì</v>
      </c>
      <c r="W33" s="313" t="str">
        <f t="shared" si="4"/>
        <v>î</v>
      </c>
      <c r="X33" s="313" t="str">
        <f t="shared" si="4"/>
        <v>ī</v>
      </c>
      <c r="Y33" s="314" t="str">
        <f t="shared" si="4"/>
        <v>íh</v>
      </c>
      <c r="AA33" s="301">
        <f t="shared" si="5"/>
        <v>1</v>
      </c>
      <c r="AB33" s="301">
        <f t="shared" si="2"/>
        <v>3</v>
      </c>
      <c r="AC33" s="301" t="str">
        <f t="shared" si="7"/>
        <v>ī</v>
      </c>
      <c r="AD33" s="301" t="str">
        <f t="shared" si="7"/>
        <v>í</v>
      </c>
      <c r="AE33" s="301" t="str">
        <f t="shared" si="7"/>
        <v>ǐ</v>
      </c>
      <c r="AF33" s="301" t="str">
        <f t="shared" si="7"/>
        <v>ǐ</v>
      </c>
      <c r="AG33" s="301" t="str">
        <f t="shared" si="7"/>
        <v>ì</v>
      </c>
      <c r="AH33" s="301" t="str">
        <f t="shared" si="7"/>
        <v>î</v>
      </c>
      <c r="AI33" s="301" t="str">
        <f t="shared" si="7"/>
        <v>ī</v>
      </c>
      <c r="AJ33" s="301" t="str">
        <f t="shared" si="7"/>
        <v>í</v>
      </c>
    </row>
    <row r="34" spans="13:36" ht="32.25">
      <c r="M34" s="304">
        <v>30</v>
      </c>
      <c r="N34" s="308" t="s">
        <v>241</v>
      </c>
      <c r="O34" s="312" t="str" cm="1">
        <f t="array" ref="O34">INDEX(韻母對照表, (($M34-1)*2 +1), $O$1)</f>
        <v>iu</v>
      </c>
      <c r="P34" s="312" t="str" cm="1">
        <f t="array" ref="P34">INDEX(韻母對照表, (($M34-1)*2 +2), $O$1)</f>
        <v>iuh</v>
      </c>
      <c r="Q34" s="308" t="s">
        <v>245</v>
      </c>
      <c r="R34" s="313" t="str">
        <f t="shared" si="4"/>
        <v>iū</v>
      </c>
      <c r="S34" s="313" t="str">
        <f t="shared" si="4"/>
        <v>iú</v>
      </c>
      <c r="T34" s="313" t="str">
        <f t="shared" si="4"/>
        <v>iǔ</v>
      </c>
      <c r="U34" s="314" t="str">
        <f t="shared" si="4"/>
        <v>iǔh</v>
      </c>
      <c r="V34" s="313" t="str">
        <f t="shared" si="4"/>
        <v>iù</v>
      </c>
      <c r="W34" s="313" t="str">
        <f t="shared" si="4"/>
        <v>iû</v>
      </c>
      <c r="X34" s="313" t="str">
        <f t="shared" si="4"/>
        <v>iū</v>
      </c>
      <c r="Y34" s="314" t="str">
        <f t="shared" si="4"/>
        <v>iúh</v>
      </c>
      <c r="AA34" s="301">
        <f t="shared" si="5"/>
        <v>2</v>
      </c>
      <c r="AB34" s="301">
        <f t="shared" si="2"/>
        <v>6</v>
      </c>
      <c r="AC34" s="301" t="str">
        <f t="shared" si="7"/>
        <v>ū</v>
      </c>
      <c r="AD34" s="301" t="str">
        <f t="shared" si="7"/>
        <v>ú</v>
      </c>
      <c r="AE34" s="301" t="str">
        <f t="shared" si="7"/>
        <v>ǔ</v>
      </c>
      <c r="AF34" s="301" t="str">
        <f t="shared" si="7"/>
        <v>ǔ</v>
      </c>
      <c r="AG34" s="301" t="str">
        <f t="shared" si="7"/>
        <v>ù</v>
      </c>
      <c r="AH34" s="301" t="str">
        <f t="shared" si="7"/>
        <v>û</v>
      </c>
      <c r="AI34" s="301" t="str">
        <f t="shared" si="7"/>
        <v>ū</v>
      </c>
      <c r="AJ34" s="301" t="str">
        <f t="shared" si="7"/>
        <v>ú</v>
      </c>
    </row>
    <row r="35" spans="13:36" ht="32.25">
      <c r="M35" s="304">
        <v>31</v>
      </c>
      <c r="N35" s="308" t="s">
        <v>193</v>
      </c>
      <c r="O35" s="312" t="str" cm="1">
        <f t="array" ref="O35">INDEX(韻母對照表, (($M35-1)*2 +1), $O$1)</f>
        <v>ne</v>
      </c>
      <c r="P35" s="312" t="str" cm="1">
        <f t="array" ref="P35">INDEX(韻母對照表, (($M35-1)*2 +2), $O$1)</f>
        <v>neh</v>
      </c>
      <c r="Q35" s="308" t="s">
        <v>160</v>
      </c>
      <c r="R35" s="313" t="str">
        <f t="shared" si="4"/>
        <v>nē</v>
      </c>
      <c r="S35" s="313" t="str">
        <f t="shared" si="4"/>
        <v>né</v>
      </c>
      <c r="T35" s="313" t="str">
        <f t="shared" si="4"/>
        <v>ně</v>
      </c>
      <c r="U35" s="314" t="str">
        <f t="shared" si="4"/>
        <v>něh</v>
      </c>
      <c r="V35" s="313" t="str">
        <f t="shared" si="4"/>
        <v>nè</v>
      </c>
      <c r="W35" s="313" t="str">
        <f t="shared" si="4"/>
        <v>nê</v>
      </c>
      <c r="X35" s="313" t="str">
        <f t="shared" si="4"/>
        <v>nē</v>
      </c>
      <c r="Y35" s="314" t="str">
        <f t="shared" si="4"/>
        <v>néh</v>
      </c>
      <c r="AA35" s="301">
        <f t="shared" si="5"/>
        <v>2</v>
      </c>
      <c r="AB35" s="301">
        <f t="shared" si="2"/>
        <v>2</v>
      </c>
      <c r="AC35" s="301" t="str">
        <f t="shared" ref="AC35:AJ44" si="8">INDEX($D$5:$K$12, $AB35, AC$4)</f>
        <v>ē</v>
      </c>
      <c r="AD35" s="301" t="str">
        <f t="shared" si="8"/>
        <v>é</v>
      </c>
      <c r="AE35" s="301" t="str">
        <f t="shared" si="8"/>
        <v>ě</v>
      </c>
      <c r="AF35" s="301" t="str">
        <f t="shared" si="8"/>
        <v>ě</v>
      </c>
      <c r="AG35" s="301" t="str">
        <f t="shared" si="8"/>
        <v>è</v>
      </c>
      <c r="AH35" s="301" t="str">
        <f t="shared" si="8"/>
        <v>ê</v>
      </c>
      <c r="AI35" s="301" t="str">
        <f t="shared" si="8"/>
        <v>ē</v>
      </c>
      <c r="AJ35" s="301" t="str">
        <f t="shared" si="8"/>
        <v>é</v>
      </c>
    </row>
    <row r="36" spans="13:36" ht="32.25">
      <c r="M36" s="304">
        <v>32</v>
      </c>
      <c r="N36" s="308" t="s">
        <v>253</v>
      </c>
      <c r="O36" s="312" t="str" cm="1">
        <f t="array" ref="O36">INDEX(韻母對照表, (($M36-1)*2 +1), $O$1)</f>
        <v>nui</v>
      </c>
      <c r="P36" s="312" t="str" cm="1">
        <f t="array" ref="P36">INDEX(韻母對照表, (($M36-1)*2 +2), $O$1)</f>
        <v>nuih</v>
      </c>
      <c r="Q36" s="308" t="s">
        <v>245</v>
      </c>
      <c r="R36" s="313" t="str">
        <f t="shared" si="4"/>
        <v>nūi</v>
      </c>
      <c r="S36" s="313" t="str">
        <f t="shared" si="4"/>
        <v>núi</v>
      </c>
      <c r="T36" s="313" t="str">
        <f t="shared" si="4"/>
        <v>nǔi</v>
      </c>
      <c r="U36" s="314" t="str">
        <f t="shared" si="4"/>
        <v>nǔih</v>
      </c>
      <c r="V36" s="313" t="str">
        <f t="shared" si="4"/>
        <v>nùi</v>
      </c>
      <c r="W36" s="313" t="str">
        <f t="shared" si="4"/>
        <v>nûi</v>
      </c>
      <c r="X36" s="313" t="str">
        <f t="shared" si="4"/>
        <v>nūi</v>
      </c>
      <c r="Y36" s="314" t="str">
        <f t="shared" si="4"/>
        <v>núih</v>
      </c>
      <c r="AA36" s="301">
        <f t="shared" si="5"/>
        <v>2</v>
      </c>
      <c r="AB36" s="301">
        <f t="shared" si="2"/>
        <v>6</v>
      </c>
      <c r="AC36" s="301" t="str">
        <f t="shared" si="8"/>
        <v>ū</v>
      </c>
      <c r="AD36" s="301" t="str">
        <f t="shared" si="8"/>
        <v>ú</v>
      </c>
      <c r="AE36" s="301" t="str">
        <f t="shared" si="8"/>
        <v>ǔ</v>
      </c>
      <c r="AF36" s="301" t="str">
        <f t="shared" si="8"/>
        <v>ǔ</v>
      </c>
      <c r="AG36" s="301" t="str">
        <f t="shared" si="8"/>
        <v>ù</v>
      </c>
      <c r="AH36" s="301" t="str">
        <f t="shared" si="8"/>
        <v>û</v>
      </c>
      <c r="AI36" s="301" t="str">
        <f t="shared" si="8"/>
        <v>ū</v>
      </c>
      <c r="AJ36" s="301" t="str">
        <f t="shared" si="8"/>
        <v>ú</v>
      </c>
    </row>
    <row r="37" spans="13:36" ht="32.25">
      <c r="M37" s="304">
        <v>33</v>
      </c>
      <c r="N37" s="308" t="s">
        <v>235</v>
      </c>
      <c r="O37" s="312" t="str" cm="1">
        <f t="array" ref="O37">INDEX(韻母對照表, (($M37-1)*2 +1), $O$1)</f>
        <v>io</v>
      </c>
      <c r="P37" s="312" t="str" cm="1">
        <f t="array" ref="P37">INDEX(韻母對照表, (($M37-1)*2 +2), $O$1)</f>
        <v>ioh</v>
      </c>
      <c r="Q37" s="308" t="s">
        <v>215</v>
      </c>
      <c r="R37" s="313" t="str">
        <f t="shared" si="4"/>
        <v>iō</v>
      </c>
      <c r="S37" s="313" t="str">
        <f t="shared" si="4"/>
        <v>ió</v>
      </c>
      <c r="T37" s="313" t="str">
        <f t="shared" si="4"/>
        <v>iǒ</v>
      </c>
      <c r="U37" s="314" t="str">
        <f t="shared" si="4"/>
        <v>iǒh</v>
      </c>
      <c r="V37" s="313" t="str">
        <f t="shared" si="4"/>
        <v>iò</v>
      </c>
      <c r="W37" s="313" t="str">
        <f t="shared" si="4"/>
        <v>iô</v>
      </c>
      <c r="X37" s="313" t="str">
        <f t="shared" si="4"/>
        <v>iō</v>
      </c>
      <c r="Y37" s="314" t="str">
        <f t="shared" si="4"/>
        <v>ióh</v>
      </c>
      <c r="AA37" s="301">
        <f t="shared" si="5"/>
        <v>2</v>
      </c>
      <c r="AB37" s="301">
        <f t="shared" ref="AB37:AB54" si="9">MATCH(Q37, $C$5:$C$12, 0)</f>
        <v>4</v>
      </c>
      <c r="AC37" s="301" t="str">
        <f t="shared" si="8"/>
        <v>ō</v>
      </c>
      <c r="AD37" s="301" t="str">
        <f t="shared" si="8"/>
        <v>ó</v>
      </c>
      <c r="AE37" s="301" t="str">
        <f t="shared" si="8"/>
        <v>ǒ</v>
      </c>
      <c r="AF37" s="301" t="str">
        <f t="shared" si="8"/>
        <v>ǒ</v>
      </c>
      <c r="AG37" s="301" t="str">
        <f t="shared" si="8"/>
        <v>ò</v>
      </c>
      <c r="AH37" s="301" t="str">
        <f t="shared" si="8"/>
        <v>ô</v>
      </c>
      <c r="AI37" s="301" t="str">
        <f t="shared" si="8"/>
        <v>ō</v>
      </c>
      <c r="AJ37" s="301" t="str">
        <f t="shared" si="8"/>
        <v>ó</v>
      </c>
    </row>
    <row r="38" spans="13:36" ht="32.25">
      <c r="M38" s="304">
        <v>34</v>
      </c>
      <c r="N38" s="308" t="s">
        <v>203</v>
      </c>
      <c r="O38" s="312" t="str" cm="1">
        <f t="array" ref="O38">INDEX(韻母對照表, (($M38-1)*2 +1), $O$1)</f>
        <v>ni</v>
      </c>
      <c r="P38" s="312" t="str" cm="1">
        <f t="array" ref="P38">INDEX(韻母對照表, (($M38-1)*2 +2), $O$1)</f>
        <v>nih</v>
      </c>
      <c r="Q38" s="308" t="s">
        <v>200</v>
      </c>
      <c r="R38" s="313" t="str">
        <f t="shared" ref="R38:Y54" si="10" xml:space="preserve"> IF(AND(R$4&lt;&gt;4,R$4&lt;&gt;8),  SUBSTITUTE($O38, $Q38,  INDEX($AC38:$AJ38, 1, R$4)),  SUBSTITUTE($P38, $Q38,  INDEX($AC38:$AJ38, 1, R$4)))</f>
        <v>nī</v>
      </c>
      <c r="S38" s="313" t="str">
        <f t="shared" si="10"/>
        <v>ní</v>
      </c>
      <c r="T38" s="313" t="str">
        <f t="shared" si="10"/>
        <v>nǐ</v>
      </c>
      <c r="U38" s="314" t="str">
        <f t="shared" si="10"/>
        <v>nǐh</v>
      </c>
      <c r="V38" s="313" t="str">
        <f t="shared" si="10"/>
        <v>nì</v>
      </c>
      <c r="W38" s="313" t="str">
        <f t="shared" si="10"/>
        <v>nî</v>
      </c>
      <c r="X38" s="313" t="str">
        <f t="shared" si="10"/>
        <v>nī</v>
      </c>
      <c r="Y38" s="314" t="str">
        <f t="shared" si="10"/>
        <v>níh</v>
      </c>
      <c r="AA38" s="301">
        <f t="shared" si="5"/>
        <v>2</v>
      </c>
      <c r="AB38" s="301">
        <f t="shared" si="9"/>
        <v>3</v>
      </c>
      <c r="AC38" s="301" t="str">
        <f t="shared" si="8"/>
        <v>ī</v>
      </c>
      <c r="AD38" s="301" t="str">
        <f t="shared" si="8"/>
        <v>í</v>
      </c>
      <c r="AE38" s="301" t="str">
        <f t="shared" si="8"/>
        <v>ǐ</v>
      </c>
      <c r="AF38" s="301" t="str">
        <f t="shared" si="8"/>
        <v>ǐ</v>
      </c>
      <c r="AG38" s="301" t="str">
        <f t="shared" si="8"/>
        <v>ì</v>
      </c>
      <c r="AH38" s="301" t="str">
        <f t="shared" si="8"/>
        <v>î</v>
      </c>
      <c r="AI38" s="301" t="str">
        <f t="shared" si="8"/>
        <v>ī</v>
      </c>
      <c r="AJ38" s="301" t="str">
        <f t="shared" si="8"/>
        <v>í</v>
      </c>
    </row>
    <row r="39" spans="13:36" ht="32.25">
      <c r="M39" s="304">
        <v>35</v>
      </c>
      <c r="N39" s="308" t="s">
        <v>247</v>
      </c>
      <c r="O39" s="312" t="str" cm="1">
        <f t="array" ref="O39">INDEX(韻母對照表, (($M39-1)*2 +1), $O$1)</f>
        <v>nioo</v>
      </c>
      <c r="P39" s="312" t="str" cm="1">
        <f t="array" ref="P39">INDEX(韻母對照表, (($M39-1)*2 +2), $O$1)</f>
        <v>niooh</v>
      </c>
      <c r="Q39" s="308" t="s">
        <v>215</v>
      </c>
      <c r="R39" s="313" t="str">
        <f t="shared" si="10"/>
        <v>niōō</v>
      </c>
      <c r="S39" s="313" t="str">
        <f t="shared" si="10"/>
        <v>nióó</v>
      </c>
      <c r="T39" s="313" t="str">
        <f t="shared" si="10"/>
        <v>niǒǒ</v>
      </c>
      <c r="U39" s="314" t="str">
        <f t="shared" si="10"/>
        <v>niǒǒh</v>
      </c>
      <c r="V39" s="313" t="str">
        <f t="shared" si="10"/>
        <v>niòò</v>
      </c>
      <c r="W39" s="313" t="str">
        <f t="shared" si="10"/>
        <v>niôô</v>
      </c>
      <c r="X39" s="313" t="str">
        <f t="shared" si="10"/>
        <v>niōō</v>
      </c>
      <c r="Y39" s="314" t="str">
        <f t="shared" si="10"/>
        <v>nióóh</v>
      </c>
      <c r="AA39" s="301">
        <f t="shared" si="5"/>
        <v>3</v>
      </c>
      <c r="AB39" s="301">
        <f t="shared" si="9"/>
        <v>4</v>
      </c>
      <c r="AC39" s="301" t="str">
        <f t="shared" si="8"/>
        <v>ō</v>
      </c>
      <c r="AD39" s="301" t="str">
        <f t="shared" si="8"/>
        <v>ó</v>
      </c>
      <c r="AE39" s="301" t="str">
        <f t="shared" si="8"/>
        <v>ǒ</v>
      </c>
      <c r="AF39" s="301" t="str">
        <f t="shared" si="8"/>
        <v>ǒ</v>
      </c>
      <c r="AG39" s="301" t="str">
        <f t="shared" si="8"/>
        <v>ò</v>
      </c>
      <c r="AH39" s="301" t="str">
        <f t="shared" si="8"/>
        <v>ô</v>
      </c>
      <c r="AI39" s="301" t="str">
        <f t="shared" si="8"/>
        <v>ō</v>
      </c>
      <c r="AJ39" s="301" t="str">
        <f t="shared" si="8"/>
        <v>ó</v>
      </c>
    </row>
    <row r="40" spans="13:36" ht="32.25">
      <c r="M40" s="304">
        <v>36</v>
      </c>
      <c r="N40" s="308" t="s">
        <v>217</v>
      </c>
      <c r="O40" s="312" t="str" cm="1">
        <f t="array" ref="O40">INDEX(韻母對照表, (($M40-1)*2 +1), $O$1)</f>
        <v>nia</v>
      </c>
      <c r="P40" s="312" t="str" cm="1">
        <f t="array" ref="P40">INDEX(韻母對照表, (($M40-1)*2 +2), $O$1)</f>
        <v>niah</v>
      </c>
      <c r="Q40" s="308" t="s">
        <v>139</v>
      </c>
      <c r="R40" s="313" t="str">
        <f t="shared" si="10"/>
        <v>niā</v>
      </c>
      <c r="S40" s="313" t="str">
        <f t="shared" si="10"/>
        <v>niá</v>
      </c>
      <c r="T40" s="313" t="str">
        <f t="shared" si="10"/>
        <v>niǎ</v>
      </c>
      <c r="U40" s="314" t="str">
        <f t="shared" si="10"/>
        <v>niǎh</v>
      </c>
      <c r="V40" s="313" t="str">
        <f t="shared" si="10"/>
        <v>nià</v>
      </c>
      <c r="W40" s="313" t="str">
        <f t="shared" si="10"/>
        <v>niâ</v>
      </c>
      <c r="X40" s="313" t="str">
        <f t="shared" si="10"/>
        <v>niā</v>
      </c>
      <c r="Y40" s="314" t="str">
        <f t="shared" si="10"/>
        <v>niáh</v>
      </c>
      <c r="AA40" s="301">
        <f t="shared" si="5"/>
        <v>3</v>
      </c>
      <c r="AB40" s="301">
        <f t="shared" si="9"/>
        <v>1</v>
      </c>
      <c r="AC40" s="301" t="str">
        <f t="shared" si="8"/>
        <v>ā</v>
      </c>
      <c r="AD40" s="301" t="str">
        <f t="shared" si="8"/>
        <v>á</v>
      </c>
      <c r="AE40" s="301" t="str">
        <f t="shared" si="8"/>
        <v>ǎ</v>
      </c>
      <c r="AF40" s="301" t="str">
        <f t="shared" si="8"/>
        <v>ǎ</v>
      </c>
      <c r="AG40" s="301" t="str">
        <f t="shared" si="8"/>
        <v>à</v>
      </c>
      <c r="AH40" s="301" t="str">
        <f t="shared" si="8"/>
        <v>â</v>
      </c>
      <c r="AI40" s="301" t="str">
        <f t="shared" si="8"/>
        <v>ā</v>
      </c>
      <c r="AJ40" s="301" t="str">
        <f t="shared" si="8"/>
        <v>á</v>
      </c>
    </row>
    <row r="41" spans="13:36" ht="32.25">
      <c r="M41" s="304">
        <v>37</v>
      </c>
      <c r="N41" s="308" t="s">
        <v>264</v>
      </c>
      <c r="O41" s="312" t="str" cm="1">
        <f t="array" ref="O41">INDEX(韻母對照表, (($M41-1)*2 +1), $O$1)</f>
        <v>nua</v>
      </c>
      <c r="P41" s="312" t="str" cm="1">
        <f t="array" ref="P41">INDEX(韻母對照表, (($M41-1)*2 +2), $O$1)</f>
        <v>nuah</v>
      </c>
      <c r="Q41" s="308" t="s">
        <v>989</v>
      </c>
      <c r="R41" s="313" t="str">
        <f t="shared" si="10"/>
        <v>nūa</v>
      </c>
      <c r="S41" s="313" t="str">
        <f t="shared" si="10"/>
        <v>núa</v>
      </c>
      <c r="T41" s="313" t="str">
        <f t="shared" si="10"/>
        <v>nǔa</v>
      </c>
      <c r="U41" s="314" t="str">
        <f t="shared" si="10"/>
        <v>nǔah</v>
      </c>
      <c r="V41" s="313" t="str">
        <f t="shared" si="10"/>
        <v>nùa</v>
      </c>
      <c r="W41" s="313" t="str">
        <f t="shared" si="10"/>
        <v>nûa</v>
      </c>
      <c r="X41" s="313" t="str">
        <f t="shared" si="10"/>
        <v>nūa</v>
      </c>
      <c r="Y41" s="314" t="str">
        <f t="shared" si="10"/>
        <v>núah</v>
      </c>
      <c r="AA41" s="301">
        <f t="shared" si="5"/>
        <v>2</v>
      </c>
      <c r="AB41" s="301">
        <f t="shared" si="9"/>
        <v>6</v>
      </c>
      <c r="AC41" s="301" t="str">
        <f t="shared" si="8"/>
        <v>ū</v>
      </c>
      <c r="AD41" s="301" t="str">
        <f t="shared" si="8"/>
        <v>ú</v>
      </c>
      <c r="AE41" s="301" t="str">
        <f t="shared" si="8"/>
        <v>ǔ</v>
      </c>
      <c r="AF41" s="301" t="str">
        <f t="shared" si="8"/>
        <v>ǔ</v>
      </c>
      <c r="AG41" s="301" t="str">
        <f t="shared" si="8"/>
        <v>ù</v>
      </c>
      <c r="AH41" s="301" t="str">
        <f t="shared" si="8"/>
        <v>û</v>
      </c>
      <c r="AI41" s="301" t="str">
        <f t="shared" si="8"/>
        <v>ū</v>
      </c>
      <c r="AJ41" s="301" t="str">
        <f t="shared" si="8"/>
        <v>ú</v>
      </c>
    </row>
    <row r="42" spans="13:36" ht="32.25">
      <c r="M42" s="304">
        <v>38</v>
      </c>
      <c r="N42" s="308" t="s">
        <v>260</v>
      </c>
      <c r="O42" s="312" t="str" cm="1">
        <f t="array" ref="O42">INDEX(韻母對照表, (($M42-1)*2 +1), $O$1)</f>
        <v>ng</v>
      </c>
      <c r="P42" s="312" t="str" cm="1">
        <f t="array" ref="P42">INDEX(韻母對照表, (($M42-1)*2 +2), $O$1)</f>
        <v>ngh</v>
      </c>
      <c r="Q42" s="308" t="s">
        <v>48</v>
      </c>
      <c r="R42" s="313" t="str">
        <f t="shared" si="10"/>
        <v>n̄g</v>
      </c>
      <c r="S42" s="313" t="str">
        <f t="shared" si="10"/>
        <v>ńg</v>
      </c>
      <c r="T42" s="313" t="str">
        <f t="shared" si="10"/>
        <v>ňg</v>
      </c>
      <c r="U42" s="314" t="str">
        <f t="shared" si="10"/>
        <v>ňh</v>
      </c>
      <c r="V42" s="313" t="str">
        <f t="shared" si="10"/>
        <v>ǹg</v>
      </c>
      <c r="W42" s="313" t="str">
        <f t="shared" si="10"/>
        <v>n̂g</v>
      </c>
      <c r="X42" s="313" t="str">
        <f t="shared" si="10"/>
        <v>n̄g</v>
      </c>
      <c r="Y42" s="314" t="str">
        <f t="shared" si="10"/>
        <v>ńgh</v>
      </c>
      <c r="AA42" s="301">
        <f t="shared" si="5"/>
        <v>1</v>
      </c>
      <c r="AB42" s="301">
        <f t="shared" si="9"/>
        <v>8</v>
      </c>
      <c r="AC42" s="301" t="str">
        <f t="shared" si="8"/>
        <v>n̄g</v>
      </c>
      <c r="AD42" s="301" t="str">
        <f t="shared" si="8"/>
        <v>ńg</v>
      </c>
      <c r="AE42" s="301" t="str">
        <f t="shared" si="8"/>
        <v>ňg</v>
      </c>
      <c r="AF42" s="301" t="str">
        <f t="shared" si="8"/>
        <v>ň</v>
      </c>
      <c r="AG42" s="301" t="str">
        <f t="shared" si="8"/>
        <v>ǹg</v>
      </c>
      <c r="AH42" s="301" t="str">
        <f t="shared" si="8"/>
        <v>n̂g</v>
      </c>
      <c r="AI42" s="301" t="str">
        <f t="shared" si="8"/>
        <v>n̄g</v>
      </c>
      <c r="AJ42" s="301" t="str">
        <f t="shared" si="8"/>
        <v>ńg</v>
      </c>
    </row>
    <row r="43" spans="13:36" ht="32.25">
      <c r="M43" s="304">
        <v>39</v>
      </c>
      <c r="N43" s="308" t="s">
        <v>189</v>
      </c>
      <c r="O43" s="312" t="str" cm="1">
        <f t="array" ref="O43">INDEX(韻母對照表, (($M43-1)*2 +1), $O$1)</f>
        <v>e</v>
      </c>
      <c r="P43" s="312" t="str" cm="1">
        <f t="array" ref="P43">INDEX(韻母對照表, (($M43-1)*2 +2), $O$1)</f>
        <v>eh</v>
      </c>
      <c r="Q43" s="308" t="s">
        <v>160</v>
      </c>
      <c r="R43" s="313" t="str">
        <f t="shared" si="10"/>
        <v>ē</v>
      </c>
      <c r="S43" s="313" t="str">
        <f t="shared" si="10"/>
        <v>é</v>
      </c>
      <c r="T43" s="313" t="str">
        <f t="shared" si="10"/>
        <v>ě</v>
      </c>
      <c r="U43" s="314" t="str">
        <f t="shared" si="10"/>
        <v>ěh</v>
      </c>
      <c r="V43" s="313" t="str">
        <f t="shared" si="10"/>
        <v>è</v>
      </c>
      <c r="W43" s="313" t="str">
        <f t="shared" si="10"/>
        <v>ê</v>
      </c>
      <c r="X43" s="313" t="str">
        <f t="shared" si="10"/>
        <v>ē</v>
      </c>
      <c r="Y43" s="314" t="str">
        <f t="shared" si="10"/>
        <v>éh</v>
      </c>
      <c r="AA43" s="301">
        <f t="shared" si="5"/>
        <v>1</v>
      </c>
      <c r="AB43" s="301">
        <f t="shared" si="9"/>
        <v>2</v>
      </c>
      <c r="AC43" s="301" t="str">
        <f t="shared" si="8"/>
        <v>ē</v>
      </c>
      <c r="AD43" s="301" t="str">
        <f t="shared" si="8"/>
        <v>é</v>
      </c>
      <c r="AE43" s="301" t="str">
        <f t="shared" si="8"/>
        <v>ě</v>
      </c>
      <c r="AF43" s="301" t="str">
        <f t="shared" si="8"/>
        <v>ě</v>
      </c>
      <c r="AG43" s="301" t="str">
        <f t="shared" si="8"/>
        <v>è</v>
      </c>
      <c r="AH43" s="301" t="str">
        <f t="shared" si="8"/>
        <v>ê</v>
      </c>
      <c r="AI43" s="301" t="str">
        <f t="shared" si="8"/>
        <v>ē</v>
      </c>
      <c r="AJ43" s="301" t="str">
        <f t="shared" si="8"/>
        <v>é</v>
      </c>
    </row>
    <row r="44" spans="13:36" ht="32.25">
      <c r="M44" s="304">
        <v>40</v>
      </c>
      <c r="N44" s="308" t="s">
        <v>156</v>
      </c>
      <c r="O44" s="312" t="str" cm="1">
        <f t="array" ref="O44">INDEX(韻母對照表, (($M44-1)*2 +1), $O$1)</f>
        <v>nai</v>
      </c>
      <c r="P44" s="312" t="str" cm="1">
        <f t="array" ref="P44">INDEX(韻母對照表, (($M44-1)*2 +2), $O$1)</f>
        <v>naih</v>
      </c>
      <c r="Q44" s="308" t="s">
        <v>139</v>
      </c>
      <c r="R44" s="313" t="str">
        <f t="shared" si="10"/>
        <v>nāi</v>
      </c>
      <c r="S44" s="313" t="str">
        <f t="shared" si="10"/>
        <v>nái</v>
      </c>
      <c r="T44" s="313" t="str">
        <f t="shared" si="10"/>
        <v>nǎi</v>
      </c>
      <c r="U44" s="314" t="str">
        <f t="shared" si="10"/>
        <v>nǎih</v>
      </c>
      <c r="V44" s="313" t="str">
        <f t="shared" si="10"/>
        <v>nài</v>
      </c>
      <c r="W44" s="313" t="str">
        <f t="shared" si="10"/>
        <v>nâi</v>
      </c>
      <c r="X44" s="313" t="str">
        <f t="shared" si="10"/>
        <v>nāi</v>
      </c>
      <c r="Y44" s="314" t="str">
        <f t="shared" si="10"/>
        <v>náih</v>
      </c>
      <c r="AA44" s="301">
        <f t="shared" si="5"/>
        <v>2</v>
      </c>
      <c r="AB44" s="301">
        <f t="shared" si="9"/>
        <v>1</v>
      </c>
      <c r="AC44" s="301" t="str">
        <f t="shared" si="8"/>
        <v>ā</v>
      </c>
      <c r="AD44" s="301" t="str">
        <f t="shared" si="8"/>
        <v>á</v>
      </c>
      <c r="AE44" s="301" t="str">
        <f t="shared" si="8"/>
        <v>ǎ</v>
      </c>
      <c r="AF44" s="301" t="str">
        <f t="shared" si="8"/>
        <v>ǎ</v>
      </c>
      <c r="AG44" s="301" t="str">
        <f t="shared" si="8"/>
        <v>à</v>
      </c>
      <c r="AH44" s="301" t="str">
        <f t="shared" si="8"/>
        <v>â</v>
      </c>
      <c r="AI44" s="301" t="str">
        <f t="shared" si="8"/>
        <v>ā</v>
      </c>
      <c r="AJ44" s="301" t="str">
        <f t="shared" si="8"/>
        <v>á</v>
      </c>
    </row>
    <row r="45" spans="13:36" ht="32.25">
      <c r="M45" s="304">
        <v>41</v>
      </c>
      <c r="N45" s="308" t="s">
        <v>256</v>
      </c>
      <c r="O45" s="312" t="str" cm="1">
        <f t="array" ref="O45">INDEX(韻母對照表, (($M45-1)*2 +1), $O$1)</f>
        <v>noo</v>
      </c>
      <c r="P45" s="312" t="str" cm="1">
        <f t="array" ref="P45">INDEX(韻母對照表, (($M45-1)*2 +2), $O$1)</f>
        <v>nooh</v>
      </c>
      <c r="Q45" s="308" t="s">
        <v>215</v>
      </c>
      <c r="R45" s="313" t="str">
        <f t="shared" si="10"/>
        <v>nōō</v>
      </c>
      <c r="S45" s="313" t="str">
        <f t="shared" si="10"/>
        <v>nóó</v>
      </c>
      <c r="T45" s="313" t="str">
        <f t="shared" si="10"/>
        <v>nǒǒ</v>
      </c>
      <c r="U45" s="314" t="str">
        <f t="shared" si="10"/>
        <v>nǒǒh</v>
      </c>
      <c r="V45" s="313" t="str">
        <f t="shared" si="10"/>
        <v>nòò</v>
      </c>
      <c r="W45" s="313" t="str">
        <f t="shared" si="10"/>
        <v>nôô</v>
      </c>
      <c r="X45" s="313" t="str">
        <f t="shared" si="10"/>
        <v>nōō</v>
      </c>
      <c r="Y45" s="314" t="str">
        <f t="shared" si="10"/>
        <v>nóóh</v>
      </c>
      <c r="AA45" s="301">
        <f t="shared" si="5"/>
        <v>2</v>
      </c>
      <c r="AB45" s="301">
        <f t="shared" si="9"/>
        <v>4</v>
      </c>
      <c r="AC45" s="301" t="str">
        <f t="shared" ref="AC45:AJ54" si="11">INDEX($D$5:$K$12, $AB45, AC$4)</f>
        <v>ō</v>
      </c>
      <c r="AD45" s="301" t="str">
        <f t="shared" si="11"/>
        <v>ó</v>
      </c>
      <c r="AE45" s="301" t="str">
        <f t="shared" si="11"/>
        <v>ǒ</v>
      </c>
      <c r="AF45" s="301" t="str">
        <f t="shared" si="11"/>
        <v>ǒ</v>
      </c>
      <c r="AG45" s="301" t="str">
        <f t="shared" si="11"/>
        <v>ò</v>
      </c>
      <c r="AH45" s="301" t="str">
        <f t="shared" si="11"/>
        <v>ô</v>
      </c>
      <c r="AI45" s="301" t="str">
        <f t="shared" si="11"/>
        <v>ō</v>
      </c>
      <c r="AJ45" s="301" t="str">
        <f t="shared" si="11"/>
        <v>ó</v>
      </c>
    </row>
    <row r="46" spans="13:36" ht="32.25">
      <c r="M46" s="304">
        <v>42</v>
      </c>
      <c r="N46" s="308" t="s">
        <v>251</v>
      </c>
      <c r="O46" s="312" t="str" cm="1">
        <f t="array" ref="O46">INDEX(韻母對照表, (($M46-1)*2 +1), $O$1)</f>
        <v>m</v>
      </c>
      <c r="P46" s="312" t="str" cm="1">
        <f t="array" ref="P46">INDEX(韻母對照表, (($M46-1)*2 +2), $O$1)</f>
        <v>mh</v>
      </c>
      <c r="Q46" s="308" t="s">
        <v>27</v>
      </c>
      <c r="R46" s="313" t="str">
        <f t="shared" si="10"/>
        <v>m̄</v>
      </c>
      <c r="S46" s="313" t="str">
        <f t="shared" si="10"/>
        <v>ḿ</v>
      </c>
      <c r="T46" s="313" t="str">
        <f t="shared" si="10"/>
        <v>m̌</v>
      </c>
      <c r="U46" s="314" t="str">
        <f t="shared" si="10"/>
        <v>m̌h</v>
      </c>
      <c r="V46" s="313" t="str">
        <f t="shared" si="10"/>
        <v>m̀</v>
      </c>
      <c r="W46" s="313" t="str">
        <f t="shared" si="10"/>
        <v>m̂</v>
      </c>
      <c r="X46" s="313" t="str">
        <f t="shared" si="10"/>
        <v>m̄</v>
      </c>
      <c r="Y46" s="314" t="str">
        <f t="shared" si="10"/>
        <v>ḿh</v>
      </c>
      <c r="AA46" s="301">
        <f t="shared" si="5"/>
        <v>1</v>
      </c>
      <c r="AB46" s="301">
        <f t="shared" si="9"/>
        <v>7</v>
      </c>
      <c r="AC46" s="301" t="str">
        <f t="shared" si="11"/>
        <v>m̄</v>
      </c>
      <c r="AD46" s="301" t="str">
        <f t="shared" si="11"/>
        <v>ḿ</v>
      </c>
      <c r="AE46" s="301" t="str">
        <f t="shared" si="11"/>
        <v>m̌</v>
      </c>
      <c r="AF46" s="301" t="str">
        <f t="shared" si="11"/>
        <v>m̌</v>
      </c>
      <c r="AG46" s="301" t="str">
        <f t="shared" si="11"/>
        <v>m̀</v>
      </c>
      <c r="AH46" s="301" t="str">
        <f t="shared" si="11"/>
        <v>m̂</v>
      </c>
      <c r="AI46" s="301" t="str">
        <f t="shared" si="11"/>
        <v>m̄</v>
      </c>
      <c r="AJ46" s="301" t="str">
        <f t="shared" si="11"/>
        <v>ḿ</v>
      </c>
    </row>
    <row r="47" spans="13:36" ht="32.25">
      <c r="M47" s="304">
        <v>43</v>
      </c>
      <c r="N47" s="308" t="s">
        <v>269</v>
      </c>
      <c r="O47" s="312" t="str" cm="1">
        <f t="array" ref="O47">INDEX(韻母對照表, (($M47-1)*2 +1), $O$1)</f>
        <v>uang</v>
      </c>
      <c r="P47" s="312" t="str" cm="1">
        <f t="array" ref="P47">INDEX(韻母對照表, (($M47-1)*2 +2), $O$1)</f>
        <v>uak</v>
      </c>
      <c r="Q47" s="308" t="s">
        <v>139</v>
      </c>
      <c r="R47" s="313" t="str">
        <f t="shared" si="10"/>
        <v>uāng</v>
      </c>
      <c r="S47" s="313" t="str">
        <f t="shared" si="10"/>
        <v>uáng</v>
      </c>
      <c r="T47" s="313" t="str">
        <f t="shared" si="10"/>
        <v>uǎng</v>
      </c>
      <c r="U47" s="314" t="str">
        <f t="shared" si="10"/>
        <v>uǎk</v>
      </c>
      <c r="V47" s="313" t="str">
        <f t="shared" si="10"/>
        <v>uàng</v>
      </c>
      <c r="W47" s="313" t="str">
        <f t="shared" si="10"/>
        <v>uâng</v>
      </c>
      <c r="X47" s="313" t="str">
        <f t="shared" si="10"/>
        <v>uāng</v>
      </c>
      <c r="Y47" s="314" t="str">
        <f t="shared" si="10"/>
        <v>uák</v>
      </c>
      <c r="AA47" s="301">
        <f t="shared" si="5"/>
        <v>2</v>
      </c>
      <c r="AB47" s="301">
        <f t="shared" si="9"/>
        <v>1</v>
      </c>
      <c r="AC47" s="301" t="str">
        <f t="shared" si="11"/>
        <v>ā</v>
      </c>
      <c r="AD47" s="301" t="str">
        <f t="shared" si="11"/>
        <v>á</v>
      </c>
      <c r="AE47" s="301" t="str">
        <f t="shared" si="11"/>
        <v>ǎ</v>
      </c>
      <c r="AF47" s="301" t="str">
        <f t="shared" si="11"/>
        <v>ǎ</v>
      </c>
      <c r="AG47" s="301" t="str">
        <f t="shared" si="11"/>
        <v>à</v>
      </c>
      <c r="AH47" s="301" t="str">
        <f t="shared" si="11"/>
        <v>â</v>
      </c>
      <c r="AI47" s="301" t="str">
        <f t="shared" si="11"/>
        <v>ā</v>
      </c>
      <c r="AJ47" s="301" t="str">
        <f t="shared" si="11"/>
        <v>á</v>
      </c>
    </row>
    <row r="48" spans="13:36" ht="32.25">
      <c r="M48" s="304">
        <v>44</v>
      </c>
      <c r="N48" s="308" t="s">
        <v>276</v>
      </c>
      <c r="O48" s="312" t="str" cm="1">
        <f t="array" ref="O48">INDEX(韻母對照表, (($M48-1)*2 +1), $O$1)</f>
        <v>nuai</v>
      </c>
      <c r="P48" s="312" t="str" cm="1">
        <f t="array" ref="P48">INDEX(韻母對照表, (($M48-1)*2 +2), $O$1)</f>
        <v>nuaih</v>
      </c>
      <c r="Q48" s="308" t="s">
        <v>139</v>
      </c>
      <c r="R48" s="313" t="str">
        <f t="shared" si="10"/>
        <v>nuāi</v>
      </c>
      <c r="S48" s="313" t="str">
        <f t="shared" si="10"/>
        <v>nuái</v>
      </c>
      <c r="T48" s="313" t="str">
        <f t="shared" si="10"/>
        <v>nuǎi</v>
      </c>
      <c r="U48" s="314" t="str">
        <f t="shared" si="10"/>
        <v>nuǎih</v>
      </c>
      <c r="V48" s="313" t="str">
        <f t="shared" si="10"/>
        <v>nuài</v>
      </c>
      <c r="W48" s="313" t="str">
        <f t="shared" si="10"/>
        <v>nuâi</v>
      </c>
      <c r="X48" s="313" t="str">
        <f t="shared" si="10"/>
        <v>nuāi</v>
      </c>
      <c r="Y48" s="314" t="str">
        <f t="shared" si="10"/>
        <v>nuáih</v>
      </c>
      <c r="AA48" s="301">
        <f t="shared" si="5"/>
        <v>3</v>
      </c>
      <c r="AB48" s="301">
        <f t="shared" si="9"/>
        <v>1</v>
      </c>
      <c r="AC48" s="301" t="str">
        <f t="shared" si="11"/>
        <v>ā</v>
      </c>
      <c r="AD48" s="301" t="str">
        <f t="shared" si="11"/>
        <v>á</v>
      </c>
      <c r="AE48" s="301" t="str">
        <f t="shared" si="11"/>
        <v>ǎ</v>
      </c>
      <c r="AF48" s="301" t="str">
        <f t="shared" si="11"/>
        <v>ǎ</v>
      </c>
      <c r="AG48" s="301" t="str">
        <f t="shared" si="11"/>
        <v>à</v>
      </c>
      <c r="AH48" s="301" t="str">
        <f t="shared" si="11"/>
        <v>â</v>
      </c>
      <c r="AI48" s="301" t="str">
        <f t="shared" si="11"/>
        <v>ā</v>
      </c>
      <c r="AJ48" s="301" t="str">
        <f t="shared" si="11"/>
        <v>á</v>
      </c>
    </row>
    <row r="49" spans="13:36" ht="32.25">
      <c r="M49" s="304">
        <v>45</v>
      </c>
      <c r="N49" s="308" t="s">
        <v>272</v>
      </c>
      <c r="O49" s="312" t="str" cm="1">
        <f t="array" ref="O49">INDEX(韻母對照表, (($M49-1)*2 +1), $O$1)</f>
        <v>nue</v>
      </c>
      <c r="P49" s="312" t="str" cm="1">
        <f t="array" ref="P49">INDEX(韻母對照表, (($M49-1)*2 +2), $O$1)</f>
        <v>nueh</v>
      </c>
      <c r="Q49" s="308" t="s">
        <v>989</v>
      </c>
      <c r="R49" s="313" t="str">
        <f t="shared" si="10"/>
        <v>nūe</v>
      </c>
      <c r="S49" s="313" t="str">
        <f t="shared" si="10"/>
        <v>núe</v>
      </c>
      <c r="T49" s="313" t="str">
        <f t="shared" si="10"/>
        <v>nǔe</v>
      </c>
      <c r="U49" s="314" t="str">
        <f t="shared" si="10"/>
        <v>nǔeh</v>
      </c>
      <c r="V49" s="313" t="str">
        <f t="shared" si="10"/>
        <v>nùe</v>
      </c>
      <c r="W49" s="313" t="str">
        <f t="shared" si="10"/>
        <v>nûe</v>
      </c>
      <c r="X49" s="313" t="str">
        <f t="shared" si="10"/>
        <v>nūe</v>
      </c>
      <c r="Y49" s="314" t="str">
        <f t="shared" si="10"/>
        <v>núeh</v>
      </c>
      <c r="AA49" s="301">
        <f t="shared" si="5"/>
        <v>2</v>
      </c>
      <c r="AB49" s="301">
        <f t="shared" si="9"/>
        <v>6</v>
      </c>
      <c r="AC49" s="301" t="str">
        <f t="shared" si="11"/>
        <v>ū</v>
      </c>
      <c r="AD49" s="301" t="str">
        <f t="shared" si="11"/>
        <v>ú</v>
      </c>
      <c r="AE49" s="301" t="str">
        <f t="shared" si="11"/>
        <v>ǔ</v>
      </c>
      <c r="AF49" s="301" t="str">
        <f t="shared" si="11"/>
        <v>ǔ</v>
      </c>
      <c r="AG49" s="301" t="str">
        <f t="shared" si="11"/>
        <v>ù</v>
      </c>
      <c r="AH49" s="301" t="str">
        <f t="shared" si="11"/>
        <v>û</v>
      </c>
      <c r="AI49" s="301" t="str">
        <f t="shared" si="11"/>
        <v>ū</v>
      </c>
      <c r="AJ49" s="301" t="str">
        <f t="shared" si="11"/>
        <v>ú</v>
      </c>
    </row>
    <row r="50" spans="13:36" ht="32.25">
      <c r="M50" s="304">
        <v>46</v>
      </c>
      <c r="N50" s="308" t="s">
        <v>232</v>
      </c>
      <c r="O50" s="312" t="str" cm="1">
        <f t="array" ref="O50">INDEX(韻母對照表, (($M50-1)*2 +1), $O$1)</f>
        <v>niao</v>
      </c>
      <c r="P50" s="312" t="str" cm="1">
        <f t="array" ref="P50">INDEX(韻母對照表, (($M50-1)*2 +2), $O$1)</f>
        <v>niaoh</v>
      </c>
      <c r="Q50" s="308" t="s">
        <v>139</v>
      </c>
      <c r="R50" s="313" t="str">
        <f t="shared" si="10"/>
        <v>niāo</v>
      </c>
      <c r="S50" s="313" t="str">
        <f t="shared" si="10"/>
        <v>niáo</v>
      </c>
      <c r="T50" s="313" t="str">
        <f t="shared" si="10"/>
        <v>niǎo</v>
      </c>
      <c r="U50" s="314" t="str">
        <f t="shared" si="10"/>
        <v>niǎoh</v>
      </c>
      <c r="V50" s="313" t="str">
        <f t="shared" si="10"/>
        <v>niào</v>
      </c>
      <c r="W50" s="313" t="str">
        <f t="shared" si="10"/>
        <v>niâo</v>
      </c>
      <c r="X50" s="313" t="str">
        <f t="shared" si="10"/>
        <v>niāo</v>
      </c>
      <c r="Y50" s="314" t="str">
        <f t="shared" si="10"/>
        <v>niáoh</v>
      </c>
      <c r="AA50" s="301">
        <f t="shared" si="5"/>
        <v>3</v>
      </c>
      <c r="AB50" s="301">
        <f t="shared" si="9"/>
        <v>1</v>
      </c>
      <c r="AC50" s="301" t="str">
        <f t="shared" si="11"/>
        <v>ā</v>
      </c>
      <c r="AD50" s="301" t="str">
        <f t="shared" si="11"/>
        <v>á</v>
      </c>
      <c r="AE50" s="301" t="str">
        <f t="shared" si="11"/>
        <v>ǎ</v>
      </c>
      <c r="AF50" s="301" t="str">
        <f t="shared" si="11"/>
        <v>ǎ</v>
      </c>
      <c r="AG50" s="301" t="str">
        <f t="shared" si="11"/>
        <v>à</v>
      </c>
      <c r="AH50" s="301" t="str">
        <f t="shared" si="11"/>
        <v>â</v>
      </c>
      <c r="AI50" s="301" t="str">
        <f t="shared" si="11"/>
        <v>ā</v>
      </c>
      <c r="AJ50" s="301" t="str">
        <f t="shared" si="11"/>
        <v>á</v>
      </c>
    </row>
    <row r="51" spans="13:36" ht="32.25">
      <c r="M51" s="304">
        <v>47</v>
      </c>
      <c r="N51" s="308" t="s">
        <v>261</v>
      </c>
      <c r="O51" s="312" t="str" cm="1">
        <f t="array" ref="O51">INDEX(韻母對照表, (($M51-1)*2 +1), $O$1)</f>
        <v>om</v>
      </c>
      <c r="P51" s="312" t="str" cm="1">
        <f t="array" ref="P51">INDEX(韻母對照表, (($M51-1)*2 +2), $O$1)</f>
        <v>op</v>
      </c>
      <c r="Q51" s="308" t="s">
        <v>215</v>
      </c>
      <c r="R51" s="313" t="str">
        <f t="shared" si="10"/>
        <v>ōm</v>
      </c>
      <c r="S51" s="313" t="str">
        <f t="shared" si="10"/>
        <v>óm</v>
      </c>
      <c r="T51" s="313" t="str">
        <f t="shared" si="10"/>
        <v>ǒm</v>
      </c>
      <c r="U51" s="314" t="str">
        <f t="shared" si="10"/>
        <v>ǒp</v>
      </c>
      <c r="V51" s="313" t="str">
        <f t="shared" si="10"/>
        <v>òm</v>
      </c>
      <c r="W51" s="313" t="str">
        <f t="shared" si="10"/>
        <v>ôm</v>
      </c>
      <c r="X51" s="313" t="str">
        <f t="shared" si="10"/>
        <v>ōm</v>
      </c>
      <c r="Y51" s="314" t="str">
        <f t="shared" si="10"/>
        <v>óp</v>
      </c>
      <c r="AA51" s="301">
        <f t="shared" si="5"/>
        <v>1</v>
      </c>
      <c r="AB51" s="301">
        <f t="shared" si="9"/>
        <v>4</v>
      </c>
      <c r="AC51" s="301" t="str">
        <f t="shared" si="11"/>
        <v>ō</v>
      </c>
      <c r="AD51" s="301" t="str">
        <f t="shared" si="11"/>
        <v>ó</v>
      </c>
      <c r="AE51" s="301" t="str">
        <f t="shared" si="11"/>
        <v>ǒ</v>
      </c>
      <c r="AF51" s="301" t="str">
        <f t="shared" si="11"/>
        <v>ǒ</v>
      </c>
      <c r="AG51" s="301" t="str">
        <f t="shared" si="11"/>
        <v>ò</v>
      </c>
      <c r="AH51" s="301" t="str">
        <f t="shared" si="11"/>
        <v>ô</v>
      </c>
      <c r="AI51" s="301" t="str">
        <f t="shared" si="11"/>
        <v>ō</v>
      </c>
      <c r="AJ51" s="301" t="str">
        <f t="shared" si="11"/>
        <v>ó</v>
      </c>
    </row>
    <row r="52" spans="13:36" ht="32.25">
      <c r="M52" s="304">
        <v>48</v>
      </c>
      <c r="N52" s="308" t="s">
        <v>183</v>
      </c>
      <c r="O52" s="312" t="str" cm="1">
        <f t="array" ref="O52">INDEX(韻母對照表, (($M52-1)*2 +1), $O$1)</f>
        <v>nao</v>
      </c>
      <c r="P52" s="312" t="str" cm="1">
        <f t="array" ref="P52">INDEX(韻母對照表, (($M52-1)*2 +2), $O$1)</f>
        <v>naoh</v>
      </c>
      <c r="Q52" s="308" t="s">
        <v>139</v>
      </c>
      <c r="R52" s="313" t="str">
        <f t="shared" si="10"/>
        <v>nāo</v>
      </c>
      <c r="S52" s="313" t="str">
        <f t="shared" si="10"/>
        <v>náo</v>
      </c>
      <c r="T52" s="313" t="str">
        <f t="shared" si="10"/>
        <v>nǎo</v>
      </c>
      <c r="U52" s="314" t="str">
        <f t="shared" si="10"/>
        <v>nǎoh</v>
      </c>
      <c r="V52" s="313" t="str">
        <f t="shared" si="10"/>
        <v>nào</v>
      </c>
      <c r="W52" s="313" t="str">
        <f t="shared" si="10"/>
        <v>nâo</v>
      </c>
      <c r="X52" s="313" t="str">
        <f t="shared" si="10"/>
        <v>nāo</v>
      </c>
      <c r="Y52" s="314" t="str">
        <f t="shared" si="10"/>
        <v>náoh</v>
      </c>
      <c r="AA52" s="301">
        <f t="shared" si="5"/>
        <v>2</v>
      </c>
      <c r="AB52" s="301">
        <f t="shared" si="9"/>
        <v>1</v>
      </c>
      <c r="AC52" s="301" t="str">
        <f t="shared" si="11"/>
        <v>ā</v>
      </c>
      <c r="AD52" s="301" t="str">
        <f t="shared" si="11"/>
        <v>á</v>
      </c>
      <c r="AE52" s="301" t="str">
        <f t="shared" si="11"/>
        <v>ǎ</v>
      </c>
      <c r="AF52" s="301" t="str">
        <f t="shared" si="11"/>
        <v>ǎ</v>
      </c>
      <c r="AG52" s="301" t="str">
        <f t="shared" si="11"/>
        <v>à</v>
      </c>
      <c r="AH52" s="301" t="str">
        <f t="shared" si="11"/>
        <v>â</v>
      </c>
      <c r="AI52" s="301" t="str">
        <f t="shared" si="11"/>
        <v>ā</v>
      </c>
      <c r="AJ52" s="301" t="str">
        <f t="shared" si="11"/>
        <v>á</v>
      </c>
    </row>
    <row r="53" spans="13:36" ht="32.25">
      <c r="M53" s="304">
        <v>49</v>
      </c>
      <c r="N53" s="308" t="s">
        <v>267</v>
      </c>
      <c r="O53" s="312" t="str" cm="1">
        <f t="array" ref="O53">INDEX(韻母對照表, (($M53-1)*2 +1), $O$1)</f>
        <v>no</v>
      </c>
      <c r="P53" s="312" t="str" cm="1">
        <f t="array" ref="P53">INDEX(韻母對照表, (($M53-1)*2 +2), $O$1)</f>
        <v>noh</v>
      </c>
      <c r="Q53" s="308" t="s">
        <v>215</v>
      </c>
      <c r="R53" s="313" t="str">
        <f t="shared" si="10"/>
        <v>nō</v>
      </c>
      <c r="S53" s="313" t="str">
        <f t="shared" si="10"/>
        <v>nó</v>
      </c>
      <c r="T53" s="313" t="str">
        <f t="shared" si="10"/>
        <v>nǒ</v>
      </c>
      <c r="U53" s="314" t="str">
        <f t="shared" si="10"/>
        <v>nǒh</v>
      </c>
      <c r="V53" s="313" t="str">
        <f t="shared" si="10"/>
        <v>nò</v>
      </c>
      <c r="W53" s="313" t="str">
        <f t="shared" si="10"/>
        <v>nô</v>
      </c>
      <c r="X53" s="313" t="str">
        <f t="shared" si="10"/>
        <v>nō</v>
      </c>
      <c r="Y53" s="314" t="str">
        <f t="shared" si="10"/>
        <v>nóh</v>
      </c>
      <c r="AA53" s="301">
        <f t="shared" si="5"/>
        <v>2</v>
      </c>
      <c r="AB53" s="301">
        <f t="shared" si="9"/>
        <v>4</v>
      </c>
      <c r="AC53" s="301" t="str">
        <f t="shared" si="11"/>
        <v>ō</v>
      </c>
      <c r="AD53" s="301" t="str">
        <f t="shared" si="11"/>
        <v>ó</v>
      </c>
      <c r="AE53" s="301" t="str">
        <f t="shared" si="11"/>
        <v>ǒ</v>
      </c>
      <c r="AF53" s="301" t="str">
        <f t="shared" si="11"/>
        <v>ǒ</v>
      </c>
      <c r="AG53" s="301" t="str">
        <f t="shared" si="11"/>
        <v>ò</v>
      </c>
      <c r="AH53" s="301" t="str">
        <f t="shared" si="11"/>
        <v>ô</v>
      </c>
      <c r="AI53" s="301" t="str">
        <f t="shared" si="11"/>
        <v>ō</v>
      </c>
      <c r="AJ53" s="301" t="str">
        <f t="shared" si="11"/>
        <v>ó</v>
      </c>
    </row>
    <row r="54" spans="13:36" ht="32.25">
      <c r="M54" s="304">
        <v>50</v>
      </c>
      <c r="N54" s="308" t="s">
        <v>255</v>
      </c>
      <c r="O54" s="312" t="str" cm="1">
        <f t="array" ref="O54">INDEX(韻母對照表, (($M54-1)*2 +1), $O$1)</f>
        <v>niu</v>
      </c>
      <c r="P54" s="312" t="str" cm="1">
        <f t="array" ref="P54">INDEX(韻母對照表, (($M54-1)*2 +2), $O$1)</f>
        <v>niuh</v>
      </c>
      <c r="Q54" s="308" t="s">
        <v>245</v>
      </c>
      <c r="R54" s="313" t="str">
        <f t="shared" si="10"/>
        <v>niū</v>
      </c>
      <c r="S54" s="313" t="str">
        <f t="shared" si="10"/>
        <v>niú</v>
      </c>
      <c r="T54" s="313" t="str">
        <f t="shared" si="10"/>
        <v>niǔ</v>
      </c>
      <c r="U54" s="314" t="str">
        <f t="shared" si="10"/>
        <v>niǔh</v>
      </c>
      <c r="V54" s="313" t="str">
        <f t="shared" si="10"/>
        <v>niù</v>
      </c>
      <c r="W54" s="313" t="str">
        <f t="shared" si="10"/>
        <v>niû</v>
      </c>
      <c r="X54" s="313" t="str">
        <f t="shared" si="10"/>
        <v>niū</v>
      </c>
      <c r="Y54" s="314" t="str">
        <f t="shared" si="10"/>
        <v>niúh</v>
      </c>
      <c r="AA54" s="301">
        <f t="shared" si="5"/>
        <v>3</v>
      </c>
      <c r="AB54" s="301">
        <f t="shared" si="9"/>
        <v>6</v>
      </c>
      <c r="AC54" s="301" t="str">
        <f t="shared" si="11"/>
        <v>ū</v>
      </c>
      <c r="AD54" s="301" t="str">
        <f t="shared" si="11"/>
        <v>ú</v>
      </c>
      <c r="AE54" s="301" t="str">
        <f t="shared" si="11"/>
        <v>ǔ</v>
      </c>
      <c r="AF54" s="301" t="str">
        <f t="shared" si="11"/>
        <v>ǔ</v>
      </c>
      <c r="AG54" s="301" t="str">
        <f t="shared" si="11"/>
        <v>ù</v>
      </c>
      <c r="AH54" s="301" t="str">
        <f t="shared" si="11"/>
        <v>û</v>
      </c>
      <c r="AI54" s="301" t="str">
        <f t="shared" si="11"/>
        <v>ū</v>
      </c>
      <c r="AJ54" s="301" t="str">
        <f t="shared" si="11"/>
        <v>ú</v>
      </c>
    </row>
  </sheetData>
  <mergeCells count="9">
    <mergeCell ref="Q3:Q4"/>
    <mergeCell ref="AA3:AA4"/>
    <mergeCell ref="AB3:AB4"/>
    <mergeCell ref="B3:B4"/>
    <mergeCell ref="C3:C4"/>
    <mergeCell ref="M3:M4"/>
    <mergeCell ref="N3:N4"/>
    <mergeCell ref="O3:O4"/>
    <mergeCell ref="P3:P4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5031-8DFB-9249-83E6-F4AB867D816C}">
  <sheetPr codeName="工作表3">
    <tabColor rgb="FFFF0000"/>
  </sheetPr>
  <dimension ref="A1:L26"/>
  <sheetViews>
    <sheetView topLeftCell="C6" workbookViewId="0"/>
  </sheetViews>
  <sheetFormatPr defaultColWidth="10.90625" defaultRowHeight="25.5" outlineLevelRow="1" outlineLevelCol="1"/>
  <cols>
    <col min="1" max="1" width="4" hidden="1" customWidth="1" outlineLevel="1"/>
    <col min="2" max="2" width="10.7265625" style="6" hidden="1" customWidth="1" outlineLevel="1"/>
    <col min="3" max="3" width="2.7265625" style="68" customWidth="1" collapsed="1"/>
    <col min="4" max="4" width="6.26953125" style="68" customWidth="1"/>
    <col min="5" max="6" width="10.453125" style="69" customWidth="1"/>
    <col min="7" max="10" width="10.453125" style="70" customWidth="1"/>
    <col min="11" max="12" width="10.7265625" style="68"/>
  </cols>
  <sheetData>
    <row r="1" spans="2:10" ht="12" hidden="1" customHeight="1" outlineLevel="1"/>
    <row r="2" spans="2:10" ht="27" hidden="1" customHeight="1" outlineLevel="1">
      <c r="F2" s="142">
        <v>4</v>
      </c>
      <c r="G2" s="141">
        <v>5</v>
      </c>
      <c r="H2" s="141">
        <v>6</v>
      </c>
      <c r="I2" s="141">
        <v>7</v>
      </c>
      <c r="J2" s="141">
        <v>3</v>
      </c>
    </row>
    <row r="3" spans="2:10" hidden="1" outlineLevel="1">
      <c r="D3" s="101" cm="1">
        <f t="array" ref="D3">COLUMN()-COLUMN(($C:$C))</f>
        <v>1</v>
      </c>
      <c r="E3" s="101" cm="1">
        <f t="array" ref="E3">COLUMN()-COLUMN(($C:$C))</f>
        <v>2</v>
      </c>
      <c r="F3" s="101" cm="1">
        <f t="array" ref="F3">COLUMN()-COLUMN(($C:$C))</f>
        <v>3</v>
      </c>
      <c r="G3" s="101" cm="1">
        <f t="array" ref="G3">COLUMN()-COLUMN(($C:$C))</f>
        <v>4</v>
      </c>
      <c r="H3" s="101" cm="1">
        <f t="array" ref="H3">COLUMN()-COLUMN(($C:$C))</f>
        <v>5</v>
      </c>
      <c r="I3" s="101" cm="1">
        <f t="array" ref="I3">COLUMN()-COLUMN(($C:$C))</f>
        <v>6</v>
      </c>
      <c r="J3" s="101" cm="1">
        <f t="array" ref="J3">COLUMN()-COLUMN(($C:$C))</f>
        <v>7</v>
      </c>
    </row>
    <row r="4" spans="2:10" ht="21" customHeight="1" collapsed="1"/>
    <row r="5" spans="2:10" ht="51">
      <c r="B5" s="125" t="s">
        <v>0</v>
      </c>
      <c r="C5" s="73"/>
      <c r="D5" s="123" t="s">
        <v>1</v>
      </c>
      <c r="E5" s="123" t="s">
        <v>622</v>
      </c>
      <c r="F5" s="124" t="s">
        <v>587</v>
      </c>
      <c r="G5" s="125" t="s">
        <v>1649</v>
      </c>
      <c r="H5" s="72" t="s">
        <v>625</v>
      </c>
      <c r="I5" s="72" t="s">
        <v>626</v>
      </c>
      <c r="J5" s="123" t="s">
        <v>3</v>
      </c>
    </row>
    <row r="6" spans="2:10" s="147" customFormat="1" ht="38.25">
      <c r="B6" s="143">
        <f xml:space="preserve"> MATCH(E6, 十五音聲母清單!$F$5:$F$26,0)</f>
        <v>2</v>
      </c>
      <c r="C6" s="144"/>
      <c r="D6" s="145">
        <v>1</v>
      </c>
      <c r="E6" s="146" t="s">
        <v>20</v>
      </c>
      <c r="F6" s="146" t="str" cm="1">
        <f t="array" ref="F6" xml:space="preserve"> INDEX(十五音聲母清單!$B$5:$I$26, $B6, F$2)</f>
        <v>邊</v>
      </c>
      <c r="G6" s="146" t="str" cm="1">
        <f t="array" ref="G6" xml:space="preserve"> INDEX(十五音聲母清單!$B$5:$I$26, $B6, G$2)</f>
        <v>ㄅ</v>
      </c>
      <c r="H6" s="146" t="str" cm="1">
        <f t="array" ref="H6" xml:space="preserve"> INDEX(十五音聲母清單!$B$5:$I$26, $B6, H$2)</f>
        <v>p</v>
      </c>
      <c r="I6" s="146" t="str" cm="1">
        <f t="array" ref="I6" xml:space="preserve"> INDEX(十五音聲母清單!$B$5:$I$26, $B6, I$2)</f>
        <v>p</v>
      </c>
      <c r="J6" s="146" t="str" cm="1">
        <f t="array" ref="J6" xml:space="preserve"> INDEX(十五音聲母清單!$B$5:$I$26, $B6, J$2)</f>
        <v>p</v>
      </c>
    </row>
    <row r="7" spans="2:10" s="147" customFormat="1" ht="38.25">
      <c r="B7" s="143">
        <f xml:space="preserve"> MATCH(E7, 十五音聲母清單!$F$5:$F$26,0)</f>
        <v>6</v>
      </c>
      <c r="C7" s="144"/>
      <c r="D7" s="145">
        <v>2</v>
      </c>
      <c r="E7" s="146" t="s">
        <v>25</v>
      </c>
      <c r="F7" s="146" t="str" cm="1">
        <f t="array" ref="F7" xml:space="preserve"> INDEX(十五音聲母清單!$B$5:$I$26, $B7, F$2)</f>
        <v>頗</v>
      </c>
      <c r="G7" s="146" t="str" cm="1">
        <f t="array" ref="G7" xml:space="preserve"> INDEX(十五音聲母清單!$B$5:$I$26, $B7, G$2)</f>
        <v>ㄆ</v>
      </c>
      <c r="H7" s="146" t="str" cm="1">
        <f t="array" ref="H7" xml:space="preserve"> INDEX(十五音聲母清單!$B$5:$I$26, $B7, H$2)</f>
        <v>ph</v>
      </c>
      <c r="I7" s="146" t="str" cm="1">
        <f t="array" ref="I7" xml:space="preserve"> INDEX(十五音聲母清單!$B$5:$I$26, $B7, I$2)</f>
        <v>ph</v>
      </c>
      <c r="J7" s="146" t="str" cm="1">
        <f t="array" ref="J7" xml:space="preserve"> INDEX(十五音聲母清單!$B$5:$I$26, $B7, J$2)</f>
        <v>pʰ</v>
      </c>
    </row>
    <row r="8" spans="2:10" s="147" customFormat="1" ht="38.25">
      <c r="B8" s="143">
        <f xml:space="preserve"> MATCH(E8, 十五音聲母清單!$F$5:$F$26,0)</f>
        <v>20</v>
      </c>
      <c r="C8" s="144"/>
      <c r="D8" s="145">
        <v>3</v>
      </c>
      <c r="E8" s="146" t="s">
        <v>31</v>
      </c>
      <c r="F8" s="146" t="str" cm="1">
        <f t="array" ref="F8" xml:space="preserve"> INDEX(十五音聲母清單!$B$5:$I$26, $B8, F$2)</f>
        <v>毛</v>
      </c>
      <c r="G8" s="146" t="str" cm="1">
        <f t="array" ref="G8" xml:space="preserve"> INDEX(十五音聲母清單!$B$5:$I$26, $B8, G$2)</f>
        <v>ㄇ</v>
      </c>
      <c r="H8" s="146" t="str" cm="1">
        <f t="array" ref="H8" xml:space="preserve"> INDEX(十五音聲母清單!$B$5:$I$26, $B8, H$2)</f>
        <v>m</v>
      </c>
      <c r="I8" s="146" t="str" cm="1">
        <f t="array" ref="I8" xml:space="preserve"> INDEX(十五音聲母清單!$B$5:$I$26, $B8, I$2)</f>
        <v>m</v>
      </c>
      <c r="J8" s="146" t="str" cm="1">
        <f t="array" ref="J8" xml:space="preserve"> INDEX(十五音聲母清單!$B$5:$I$26, $B8, J$2)</f>
        <v>m</v>
      </c>
    </row>
    <row r="9" spans="2:10" s="147" customFormat="1" ht="38.25">
      <c r="B9" s="143">
        <f xml:space="preserve"> MATCH(E9, 十五音聲母清單!$F$5:$F$26,0)</f>
        <v>15</v>
      </c>
      <c r="C9" s="144"/>
      <c r="D9" s="145">
        <v>4</v>
      </c>
      <c r="E9" s="146" t="s">
        <v>35</v>
      </c>
      <c r="F9" s="146" t="str" cm="1">
        <f t="array" ref="F9" xml:space="preserve"> INDEX(十五音聲母清單!$B$5:$I$26, $B9, F$2)</f>
        <v>門</v>
      </c>
      <c r="G9" s="146" t="str" cm="1">
        <f t="array" ref="G9" xml:space="preserve"> INDEX(十五音聲母清單!$B$5:$I$26, $B9, G$2)</f>
        <v>ㆠ</v>
      </c>
      <c r="H9" s="146" t="str" cm="1">
        <f t="array" ref="H9" xml:space="preserve"> INDEX(十五音聲母清單!$B$5:$I$26, $B9, H$2)</f>
        <v>b</v>
      </c>
      <c r="I9" s="146" t="str" cm="1">
        <f t="array" ref="I9" xml:space="preserve"> INDEX(十五音聲母清單!$B$5:$I$26, $B9, I$2)</f>
        <v>b</v>
      </c>
      <c r="J9" s="146" t="str" cm="1">
        <f t="array" ref="J9" xml:space="preserve"> INDEX(十五音聲母清單!$B$5:$I$26, $B9, J$2)</f>
        <v>b</v>
      </c>
    </row>
    <row r="10" spans="2:10" s="147" customFormat="1" ht="38.25">
      <c r="B10" s="143">
        <f xml:space="preserve"> MATCH(E10, 十五音聲母清單!$F$5:$F$26,0)</f>
        <v>5</v>
      </c>
      <c r="C10" s="144"/>
      <c r="D10" s="145">
        <v>5</v>
      </c>
      <c r="E10" s="146" t="s">
        <v>62</v>
      </c>
      <c r="F10" s="146" t="str" cm="1">
        <f t="array" ref="F10" xml:space="preserve"> INDEX(十五音聲母清單!$B$5:$I$26, $B10, F$2)</f>
        <v>地</v>
      </c>
      <c r="G10" s="146" t="str" cm="1">
        <f t="array" ref="G10" xml:space="preserve"> INDEX(十五音聲母清單!$B$5:$I$26, $B10, G$2)</f>
        <v>ㄉ</v>
      </c>
      <c r="H10" s="146" t="str" cm="1">
        <f t="array" ref="H10" xml:space="preserve"> INDEX(十五音聲母清單!$B$5:$I$26, $B10, H$2)</f>
        <v>t</v>
      </c>
      <c r="I10" s="146" t="str" cm="1">
        <f t="array" ref="I10" xml:space="preserve"> INDEX(十五音聲母清單!$B$5:$I$26, $B10, I$2)</f>
        <v>t</v>
      </c>
      <c r="J10" s="146" t="str" cm="1">
        <f t="array" ref="J10" xml:space="preserve"> INDEX(十五音聲母清單!$B$5:$I$26, $B10, J$2)</f>
        <v>t</v>
      </c>
    </row>
    <row r="11" spans="2:10" s="147" customFormat="1" ht="38.25">
      <c r="B11" s="143">
        <f xml:space="preserve"> MATCH(E11, 十五音聲母清單!$F$5:$F$26,0)</f>
        <v>7</v>
      </c>
      <c r="C11" s="144"/>
      <c r="D11" s="145">
        <v>6</v>
      </c>
      <c r="E11" s="146" t="s">
        <v>67</v>
      </c>
      <c r="F11" s="146" t="str" cm="1">
        <f t="array" ref="F11" xml:space="preserve"> INDEX(十五音聲母清單!$B$5:$I$26, $B11, F$2)</f>
        <v>他</v>
      </c>
      <c r="G11" s="146" t="str" cm="1">
        <f t="array" ref="G11" xml:space="preserve"> INDEX(十五音聲母清單!$B$5:$I$26, $B11, G$2)</f>
        <v>ㄊ</v>
      </c>
      <c r="H11" s="146" t="str" cm="1">
        <f t="array" ref="H11" xml:space="preserve"> INDEX(十五音聲母清單!$B$5:$I$26, $B11, H$2)</f>
        <v>th</v>
      </c>
      <c r="I11" s="146" t="str" cm="1">
        <f t="array" ref="I11" xml:space="preserve"> INDEX(十五音聲母清單!$B$5:$I$26, $B11, I$2)</f>
        <v>th</v>
      </c>
      <c r="J11" s="146" t="str" cm="1">
        <f t="array" ref="J11" xml:space="preserve"> INDEX(十五音聲母清單!$B$5:$I$26, $B11, J$2)</f>
        <v>tʰ</v>
      </c>
    </row>
    <row r="12" spans="2:10" s="147" customFormat="1" ht="38.25">
      <c r="B12" s="143">
        <f xml:space="preserve"> MATCH(E12, 十五音聲母清單!$F$5:$F$26,0)</f>
        <v>21</v>
      </c>
      <c r="C12" s="144"/>
      <c r="D12" s="145">
        <v>7</v>
      </c>
      <c r="E12" s="146" t="s">
        <v>73</v>
      </c>
      <c r="F12" s="146" t="str" cm="1">
        <f t="array" ref="F12" xml:space="preserve"> INDEX(十五音聲母清單!$B$5:$I$26, $B12, F$2)</f>
        <v>耐</v>
      </c>
      <c r="G12" s="146" t="str" cm="1">
        <f t="array" ref="G12" xml:space="preserve"> INDEX(十五音聲母清單!$B$5:$I$26, $B12, G$2)</f>
        <v>ㄋ</v>
      </c>
      <c r="H12" s="146" t="str" cm="1">
        <f t="array" ref="H12" xml:space="preserve"> INDEX(十五音聲母清單!$B$5:$I$26, $B12, H$2)</f>
        <v>n</v>
      </c>
      <c r="I12" s="146" t="str" cm="1">
        <f t="array" ref="I12" xml:space="preserve"> INDEX(十五音聲母清單!$B$5:$I$26, $B12, I$2)</f>
        <v>n</v>
      </c>
      <c r="J12" s="146" t="str" cm="1">
        <f t="array" ref="J12" xml:space="preserve"> INDEX(十五音聲母清單!$B$5:$I$26, $B12, J$2)</f>
        <v>n</v>
      </c>
    </row>
    <row r="13" spans="2:10" s="147" customFormat="1" ht="38.25">
      <c r="B13" s="143">
        <f xml:space="preserve"> MATCH(E13, 十五音聲母清單!$F$5:$F$26,0)</f>
        <v>1</v>
      </c>
      <c r="C13" s="144"/>
      <c r="D13" s="145">
        <v>8</v>
      </c>
      <c r="E13" s="146" t="s">
        <v>77</v>
      </c>
      <c r="F13" s="146" t="str" cm="1">
        <f t="array" ref="F13" xml:space="preserve"> INDEX(十五音聲母清單!$B$5:$I$26, $B13, F$2)</f>
        <v>柳</v>
      </c>
      <c r="G13" s="146" t="str" cm="1">
        <f t="array" ref="G13" xml:space="preserve"> INDEX(十五音聲母清單!$B$5:$I$26, $B13, G$2)</f>
        <v>ㄌ</v>
      </c>
      <c r="H13" s="146" t="str" cm="1">
        <f t="array" ref="H13" xml:space="preserve"> INDEX(十五音聲母清單!$B$5:$I$26, $B13, H$2)</f>
        <v>l</v>
      </c>
      <c r="I13" s="146" t="str" cm="1">
        <f t="array" ref="I13" xml:space="preserve"> INDEX(十五音聲母清單!$B$5:$I$26, $B13, I$2)</f>
        <v>l</v>
      </c>
      <c r="J13" s="146" t="str" cm="1">
        <f t="array" ref="J13" xml:space="preserve"> INDEX(十五音聲母清單!$B$5:$I$26, $B13, J$2)</f>
        <v>l</v>
      </c>
    </row>
    <row r="14" spans="2:10" s="147" customFormat="1" ht="38.25">
      <c r="B14" s="143">
        <f xml:space="preserve"> MATCH(E14, 十五音聲母清單!$F$5:$F$26,0)</f>
        <v>8</v>
      </c>
      <c r="C14" s="144"/>
      <c r="D14" s="145">
        <v>9</v>
      </c>
      <c r="E14" s="146" t="s">
        <v>1650</v>
      </c>
      <c r="F14" s="146" t="str" cm="1">
        <f t="array" ref="F14" xml:space="preserve"> INDEX(十五音聲母清單!$B$5:$I$26, $B14, F$2)</f>
        <v>曾</v>
      </c>
      <c r="G14" s="146" t="str" cm="1">
        <f t="array" ref="G14" xml:space="preserve"> INDEX(十五音聲母清單!$B$5:$I$26, $B14, G$2)</f>
        <v>ㄗ</v>
      </c>
      <c r="H14" s="146" t="str" cm="1">
        <f t="array" ref="H14" xml:space="preserve"> INDEX(十五音聲母清單!$B$5:$I$26, $B14, H$2)</f>
        <v>ch</v>
      </c>
      <c r="I14" s="146" t="str" cm="1">
        <f t="array" ref="I14" xml:space="preserve"> INDEX(十五音聲母清單!$B$5:$I$26, $B14, I$2)</f>
        <v>ts</v>
      </c>
      <c r="J14" s="146" t="str" cm="1">
        <f t="array" ref="J14" xml:space="preserve"> INDEX(十五音聲母清單!$B$5:$I$26, $B14, J$2)</f>
        <v>ʦ</v>
      </c>
    </row>
    <row r="15" spans="2:10" s="147" customFormat="1" ht="38.25">
      <c r="B15" s="143">
        <f xml:space="preserve"> MATCH(E15, 十五音聲母清單!$F$5:$F$26,0)</f>
        <v>9</v>
      </c>
      <c r="C15" s="144"/>
      <c r="D15" s="145">
        <v>10</v>
      </c>
      <c r="E15" s="146" t="s">
        <v>1251</v>
      </c>
      <c r="F15" s="146" t="str" cm="1">
        <f t="array" ref="F15" xml:space="preserve"> INDEX(十五音聲母清單!$B$5:$I$26, $B15, F$2)</f>
        <v>曾</v>
      </c>
      <c r="G15" s="146" t="str" cm="1">
        <f t="array" ref="G15" xml:space="preserve"> INDEX(十五音聲母清單!$B$5:$I$26, $B15, G$2)</f>
        <v>ㄐ</v>
      </c>
      <c r="H15" s="146" t="str" cm="1">
        <f t="array" ref="H15" xml:space="preserve"> INDEX(十五音聲母清單!$B$5:$I$26, $B15, H$2)</f>
        <v>chi</v>
      </c>
      <c r="I15" s="146" t="str" cm="1">
        <f t="array" ref="I15" xml:space="preserve"> INDEX(十五音聲母清單!$B$5:$I$26, $B15, I$2)</f>
        <v>tsi</v>
      </c>
      <c r="J15" s="146" t="str" cm="1">
        <f t="array" ref="J15" xml:space="preserve"> INDEX(十五音聲母清單!$B$5:$I$26, $B15, J$2)</f>
        <v>ʨ</v>
      </c>
    </row>
    <row r="16" spans="2:10" s="147" customFormat="1" ht="38.25">
      <c r="B16" s="143">
        <f xml:space="preserve"> MATCH(E16, 十五音聲母清單!$F$5:$F$26,0)</f>
        <v>17</v>
      </c>
      <c r="C16" s="144"/>
      <c r="D16" s="145">
        <v>11</v>
      </c>
      <c r="E16" s="146" t="s">
        <v>1651</v>
      </c>
      <c r="F16" s="146" t="str" cm="1">
        <f t="array" ref="F16" xml:space="preserve"> INDEX(十五音聲母清單!$B$5:$I$26, $B16, F$2)</f>
        <v>出</v>
      </c>
      <c r="G16" s="146" t="str" cm="1">
        <f t="array" ref="G16" xml:space="preserve"> INDEX(十五音聲母清單!$B$5:$I$26, $B16, G$2)</f>
        <v>ㄘ</v>
      </c>
      <c r="H16" s="146" t="str" cm="1">
        <f t="array" ref="H16" xml:space="preserve"> INDEX(十五音聲母清單!$B$5:$I$26, $B16, H$2)</f>
        <v>chh</v>
      </c>
      <c r="I16" s="146" t="str" cm="1">
        <f t="array" ref="I16" xml:space="preserve"> INDEX(十五音聲母清單!$B$5:$I$26, $B16, I$2)</f>
        <v>tsh</v>
      </c>
      <c r="J16" s="146" t="str" cm="1">
        <f t="array" ref="J16" xml:space="preserve"> INDEX(十五音聲母清單!$B$5:$I$26, $B16, J$2)</f>
        <v>ʦʰ</v>
      </c>
    </row>
    <row r="17" spans="2:10" s="147" customFormat="1" ht="38.25">
      <c r="B17" s="143">
        <f xml:space="preserve"> MATCH(E17, 十五音聲母清單!$F$5:$F$26,0)</f>
        <v>18</v>
      </c>
      <c r="C17" s="144"/>
      <c r="D17" s="145">
        <v>12</v>
      </c>
      <c r="E17" s="146" t="s">
        <v>1652</v>
      </c>
      <c r="F17" s="146" t="str" cm="1">
        <f t="array" ref="F17" xml:space="preserve"> INDEX(十五音聲母清單!$B$5:$I$26, $B17, F$2)</f>
        <v>出</v>
      </c>
      <c r="G17" s="146" t="str" cm="1">
        <f t="array" ref="G17" xml:space="preserve"> INDEX(十五音聲母清單!$B$5:$I$26, $B17, G$2)</f>
        <v>ㄑ</v>
      </c>
      <c r="H17" s="146" t="str" cm="1">
        <f t="array" ref="H17" xml:space="preserve"> INDEX(十五音聲母清單!$B$5:$I$26, $B17, H$2)</f>
        <v>chhi</v>
      </c>
      <c r="I17" s="146" t="str" cm="1">
        <f t="array" ref="I17" xml:space="preserve"> INDEX(十五音聲母清單!$B$5:$I$26, $B17, I$2)</f>
        <v>tshi</v>
      </c>
      <c r="J17" s="146" t="str" cm="1">
        <f t="array" ref="J17" xml:space="preserve"> INDEX(十五音聲母清單!$B$5:$I$26, $B17, J$2)</f>
        <v>ʨʰ</v>
      </c>
    </row>
    <row r="18" spans="2:10" s="147" customFormat="1" ht="38.25">
      <c r="B18" s="143">
        <f xml:space="preserve"> MATCH(E18, 十五音聲母清單!$F$5:$F$26,0)</f>
        <v>12</v>
      </c>
      <c r="C18" s="144"/>
      <c r="D18" s="145">
        <v>13</v>
      </c>
      <c r="E18" s="146" t="s">
        <v>1653</v>
      </c>
      <c r="F18" s="146" t="str" cm="1">
        <f t="array" ref="F18" xml:space="preserve"> INDEX(十五音聲母清單!$B$5:$I$26, $B18, F$2)</f>
        <v>時</v>
      </c>
      <c r="G18" s="146" t="str" cm="1">
        <f t="array" ref="G18" xml:space="preserve"> INDEX(十五音聲母清單!$B$5:$I$26, $B18, G$2)</f>
        <v>ㄙ</v>
      </c>
      <c r="H18" s="146" t="str" cm="1">
        <f t="array" ref="H18" xml:space="preserve"> INDEX(十五音聲母清單!$B$5:$I$26, $B18, H$2)</f>
        <v>s</v>
      </c>
      <c r="I18" s="146" t="str" cm="1">
        <f t="array" ref="I18" xml:space="preserve"> INDEX(十五音聲母清單!$B$5:$I$26, $B18, I$2)</f>
        <v>s</v>
      </c>
      <c r="J18" s="146" t="str" cm="1">
        <f t="array" ref="J18" xml:space="preserve"> INDEX(十五音聲母清單!$B$5:$I$26, $B18, J$2)</f>
        <v>s</v>
      </c>
    </row>
    <row r="19" spans="2:10" s="147" customFormat="1" ht="38.25">
      <c r="B19" s="143">
        <f xml:space="preserve"> MATCH(E19, 十五音聲母清單!$F$5:$F$26,0)</f>
        <v>13</v>
      </c>
      <c r="C19" s="144"/>
      <c r="D19" s="145">
        <v>14</v>
      </c>
      <c r="E19" s="145" t="s">
        <v>1654</v>
      </c>
      <c r="F19" s="146" t="str" cm="1">
        <f t="array" ref="F19" xml:space="preserve"> INDEX(十五音聲母清單!$B$5:$I$26, $B19, F$2)</f>
        <v>時</v>
      </c>
      <c r="G19" s="146" t="str" cm="1">
        <f t="array" ref="G19" xml:space="preserve"> INDEX(十五音聲母清單!$B$5:$I$26, $B19, G$2)</f>
        <v>ㄒ</v>
      </c>
      <c r="H19" s="146" t="str" cm="1">
        <f t="array" ref="H19" xml:space="preserve"> INDEX(十五音聲母清單!$B$5:$I$26, $B19, H$2)</f>
        <v>si</v>
      </c>
      <c r="I19" s="146" t="str" cm="1">
        <f t="array" ref="I19" xml:space="preserve"> INDEX(十五音聲母清單!$B$5:$I$26, $B19, I$2)</f>
        <v>si</v>
      </c>
      <c r="J19" s="146" t="str" cm="1">
        <f t="array" ref="J19" xml:space="preserve"> INDEX(十五音聲母清單!$B$5:$I$26, $B19, J$2)</f>
        <v>ɕ</v>
      </c>
    </row>
    <row r="20" spans="2:10" s="147" customFormat="1" ht="38.25">
      <c r="B20" s="143">
        <f xml:space="preserve"> MATCH(E20, 十五音聲母清單!$F$5:$F$26,0)</f>
        <v>10</v>
      </c>
      <c r="C20" s="144"/>
      <c r="D20" s="145">
        <v>15</v>
      </c>
      <c r="E20" s="146" t="s">
        <v>1655</v>
      </c>
      <c r="F20" s="146" t="str" cm="1">
        <f t="array" ref="F20" xml:space="preserve"> INDEX(十五音聲母清單!$B$5:$I$26, $B20, F$2)</f>
        <v>入</v>
      </c>
      <c r="G20" s="146" t="str" cm="1">
        <f t="array" ref="G20" xml:space="preserve"> INDEX(十五音聲母清單!$B$5:$I$26, $B20, G$2)</f>
        <v>ㆡ</v>
      </c>
      <c r="H20" s="146" t="str" cm="1">
        <f t="array" ref="H20" xml:space="preserve"> INDEX(十五音聲母清單!$B$5:$I$26, $B20, H$2)</f>
        <v>j</v>
      </c>
      <c r="I20" s="146" t="str" cm="1">
        <f t="array" ref="I20" xml:space="preserve"> INDEX(十五音聲母清單!$B$5:$I$26, $B20, I$2)</f>
        <v>j</v>
      </c>
      <c r="J20" s="146" t="str" cm="1">
        <f t="array" ref="J20" xml:space="preserve"> INDEX(十五音聲母清單!$B$5:$I$26, $B20, J$2)</f>
        <v>ʣ</v>
      </c>
    </row>
    <row r="21" spans="2:10" s="147" customFormat="1" ht="38.25">
      <c r="B21" s="143">
        <f xml:space="preserve"> MATCH(E21, 十五音聲母清單!$F$5:$F$26,0)</f>
        <v>11</v>
      </c>
      <c r="C21" s="144"/>
      <c r="D21" s="145">
        <v>16</v>
      </c>
      <c r="E21" s="146" t="s">
        <v>1656</v>
      </c>
      <c r="F21" s="146" t="str" cm="1">
        <f t="array" ref="F21" xml:space="preserve"> INDEX(十五音聲母清單!$B$5:$I$26, $B21, F$2)</f>
        <v>入</v>
      </c>
      <c r="G21" s="146" t="str" cm="1">
        <f t="array" ref="G21" xml:space="preserve"> INDEX(十五音聲母清單!$B$5:$I$26, $B21, G$2)</f>
        <v>ㆢ</v>
      </c>
      <c r="H21" s="146" t="str" cm="1">
        <f t="array" ref="H21" xml:space="preserve"> INDEX(十五音聲母清單!$B$5:$I$26, $B21, H$2)</f>
        <v>ji</v>
      </c>
      <c r="I21" s="146" t="str" cm="1">
        <f t="array" ref="I21" xml:space="preserve"> INDEX(十五音聲母清單!$B$5:$I$26, $B21, I$2)</f>
        <v>ji</v>
      </c>
      <c r="J21" s="146" t="str" cm="1">
        <f t="array" ref="J21" xml:space="preserve"> INDEX(十五音聲母清單!$B$5:$I$26, $B21, J$2)</f>
        <v>ʥ</v>
      </c>
    </row>
    <row r="22" spans="2:10" s="147" customFormat="1" ht="38.25">
      <c r="B22" s="143">
        <f xml:space="preserve"> MATCH(E22, 十五音聲母清單!$F$5:$F$26,0)</f>
        <v>3</v>
      </c>
      <c r="C22" s="144"/>
      <c r="D22" s="145">
        <v>17</v>
      </c>
      <c r="E22" s="146" t="s">
        <v>41</v>
      </c>
      <c r="F22" s="146" t="str" cm="1">
        <f t="array" ref="F22" xml:space="preserve"> INDEX(十五音聲母清單!$B$5:$I$26, $B22, F$2)</f>
        <v>求</v>
      </c>
      <c r="G22" s="146" t="str" cm="1">
        <f t="array" ref="G22" xml:space="preserve"> INDEX(十五音聲母清單!$B$5:$I$26, $B22, G$2)</f>
        <v>ㄍ</v>
      </c>
      <c r="H22" s="146" t="str" cm="1">
        <f t="array" ref="H22" xml:space="preserve"> INDEX(十五音聲母清單!$B$5:$I$26, $B22, H$2)</f>
        <v>k</v>
      </c>
      <c r="I22" s="146" t="str" cm="1">
        <f t="array" ref="I22" xml:space="preserve"> INDEX(十五音聲母清單!$B$5:$I$26, $B22, I$2)</f>
        <v>k</v>
      </c>
      <c r="J22" s="146" t="str" cm="1">
        <f t="array" ref="J22" xml:space="preserve"> INDEX(十五音聲母清單!$B$5:$I$26, $B22, J$2)</f>
        <v>k</v>
      </c>
    </row>
    <row r="23" spans="2:10" ht="38.25">
      <c r="B23" s="143">
        <f xml:space="preserve"> MATCH(E23, 十五音聲母清單!$F$5:$F$26,0)</f>
        <v>4</v>
      </c>
      <c r="D23" s="145">
        <v>18</v>
      </c>
      <c r="E23" s="252" t="s">
        <v>46</v>
      </c>
      <c r="F23" s="146" t="str" cm="1">
        <f t="array" ref="F23" xml:space="preserve"> INDEX(十五音聲母清單!$B$5:$I$26, $B23, F$2)</f>
        <v>去</v>
      </c>
      <c r="G23" s="146" t="str" cm="1">
        <f t="array" ref="G23" xml:space="preserve"> INDEX(十五音聲母清單!$B$5:$I$26, $B23, G$2)</f>
        <v>ㄎ</v>
      </c>
      <c r="H23" s="146" t="str" cm="1">
        <f t="array" ref="H23" xml:space="preserve"> INDEX(十五音聲母清單!$B$5:$I$26, $B23, H$2)</f>
        <v>kh</v>
      </c>
      <c r="I23" s="146" t="str" cm="1">
        <f t="array" ref="I23" xml:space="preserve"> INDEX(十五音聲母清單!$B$5:$I$26, $B23, I$2)</f>
        <v>kh</v>
      </c>
      <c r="J23" s="146" t="str" cm="1">
        <f t="array" ref="J23" xml:space="preserve"> INDEX(十五音聲母清單!$B$5:$I$26, $B23, J$2)</f>
        <v>kʰ</v>
      </c>
    </row>
    <row r="24" spans="2:10" ht="38.25">
      <c r="B24" s="143">
        <f xml:space="preserve"> MATCH(E24, 十五音聲母清單!$F$5:$F$26,0)</f>
        <v>22</v>
      </c>
      <c r="D24" s="145">
        <v>19</v>
      </c>
      <c r="E24" s="252" t="s">
        <v>52</v>
      </c>
      <c r="F24" s="146" t="str" cm="1">
        <f t="array" ref="F24" xml:space="preserve"> INDEX(十五音聲母清單!$B$5:$I$26, $B24, F$2)</f>
        <v>雅</v>
      </c>
      <c r="G24" s="146" t="str" cm="1">
        <f t="array" ref="G24" xml:space="preserve"> INDEX(十五音聲母清單!$B$5:$I$26, $B24, G$2)</f>
        <v>ㄫ</v>
      </c>
      <c r="H24" s="146" t="str" cm="1">
        <f t="array" ref="H24" xml:space="preserve"> INDEX(十五音聲母清單!$B$5:$I$26, $B24, H$2)</f>
        <v>ng</v>
      </c>
      <c r="I24" s="146" t="str" cm="1">
        <f t="array" ref="I24" xml:space="preserve"> INDEX(十五音聲母清單!$B$5:$I$26, $B24, I$2)</f>
        <v>ng</v>
      </c>
      <c r="J24" s="146" t="str" cm="1">
        <f t="array" ref="J24" xml:space="preserve"> INDEX(十五音聲母清單!$B$5:$I$26, $B24, J$2)</f>
        <v>ŋ</v>
      </c>
    </row>
    <row r="25" spans="2:10" ht="38.25">
      <c r="B25" s="143">
        <f xml:space="preserve"> MATCH(E25, 十五音聲母清單!$F$5:$F$26,0)</f>
        <v>16</v>
      </c>
      <c r="D25" s="145">
        <v>20</v>
      </c>
      <c r="E25" s="252" t="s">
        <v>56</v>
      </c>
      <c r="F25" s="146" t="str" cm="1">
        <f t="array" ref="F25" xml:space="preserve"> INDEX(十五音聲母清單!$B$5:$I$26, $B25, F$2)</f>
        <v>語</v>
      </c>
      <c r="G25" s="146" t="str" cm="1">
        <f t="array" ref="G25" xml:space="preserve"> INDEX(十五音聲母清單!$B$5:$I$26, $B25, G$2)</f>
        <v>ㆣ</v>
      </c>
      <c r="H25" s="146" t="str" cm="1">
        <f t="array" ref="H25" xml:space="preserve"> INDEX(十五音聲母清單!$B$5:$I$26, $B25, H$2)</f>
        <v>g</v>
      </c>
      <c r="I25" s="146" t="str" cm="1">
        <f t="array" ref="I25" xml:space="preserve"> INDEX(十五音聲母清單!$B$5:$I$26, $B25, I$2)</f>
        <v>g</v>
      </c>
      <c r="J25" s="146" t="str" cm="1">
        <f t="array" ref="J25" xml:space="preserve"> INDEX(十五音聲母清單!$B$5:$I$26, $B25, J$2)</f>
        <v>ɡ</v>
      </c>
    </row>
    <row r="26" spans="2:10" ht="38.25">
      <c r="B26" s="143">
        <f xml:space="preserve"> MATCH(E26, 十五音聲母清單!$F$5:$F$26,0)</f>
        <v>19</v>
      </c>
      <c r="D26" s="145">
        <v>21</v>
      </c>
      <c r="E26" s="252" t="s">
        <v>119</v>
      </c>
      <c r="F26" s="146" t="str" cm="1">
        <f t="array" ref="F26" xml:space="preserve"> INDEX(十五音聲母清單!$B$5:$I$26, $B26, F$2)</f>
        <v>喜</v>
      </c>
      <c r="G26" s="146" t="str" cm="1">
        <f t="array" ref="G26" xml:space="preserve"> INDEX(十五音聲母清單!$B$5:$I$26, $B26, G$2)</f>
        <v>ㄏ</v>
      </c>
      <c r="H26" s="146" t="str" cm="1">
        <f t="array" ref="H26" xml:space="preserve"> INDEX(十五音聲母清單!$B$5:$I$26, $B26, H$2)</f>
        <v>h</v>
      </c>
      <c r="I26" s="146" t="str" cm="1">
        <f t="array" ref="I26" xml:space="preserve"> INDEX(十五音聲母清單!$B$5:$I$26, $B26, I$2)</f>
        <v>h</v>
      </c>
      <c r="J26" s="146" t="str" cm="1">
        <f t="array" ref="J26" xml:space="preserve"> INDEX(十五音聲母清單!$B$5:$I$26, $B26, J$2)</f>
        <v>h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2696-E033-9240-A197-6D3E7179B514}">
  <sheetPr codeName="工作表4">
    <tabColor rgb="FF00B0F0"/>
  </sheetPr>
  <dimension ref="A1:M86"/>
  <sheetViews>
    <sheetView topLeftCell="E1" workbookViewId="0">
      <selection activeCell="L22" sqref="L22"/>
    </sheetView>
  </sheetViews>
  <sheetFormatPr defaultColWidth="10.7265625" defaultRowHeight="25.5" outlineLevelRow="1" outlineLevelCol="1"/>
  <cols>
    <col min="1" max="1" width="2.7265625" style="236" hidden="1" customWidth="1" outlineLevel="1"/>
    <col min="2" max="2" width="10.7265625" style="238" hidden="1" customWidth="1" outlineLevel="1"/>
    <col min="3" max="4" width="12.08984375" style="172" hidden="1" customWidth="1" outlineLevel="1"/>
    <col min="5" max="5" width="2.7265625" style="236" customWidth="1" collapsed="1"/>
    <col min="6" max="6" width="7.81640625" style="172" bestFit="1" customWidth="1"/>
    <col min="7" max="7" width="17.453125" style="238" customWidth="1"/>
    <col min="8" max="8" width="17.453125" style="238" customWidth="1" outlineLevel="1"/>
    <col min="9" max="9" width="17.453125" style="172" customWidth="1"/>
    <col min="10" max="13" width="17.453125" style="238" customWidth="1"/>
    <col min="14" max="16384" width="10.7265625" style="236"/>
  </cols>
  <sheetData>
    <row r="1" spans="2:13" outlineLevel="1">
      <c r="B1" s="242" cm="1">
        <f t="array" ref="B1">COLUMN()-COLUMN(($A:$A))</f>
        <v>1</v>
      </c>
      <c r="C1" s="235" cm="1">
        <f t="array" ref="C1">COLUMN()-COLUMN(($A:$A))</f>
        <v>2</v>
      </c>
      <c r="D1" s="235" cm="1">
        <f t="array" ref="D1">COLUMN()-COLUMN(($A:$A))</f>
        <v>3</v>
      </c>
      <c r="F1" s="235" cm="1">
        <f t="array" ref="F1">COLUMN()-COLUMN(($E:$E))</f>
        <v>1</v>
      </c>
      <c r="G1" s="235" cm="1">
        <f t="array" ref="G1">COLUMN()-COLUMN(($E:$E))</f>
        <v>2</v>
      </c>
      <c r="H1" s="235" cm="1">
        <f t="array" ref="H1">COLUMN()-COLUMN(($E:$E))</f>
        <v>3</v>
      </c>
      <c r="I1" s="235" cm="1">
        <f t="array" ref="I1">COLUMN()-COLUMN(($E:$E))</f>
        <v>4</v>
      </c>
      <c r="J1" s="235" cm="1">
        <f t="array" ref="J1">COLUMN()-COLUMN(($E:$E))</f>
        <v>5</v>
      </c>
      <c r="K1" s="235" cm="1">
        <f t="array" ref="K1">COLUMN()-COLUMN(($E:$E))</f>
        <v>6</v>
      </c>
      <c r="L1" s="235" cm="1">
        <f t="array" ref="L1">COLUMN()-COLUMN(($E:$E))</f>
        <v>7</v>
      </c>
      <c r="M1" s="235" cm="1">
        <f t="array" ref="M1">COLUMN()-COLUMN(($E:$E))</f>
        <v>8</v>
      </c>
    </row>
    <row r="2" spans="2:13" s="172" customFormat="1" ht="30" customHeight="1" outlineLevel="1">
      <c r="B2" s="236"/>
      <c r="D2" s="237">
        <v>2</v>
      </c>
      <c r="G2" s="237">
        <v>10</v>
      </c>
      <c r="H2" s="237">
        <v>5</v>
      </c>
      <c r="I2" s="237">
        <v>3</v>
      </c>
      <c r="J2" s="237">
        <v>7</v>
      </c>
      <c r="K2" s="237">
        <v>8</v>
      </c>
      <c r="L2" s="237">
        <v>9</v>
      </c>
      <c r="M2" s="237">
        <v>6</v>
      </c>
    </row>
    <row r="3" spans="2:13">
      <c r="G3" s="240"/>
      <c r="H3" s="239"/>
      <c r="J3" s="240"/>
      <c r="K3" s="240"/>
      <c r="L3" s="240"/>
      <c r="M3" s="239"/>
    </row>
    <row r="4" spans="2:13" s="172" customFormat="1">
      <c r="B4" s="251" t="s">
        <v>291</v>
      </c>
      <c r="C4" s="244" t="s">
        <v>1657</v>
      </c>
      <c r="D4" s="241" t="s">
        <v>286</v>
      </c>
      <c r="F4" s="241" t="s">
        <v>287</v>
      </c>
      <c r="G4" s="241" t="s">
        <v>1118</v>
      </c>
      <c r="H4" s="241" t="s">
        <v>288</v>
      </c>
      <c r="I4" s="241" t="s">
        <v>1658</v>
      </c>
      <c r="J4" s="241" t="s">
        <v>1115</v>
      </c>
      <c r="K4" s="241" t="s">
        <v>1116</v>
      </c>
      <c r="L4" s="241" t="s">
        <v>1117</v>
      </c>
      <c r="M4" s="241" t="s">
        <v>289</v>
      </c>
    </row>
    <row r="5" spans="2:13" ht="28.5">
      <c r="B5" s="243" t="s">
        <v>911</v>
      </c>
      <c r="C5" s="20">
        <f xml:space="preserve"> MATCH(B5, 十五音韻母清單!$K$6:$K$105,0)</f>
        <v>55</v>
      </c>
      <c r="D5" s="20" cm="1">
        <f t="array" ref="D5" xml:space="preserve"> INDEX(十五音韻母清單!$B$6:$K$105, $C5, D$2)</f>
        <v>28</v>
      </c>
      <c r="F5" s="20">
        <v>1</v>
      </c>
      <c r="G5" s="22" t="str" cm="1">
        <f t="array" ref="G5" xml:space="preserve"> INDEX(十五音韻母清單!$B$6:$K$105, $C5, G$2)</f>
        <v>ㄚ</v>
      </c>
      <c r="H5" s="22" t="str" cm="1">
        <f t="array" ref="H5" xml:space="preserve"> INDEX(十五音韻母清單!$B$6:$K$105, $C5, H$2)</f>
        <v>a</v>
      </c>
      <c r="I5" s="20" t="str" cm="1">
        <f t="array" ref="I5" xml:space="preserve"> INDEX(十五音韻母清單!$B$6:$K$105, $C5, I$2)</f>
        <v>膠</v>
      </c>
      <c r="J5" s="22" t="str" cm="1">
        <f t="array" ref="J5" xml:space="preserve"> INDEX(十五音韻母清單!$B$6:$K$105, 方音韻母排序!$C5,方音韻母排序!J$2)</f>
        <v>a</v>
      </c>
      <c r="K5" s="22" t="str" cm="1">
        <f t="array" ref="K5" xml:space="preserve"> INDEX(十五音韻母清單!$B$6:$K$105, 方音韻母排序!$C5,方音韻母排序!K$2)</f>
        <v>a</v>
      </c>
      <c r="L5" s="22" t="str" cm="1">
        <f t="array" ref="L5" xml:space="preserve"> INDEX(十五音韻母清單!$B$6:$K$105, 方音韻母排序!$C5,方音韻母排序!L$2)</f>
        <v>a</v>
      </c>
      <c r="M5" s="22" t="str" cm="1">
        <f t="array" ref="M5" xml:space="preserve"> INDEX(十五音韻母清單!$B$6:$K$105, 方音韻母排序!$C5,方音韻母排序!M$2)</f>
        <v>a</v>
      </c>
    </row>
    <row r="6" spans="2:13" ht="28.5">
      <c r="B6" s="243" t="s">
        <v>896</v>
      </c>
      <c r="C6" s="20">
        <f xml:space="preserve"> MATCH(B6, 十五音韻母清單!$K$6:$K$105,0)</f>
        <v>51</v>
      </c>
      <c r="D6" s="20" cm="1">
        <f t="array" ref="D6" xml:space="preserve"> INDEX(十五音韻母清單!$B$6:$K$105, $C6, D$2)</f>
        <v>26</v>
      </c>
      <c r="F6" s="20">
        <v>2</v>
      </c>
      <c r="G6" s="22" t="str" cm="1">
        <f t="array" ref="G6" xml:space="preserve"> INDEX(十五音韻母清單!$B$6:$K$105, $C6, G$2)</f>
        <v>ㆩ</v>
      </c>
      <c r="H6" s="22" t="str" cm="1">
        <f t="array" ref="H6" xml:space="preserve"> INDEX(十五音韻母清單!$B$6:$K$105, $C6, H$2)</f>
        <v>ann</v>
      </c>
      <c r="I6" s="20" t="str" cm="1">
        <f t="array" ref="I6" xml:space="preserve"> INDEX(十五音韻母清單!$B$6:$K$105, $C6, I$2)</f>
        <v>監</v>
      </c>
      <c r="J6" s="22" t="str" cm="1">
        <f t="array" ref="J6" xml:space="preserve"> INDEX(十五音韻母清單!$B$6:$K$105, 方音韻母排序!$C6,方音韻母排序!J$2)</f>
        <v>aⁿ</v>
      </c>
      <c r="K6" s="22" t="str" cm="1">
        <f t="array" ref="K6" xml:space="preserve"> INDEX(十五音韻母清單!$B$6:$K$105, 方音韻母排序!$C6,方音韻母排序!K$2)</f>
        <v>ann</v>
      </c>
      <c r="L6" s="22" t="str" cm="1">
        <f t="array" ref="L6" xml:space="preserve"> INDEX(十五音韻母清單!$B$6:$K$105, 方音韻母排序!$C6,方音韻母排序!L$2)</f>
        <v>na</v>
      </c>
      <c r="M6" s="22" t="str" cm="1">
        <f t="array" ref="M6" xml:space="preserve"> INDEX(十五音韻母清單!$B$6:$K$105, 方音韻母排序!$C6,方音韻母排序!M$2)</f>
        <v>ã</v>
      </c>
    </row>
    <row r="7" spans="2:13" ht="28.5">
      <c r="B7" s="243" t="s">
        <v>912</v>
      </c>
      <c r="C7" s="20">
        <f xml:space="preserve"> MATCH(B7, 十五音韻母清單!$K$6:$K$105,0)</f>
        <v>56</v>
      </c>
      <c r="D7" s="20" cm="1">
        <f t="array" ref="D7" xml:space="preserve"> INDEX(十五音韻母清單!$B$6:$K$105, $C7, D$2)</f>
        <v>28</v>
      </c>
      <c r="F7" s="20">
        <v>3</v>
      </c>
      <c r="G7" s="22" t="str" cm="1">
        <f t="array" ref="G7" xml:space="preserve"> INDEX(十五音韻母清單!$B$6:$K$105, $C7, G$2)</f>
        <v>ㄚㆷ</v>
      </c>
      <c r="H7" s="22" t="str" cm="1">
        <f t="array" ref="H7" xml:space="preserve"> INDEX(十五音韻母清單!$B$6:$K$105, $C7, H$2)</f>
        <v>ah</v>
      </c>
      <c r="I7" s="20" t="str" cm="1">
        <f t="array" ref="I7" xml:space="preserve"> INDEX(十五音韻母清單!$B$6:$K$105, $C7, I$2)</f>
        <v>膠</v>
      </c>
      <c r="J7" s="22" t="str" cm="1">
        <f t="array" ref="J7" xml:space="preserve"> INDEX(十五音韻母清單!$B$6:$K$105, 方音韻母排序!$C7,方音韻母排序!J$2)</f>
        <v>ah</v>
      </c>
      <c r="K7" s="22" t="str" cm="1">
        <f t="array" ref="K7" xml:space="preserve"> INDEX(十五音韻母清單!$B$6:$K$105, 方音韻母排序!$C7,方音韻母排序!K$2)</f>
        <v>ah</v>
      </c>
      <c r="L7" s="22" t="str" cm="1">
        <f t="array" ref="L7" xml:space="preserve"> INDEX(十五音韻母清單!$B$6:$K$105, 方音韻母排序!$C7,方音韻母排序!L$2)</f>
        <v>ah</v>
      </c>
      <c r="M7" s="22" t="str" cm="1">
        <f t="array" ref="M7" xml:space="preserve"> INDEX(十五音韻母清單!$B$6:$K$105, 方音韻母排序!$C7,方音韻母排序!M$2)</f>
        <v>a?</v>
      </c>
    </row>
    <row r="8" spans="2:13" ht="28.5">
      <c r="B8" s="243" t="s">
        <v>897</v>
      </c>
      <c r="C8" s="20">
        <f xml:space="preserve"> MATCH(B8, 十五音韻母清單!$K$6:$K$105,0)</f>
        <v>52</v>
      </c>
      <c r="D8" s="20" cm="1">
        <f t="array" ref="D8" xml:space="preserve"> INDEX(十五音韻母清單!$B$6:$K$105, $C8, D$2)</f>
        <v>26</v>
      </c>
      <c r="F8" s="20">
        <v>4</v>
      </c>
      <c r="G8" s="22" t="str" cm="1">
        <f t="array" ref="G8" xml:space="preserve"> INDEX(十五音韻母清單!$B$6:$K$105, $C8, G$2)</f>
        <v>ㆩㆷ</v>
      </c>
      <c r="H8" s="22" t="str" cm="1">
        <f t="array" ref="H8" xml:space="preserve"> INDEX(十五音韻母清單!$B$6:$K$105, $C8, H$2)</f>
        <v>annh</v>
      </c>
      <c r="I8" s="20" t="str" cm="1">
        <f t="array" ref="I8" xml:space="preserve"> INDEX(十五音韻母清單!$B$6:$K$105, $C8, I$2)</f>
        <v>監</v>
      </c>
      <c r="J8" s="22" t="str" cm="1">
        <f t="array" ref="J8" xml:space="preserve"> INDEX(十五音韻母清單!$B$6:$K$105, 方音韻母排序!$C8,方音韻母排序!J$2)</f>
        <v>ahⁿ</v>
      </c>
      <c r="K8" s="22" t="str" cm="1">
        <f t="array" ref="K8" xml:space="preserve"> INDEX(十五音韻母清單!$B$6:$K$105, 方音韻母排序!$C8,方音韻母排序!K$2)</f>
        <v>annh</v>
      </c>
      <c r="L8" s="22" t="str" cm="1">
        <f t="array" ref="L8" xml:space="preserve"> INDEX(十五音韻母清單!$B$6:$K$105, 方音韻母排序!$C8,方音韻母排序!L$2)</f>
        <v>nah</v>
      </c>
      <c r="M8" s="22" t="str" cm="1">
        <f t="array" ref="M8" xml:space="preserve"> INDEX(十五音韻母清單!$B$6:$K$105, 方音韻母排序!$C8,方音韻母排序!M$2)</f>
        <v>ã?</v>
      </c>
    </row>
    <row r="9" spans="2:13" ht="28.5">
      <c r="B9" s="243" t="s">
        <v>844</v>
      </c>
      <c r="C9" s="20">
        <f xml:space="preserve"> MATCH(B9, 十五音韻母清單!$K$6:$K$105,0)</f>
        <v>37</v>
      </c>
      <c r="D9" s="20" cm="1">
        <f t="array" ref="D9" xml:space="preserve"> INDEX(十五音韻母清單!$B$6:$K$105, $C9, D$2)</f>
        <v>19</v>
      </c>
      <c r="F9" s="20">
        <v>5</v>
      </c>
      <c r="G9" s="22" t="str" cm="1">
        <f t="array" ref="G9" xml:space="preserve"> INDEX(十五音韻母清單!$B$6:$K$105, $C9, G$2)</f>
        <v>ㆰ</v>
      </c>
      <c r="H9" s="22" t="str" cm="1">
        <f t="array" ref="H9" xml:space="preserve"> INDEX(十五音韻母清單!$B$6:$K$105, $C9, H$2)</f>
        <v>am</v>
      </c>
      <c r="I9" s="20" t="str" cm="1">
        <f t="array" ref="I9" xml:space="preserve"> INDEX(十五音韻母清單!$B$6:$K$105, $C9, I$2)</f>
        <v>甘</v>
      </c>
      <c r="J9" s="22" t="str" cm="1">
        <f t="array" ref="J9" xml:space="preserve"> INDEX(十五音韻母清單!$B$6:$K$105, 方音韻母排序!$C9,方音韻母排序!J$2)</f>
        <v>am</v>
      </c>
      <c r="K9" s="22" t="str" cm="1">
        <f t="array" ref="K9" xml:space="preserve"> INDEX(十五音韻母清單!$B$6:$K$105, 方音韻母排序!$C9,方音韻母排序!K$2)</f>
        <v>am</v>
      </c>
      <c r="L9" s="22" t="str" cm="1">
        <f t="array" ref="L9" xml:space="preserve"> INDEX(十五音韻母清單!$B$6:$K$105, 方音韻母排序!$C9,方音韻母排序!L$2)</f>
        <v>am</v>
      </c>
      <c r="M9" s="22" t="str" cm="1">
        <f t="array" ref="M9" xml:space="preserve"> INDEX(十五音韻母清單!$B$6:$K$105, 方音韻母排序!$C9,方音韻母排序!M$2)</f>
        <v>am</v>
      </c>
    </row>
    <row r="10" spans="2:13" ht="28.5">
      <c r="B10" s="243" t="s">
        <v>751</v>
      </c>
      <c r="C10" s="20">
        <f xml:space="preserve"> MATCH(B10, 十五音韻母清單!$K$6:$K$105,0)</f>
        <v>11</v>
      </c>
      <c r="D10" s="20" cm="1">
        <f t="array" ref="D10" xml:space="preserve"> INDEX(十五音韻母清單!$B$6:$K$105, $C10, D$2)</f>
        <v>6</v>
      </c>
      <c r="F10" s="20">
        <v>6</v>
      </c>
      <c r="G10" s="22" t="str" cm="1">
        <f t="array" ref="G10" xml:space="preserve"> INDEX(十五音韻母清單!$B$6:$K$105, $C10, G$2)</f>
        <v>ㄢ</v>
      </c>
      <c r="H10" s="22" t="str" cm="1">
        <f t="array" ref="H10" xml:space="preserve"> INDEX(十五音韻母清單!$B$6:$K$105, $C10, H$2)</f>
        <v>an</v>
      </c>
      <c r="I10" s="20" t="str" cm="1">
        <f t="array" ref="I10" xml:space="preserve"> INDEX(十五音韻母清單!$B$6:$K$105, $C10, I$2)</f>
        <v>干</v>
      </c>
      <c r="J10" s="22" t="str" cm="1">
        <f t="array" ref="J10" xml:space="preserve"> INDEX(十五音韻母清單!$B$6:$K$105, 方音韻母排序!$C10,方音韻母排序!J$2)</f>
        <v>an</v>
      </c>
      <c r="K10" s="22" t="str" cm="1">
        <f t="array" ref="K10" xml:space="preserve"> INDEX(十五音韻母清單!$B$6:$K$105, 方音韻母排序!$C10,方音韻母排序!K$2)</f>
        <v>an</v>
      </c>
      <c r="L10" s="22" t="str" cm="1">
        <f t="array" ref="L10" xml:space="preserve"> INDEX(十五音韻母清單!$B$6:$K$105, 方音韻母排序!$C10,方音韻母排序!L$2)</f>
        <v>an</v>
      </c>
      <c r="M10" s="22" t="str" cm="1">
        <f t="array" ref="M10" xml:space="preserve"> INDEX(十五音韻母清單!$B$6:$K$105, 方音韻母排序!$C10,方音韻母排序!M$2)</f>
        <v>an</v>
      </c>
    </row>
    <row r="11" spans="2:13" ht="28.5">
      <c r="B11" s="243" t="s">
        <v>856</v>
      </c>
      <c r="C11" s="20">
        <f xml:space="preserve"> MATCH(B11, 十五音韻母清單!$K$6:$K$105,0)</f>
        <v>41</v>
      </c>
      <c r="D11" s="20" cm="1">
        <f t="array" ref="D11" xml:space="preserve"> INDEX(十五音韻母清單!$B$6:$K$105, $C11, D$2)</f>
        <v>21</v>
      </c>
      <c r="F11" s="20">
        <v>7</v>
      </c>
      <c r="G11" s="22" t="str" cm="1">
        <f t="array" ref="G11" xml:space="preserve"> INDEX(十五音韻母清單!$B$6:$K$105, $C11, G$2)</f>
        <v>ㄤ</v>
      </c>
      <c r="H11" s="22" t="str" cm="1">
        <f t="array" ref="H11" xml:space="preserve"> INDEX(十五音韻母清單!$B$6:$K$105, $C11, H$2)</f>
        <v>ang</v>
      </c>
      <c r="I11" s="20" t="str" cm="1">
        <f t="array" ref="I11" xml:space="preserve"> INDEX(十五音韻母清單!$B$6:$K$105, $C11, I$2)</f>
        <v>江</v>
      </c>
      <c r="J11" s="22" t="str" cm="1">
        <f t="array" ref="J11" xml:space="preserve"> INDEX(十五音韻母清單!$B$6:$K$105, 方音韻母排序!$C11,方音韻母排序!J$2)</f>
        <v>ang</v>
      </c>
      <c r="K11" s="22" t="str" cm="1">
        <f t="array" ref="K11" xml:space="preserve"> INDEX(十五音韻母清單!$B$6:$K$105, 方音韻母排序!$C11,方音韻母排序!K$2)</f>
        <v>ang</v>
      </c>
      <c r="L11" s="22" t="str" cm="1">
        <f t="array" ref="L11" xml:space="preserve"> INDEX(十五音韻母清單!$B$6:$K$105, 方音韻母排序!$C11,方音韻母排序!L$2)</f>
        <v>ang</v>
      </c>
      <c r="M11" s="22" t="str" cm="1">
        <f t="array" ref="M11" xml:space="preserve"> INDEX(十五音韻母清單!$B$6:$K$105, 方音韻母排序!$C11,方音韻母排序!M$2)</f>
        <v>aŋ</v>
      </c>
    </row>
    <row r="12" spans="2:13" ht="28.5">
      <c r="B12" s="243" t="s">
        <v>845</v>
      </c>
      <c r="C12" s="20">
        <f xml:space="preserve"> MATCH(B12, 十五音韻母清單!$K$6:$K$105,0)</f>
        <v>38</v>
      </c>
      <c r="D12" s="20" cm="1">
        <f t="array" ref="D12" xml:space="preserve"> INDEX(十五音韻母清單!$B$6:$K$105, $C12, D$2)</f>
        <v>19</v>
      </c>
      <c r="F12" s="20">
        <v>8</v>
      </c>
      <c r="G12" s="22" t="str" cm="1">
        <f t="array" ref="G12" xml:space="preserve"> INDEX(十五音韻母清單!$B$6:$K$105, $C12, G$2)</f>
        <v>ㄚㆴ</v>
      </c>
      <c r="H12" s="22" t="str" cm="1">
        <f t="array" ref="H12" xml:space="preserve"> INDEX(十五音韻母清單!$B$6:$K$105, $C12, H$2)</f>
        <v>ap</v>
      </c>
      <c r="I12" s="20" t="str" cm="1">
        <f t="array" ref="I12" xml:space="preserve"> INDEX(十五音韻母清單!$B$6:$K$105, $C12, I$2)</f>
        <v>甘</v>
      </c>
      <c r="J12" s="22" t="str" cm="1">
        <f t="array" ref="J12" xml:space="preserve"> INDEX(十五音韻母清單!$B$6:$K$105, 方音韻母排序!$C12,方音韻母排序!J$2)</f>
        <v>ap</v>
      </c>
      <c r="K12" s="22" t="str" cm="1">
        <f t="array" ref="K12" xml:space="preserve"> INDEX(十五音韻母清單!$B$6:$K$105, 方音韻母排序!$C12,方音韻母排序!K$2)</f>
        <v>ap</v>
      </c>
      <c r="L12" s="22" t="str" cm="1">
        <f t="array" ref="L12" xml:space="preserve"> INDEX(十五音韻母清單!$B$6:$K$105, 方音韻母排序!$C12,方音韻母排序!L$2)</f>
        <v>ap</v>
      </c>
      <c r="M12" s="22" t="str" cm="1">
        <f t="array" ref="M12" xml:space="preserve"> INDEX(十五音韻母清單!$B$6:$K$105, 方音韻母排序!$C12,方音韻母排序!M$2)</f>
        <v>ap̚</v>
      </c>
    </row>
    <row r="13" spans="2:13" ht="28.5">
      <c r="B13" s="243" t="s">
        <v>752</v>
      </c>
      <c r="C13" s="20">
        <f xml:space="preserve"> MATCH(B13, 十五音韻母清單!$K$6:$K$105,0)</f>
        <v>12</v>
      </c>
      <c r="D13" s="20" cm="1">
        <f t="array" ref="D13" xml:space="preserve"> INDEX(十五音韻母清單!$B$6:$K$105, $C13, D$2)</f>
        <v>6</v>
      </c>
      <c r="F13" s="20">
        <v>9</v>
      </c>
      <c r="G13" s="22" t="str" cm="1">
        <f t="array" ref="G13" xml:space="preserve"> INDEX(十五音韻母清單!$B$6:$K$105, $C13, G$2)</f>
        <v>ㄚㆵ</v>
      </c>
      <c r="H13" s="22" t="str" cm="1">
        <f t="array" ref="H13" xml:space="preserve"> INDEX(十五音韻母清單!$B$6:$K$105, $C13, H$2)</f>
        <v>at</v>
      </c>
      <c r="I13" s="20" t="str" cm="1">
        <f t="array" ref="I13" xml:space="preserve"> INDEX(十五音韻母清單!$B$6:$K$105, $C13, I$2)</f>
        <v>干</v>
      </c>
      <c r="J13" s="22" t="str" cm="1">
        <f t="array" ref="J13" xml:space="preserve"> INDEX(十五音韻母清單!$B$6:$K$105, 方音韻母排序!$C13,方音韻母排序!J$2)</f>
        <v>at</v>
      </c>
      <c r="K13" s="22" t="str" cm="1">
        <f t="array" ref="K13" xml:space="preserve"> INDEX(十五音韻母清單!$B$6:$K$105, 方音韻母排序!$C13,方音韻母排序!K$2)</f>
        <v>ap</v>
      </c>
      <c r="L13" s="22" t="str" cm="1">
        <f t="array" ref="L13" xml:space="preserve"> INDEX(十五音韻母清單!$B$6:$K$105, 方音韻母排序!$C13,方音韻母排序!L$2)</f>
        <v>at</v>
      </c>
      <c r="M13" s="22" t="str" cm="1">
        <f t="array" ref="M13" xml:space="preserve"> INDEX(十五音韻母清單!$B$6:$K$105, 方音韻母排序!$C13,方音韻母排序!M$2)</f>
        <v>at̚</v>
      </c>
    </row>
    <row r="14" spans="2:13" ht="28.5">
      <c r="B14" s="247" t="s">
        <v>1659</v>
      </c>
      <c r="C14" s="20">
        <f xml:space="preserve"> MATCH(B14, 十五音韻母清單!$K$6:$K$105,0)</f>
        <v>42</v>
      </c>
      <c r="D14" s="20" cm="1">
        <f t="array" ref="D14" xml:space="preserve"> INDEX(十五音韻母清單!$B$6:$K$105, $C14, D$2)</f>
        <v>21</v>
      </c>
      <c r="F14" s="20">
        <v>10</v>
      </c>
      <c r="G14" s="22" t="str" cm="1">
        <f t="array" ref="G14" xml:space="preserve"> INDEX(十五音韻母清單!$B$6:$K$105, $C14, G$2)</f>
        <v>ㄚㆻ</v>
      </c>
      <c r="H14" s="22" t="str" cm="1">
        <f t="array" ref="H14" xml:space="preserve"> INDEX(十五音韻母清單!$B$6:$K$105, $C14, H$2)</f>
        <v>ak</v>
      </c>
      <c r="I14" s="20" t="str" cm="1">
        <f t="array" ref="I14" xml:space="preserve"> INDEX(十五音韻母清單!$B$6:$K$105, $C14, I$2)</f>
        <v>江</v>
      </c>
      <c r="J14" s="22" t="str" cm="1">
        <f t="array" ref="J14" xml:space="preserve"> INDEX(十五音韻母清單!$B$6:$K$105, 方音韻母排序!$C14,方音韻母排序!J$2)</f>
        <v>ak</v>
      </c>
      <c r="K14" s="22" t="str" cm="1">
        <f t="array" ref="K14" xml:space="preserve"> INDEX(十五音韻母清單!$B$6:$K$105, 方音韻母排序!$C14,方音韻母排序!K$2)</f>
        <v>ak</v>
      </c>
      <c r="L14" s="22" t="str" cm="1">
        <f t="array" ref="L14" xml:space="preserve"> INDEX(十五音韻母清單!$B$6:$K$105, 方音韻母排序!$C14,方音韻母排序!L$2)</f>
        <v>ak</v>
      </c>
      <c r="M14" s="22" t="str" cm="1">
        <f t="array" ref="M14" xml:space="preserve"> INDEX(十五音韻母清單!$B$6:$K$105, 方音韻母排序!$C14,方音韻母排序!M$2)</f>
        <v>ak̚</v>
      </c>
    </row>
    <row r="15" spans="2:13" ht="28.5">
      <c r="B15" s="243" t="s">
        <v>826</v>
      </c>
      <c r="C15" s="20">
        <f xml:space="preserve"> MATCH(B15, 十五音韻母清單!$K$6:$K$105,0)</f>
        <v>31</v>
      </c>
      <c r="D15" s="20" cm="1">
        <f t="array" ref="D15" xml:space="preserve"> INDEX(十五音韻母清單!$B$6:$K$105, $C15, D$2)</f>
        <v>16</v>
      </c>
      <c r="F15" s="20">
        <v>11</v>
      </c>
      <c r="G15" s="22" t="str" cm="1">
        <f t="array" ref="G15" xml:space="preserve"> INDEX(十五音韻母清單!$B$6:$K$105, $C15, G$2)</f>
        <v>ㄞ</v>
      </c>
      <c r="H15" s="22" t="str" cm="1">
        <f t="array" ref="H15" xml:space="preserve"> INDEX(十五音韻母清單!$B$6:$K$105, $C15, H$2)</f>
        <v>ai</v>
      </c>
      <c r="I15" s="20" t="str" cm="1">
        <f t="array" ref="I15" xml:space="preserve"> INDEX(十五音韻母清單!$B$6:$K$105, $C15, I$2)</f>
        <v>皆</v>
      </c>
      <c r="J15" s="22" t="str" cm="1">
        <f t="array" ref="J15" xml:space="preserve"> INDEX(十五音韻母清單!$B$6:$K$105, 方音韻母排序!$C15,方音韻母排序!J$2)</f>
        <v>ai</v>
      </c>
      <c r="K15" s="22" t="str" cm="1">
        <f t="array" ref="K15" xml:space="preserve"> INDEX(十五音韻母清單!$B$6:$K$105, 方音韻母排序!$C15,方音韻母排序!K$2)</f>
        <v>ai</v>
      </c>
      <c r="L15" s="22" t="str" cm="1">
        <f t="array" ref="L15" xml:space="preserve"> INDEX(十五音韻母清單!$B$6:$K$105, 方音韻母排序!$C15,方音韻母排序!L$2)</f>
        <v>ai</v>
      </c>
      <c r="M15" s="22" t="str" cm="1">
        <f t="array" ref="M15" xml:space="preserve"> INDEX(十五音韻母清單!$B$6:$K$105, 方音韻母排序!$C15,方音韻母排序!M$2)</f>
        <v>ai</v>
      </c>
    </row>
    <row r="16" spans="2:13" ht="28.5">
      <c r="B16" s="243" t="s">
        <v>1018</v>
      </c>
      <c r="C16" s="20">
        <f xml:space="preserve"> MATCH(B16, 十五音韻母清單!$K$6:$K$105,0)</f>
        <v>79</v>
      </c>
      <c r="D16" s="20" cm="1">
        <f t="array" ref="D16" xml:space="preserve"> INDEX(十五音韻母清單!$B$6:$K$105, $C16, D$2)</f>
        <v>40</v>
      </c>
      <c r="F16" s="20">
        <v>12</v>
      </c>
      <c r="G16" s="22" t="str" cm="1">
        <f t="array" ref="G16" xml:space="preserve"> INDEX(十五音韻母清單!$B$6:$K$105, $C16, G$2)</f>
        <v>ㆮ</v>
      </c>
      <c r="H16" s="22" t="str" cm="1">
        <f t="array" ref="H16" xml:space="preserve"> INDEX(十五音韻母清單!$B$6:$K$105, $C16, H$2)</f>
        <v>ainn</v>
      </c>
      <c r="I16" s="20" t="str" cm="1">
        <f t="array" ref="I16" xml:space="preserve"> INDEX(十五音韻母清單!$B$6:$K$105, $C16, I$2)</f>
        <v>閒</v>
      </c>
      <c r="J16" s="22" t="str" cm="1">
        <f t="array" ref="J16" xml:space="preserve"> INDEX(十五音韻母清單!$B$6:$K$105, 方音韻母排序!$C16,方音韻母排序!J$2)</f>
        <v>aiⁿ</v>
      </c>
      <c r="K16" s="22" t="str" cm="1">
        <f t="array" ref="K16" xml:space="preserve"> INDEX(十五音韻母清單!$B$6:$K$105, 方音韻母排序!$C16,方音韻母排序!K$2)</f>
        <v>ainn</v>
      </c>
      <c r="L16" s="22" t="str" cm="1">
        <f t="array" ref="L16" xml:space="preserve"> INDEX(十五音韻母清單!$B$6:$K$105, 方音韻母排序!$C16,方音韻母排序!L$2)</f>
        <v>nai</v>
      </c>
      <c r="M16" s="22" t="str" cm="1">
        <f t="array" ref="M16" xml:space="preserve"> INDEX(十五音韻母清單!$B$6:$K$105, 方音韻母排序!$C16,方音韻母排序!M$2)</f>
        <v>aĩ</v>
      </c>
    </row>
    <row r="17" spans="2:13" ht="28.5">
      <c r="B17" s="243" t="s">
        <v>827</v>
      </c>
      <c r="C17" s="20">
        <f xml:space="preserve"> MATCH(B17, 十五音韻母清單!$K$6:$K$105,0)</f>
        <v>32</v>
      </c>
      <c r="D17" s="20" cm="1">
        <f t="array" ref="D17" xml:space="preserve"> INDEX(十五音韻母清單!$B$6:$K$105, $C17, D$2)</f>
        <v>16</v>
      </c>
      <c r="F17" s="20">
        <v>13</v>
      </c>
      <c r="G17" s="22" t="str" cm="1">
        <f t="array" ref="G17" xml:space="preserve"> INDEX(十五音韻母清單!$B$6:$K$105, $C17, G$2)</f>
        <v>ㄞㆷ</v>
      </c>
      <c r="H17" s="22" t="str" cm="1">
        <f t="array" ref="H17" xml:space="preserve"> INDEX(十五音韻母清單!$B$6:$K$105, $C17, H$2)</f>
        <v>aih</v>
      </c>
      <c r="I17" s="20" t="str" cm="1">
        <f t="array" ref="I17" xml:space="preserve"> INDEX(十五音韻母清單!$B$6:$K$105, $C17, I$2)</f>
        <v>皆</v>
      </c>
      <c r="J17" s="22" t="str" cm="1">
        <f t="array" ref="J17" xml:space="preserve"> INDEX(十五音韻母清單!$B$6:$K$105, 方音韻母排序!$C17,方音韻母排序!J$2)</f>
        <v>aih</v>
      </c>
      <c r="K17" s="22" t="str" cm="1">
        <f t="array" ref="K17" xml:space="preserve"> INDEX(十五音韻母清單!$B$6:$K$105, 方音韻母排序!$C17,方音韻母排序!K$2)</f>
        <v>aih</v>
      </c>
      <c r="L17" s="22" t="str" cm="1">
        <f t="array" ref="L17" xml:space="preserve"> INDEX(十五音韻母清單!$B$6:$K$105, 方音韻母排序!$C17,方音韻母排序!L$2)</f>
        <v>aih</v>
      </c>
      <c r="M17" s="22" t="str" cm="1">
        <f t="array" ref="M17" xml:space="preserve"> INDEX(十五音韻母清單!$B$6:$K$105, 方音韻母排序!$C17,方音韻母排序!M$2)</f>
        <v>ai?</v>
      </c>
    </row>
    <row r="18" spans="2:13" ht="28.5">
      <c r="B18" s="243" t="s">
        <v>870</v>
      </c>
      <c r="C18" s="20">
        <f xml:space="preserve"> MATCH(B18, 十五音韻母清單!$K$6:$K$105,0)</f>
        <v>45</v>
      </c>
      <c r="D18" s="20" cm="1">
        <f t="array" ref="D18" xml:space="preserve"> INDEX(十五音韻母清單!$B$6:$K$105, $C18, D$2)</f>
        <v>23</v>
      </c>
      <c r="F18" s="20">
        <v>14</v>
      </c>
      <c r="G18" s="22" t="str" cm="1">
        <f t="array" ref="G18" xml:space="preserve"> INDEX(十五音韻母清單!$B$6:$K$105, $C18, G$2)</f>
        <v>ㄠ</v>
      </c>
      <c r="H18" s="22" t="str" cm="1">
        <f t="array" ref="H18" xml:space="preserve"> INDEX(十五音韻母清單!$B$6:$K$105, $C18, H$2)</f>
        <v>au</v>
      </c>
      <c r="I18" s="20" t="str" cm="1">
        <f t="array" ref="I18" xml:space="preserve"> INDEX(十五音韻母清單!$B$6:$K$105, $C18, I$2)</f>
        <v>交</v>
      </c>
      <c r="J18" s="22" t="str" cm="1">
        <f t="array" ref="J18" xml:space="preserve"> INDEX(十五音韻母清單!$B$6:$K$105, 方音韻母排序!$C18,方音韻母排序!J$2)</f>
        <v>au</v>
      </c>
      <c r="K18" s="22" t="str" cm="1">
        <f t="array" ref="K18" xml:space="preserve"> INDEX(十五音韻母清單!$B$6:$K$105, 方音韻母排序!$C18,方音韻母排序!K$2)</f>
        <v>au</v>
      </c>
      <c r="L18" s="22" t="str" cm="1">
        <f t="array" ref="L18" xml:space="preserve"> INDEX(十五音韻母清單!$B$6:$K$105, 方音韻母排序!$C18,方音韻母排序!L$2)</f>
        <v>ao</v>
      </c>
      <c r="M18" s="22" t="str" cm="1">
        <f t="array" ref="M18" xml:space="preserve"> INDEX(十五音韻母清單!$B$6:$K$105, 方音韻母排序!$C18,方音韻母排序!M$2)</f>
        <v>au</v>
      </c>
    </row>
    <row r="19" spans="2:13" ht="28.5">
      <c r="B19" s="243" t="s">
        <v>871</v>
      </c>
      <c r="C19" s="20">
        <f xml:space="preserve"> MATCH(B19, 十五音韻母清單!$K$6:$K$105,0)</f>
        <v>46</v>
      </c>
      <c r="D19" s="20" cm="1">
        <f t="array" ref="D19" xml:space="preserve"> INDEX(十五音韻母清單!$B$6:$K$105, $C19, D$2)</f>
        <v>23</v>
      </c>
      <c r="F19" s="20">
        <v>15</v>
      </c>
      <c r="G19" s="22" t="str" cm="1">
        <f t="array" ref="G19" xml:space="preserve"> INDEX(十五音韻母清單!$B$6:$K$105, $C19, G$2)</f>
        <v>ㄠㆷ</v>
      </c>
      <c r="H19" s="22" t="str" cm="1">
        <f t="array" ref="H19" xml:space="preserve"> INDEX(十五音韻母清單!$B$6:$K$105, $C19, H$2)</f>
        <v>auh</v>
      </c>
      <c r="I19" s="20" t="str" cm="1">
        <f t="array" ref="I19" xml:space="preserve"> INDEX(十五音韻母清單!$B$6:$K$105, $C19, I$2)</f>
        <v>交</v>
      </c>
      <c r="J19" s="22" t="str" cm="1">
        <f t="array" ref="J19" xml:space="preserve"> INDEX(十五音韻母清單!$B$6:$K$105, 方音韻母排序!$C19,方音韻母排序!J$2)</f>
        <v>auh</v>
      </c>
      <c r="K19" s="22" t="str" cm="1">
        <f t="array" ref="K19" xml:space="preserve"> INDEX(十五音韻母清單!$B$6:$K$105, 方音韻母排序!$C19,方音韻母排序!K$2)</f>
        <v>auh</v>
      </c>
      <c r="L19" s="22" t="str" cm="1">
        <f t="array" ref="L19" xml:space="preserve"> INDEX(十五音韻母清單!$B$6:$K$105, 方音韻母排序!$C19,方音韻母排序!L$2)</f>
        <v>aoh</v>
      </c>
      <c r="M19" s="22" t="str" cm="1">
        <f t="array" ref="M19" xml:space="preserve"> INDEX(十五音韻母清單!$B$6:$K$105, 方音韻母排序!$C19,方音韻母排序!M$2)</f>
        <v>au?</v>
      </c>
    </row>
    <row r="20" spans="2:13" ht="28.5">
      <c r="B20" s="243" t="s">
        <v>1009</v>
      </c>
      <c r="C20" s="20">
        <f xml:space="preserve"> MATCH(B20, 十五音韻母清單!$K$6:$K$105,0)</f>
        <v>77</v>
      </c>
      <c r="D20" s="20" cm="1">
        <f t="array" ref="D20" xml:space="preserve"> INDEX(十五音韻母清單!$B$6:$K$105, $C20, D$2)</f>
        <v>39</v>
      </c>
      <c r="F20" s="20">
        <v>16</v>
      </c>
      <c r="G20" s="22" t="str" cm="1">
        <f t="array" ref="G20" xml:space="preserve"> INDEX(十五音韻母清單!$B$6:$K$105, $C20, G$2)</f>
        <v>ㆤ</v>
      </c>
      <c r="H20" s="22" t="str" cm="1">
        <f t="array" ref="H20" xml:space="preserve"> INDEX(十五音韻母清單!$B$6:$K$105, $C20, H$2)</f>
        <v>e</v>
      </c>
      <c r="I20" s="20" t="str" cm="1">
        <f t="array" ref="I20" xml:space="preserve"> INDEX(十五音韻母清單!$B$6:$K$105, $C20, I$2)</f>
        <v>伽</v>
      </c>
      <c r="J20" s="22" t="str" cm="1">
        <f t="array" ref="J20" xml:space="preserve"> INDEX(十五音韻母清單!$B$6:$K$105, 方音韻母排序!$C20,方音韻母排序!J$2)</f>
        <v>e</v>
      </c>
      <c r="K20" s="22" t="str" cm="1">
        <f t="array" ref="K20" xml:space="preserve"> INDEX(十五音韻母清單!$B$6:$K$105, 方音韻母排序!$C20,方音韻母排序!K$2)</f>
        <v>e</v>
      </c>
      <c r="L20" s="22" t="str" cm="1">
        <f t="array" ref="L20" xml:space="preserve"> INDEX(十五音韻母清單!$B$6:$K$105, 方音韻母排序!$C20,方音韻母排序!L$2)</f>
        <v>e</v>
      </c>
      <c r="M20" s="22" t="str" cm="1">
        <f t="array" ref="M20" xml:space="preserve"> INDEX(十五音韻母清單!$B$6:$K$105, 方音韻母排序!$C20,方音韻母排序!M$2)</f>
        <v>e</v>
      </c>
    </row>
    <row r="21" spans="2:13" ht="28.5">
      <c r="B21" s="243" t="s">
        <v>932</v>
      </c>
      <c r="C21" s="20">
        <f xml:space="preserve"> MATCH(B21, 十五音韻母清單!$K$6:$K$105,0)</f>
        <v>61</v>
      </c>
      <c r="D21" s="20" cm="1">
        <f t="array" ref="D21" xml:space="preserve"> INDEX(十五音韻母清單!$B$6:$K$105, $C21, D$2)</f>
        <v>31</v>
      </c>
      <c r="F21" s="20">
        <v>17</v>
      </c>
      <c r="G21" s="22" t="str" cm="1">
        <f t="array" ref="G21" xml:space="preserve"> INDEX(十五音韻母清單!$B$6:$K$105, $C21, G$2)</f>
        <v>ㆥ</v>
      </c>
      <c r="H21" s="22" t="str" cm="1">
        <f t="array" ref="H21" xml:space="preserve"> INDEX(十五音韻母清單!$B$6:$K$105, $C21, H$2)</f>
        <v>enn</v>
      </c>
      <c r="I21" s="20" t="str" cm="1">
        <f t="array" ref="I21" xml:space="preserve"> INDEX(十五音韻母清單!$B$6:$K$105, $C21, I$2)</f>
        <v>更</v>
      </c>
      <c r="J21" s="22" t="str" cm="1">
        <f t="array" ref="J21" xml:space="preserve"> INDEX(十五音韻母清單!$B$6:$K$105, 方音韻母排序!$C21,方音韻母排序!J$2)</f>
        <v>eⁿ</v>
      </c>
      <c r="K21" s="22" t="str" cm="1">
        <f t="array" ref="K21" xml:space="preserve"> INDEX(十五音韻母清單!$B$6:$K$105, 方音韻母排序!$C21,方音韻母排序!K$2)</f>
        <v>enn</v>
      </c>
      <c r="L21" s="22" t="str" cm="1">
        <f t="array" ref="L21" xml:space="preserve"> INDEX(十五音韻母清單!$B$6:$K$105, 方音韻母排序!$C21,方音韻母排序!L$2)</f>
        <v>ne</v>
      </c>
      <c r="M21" s="22" t="str" cm="1">
        <f t="array" ref="M21" xml:space="preserve"> INDEX(十五音韻母清單!$B$6:$K$105, 方音韻母排序!$C21,方音韻母排序!M$2)</f>
        <v>ɛ̃</v>
      </c>
    </row>
    <row r="22" spans="2:13" ht="28.5">
      <c r="B22" s="243" t="s">
        <v>1010</v>
      </c>
      <c r="C22" s="20">
        <f xml:space="preserve"> MATCH(B22, 十五音韻母清單!$K$6:$K$105,0)</f>
        <v>78</v>
      </c>
      <c r="D22" s="20" cm="1">
        <f t="array" ref="D22" xml:space="preserve"> INDEX(十五音韻母清單!$B$6:$K$105, $C22, D$2)</f>
        <v>39</v>
      </c>
      <c r="F22" s="20">
        <v>18</v>
      </c>
      <c r="G22" s="22" t="str" cm="1">
        <f t="array" ref="G22" xml:space="preserve"> INDEX(十五音韻母清單!$B$6:$K$105, $C22, G$2)</f>
        <v>ㆤㆷ</v>
      </c>
      <c r="H22" s="22" t="str" cm="1">
        <f t="array" ref="H22" xml:space="preserve"> INDEX(十五音韻母清單!$B$6:$K$105, $C22, H$2)</f>
        <v>eh</v>
      </c>
      <c r="I22" s="20" t="str" cm="1">
        <f t="array" ref="I22" xml:space="preserve"> INDEX(十五音韻母清單!$B$6:$K$105, $C22, I$2)</f>
        <v>伽</v>
      </c>
      <c r="J22" s="22" t="str" cm="1">
        <f t="array" ref="J22" xml:space="preserve"> INDEX(十五音韻母清單!$B$6:$K$105, 方音韻母排序!$C22,方音韻母排序!J$2)</f>
        <v>eh</v>
      </c>
      <c r="K22" s="22" t="str" cm="1">
        <f t="array" ref="K22" xml:space="preserve"> INDEX(十五音韻母清單!$B$6:$K$105, 方音韻母排序!$C22,方音韻母排序!K$2)</f>
        <v>eh</v>
      </c>
      <c r="L22" s="22" t="str" cm="1">
        <f t="array" ref="L22" xml:space="preserve"> INDEX(十五音韻母清單!$B$6:$K$105, 方音韻母排序!$C22,方音韻母排序!L$2)</f>
        <v>eh</v>
      </c>
      <c r="M22" s="22" t="str" cm="1">
        <f t="array" ref="M22" xml:space="preserve"> INDEX(十五音韻母清單!$B$6:$K$105, 方音韻母排序!$C22,方音韻母排序!M$2)</f>
        <v>e?</v>
      </c>
    </row>
    <row r="23" spans="2:13" ht="28.5">
      <c r="B23" s="243" t="s">
        <v>933</v>
      </c>
      <c r="C23" s="20">
        <f xml:space="preserve"> MATCH(B23, 十五音韻母清單!$K$6:$K$105,0)</f>
        <v>62</v>
      </c>
      <c r="D23" s="20" cm="1">
        <f t="array" ref="D23" xml:space="preserve"> INDEX(十五音韻母清單!$B$6:$K$105, $C23, D$2)</f>
        <v>31</v>
      </c>
      <c r="F23" s="20">
        <v>19</v>
      </c>
      <c r="G23" s="22" t="str" cm="1">
        <f t="array" ref="G23" xml:space="preserve"> INDEX(十五音韻母清單!$B$6:$K$105, $C23, G$2)</f>
        <v>ㆥㆷ</v>
      </c>
      <c r="H23" s="22" t="str" cm="1">
        <f t="array" ref="H23" xml:space="preserve"> INDEX(十五音韻母清單!$B$6:$K$105, $C23, H$2)</f>
        <v>ennh</v>
      </c>
      <c r="I23" s="20" t="str" cm="1">
        <f t="array" ref="I23" xml:space="preserve"> INDEX(十五音韻母清單!$B$6:$K$105, $C23, I$2)</f>
        <v>更</v>
      </c>
      <c r="J23" s="22" t="str" cm="1">
        <f t="array" ref="J23" xml:space="preserve"> INDEX(十五音韻母清單!$B$6:$K$105, 方音韻母排序!$C23,方音韻母排序!J$2)</f>
        <v>ehⁿ</v>
      </c>
      <c r="K23" s="22" t="str" cm="1">
        <f t="array" ref="K23" xml:space="preserve"> INDEX(十五音韻母清單!$B$6:$K$105, 方音韻母排序!$C23,方音韻母排序!K$2)</f>
        <v>ennh</v>
      </c>
      <c r="L23" s="22" t="str" cm="1">
        <f t="array" ref="L23" xml:space="preserve"> INDEX(十五音韻母清單!$B$6:$K$105, 方音韻母排序!$C23,方音韻母排序!L$2)</f>
        <v>neh</v>
      </c>
      <c r="M23" s="22" t="str" cm="1">
        <f t="array" ref="M23" xml:space="preserve"> INDEX(十五音韻母清單!$B$6:$K$105, 方音韻母排序!$C23,方音韻母排序!M$2)</f>
        <v>ɛ̃?</v>
      </c>
    </row>
    <row r="24" spans="2:13" ht="28.5">
      <c r="B24" s="243" t="s">
        <v>917</v>
      </c>
      <c r="C24" s="20">
        <f xml:space="preserve"> MATCH(B24, 十五音韻母清單!$K$6:$K$105,0)</f>
        <v>57</v>
      </c>
      <c r="D24" s="20" cm="1">
        <f t="array" ref="D24" xml:space="preserve"> INDEX(十五音韻母清單!$B$6:$K$105, $C24, D$2)</f>
        <v>29</v>
      </c>
      <c r="F24" s="20">
        <v>20</v>
      </c>
      <c r="G24" s="22" t="str" cm="1">
        <f t="array" ref="G24" xml:space="preserve"> INDEX(十五音韻母清單!$B$6:$K$105, $C24, G$2)</f>
        <v>ㄧ</v>
      </c>
      <c r="H24" s="22" t="str" cm="1">
        <f t="array" ref="H24" xml:space="preserve"> INDEX(十五音韻母清單!$B$6:$K$105, $C24, H$2)</f>
        <v>i</v>
      </c>
      <c r="I24" s="20" t="str" cm="1">
        <f t="array" ref="I24" xml:space="preserve"> INDEX(十五音韻母清單!$B$6:$K$105, $C24, I$2)</f>
        <v>居</v>
      </c>
      <c r="J24" s="22" t="str" cm="1">
        <f t="array" ref="J24" xml:space="preserve"> INDEX(十五音韻母清單!$B$6:$K$105, 方音韻母排序!$C24,方音韻母排序!J$2)</f>
        <v>i</v>
      </c>
      <c r="K24" s="22" t="str" cm="1">
        <f t="array" ref="K24" xml:space="preserve"> INDEX(十五音韻母清單!$B$6:$K$105, 方音韻母排序!$C24,方音韻母排序!K$2)</f>
        <v>i</v>
      </c>
      <c r="L24" s="22" t="str" cm="1">
        <f t="array" ref="L24" xml:space="preserve"> INDEX(十五音韻母清單!$B$6:$K$105, 方音韻母排序!$C24,方音韻母排序!L$2)</f>
        <v>i</v>
      </c>
      <c r="M24" s="22" t="str" cm="1">
        <f t="array" ref="M24" xml:space="preserve"> INDEX(十五音韻母清單!$B$6:$K$105, 方音韻母排序!$C24,方音韻母排序!M$2)</f>
        <v>i</v>
      </c>
    </row>
    <row r="25" spans="2:13" ht="28.5">
      <c r="B25" s="243" t="s">
        <v>962</v>
      </c>
      <c r="C25" s="20">
        <f xml:space="preserve"> MATCH(B25, 十五音韻母清單!$K$6:$K$105,0)</f>
        <v>67</v>
      </c>
      <c r="D25" s="20" cm="1">
        <f t="array" ref="D25" xml:space="preserve"> INDEX(十五音韻母清單!$B$6:$K$105, $C25, D$2)</f>
        <v>34</v>
      </c>
      <c r="F25" s="20">
        <v>21</v>
      </c>
      <c r="G25" s="22" t="str" cm="1">
        <f t="array" ref="G25" xml:space="preserve"> INDEX(十五音韻母清單!$B$6:$K$105, $C25, G$2)</f>
        <v>ㆪ</v>
      </c>
      <c r="H25" s="22" t="str" cm="1">
        <f t="array" ref="H25" xml:space="preserve"> INDEX(十五音韻母清單!$B$6:$K$105, $C25, H$2)</f>
        <v>inn</v>
      </c>
      <c r="I25" s="20" t="str" cm="1">
        <f t="array" ref="I25" xml:space="preserve"> INDEX(十五音韻母清單!$B$6:$K$105, $C25, I$2)</f>
        <v>梔</v>
      </c>
      <c r="J25" s="22" t="str" cm="1">
        <f t="array" ref="J25" xml:space="preserve"> INDEX(十五音韻母清單!$B$6:$K$105, 方音韻母排序!$C25,方音韻母排序!J$2)</f>
        <v>iⁿ</v>
      </c>
      <c r="K25" s="22" t="str" cm="1">
        <f t="array" ref="K25" xml:space="preserve"> INDEX(十五音韻母清單!$B$6:$K$105, 方音韻母排序!$C25,方音韻母排序!K$2)</f>
        <v>inn</v>
      </c>
      <c r="L25" s="22" t="str" cm="1">
        <f t="array" ref="L25" xml:space="preserve"> INDEX(十五音韻母清單!$B$6:$K$105, 方音韻母排序!$C25,方音韻母排序!L$2)</f>
        <v>ni</v>
      </c>
      <c r="M25" s="22" t="str" cm="1">
        <f t="array" ref="M25" xml:space="preserve"> INDEX(十五音韻母清單!$B$6:$K$105, 方音韻母排序!$C25,方音韻母排序!M$2)</f>
        <v>ĩ</v>
      </c>
    </row>
    <row r="26" spans="2:13" ht="28.5">
      <c r="B26" s="243" t="s">
        <v>918</v>
      </c>
      <c r="C26" s="20">
        <f xml:space="preserve"> MATCH(B26, 十五音韻母清單!$K$6:$K$105,0)</f>
        <v>58</v>
      </c>
      <c r="D26" s="20" cm="1">
        <f t="array" ref="D26" xml:space="preserve"> INDEX(十五音韻母清單!$B$6:$K$105, $C26, D$2)</f>
        <v>29</v>
      </c>
      <c r="F26" s="20">
        <v>22</v>
      </c>
      <c r="G26" s="22" t="str" cm="1">
        <f t="array" ref="G26" xml:space="preserve"> INDEX(十五音韻母清單!$B$6:$K$105, $C26, G$2)</f>
        <v>ㄧㆷ</v>
      </c>
      <c r="H26" s="22" t="str" cm="1">
        <f t="array" ref="H26" xml:space="preserve"> INDEX(十五音韻母清單!$B$6:$K$105, $C26, H$2)</f>
        <v>ih</v>
      </c>
      <c r="I26" s="20" t="str" cm="1">
        <f t="array" ref="I26" xml:space="preserve"> INDEX(十五音韻母清單!$B$6:$K$105, $C26, I$2)</f>
        <v>居</v>
      </c>
      <c r="J26" s="22" t="str" cm="1">
        <f t="array" ref="J26" xml:space="preserve"> INDEX(十五音韻母清單!$B$6:$K$105, 方音韻母排序!$C26,方音韻母排序!J$2)</f>
        <v>ih</v>
      </c>
      <c r="K26" s="22" t="str" cm="1">
        <f t="array" ref="K26" xml:space="preserve"> INDEX(十五音韻母清單!$B$6:$K$105, 方音韻母排序!$C26,方音韻母排序!K$2)</f>
        <v>ih</v>
      </c>
      <c r="L26" s="22" t="str" cm="1">
        <f t="array" ref="L26" xml:space="preserve"> INDEX(十五音韻母清單!$B$6:$K$105, 方音韻母排序!$C26,方音韻母排序!L$2)</f>
        <v>ih</v>
      </c>
      <c r="M26" s="22" t="str" cm="1">
        <f t="array" ref="M26" xml:space="preserve"> INDEX(十五音韻母清單!$B$6:$K$105, 方音韻母排序!$C26,方音韻母排序!M$2)</f>
        <v>i?</v>
      </c>
    </row>
    <row r="27" spans="2:13" ht="28.5">
      <c r="B27" s="243" t="s">
        <v>722</v>
      </c>
      <c r="C27" s="20">
        <f xml:space="preserve"> MATCH(B27, 十五音韻母清單!$K$6:$K$105,0)</f>
        <v>5</v>
      </c>
      <c r="D27" s="20" cm="1">
        <f t="array" ref="D27" xml:space="preserve"> INDEX(十五音韻母清單!$B$6:$K$105, $C27, D$2)</f>
        <v>3</v>
      </c>
      <c r="F27" s="20">
        <v>23</v>
      </c>
      <c r="G27" s="22" t="str" cm="1">
        <f t="array" ref="G27" xml:space="preserve"> INDEX(十五音韻母清單!$B$6:$K$105, $C27, G$2)</f>
        <v>ㄧㆬ</v>
      </c>
      <c r="H27" s="22" t="str" cm="1">
        <f t="array" ref="H27" xml:space="preserve"> INDEX(十五音韻母清單!$B$6:$K$105, $C27, H$2)</f>
        <v>im</v>
      </c>
      <c r="I27" s="20" t="str" cm="1">
        <f t="array" ref="I27" xml:space="preserve"> INDEX(十五音韻母清單!$B$6:$K$105, $C27, I$2)</f>
        <v>金</v>
      </c>
      <c r="J27" s="22" t="str" cm="1">
        <f t="array" ref="J27" xml:space="preserve"> INDEX(十五音韻母清單!$B$6:$K$105, 方音韻母排序!$C27,方音韻母排序!J$2)</f>
        <v>im</v>
      </c>
      <c r="K27" s="22" t="str" cm="1">
        <f t="array" ref="K27" xml:space="preserve"> INDEX(十五音韻母清單!$B$6:$K$105, 方音韻母排序!$C27,方音韻母排序!K$2)</f>
        <v>im</v>
      </c>
      <c r="L27" s="22" t="str" cm="1">
        <f t="array" ref="L27" xml:space="preserve"> INDEX(十五音韻母清單!$B$6:$K$105, 方音韻母排序!$C27,方音韻母排序!L$2)</f>
        <v>im</v>
      </c>
      <c r="M27" s="22" t="str" cm="1">
        <f t="array" ref="M27" xml:space="preserve"> INDEX(十五音韻母清單!$B$6:$K$105, 方音韻母排序!$C27,方音韻母排序!M$2)</f>
        <v>im</v>
      </c>
    </row>
    <row r="28" spans="2:13" ht="28.5">
      <c r="B28" s="243" t="s">
        <v>832</v>
      </c>
      <c r="C28" s="20">
        <f xml:space="preserve"> MATCH(B28, 十五音韻母清單!$K$6:$K$105,0)</f>
        <v>33</v>
      </c>
      <c r="D28" s="20" cm="1">
        <f t="array" ref="D28" xml:space="preserve"> INDEX(十五音韻母清單!$B$6:$K$105, $C28, D$2)</f>
        <v>17</v>
      </c>
      <c r="F28" s="20">
        <v>24</v>
      </c>
      <c r="G28" s="22" t="str" cm="1">
        <f t="array" ref="G28" xml:space="preserve"> INDEX(十五音韻母清單!$B$6:$K$105, $C28, G$2)</f>
        <v>ㄧㄣ</v>
      </c>
      <c r="H28" s="22" t="str" cm="1">
        <f t="array" ref="H28" xml:space="preserve"> INDEX(十五音韻母清單!$B$6:$K$105, $C28, H$2)</f>
        <v>in</v>
      </c>
      <c r="I28" s="20" t="str" cm="1">
        <f t="array" ref="I28" xml:space="preserve"> INDEX(十五音韻母清單!$B$6:$K$105, $C28, I$2)</f>
        <v>巾</v>
      </c>
      <c r="J28" s="22" t="str" cm="1">
        <f t="array" ref="J28" xml:space="preserve"> INDEX(十五音韻母清單!$B$6:$K$105, 方音韻母排序!$C28,方音韻母排序!J$2)</f>
        <v>in</v>
      </c>
      <c r="K28" s="22" t="str" cm="1">
        <f t="array" ref="K28" xml:space="preserve"> INDEX(十五音韻母清單!$B$6:$K$105, 方音韻母排序!$C28,方音韻母排序!K$2)</f>
        <v>in</v>
      </c>
      <c r="L28" s="22" t="str" cm="1">
        <f t="array" ref="L28" xml:space="preserve"> INDEX(十五音韻母清單!$B$6:$K$105, 方音韻母排序!$C28,方音韻母排序!L$2)</f>
        <v>in</v>
      </c>
      <c r="M28" s="22" t="str" cm="1">
        <f t="array" ref="M28" xml:space="preserve"> INDEX(十五音韻母清單!$B$6:$K$105, 方音韻母排序!$C28,方音韻母排序!M$2)</f>
        <v>in</v>
      </c>
    </row>
    <row r="29" spans="2:13" ht="28.5">
      <c r="B29" s="243" t="s">
        <v>771</v>
      </c>
      <c r="C29" s="20">
        <f xml:space="preserve"> MATCH(B29, 十五音韻母清單!$K$6:$K$105,0)</f>
        <v>17</v>
      </c>
      <c r="D29" s="20" cm="1">
        <f t="array" ref="D29" xml:space="preserve"> INDEX(十五音韻母清單!$B$6:$K$105, $C29, D$2)</f>
        <v>9</v>
      </c>
      <c r="F29" s="20">
        <v>25</v>
      </c>
      <c r="G29" s="22" t="str" cm="1">
        <f t="array" ref="G29" xml:space="preserve"> INDEX(十五音韻母清單!$B$6:$K$105, $C29, G$2)</f>
        <v>ㄧㄥ</v>
      </c>
      <c r="H29" s="22" t="str" cm="1">
        <f t="array" ref="H29" xml:space="preserve"> INDEX(十五音韻母清單!$B$6:$K$105, $C29, H$2)</f>
        <v>ing</v>
      </c>
      <c r="I29" s="20" t="str" cm="1">
        <f t="array" ref="I29" xml:space="preserve"> INDEX(十五音韻母清單!$B$6:$K$105, $C29, I$2)</f>
        <v>經</v>
      </c>
      <c r="J29" s="22" t="str" cm="1">
        <f t="array" ref="J29" xml:space="preserve"> INDEX(十五音韻母清單!$B$6:$K$105, 方音韻母排序!$C29,方音韻母排序!J$2)</f>
        <v>eng</v>
      </c>
      <c r="K29" s="22" t="str" cm="1">
        <f t="array" ref="K29" xml:space="preserve"> INDEX(十五音韻母清單!$B$6:$K$105, 方音韻母排序!$C29,方音韻母排序!K$2)</f>
        <v>ing</v>
      </c>
      <c r="L29" s="22" t="str" cm="1">
        <f t="array" ref="L29" xml:space="preserve"> INDEX(十五音韻母清單!$B$6:$K$105, 方音韻母排序!$C29,方音韻母排序!L$2)</f>
        <v>ing</v>
      </c>
      <c r="M29" s="22" t="str" cm="1">
        <f t="array" ref="M29" xml:space="preserve"> INDEX(十五音韻母清單!$B$6:$K$105, 方音韻母排序!$C29,方音韻母排序!M$2)</f>
        <v>ɪŋ</v>
      </c>
    </row>
    <row r="30" spans="2:13" ht="28.5">
      <c r="B30" s="243" t="s">
        <v>723</v>
      </c>
      <c r="C30" s="20">
        <f xml:space="preserve"> MATCH(B30, 十五音韻母清單!$K$6:$K$105,0)</f>
        <v>6</v>
      </c>
      <c r="D30" s="20" cm="1">
        <f t="array" ref="D30" xml:space="preserve"> INDEX(十五音韻母清單!$B$6:$K$105, $C30, D$2)</f>
        <v>3</v>
      </c>
      <c r="F30" s="20">
        <v>26</v>
      </c>
      <c r="G30" s="22" t="str" cm="1">
        <f t="array" ref="G30" xml:space="preserve"> INDEX(十五音韻母清單!$B$6:$K$105, $C30, G$2)</f>
        <v>ㄧㆴ</v>
      </c>
      <c r="H30" s="22" t="str" cm="1">
        <f t="array" ref="H30" xml:space="preserve"> INDEX(十五音韻母清單!$B$6:$K$105, $C30, H$2)</f>
        <v>ip</v>
      </c>
      <c r="I30" s="20" t="str" cm="1">
        <f t="array" ref="I30" xml:space="preserve"> INDEX(十五音韻母清單!$B$6:$K$105, $C30, I$2)</f>
        <v>金</v>
      </c>
      <c r="J30" s="22" t="str" cm="1">
        <f t="array" ref="J30" xml:space="preserve"> INDEX(十五音韻母清單!$B$6:$K$105, 方音韻母排序!$C30,方音韻母排序!J$2)</f>
        <v>ip</v>
      </c>
      <c r="K30" s="22" t="str" cm="1">
        <f t="array" ref="K30" xml:space="preserve"> INDEX(十五音韻母清單!$B$6:$K$105, 方音韻母排序!$C30,方音韻母排序!K$2)</f>
        <v>ip</v>
      </c>
      <c r="L30" s="22" t="str" cm="1">
        <f t="array" ref="L30" xml:space="preserve"> INDEX(十五音韻母清單!$B$6:$K$105, 方音韻母排序!$C30,方音韻母排序!L$2)</f>
        <v>ip</v>
      </c>
      <c r="M30" s="22" t="str" cm="1">
        <f t="array" ref="M30" xml:space="preserve"> INDEX(十五音韻母清單!$B$6:$K$105, 方音韻母排序!$C30,方音韻母排序!M$2)</f>
        <v>ip̚</v>
      </c>
    </row>
    <row r="31" spans="2:13" ht="28.5">
      <c r="B31" s="243" t="s">
        <v>833</v>
      </c>
      <c r="C31" s="20">
        <f xml:space="preserve"> MATCH(B31, 十五音韻母清單!$K$6:$K$105,0)</f>
        <v>34</v>
      </c>
      <c r="D31" s="20" cm="1">
        <f t="array" ref="D31" xml:space="preserve"> INDEX(十五音韻母清單!$B$6:$K$105, $C31, D$2)</f>
        <v>17</v>
      </c>
      <c r="F31" s="20">
        <v>27</v>
      </c>
      <c r="G31" s="22" t="str" cm="1">
        <f t="array" ref="G31" xml:space="preserve"> INDEX(十五音韻母清單!$B$6:$K$105, $C31, G$2)</f>
        <v>ㄧㆵ</v>
      </c>
      <c r="H31" s="22" t="str" cm="1">
        <f t="array" ref="H31" xml:space="preserve"> INDEX(十五音韻母清單!$B$6:$K$105, $C31, H$2)</f>
        <v>it</v>
      </c>
      <c r="I31" s="20" t="str" cm="1">
        <f t="array" ref="I31" xml:space="preserve"> INDEX(十五音韻母清單!$B$6:$K$105, $C31, I$2)</f>
        <v>巾</v>
      </c>
      <c r="J31" s="22" t="str" cm="1">
        <f t="array" ref="J31" xml:space="preserve"> INDEX(十五音韻母清單!$B$6:$K$105, 方音韻母排序!$C31,方音韻母排序!J$2)</f>
        <v>it</v>
      </c>
      <c r="K31" s="22" t="str" cm="1">
        <f t="array" ref="K31" xml:space="preserve"> INDEX(十五音韻母清單!$B$6:$K$105, 方音韻母排序!$C31,方音韻母排序!K$2)</f>
        <v>it</v>
      </c>
      <c r="L31" s="22" t="str" cm="1">
        <f t="array" ref="L31" xml:space="preserve"> INDEX(十五音韻母清單!$B$6:$K$105, 方音韻母排序!$C31,方音韻母排序!L$2)</f>
        <v>it</v>
      </c>
      <c r="M31" s="22" t="str" cm="1">
        <f t="array" ref="M31" xml:space="preserve"> INDEX(十五音韻母清單!$B$6:$K$105, 方音韻母排序!$C31,方音韻母排序!M$2)</f>
        <v>it̚</v>
      </c>
    </row>
    <row r="32" spans="2:13" ht="28.5">
      <c r="B32" s="243" t="s">
        <v>1462</v>
      </c>
      <c r="C32" s="20">
        <f xml:space="preserve"> MATCH(B32, 十五音韻母清單!$K$6:$K$105,0)</f>
        <v>18</v>
      </c>
      <c r="D32" s="20" cm="1">
        <f t="array" ref="D32" xml:space="preserve"> INDEX(十五音韻母清單!$B$6:$K$105, $C32, D$2)</f>
        <v>9</v>
      </c>
      <c r="F32" s="20">
        <v>28</v>
      </c>
      <c r="G32" s="22" t="str" cm="1">
        <f t="array" ref="G32" xml:space="preserve"> INDEX(十五音韻母清單!$B$6:$K$105, $C32, G$2)</f>
        <v>ㄧㆻ</v>
      </c>
      <c r="H32" s="22" t="str" cm="1">
        <f t="array" ref="H32" xml:space="preserve"> INDEX(十五音韻母清單!$B$6:$K$105, $C32, H$2)</f>
        <v>ik</v>
      </c>
      <c r="I32" s="20" t="str" cm="1">
        <f t="array" ref="I32" xml:space="preserve"> INDEX(十五音韻母清單!$B$6:$K$105, $C32, I$2)</f>
        <v>經</v>
      </c>
      <c r="J32" s="22" t="str" cm="1">
        <f t="array" ref="J32" xml:space="preserve"> INDEX(十五音韻母清單!$B$6:$K$105, 方音韻母排序!$C32,方音韻母排序!J$2)</f>
        <v>ek</v>
      </c>
      <c r="K32" s="22" t="str" cm="1">
        <f t="array" ref="K32" xml:space="preserve"> INDEX(十五音韻母清單!$B$6:$K$105, 方音韻母排序!$C32,方音韻母排序!K$2)</f>
        <v>ik</v>
      </c>
      <c r="L32" s="22" t="str" cm="1">
        <f t="array" ref="L32" xml:space="preserve"> INDEX(十五音韻母清單!$B$6:$K$105, 方音韻母排序!$C32,方音韻母排序!L$2)</f>
        <v>ik</v>
      </c>
      <c r="M32" s="22" t="str" cm="1">
        <f t="array" ref="M32" xml:space="preserve"> INDEX(十五音韻母清單!$B$6:$K$105, 方音韻母排序!$C32,方音韻母排序!M$2)</f>
        <v>ik̚</v>
      </c>
    </row>
    <row r="33" spans="2:13" ht="28.5">
      <c r="B33" s="243" t="s">
        <v>878</v>
      </c>
      <c r="C33" s="20">
        <f xml:space="preserve"> MATCH(B33, 十五音韻母清單!$K$6:$K$105,0)</f>
        <v>47</v>
      </c>
      <c r="D33" s="20" cm="1">
        <f t="array" ref="D33" xml:space="preserve"> INDEX(十五音韻母清單!$B$6:$K$105, $C33, D$2)</f>
        <v>24</v>
      </c>
      <c r="F33" s="20">
        <v>29</v>
      </c>
      <c r="G33" s="22" t="str" cm="1">
        <f t="array" ref="G33" xml:space="preserve"> INDEX(十五音韻母清單!$B$6:$K$105, $C33, G$2)</f>
        <v>ㄧㄚ</v>
      </c>
      <c r="H33" s="22" t="str" cm="1">
        <f t="array" ref="H33" xml:space="preserve"> INDEX(十五音韻母清單!$B$6:$K$105, $C33, H$2)</f>
        <v>ia</v>
      </c>
      <c r="I33" s="20" t="str" cm="1">
        <f t="array" ref="I33" xml:space="preserve"> INDEX(十五音韻母清單!$B$6:$K$105, $C33, I$2)</f>
        <v>迦</v>
      </c>
      <c r="J33" s="22" t="str" cm="1">
        <f t="array" ref="J33" xml:space="preserve"> INDEX(十五音韻母清單!$B$6:$K$105, 方音韻母排序!$C33,方音韻母排序!J$2)</f>
        <v>ia</v>
      </c>
      <c r="K33" s="22" t="str" cm="1">
        <f t="array" ref="K33" xml:space="preserve"> INDEX(十五音韻母清單!$B$6:$K$105, 方音韻母排序!$C33,方音韻母排序!K$2)</f>
        <v>ia</v>
      </c>
      <c r="L33" s="22" t="str" cm="1">
        <f t="array" ref="L33" xml:space="preserve"> INDEX(十五音韻母清單!$B$6:$K$105, 方音韻母排序!$C33,方音韻母排序!L$2)</f>
        <v>ia</v>
      </c>
      <c r="M33" s="22" t="str" cm="1">
        <f t="array" ref="M33" xml:space="preserve"> INDEX(十五音韻母清單!$B$6:$K$105, 方音韻母排序!$C33,方音韻母排序!M$2)</f>
        <v>ia</v>
      </c>
    </row>
    <row r="34" spans="2:13" ht="28.5">
      <c r="B34" s="243" t="s">
        <v>984</v>
      </c>
      <c r="C34" s="20">
        <f xml:space="preserve"> MATCH(B34, 十五音韻母清單!$K$6:$K$105,0)</f>
        <v>71</v>
      </c>
      <c r="D34" s="20" cm="1">
        <f t="array" ref="D34" xml:space="preserve"> INDEX(十五音韻母清單!$B$6:$K$105, $C34, D$2)</f>
        <v>36</v>
      </c>
      <c r="F34" s="20">
        <v>30</v>
      </c>
      <c r="G34" s="22" t="str" cm="1">
        <f t="array" ref="G34" xml:space="preserve"> INDEX(十五音韻母清單!$B$6:$K$105, $C34, G$2)</f>
        <v>ㄧㆩ</v>
      </c>
      <c r="H34" s="22" t="str" cm="1">
        <f t="array" ref="H34" xml:space="preserve"> INDEX(十五音韻母清單!$B$6:$K$105, $C34, H$2)</f>
        <v>iann</v>
      </c>
      <c r="I34" s="20" t="str" cm="1">
        <f t="array" ref="I34" xml:space="preserve"> INDEX(十五音韻母清單!$B$6:$K$105, $C34, I$2)</f>
        <v>驚</v>
      </c>
      <c r="J34" s="22" t="str" cm="1">
        <f t="array" ref="J34" xml:space="preserve"> INDEX(十五音韻母清單!$B$6:$K$105, 方音韻母排序!$C34,方音韻母排序!J$2)</f>
        <v>iaⁿ</v>
      </c>
      <c r="K34" s="22" t="str" cm="1">
        <f t="array" ref="K34" xml:space="preserve"> INDEX(十五音韻母清單!$B$6:$K$105, 方音韻母排序!$C34,方音韻母排序!K$2)</f>
        <v>iann</v>
      </c>
      <c r="L34" s="22" t="str" cm="1">
        <f t="array" ref="L34" xml:space="preserve"> INDEX(十五音韻母清單!$B$6:$K$105, 方音韻母排序!$C34,方音韻母排序!L$2)</f>
        <v>nia</v>
      </c>
      <c r="M34" s="22" t="str" cm="1">
        <f t="array" ref="M34" xml:space="preserve"> INDEX(十五音韻母清單!$B$6:$K$105, 方音韻母排序!$C34,方音韻母排序!M$2)</f>
        <v>iã</v>
      </c>
    </row>
    <row r="35" spans="2:13" ht="28.5">
      <c r="B35" s="243" t="s">
        <v>879</v>
      </c>
      <c r="C35" s="20">
        <f xml:space="preserve"> MATCH(B35, 十五音韻母清單!$K$6:$K$105,0)</f>
        <v>48</v>
      </c>
      <c r="D35" s="20" cm="1">
        <f t="array" ref="D35" xml:space="preserve"> INDEX(十五音韻母清單!$B$6:$K$105, $C35, D$2)</f>
        <v>24</v>
      </c>
      <c r="F35" s="20">
        <v>31</v>
      </c>
      <c r="G35" s="22" t="str" cm="1">
        <f t="array" ref="G35" xml:space="preserve"> INDEX(十五音韻母清單!$B$6:$K$105, $C35, G$2)</f>
        <v>ㄧㄚㆷ</v>
      </c>
      <c r="H35" s="22" t="str" cm="1">
        <f t="array" ref="H35" xml:space="preserve"> INDEX(十五音韻母清單!$B$6:$K$105, $C35, H$2)</f>
        <v>iah</v>
      </c>
      <c r="I35" s="20" t="str" cm="1">
        <f t="array" ref="I35" xml:space="preserve"> INDEX(十五音韻母清單!$B$6:$K$105, $C35, I$2)</f>
        <v>迦</v>
      </c>
      <c r="J35" s="22" t="str" cm="1">
        <f t="array" ref="J35" xml:space="preserve"> INDEX(十五音韻母清單!$B$6:$K$105, 方音韻母排序!$C35,方音韻母排序!J$2)</f>
        <v>iah</v>
      </c>
      <c r="K35" s="22" t="str" cm="1">
        <f t="array" ref="K35" xml:space="preserve"> INDEX(十五音韻母清單!$B$6:$K$105, 方音韻母排序!$C35,方音韻母排序!K$2)</f>
        <v>iah</v>
      </c>
      <c r="L35" s="22" t="str" cm="1">
        <f t="array" ref="L35" xml:space="preserve"> INDEX(十五音韻母清單!$B$6:$K$105, 方音韻母排序!$C35,方音韻母排序!L$2)</f>
        <v>iah</v>
      </c>
      <c r="M35" s="22" t="str" cm="1">
        <f t="array" ref="M35" xml:space="preserve"> INDEX(十五音韻母清單!$B$6:$K$105, 方音韻母排序!$C35,方音韻母排序!M$2)</f>
        <v>ia?</v>
      </c>
    </row>
    <row r="36" spans="2:13" ht="28.5">
      <c r="B36" s="243" t="s">
        <v>985</v>
      </c>
      <c r="C36" s="20">
        <f xml:space="preserve"> MATCH(B36, 十五音韻母清單!$K$6:$K$105,0)</f>
        <v>72</v>
      </c>
      <c r="D36" s="20" cm="1">
        <f t="array" ref="D36" xml:space="preserve"> INDEX(十五音韻母清單!$B$6:$K$105, $C36, D$2)</f>
        <v>36</v>
      </c>
      <c r="F36" s="20">
        <v>32</v>
      </c>
      <c r="G36" s="22" t="str" cm="1">
        <f t="array" ref="G36" xml:space="preserve"> INDEX(十五音韻母清單!$B$6:$K$105, $C36, G$2)</f>
        <v>ㄧㆩㆷ</v>
      </c>
      <c r="H36" s="22" t="str" cm="1">
        <f t="array" ref="H36" xml:space="preserve"> INDEX(十五音韻母清單!$B$6:$K$105, $C36, H$2)</f>
        <v>iannh</v>
      </c>
      <c r="I36" s="20" t="str" cm="1">
        <f t="array" ref="I36" xml:space="preserve"> INDEX(十五音韻母清單!$B$6:$K$105, $C36, I$2)</f>
        <v>驚</v>
      </c>
      <c r="J36" s="22" t="str" cm="1">
        <f t="array" ref="J36" xml:space="preserve"> INDEX(十五音韻母清單!$B$6:$K$105, 方音韻母排序!$C36,方音韻母排序!J$2)</f>
        <v>iahⁿ</v>
      </c>
      <c r="K36" s="22" t="str" cm="1">
        <f t="array" ref="K36" xml:space="preserve"> INDEX(十五音韻母清單!$B$6:$K$105, 方音韻母排序!$C36,方音韻母排序!K$2)</f>
        <v>iannh</v>
      </c>
      <c r="L36" s="22" t="str" cm="1">
        <f t="array" ref="L36" xml:space="preserve"> INDEX(十五音韻母清單!$B$6:$K$105, 方音韻母排序!$C36,方音韻母排序!L$2)</f>
        <v>niah</v>
      </c>
      <c r="M36" s="22" t="str" cm="1">
        <f t="array" ref="M36" xml:space="preserve"> INDEX(十五音韻母清單!$B$6:$K$105, 方音韻母排序!$C36,方音韻母排序!M$2)</f>
        <v>iã?</v>
      </c>
    </row>
    <row r="37" spans="2:13" ht="28.5">
      <c r="B37" s="243" t="s">
        <v>861</v>
      </c>
      <c r="C37" s="20">
        <f xml:space="preserve"> MATCH(B37, 十五音韻母清單!$K$6:$K$105,0)</f>
        <v>43</v>
      </c>
      <c r="D37" s="20" cm="1">
        <f t="array" ref="D37" xml:space="preserve"> INDEX(十五音韻母清單!$B$6:$K$105, $C37, D$2)</f>
        <v>22</v>
      </c>
      <c r="F37" s="20">
        <v>33</v>
      </c>
      <c r="G37" s="22" t="str" cm="1">
        <f t="array" ref="G37" xml:space="preserve"> INDEX(十五音韻母清單!$B$6:$K$105, $C37, G$2)</f>
        <v>ㄧㆰ</v>
      </c>
      <c r="H37" s="22" t="str" cm="1">
        <f t="array" ref="H37" xml:space="preserve"> INDEX(十五音韻母清單!$B$6:$K$105, $C37, H$2)</f>
        <v>iam</v>
      </c>
      <c r="I37" s="20" t="str" cm="1">
        <f t="array" ref="I37" xml:space="preserve"> INDEX(十五音韻母清單!$B$6:$K$105, $C37, I$2)</f>
        <v>兼</v>
      </c>
      <c r="J37" s="22" t="str" cm="1">
        <f t="array" ref="J37" xml:space="preserve"> INDEX(十五音韻母清單!$B$6:$K$105, 方音韻母排序!$C37,方音韻母排序!J$2)</f>
        <v>iam</v>
      </c>
      <c r="K37" s="22" t="str" cm="1">
        <f t="array" ref="K37" xml:space="preserve"> INDEX(十五音韻母清單!$B$6:$K$105, 方音韻母排序!$C37,方音韻母排序!K$2)</f>
        <v>iam</v>
      </c>
      <c r="L37" s="22" t="str" cm="1">
        <f t="array" ref="L37" xml:space="preserve"> INDEX(十五音韻母清單!$B$6:$K$105, 方音韻母排序!$C37,方音韻母排序!L$2)</f>
        <v>iam</v>
      </c>
      <c r="M37" s="22" t="str" cm="1">
        <f t="array" ref="M37" xml:space="preserve"> INDEX(十五音韻母清單!$B$6:$K$105, 方音韻母排序!$C37,方音韻母排序!M$2)</f>
        <v>iam</v>
      </c>
    </row>
    <row r="38" spans="2:13" ht="28.5">
      <c r="B38" s="243" t="s">
        <v>715</v>
      </c>
      <c r="C38" s="20">
        <f xml:space="preserve"> MATCH(B38, 十五音韻母清單!$K$6:$K$105,0)</f>
        <v>3</v>
      </c>
      <c r="D38" s="20" cm="1">
        <f t="array" ref="D38" xml:space="preserve"> INDEX(十五音韻母清單!$B$6:$K$105, $C38, D$2)</f>
        <v>2</v>
      </c>
      <c r="F38" s="20">
        <v>34</v>
      </c>
      <c r="G38" s="22" t="str" cm="1">
        <f t="array" ref="G38" xml:space="preserve"> INDEX(十五音韻母清單!$B$6:$K$105, $C38, G$2)</f>
        <v>ㄧㄢ</v>
      </c>
      <c r="H38" s="22" t="str" cm="1">
        <f t="array" ref="H38" xml:space="preserve"> INDEX(十五音韻母清單!$B$6:$K$105, $C38, H$2)</f>
        <v>ian</v>
      </c>
      <c r="I38" s="20" t="str" cm="1">
        <f t="array" ref="I38" xml:space="preserve"> INDEX(十五音韻母清單!$B$6:$K$105, $C38, I$2)</f>
        <v>堅</v>
      </c>
      <c r="J38" s="22" t="str" cm="1">
        <f t="array" ref="J38" xml:space="preserve"> INDEX(十五音韻母清單!$B$6:$K$105, 方音韻母排序!$C38,方音韻母排序!J$2)</f>
        <v>ian</v>
      </c>
      <c r="K38" s="22" t="str" cm="1">
        <f t="array" ref="K38" xml:space="preserve"> INDEX(十五音韻母清單!$B$6:$K$105, 方音韻母排序!$C38,方音韻母排序!K$2)</f>
        <v>ian</v>
      </c>
      <c r="L38" s="22" t="str" cm="1">
        <f t="array" ref="L38" xml:space="preserve"> INDEX(十五音韻母清單!$B$6:$K$105, 方音韻母排序!$C38,方音韻母排序!L$2)</f>
        <v>ian</v>
      </c>
      <c r="M38" s="22" t="str" cm="1">
        <f t="array" ref="M38" xml:space="preserve"> INDEX(十五音韻母清單!$B$6:$K$105, 方音韻母排序!$C38,方音韻母排序!M$2)</f>
        <v>ian</v>
      </c>
    </row>
    <row r="39" spans="2:13" ht="28.5">
      <c r="B39" s="243" t="s">
        <v>838</v>
      </c>
      <c r="C39" s="20">
        <f xml:space="preserve"> MATCH(B39, 十五音韻母清單!$K$6:$K$105,0)</f>
        <v>35</v>
      </c>
      <c r="D39" s="20" cm="1">
        <f t="array" ref="D39" xml:space="preserve"> INDEX(十五音韻母清單!$B$6:$K$105, $C39, D$2)</f>
        <v>18</v>
      </c>
      <c r="F39" s="20">
        <v>35</v>
      </c>
      <c r="G39" s="22" t="str" cm="1">
        <f t="array" ref="G39" xml:space="preserve"> INDEX(十五音韻母清單!$B$6:$K$105, $C39, G$2)</f>
        <v>ㄧㄤ</v>
      </c>
      <c r="H39" s="22" t="str" cm="1">
        <f t="array" ref="H39" xml:space="preserve"> INDEX(十五音韻母清單!$B$6:$K$105, $C39, H$2)</f>
        <v>iang</v>
      </c>
      <c r="I39" s="20" t="str" cm="1">
        <f t="array" ref="I39" xml:space="preserve"> INDEX(十五音韻母清單!$B$6:$K$105, $C39, I$2)</f>
        <v>姜</v>
      </c>
      <c r="J39" s="22" t="str" cm="1">
        <f t="array" ref="J39" xml:space="preserve"> INDEX(十五音韻母清單!$B$6:$K$105, 方音韻母排序!$C39,方音韻母排序!J$2)</f>
        <v>iang</v>
      </c>
      <c r="K39" s="22" t="str" cm="1">
        <f t="array" ref="K39" xml:space="preserve"> INDEX(十五音韻母清單!$B$6:$K$105, 方音韻母排序!$C39,方音韻母排序!K$2)</f>
        <v>iang</v>
      </c>
      <c r="L39" s="22" t="str" cm="1">
        <f t="array" ref="L39" xml:space="preserve"> INDEX(十五音韻母清單!$B$6:$K$105, 方音韻母排序!$C39,方音韻母排序!L$2)</f>
        <v>iang</v>
      </c>
      <c r="M39" s="22" t="str" cm="1">
        <f t="array" ref="M39" xml:space="preserve"> INDEX(十五音韻母清單!$B$6:$K$105, 方音韻母排序!$C39,方音韻母排序!M$2)</f>
        <v>iaŋ</v>
      </c>
    </row>
    <row r="40" spans="2:13" ht="28.5">
      <c r="B40" s="243" t="s">
        <v>862</v>
      </c>
      <c r="C40" s="20">
        <f xml:space="preserve"> MATCH(B40, 十五音韻母清單!$K$6:$K$105,0)</f>
        <v>44</v>
      </c>
      <c r="D40" s="20" cm="1">
        <f t="array" ref="D40" xml:space="preserve"> INDEX(十五音韻母清單!$B$6:$K$105, $C40, D$2)</f>
        <v>22</v>
      </c>
      <c r="F40" s="20">
        <v>36</v>
      </c>
      <c r="G40" s="22" t="str" cm="1">
        <f t="array" ref="G40" xml:space="preserve"> INDEX(十五音韻母清單!$B$6:$K$105, $C40, G$2)</f>
        <v>ㄧㄚㆴ</v>
      </c>
      <c r="H40" s="22" t="str" cm="1">
        <f t="array" ref="H40" xml:space="preserve"> INDEX(十五音韻母清單!$B$6:$K$105, $C40, H$2)</f>
        <v>iap</v>
      </c>
      <c r="I40" s="20" t="str" cm="1">
        <f t="array" ref="I40" xml:space="preserve"> INDEX(十五音韻母清單!$B$6:$K$105, $C40, I$2)</f>
        <v>兼</v>
      </c>
      <c r="J40" s="22" t="str" cm="1">
        <f t="array" ref="J40" xml:space="preserve"> INDEX(十五音韻母清單!$B$6:$K$105, 方音韻母排序!$C40,方音韻母排序!J$2)</f>
        <v>iap</v>
      </c>
      <c r="K40" s="22" t="str" cm="1">
        <f t="array" ref="K40" xml:space="preserve"> INDEX(十五音韻母清單!$B$6:$K$105, 方音韻母排序!$C40,方音韻母排序!K$2)</f>
        <v>iap</v>
      </c>
      <c r="L40" s="22" t="str" cm="1">
        <f t="array" ref="L40" xml:space="preserve"> INDEX(十五音韻母清單!$B$6:$K$105, 方音韻母排序!$C40,方音韻母排序!L$2)</f>
        <v>iap</v>
      </c>
      <c r="M40" s="22" t="str" cm="1">
        <f t="array" ref="M40" xml:space="preserve"> INDEX(十五音韻母清單!$B$6:$K$105, 方音韻母排序!$C40,方音韻母排序!M$2)</f>
        <v>iap̚</v>
      </c>
    </row>
    <row r="41" spans="2:13" ht="28.5">
      <c r="B41" s="243" t="s">
        <v>716</v>
      </c>
      <c r="C41" s="20">
        <f xml:space="preserve"> MATCH(B41, 十五音韻母清單!$K$6:$K$105,0)</f>
        <v>4</v>
      </c>
      <c r="D41" s="20" cm="1">
        <f t="array" ref="D41" xml:space="preserve"> INDEX(十五音韻母清單!$B$6:$K$105, $C41, D$2)</f>
        <v>2</v>
      </c>
      <c r="F41" s="20">
        <v>37</v>
      </c>
      <c r="G41" s="22" t="str" cm="1">
        <f t="array" ref="G41" xml:space="preserve"> INDEX(十五音韻母清單!$B$6:$K$105, $C41, G$2)</f>
        <v>ㄧㄚㆵ</v>
      </c>
      <c r="H41" s="22" t="str" cm="1">
        <f t="array" ref="H41" xml:space="preserve"> INDEX(十五音韻母清單!$B$6:$K$105, $C41, H$2)</f>
        <v>iat</v>
      </c>
      <c r="I41" s="20" t="str" cm="1">
        <f t="array" ref="I41" xml:space="preserve"> INDEX(十五音韻母清單!$B$6:$K$105, $C41, I$2)</f>
        <v>堅</v>
      </c>
      <c r="J41" s="22" t="str" cm="1">
        <f t="array" ref="J41" xml:space="preserve"> INDEX(十五音韻母清單!$B$6:$K$105, 方音韻母排序!$C41,方音韻母排序!J$2)</f>
        <v>iat</v>
      </c>
      <c r="K41" s="22" t="str" cm="1">
        <f t="array" ref="K41" xml:space="preserve"> INDEX(十五音韻母清單!$B$6:$K$105, 方音韻母排序!$C41,方音韻母排序!K$2)</f>
        <v>iat</v>
      </c>
      <c r="L41" s="22" t="str" cm="1">
        <f t="array" ref="L41" xml:space="preserve"> INDEX(十五音韻母清單!$B$6:$K$105, 方音韻母排序!$C41,方音韻母排序!L$2)</f>
        <v>iat</v>
      </c>
      <c r="M41" s="22" t="str" cm="1">
        <f t="array" ref="M41" xml:space="preserve"> INDEX(十五音韻母清單!$B$6:$K$105, 方音韻母排序!$C41,方音韻母排序!M$2)</f>
        <v>iat̚</v>
      </c>
    </row>
    <row r="42" spans="2:13" ht="28.5">
      <c r="B42" s="243" t="s">
        <v>839</v>
      </c>
      <c r="C42" s="20">
        <f xml:space="preserve"> MATCH(B42, 十五音韻母清單!$K$6:$K$105,0)</f>
        <v>36</v>
      </c>
      <c r="D42" s="20" cm="1">
        <f t="array" ref="D42" xml:space="preserve"> INDEX(十五音韻母清單!$B$6:$K$105, $C42, D$2)</f>
        <v>18</v>
      </c>
      <c r="F42" s="20">
        <v>38</v>
      </c>
      <c r="G42" s="22" t="str" cm="1">
        <f t="array" ref="G42" xml:space="preserve"> INDEX(十五音韻母清單!$B$6:$K$105, $C42, G$2)</f>
        <v>ㄧㄚㆻ</v>
      </c>
      <c r="H42" s="22" t="str" cm="1">
        <f t="array" ref="H42" xml:space="preserve"> INDEX(十五音韻母清單!$B$6:$K$105, $C42, H$2)</f>
        <v>iak</v>
      </c>
      <c r="I42" s="20" t="str" cm="1">
        <f t="array" ref="I42" xml:space="preserve"> INDEX(十五音韻母清單!$B$6:$K$105, $C42, I$2)</f>
        <v>姜</v>
      </c>
      <c r="J42" s="22" t="str" cm="1">
        <f t="array" ref="J42" xml:space="preserve"> INDEX(十五音韻母清單!$B$6:$K$105, 方音韻母排序!$C42,方音韻母排序!J$2)</f>
        <v>iak</v>
      </c>
      <c r="K42" s="22" t="str" cm="1">
        <f t="array" ref="K42" xml:space="preserve"> INDEX(十五音韻母清單!$B$6:$K$105, 方音韻母排序!$C42,方音韻母排序!K$2)</f>
        <v>iak</v>
      </c>
      <c r="L42" s="22" t="str" cm="1">
        <f t="array" ref="L42" xml:space="preserve"> INDEX(十五音韻母清單!$B$6:$K$105, 方音韻母排序!$C42,方音韻母排序!L$2)</f>
        <v>iak</v>
      </c>
      <c r="M42" s="22" t="str" cm="1">
        <f t="array" ref="M42" xml:space="preserve"> INDEX(十五音韻母清單!$B$6:$K$105, 方音韻母排序!$C42,方音韻母排序!M$2)</f>
        <v>iak̚</v>
      </c>
    </row>
    <row r="43" spans="2:13" ht="28.5">
      <c r="B43" s="243" t="s">
        <v>795</v>
      </c>
      <c r="C43" s="20">
        <f xml:space="preserve"> MATCH(B43, 十五音韻母清單!$K$6:$K$105,0)</f>
        <v>23</v>
      </c>
      <c r="D43" s="20" cm="1">
        <f t="array" ref="D43" xml:space="preserve"> INDEX(十五音韻母清單!$B$6:$K$105, $C43, D$2)</f>
        <v>12</v>
      </c>
      <c r="F43" s="20">
        <v>39</v>
      </c>
      <c r="G43" s="22" t="str" cm="1">
        <f t="array" ref="G43" xml:space="preserve"> INDEX(十五音韻母清單!$B$6:$K$105, $C43, G$2)</f>
        <v>ㄧㄠ</v>
      </c>
      <c r="H43" s="22" t="str" cm="1">
        <f t="array" ref="H43" xml:space="preserve"> INDEX(十五音韻母清單!$B$6:$K$105, $C43, H$2)</f>
        <v>iau</v>
      </c>
      <c r="I43" s="20" t="str" cm="1">
        <f t="array" ref="I43" xml:space="preserve"> INDEX(十五音韻母清單!$B$6:$K$105, $C43, I$2)</f>
        <v>嬌</v>
      </c>
      <c r="J43" s="22" t="str" cm="1">
        <f t="array" ref="J43" xml:space="preserve"> INDEX(十五音韻母清單!$B$6:$K$105, 方音韻母排序!$C43,方音韻母排序!J$2)</f>
        <v>iau</v>
      </c>
      <c r="K43" s="22" t="str" cm="1">
        <f t="array" ref="K43" xml:space="preserve"> INDEX(十五音韻母清單!$B$6:$K$105, 方音韻母排序!$C43,方音韻母排序!K$2)</f>
        <v>iau</v>
      </c>
      <c r="L43" s="22" t="str" cm="1">
        <f t="array" ref="L43" xml:space="preserve"> INDEX(十五音韻母清單!$B$6:$K$105, 方音韻母排序!$C43,方音韻母排序!L$2)</f>
        <v>iao</v>
      </c>
      <c r="M43" s="22" t="str" cm="1">
        <f t="array" ref="M43" xml:space="preserve"> INDEX(十五音韻母清單!$B$6:$K$105, 方音韻母排序!$C43,方音韻母排序!M$2)</f>
        <v>iau</v>
      </c>
    </row>
    <row r="44" spans="2:13" ht="28.5">
      <c r="B44" s="243" t="s">
        <v>1080</v>
      </c>
      <c r="C44" s="20">
        <f xml:space="preserve"> MATCH(B44, 十五音韻母清單!$K$6:$K$105,0)</f>
        <v>91</v>
      </c>
      <c r="D44" s="20" cm="1">
        <f t="array" ref="D44" xml:space="preserve"> INDEX(十五音韻母清單!$B$6:$K$105, $C44, D$2)</f>
        <v>46</v>
      </c>
      <c r="F44" s="20">
        <v>40</v>
      </c>
      <c r="G44" s="22" t="str" cm="1">
        <f t="array" ref="G44" xml:space="preserve"> INDEX(十五音韻母清單!$B$6:$K$105, $C44, G$2)</f>
        <v>ㄧㆯ</v>
      </c>
      <c r="H44" s="22" t="str" cm="1">
        <f t="array" ref="H44" xml:space="preserve"> INDEX(十五音韻母清單!$B$6:$K$105, $C44, H$2)</f>
        <v>iaunn</v>
      </c>
      <c r="I44" s="20" t="str" cm="1">
        <f t="array" ref="I44" xml:space="preserve"> INDEX(十五音韻母清單!$B$6:$K$105, $C44, I$2)</f>
        <v>嘄</v>
      </c>
      <c r="J44" s="22" t="str" cm="1">
        <f t="array" ref="J44" xml:space="preserve"> INDEX(十五音韻母清單!$B$6:$K$105, 方音韻母排序!$C44,方音韻母排序!J$2)</f>
        <v>iauⁿ</v>
      </c>
      <c r="K44" s="22" t="str" cm="1">
        <f t="array" ref="K44" xml:space="preserve"> INDEX(十五音韻母清單!$B$6:$K$105, 方音韻母排序!$C44,方音韻母排序!K$2)</f>
        <v>iaunn</v>
      </c>
      <c r="L44" s="22" t="str" cm="1">
        <f t="array" ref="L44" xml:space="preserve"> INDEX(十五音韻母清單!$B$6:$K$105, 方音韻母排序!$C44,方音韻母排序!L$2)</f>
        <v>niao</v>
      </c>
      <c r="M44" s="22" t="str" cm="1">
        <f t="array" ref="M44" xml:space="preserve"> INDEX(十五音韻母清單!$B$6:$K$105, 方音韻母排序!$C44,方音韻母排序!M$2)</f>
        <v>iãu</v>
      </c>
    </row>
    <row r="45" spans="2:13" ht="28.5">
      <c r="B45" s="243" t="s">
        <v>796</v>
      </c>
      <c r="C45" s="20">
        <f xml:space="preserve"> MATCH(B45, 十五音韻母清單!$K$6:$K$105,0)</f>
        <v>24</v>
      </c>
      <c r="D45" s="20" cm="1">
        <f t="array" ref="D45" xml:space="preserve"> INDEX(十五音韻母清單!$B$6:$K$105, $C45, D$2)</f>
        <v>12</v>
      </c>
      <c r="F45" s="20">
        <v>41</v>
      </c>
      <c r="G45" s="22" t="str" cm="1">
        <f t="array" ref="G45" xml:space="preserve"> INDEX(十五音韻母清單!$B$6:$K$105, $C45, G$2)</f>
        <v>ㄧㄠㆷ</v>
      </c>
      <c r="H45" s="22" t="str" cm="1">
        <f t="array" ref="H45" xml:space="preserve"> INDEX(十五音韻母清單!$B$6:$K$105, $C45, H$2)</f>
        <v>iauh</v>
      </c>
      <c r="I45" s="20" t="str" cm="1">
        <f t="array" ref="I45" xml:space="preserve"> INDEX(十五音韻母清單!$B$6:$K$105, $C45, I$2)</f>
        <v>嬌</v>
      </c>
      <c r="J45" s="22" t="str" cm="1">
        <f t="array" ref="J45" xml:space="preserve"> INDEX(十五音韻母清單!$B$6:$K$105, 方音韻母排序!$C45,方音韻母排序!J$2)</f>
        <v>iauh</v>
      </c>
      <c r="K45" s="22" t="str" cm="1">
        <f t="array" ref="K45" xml:space="preserve"> INDEX(十五音韻母清單!$B$6:$K$105, 方音韻母排序!$C45,方音韻母排序!K$2)</f>
        <v>iauh</v>
      </c>
      <c r="L45" s="22" t="str" cm="1">
        <f t="array" ref="L45" xml:space="preserve"> INDEX(十五音韻母清單!$B$6:$K$105, 方音韻母排序!$C45,方音韻母排序!L$2)</f>
        <v>iaoh</v>
      </c>
      <c r="M45" s="22" t="str" cm="1">
        <f t="array" ref="M45" xml:space="preserve"> INDEX(十五音韻母清單!$B$6:$K$105, 方音韻母排序!$C45,方音韻母排序!M$2)</f>
        <v>iau?</v>
      </c>
    </row>
    <row r="46" spans="2:13" ht="28.5">
      <c r="B46" s="243" t="s">
        <v>951</v>
      </c>
      <c r="C46" s="20">
        <f xml:space="preserve"> MATCH(B46, 十五音韻母清單!$K$6:$K$105,0)</f>
        <v>65</v>
      </c>
      <c r="D46" s="20" cm="1">
        <f t="array" ref="D46" xml:space="preserve"> INDEX(十五音韻母清單!$B$6:$K$105, $C46, D$2)</f>
        <v>33</v>
      </c>
      <c r="F46" s="20">
        <v>42</v>
      </c>
      <c r="G46" s="22" t="str" cm="1">
        <f t="array" ref="G46" xml:space="preserve"> INDEX(十五音韻母清單!$B$6:$K$105, $C46, G$2)</f>
        <v>ㄧㄜ</v>
      </c>
      <c r="H46" s="22" t="str" cm="1">
        <f t="array" ref="H46" xml:space="preserve"> INDEX(十五音韻母清單!$B$6:$K$105, $C46, H$2)</f>
        <v>io</v>
      </c>
      <c r="I46" s="20" t="str" cm="1">
        <f t="array" ref="I46" xml:space="preserve"> INDEX(十五音韻母清單!$B$6:$K$105, $C46, I$2)</f>
        <v>茄</v>
      </c>
      <c r="J46" s="22" t="str" cm="1">
        <f t="array" ref="J46" xml:space="preserve"> INDEX(十五音韻母清單!$B$6:$K$105, 方音韻母排序!$C46,方音韻母排序!J$2)</f>
        <v>io</v>
      </c>
      <c r="K46" s="22" t="str" cm="1">
        <f t="array" ref="K46" xml:space="preserve"> INDEX(十五音韻母清單!$B$6:$K$105, 方音韻母排序!$C46,方音韻母排序!K$2)</f>
        <v>io</v>
      </c>
      <c r="L46" s="22" t="str" cm="1">
        <f t="array" ref="L46" xml:space="preserve"> INDEX(十五音韻母清單!$B$6:$K$105, 方音韻母排序!$C46,方音韻母排序!L$2)</f>
        <v>io</v>
      </c>
      <c r="M46" s="22" t="str" cm="1">
        <f t="array" ref="M46" xml:space="preserve"> INDEX(十五音韻母清單!$B$6:$K$105, 方音韻母排序!$C46,方音韻母排序!M$2)</f>
        <v>io</v>
      </c>
    </row>
    <row r="47" spans="2:13" ht="28.5">
      <c r="B47" s="243" t="s">
        <v>973</v>
      </c>
      <c r="C47" s="20">
        <f xml:space="preserve"> MATCH(B47, 十五音韻母清單!$K$6:$K$105,0)</f>
        <v>69</v>
      </c>
      <c r="D47" s="20" cm="1">
        <f t="array" ref="D47" xml:space="preserve"> INDEX(十五音韻母清單!$B$6:$K$105, $C47, D$2)</f>
        <v>35</v>
      </c>
      <c r="F47" s="20">
        <v>43</v>
      </c>
      <c r="G47" s="22" t="str" cm="1">
        <f t="array" ref="G47" xml:space="preserve"> INDEX(十五音韻母清單!$B$6:$K$105, $C47, G$2)</f>
        <v>ㄧㆧ</v>
      </c>
      <c r="H47" s="22" t="str" cm="1">
        <f t="array" ref="H47" xml:space="preserve"> INDEX(十五音韻母清單!$B$6:$K$105, $C47, H$2)</f>
        <v>ionn</v>
      </c>
      <c r="I47" s="20" t="str" cm="1">
        <f t="array" ref="I47" xml:space="preserve"> INDEX(十五音韻母清單!$B$6:$K$105, $C47, I$2)</f>
        <v>薑</v>
      </c>
      <c r="J47" s="22" t="str" cm="1">
        <f t="array" ref="J47" xml:space="preserve"> INDEX(十五音韻母清單!$B$6:$K$105, 方音韻母排序!$C47,方音韻母排序!J$2)</f>
        <v>ioⁿ</v>
      </c>
      <c r="K47" s="22" t="str" cm="1">
        <f t="array" ref="K47" xml:space="preserve"> INDEX(十五音韻母清單!$B$6:$K$105, 方音韻母排序!$C47,方音韻母排序!K$2)</f>
        <v>ionn</v>
      </c>
      <c r="L47" s="22" t="str" cm="1">
        <f t="array" ref="L47" xml:space="preserve"> INDEX(十五音韻母清單!$B$6:$K$105, 方音韻母排序!$C47,方音韻母排序!L$2)</f>
        <v>nioo</v>
      </c>
      <c r="M47" s="22" t="str" cm="1">
        <f t="array" ref="M47" xml:space="preserve"> INDEX(十五音韻母清單!$B$6:$K$105, 方音韻母排序!$C47,方音韻母排序!M$2)</f>
        <v>iɔ̃</v>
      </c>
    </row>
    <row r="48" spans="2:13" ht="28.5">
      <c r="B48" s="243" t="s">
        <v>952</v>
      </c>
      <c r="C48" s="20">
        <f xml:space="preserve"> MATCH(B48, 十五音韻母清單!$K$6:$K$105,0)</f>
        <v>66</v>
      </c>
      <c r="D48" s="20" cm="1">
        <f t="array" ref="D48" xml:space="preserve"> INDEX(十五音韻母清單!$B$6:$K$105, $C48, D$2)</f>
        <v>33</v>
      </c>
      <c r="F48" s="20">
        <v>44</v>
      </c>
      <c r="G48" s="22" t="str" cm="1">
        <f t="array" ref="G48" xml:space="preserve"> INDEX(十五音韻母清單!$B$6:$K$105, $C48, G$2)</f>
        <v>ㄧㄜㆷ</v>
      </c>
      <c r="H48" s="22" t="str" cm="1">
        <f t="array" ref="H48" xml:space="preserve"> INDEX(十五音韻母清單!$B$6:$K$105, $C48, H$2)</f>
        <v>ioh</v>
      </c>
      <c r="I48" s="20" t="str" cm="1">
        <f t="array" ref="I48" xml:space="preserve"> INDEX(十五音韻母清單!$B$6:$K$105, $C48, I$2)</f>
        <v>茄</v>
      </c>
      <c r="J48" s="22" t="str" cm="1">
        <f t="array" ref="J48" xml:space="preserve"> INDEX(十五音韻母清單!$B$6:$K$105, 方音韻母排序!$C48,方音韻母排序!J$2)</f>
        <v>ioh</v>
      </c>
      <c r="K48" s="22" t="str" cm="1">
        <f t="array" ref="K48" xml:space="preserve"> INDEX(十五音韻母清單!$B$6:$K$105, 方音韻母排序!$C48,方音韻母排序!K$2)</f>
        <v>ioh</v>
      </c>
      <c r="L48" s="22" t="str" cm="1">
        <f t="array" ref="L48" xml:space="preserve"> INDEX(十五音韻母清單!$B$6:$K$105, 方音韻母排序!$C48,方音韻母排序!L$2)</f>
        <v>ioh</v>
      </c>
      <c r="M48" s="22" t="str" cm="1">
        <f t="array" ref="M48" xml:space="preserve"> INDEX(十五音韻母清單!$B$6:$K$105, 方音韻母排序!$C48,方音韻母排序!M$2)</f>
        <v>io?</v>
      </c>
    </row>
    <row r="49" spans="2:13" ht="28.5">
      <c r="B49" s="243" t="s">
        <v>812</v>
      </c>
      <c r="C49" s="20">
        <f xml:space="preserve"> MATCH(B49, 十五音韻母清單!$K$6:$K$105,0)</f>
        <v>27</v>
      </c>
      <c r="D49" s="20" cm="1">
        <f t="array" ref="D49" xml:space="preserve"> INDEX(十五音韻母清單!$B$6:$K$105, $C49, D$2)</f>
        <v>14</v>
      </c>
      <c r="F49" s="20">
        <v>45</v>
      </c>
      <c r="G49" s="22" t="str" cm="1">
        <f t="array" ref="G49" xml:space="preserve"> INDEX(十五音韻母清單!$B$6:$K$105, $C49, G$2)</f>
        <v>ㄧㆲ</v>
      </c>
      <c r="H49" s="22" t="str" cm="1">
        <f t="array" ref="H49" xml:space="preserve"> INDEX(十五音韻母清單!$B$6:$K$105, $C49, H$2)</f>
        <v>iong</v>
      </c>
      <c r="I49" s="20" t="str" cm="1">
        <f t="array" ref="I49" xml:space="preserve"> INDEX(十五音韻母清單!$B$6:$K$105, $C49, I$2)</f>
        <v>恭</v>
      </c>
      <c r="J49" s="22" t="str" cm="1">
        <f t="array" ref="J49" xml:space="preserve"> INDEX(十五音韻母清單!$B$6:$K$105, 方音韻母排序!$C49,方音韻母排序!J$2)</f>
        <v>iong</v>
      </c>
      <c r="K49" s="22" t="str" cm="1">
        <f t="array" ref="K49" xml:space="preserve"> INDEX(十五音韻母清單!$B$6:$K$105, 方音韻母排序!$C49,方音韻母排序!K$2)</f>
        <v>iong</v>
      </c>
      <c r="L49" s="22" t="str" cm="1">
        <f t="array" ref="L49" xml:space="preserve"> INDEX(十五音韻母清單!$B$6:$K$105, 方音韻母排序!$C49,方音韻母排序!L$2)</f>
        <v>iong</v>
      </c>
      <c r="M49" s="22" t="str" cm="1">
        <f t="array" ref="M49" xml:space="preserve"> INDEX(十五音韻母清單!$B$6:$K$105, 方音韻母排序!$C49,方音韻母排序!M$2)</f>
        <v>iɔŋ</v>
      </c>
    </row>
    <row r="50" spans="2:13" ht="28.5">
      <c r="B50" s="243" t="s">
        <v>813</v>
      </c>
      <c r="C50" s="20">
        <f xml:space="preserve"> MATCH(B50, 十五音韻母清單!$K$6:$K$105,0)</f>
        <v>28</v>
      </c>
      <c r="D50" s="20" cm="1">
        <f t="array" ref="D50" xml:space="preserve"> INDEX(十五音韻母清單!$B$6:$K$105, $C50, D$2)</f>
        <v>14</v>
      </c>
      <c r="F50" s="20">
        <v>46</v>
      </c>
      <c r="G50" s="22" t="str" cm="1">
        <f t="array" ref="G50" xml:space="preserve"> INDEX(十五音韻母清單!$B$6:$K$105, $C50, G$2)</f>
        <v>ㄧㆦㆻ</v>
      </c>
      <c r="H50" s="22" t="str" cm="1">
        <f t="array" ref="H50" xml:space="preserve"> INDEX(十五音韻母清單!$B$6:$K$105, $C50, H$2)</f>
        <v>iok</v>
      </c>
      <c r="I50" s="20" t="str" cm="1">
        <f t="array" ref="I50" xml:space="preserve"> INDEX(十五音韻母清單!$B$6:$K$105, $C50, I$2)</f>
        <v>恭</v>
      </c>
      <c r="J50" s="22" t="str" cm="1">
        <f t="array" ref="J50" xml:space="preserve"> INDEX(十五音韻母清單!$B$6:$K$105, 方音韻母排序!$C50,方音韻母排序!J$2)</f>
        <v>iok</v>
      </c>
      <c r="K50" s="22" t="str" cm="1">
        <f t="array" ref="K50" xml:space="preserve"> INDEX(十五音韻母清單!$B$6:$K$105, 方音韻母排序!$C50,方音韻母排序!K$2)</f>
        <v>iok</v>
      </c>
      <c r="L50" s="22" t="str" cm="1">
        <f t="array" ref="L50" xml:space="preserve"> INDEX(十五音韻母清單!$B$6:$K$105, 方音韻母排序!$C50,方音韻母排序!L$2)</f>
        <v>iok</v>
      </c>
      <c r="M50" s="22" t="str" cm="1">
        <f t="array" ref="M50" xml:space="preserve"> INDEX(十五音韻母清單!$B$6:$K$105, 方音韻母排序!$C50,方音韻母排序!M$2)</f>
        <v>iɔk̚</v>
      </c>
    </row>
    <row r="51" spans="2:13" ht="28.5">
      <c r="B51" s="243" t="s">
        <v>923</v>
      </c>
      <c r="C51" s="20">
        <f xml:space="preserve"> MATCH(B51, 十五音韻母清單!$K$6:$K$105,0)</f>
        <v>59</v>
      </c>
      <c r="D51" s="20" cm="1">
        <f t="array" ref="D51" xml:space="preserve"> INDEX(十五音韻母清單!$B$6:$K$105, $C51, D$2)</f>
        <v>30</v>
      </c>
      <c r="F51" s="20">
        <v>47</v>
      </c>
      <c r="G51" s="22" t="str" cm="1">
        <f t="array" ref="G51" xml:space="preserve"> INDEX(十五音韻母清單!$B$6:$K$105, $C51, G$2)</f>
        <v>ㄧㄨ</v>
      </c>
      <c r="H51" s="22" t="str" cm="1">
        <f t="array" ref="H51" xml:space="preserve"> INDEX(十五音韻母清單!$B$6:$K$105, $C51, H$2)</f>
        <v>iu</v>
      </c>
      <c r="I51" s="20" t="str" cm="1">
        <f t="array" ref="I51" xml:space="preserve"> INDEX(十五音韻母清單!$B$6:$K$105, $C51, I$2)</f>
        <v>丩</v>
      </c>
      <c r="J51" s="22" t="str" cm="1">
        <f t="array" ref="J51" xml:space="preserve"> INDEX(十五音韻母清單!$B$6:$K$105, 方音韻母排序!$C51,方音韻母排序!J$2)</f>
        <v>iu</v>
      </c>
      <c r="K51" s="22" t="str" cm="1">
        <f t="array" ref="K51" xml:space="preserve"> INDEX(十五音韻母清單!$B$6:$K$105, 方音韻母排序!$C51,方音韻母排序!K$2)</f>
        <v>iu</v>
      </c>
      <c r="L51" s="22" t="str" cm="1">
        <f t="array" ref="L51" xml:space="preserve"> INDEX(十五音韻母清單!$B$6:$K$105, 方音韻母排序!$C51,方音韻母排序!L$2)</f>
        <v>iu</v>
      </c>
      <c r="M51" s="22" t="str" cm="1">
        <f t="array" ref="M51" xml:space="preserve"> INDEX(十五音韻母清單!$B$6:$K$105, 方音韻母排序!$C51,方音韻母排序!M$2)</f>
        <v>iu</v>
      </c>
    </row>
    <row r="52" spans="2:13" ht="28.5">
      <c r="B52" s="243" t="s">
        <v>1110</v>
      </c>
      <c r="C52" s="20">
        <f xml:space="preserve"> MATCH(B52, 十五音韻母清單!$K$6:$K$105,0)</f>
        <v>99</v>
      </c>
      <c r="D52" s="20" cm="1">
        <f t="array" ref="D52" xml:space="preserve"> INDEX(十五音韻母清單!$B$6:$K$105, $C52, D$2)</f>
        <v>50</v>
      </c>
      <c r="F52" s="20">
        <v>48</v>
      </c>
      <c r="G52" s="22" t="str" cm="1">
        <f t="array" ref="G52" xml:space="preserve"> INDEX(十五音韻母清單!$B$6:$K$105, $C52, G$2)</f>
        <v>ㄧㆫ</v>
      </c>
      <c r="H52" s="22" t="str" cm="1">
        <f t="array" ref="H52" xml:space="preserve"> INDEX(十五音韻母清單!$B$6:$K$105, $C52, H$2)</f>
        <v>iunn</v>
      </c>
      <c r="I52" s="20" t="str" cm="1">
        <f t="array" ref="I52" xml:space="preserve"> INDEX(十五音韻母清單!$B$6:$K$105, $C52, I$2)</f>
        <v>牛</v>
      </c>
      <c r="J52" s="22" t="str" cm="1">
        <f t="array" ref="J52" xml:space="preserve"> INDEX(十五音韻母清單!$B$6:$K$105, 方音韻母排序!$C52,方音韻母排序!J$2)</f>
        <v>iuⁿ</v>
      </c>
      <c r="K52" s="22" t="str" cm="1">
        <f t="array" ref="K52" xml:space="preserve"> INDEX(十五音韻母清單!$B$6:$K$105, 方音韻母排序!$C52,方音韻母排序!K$2)</f>
        <v>iunn</v>
      </c>
      <c r="L52" s="22" t="str" cm="1">
        <f t="array" ref="L52" xml:space="preserve"> INDEX(十五音韻母清單!$B$6:$K$105, 方音韻母排序!$C52,方音韻母排序!L$2)</f>
        <v>niu</v>
      </c>
      <c r="M52" s="22" t="str" cm="1">
        <f t="array" ref="M52" xml:space="preserve"> INDEX(十五音韻母清單!$B$6:$K$105, 方音韻母排序!$C52,方音韻母排序!M$2)</f>
        <v>iũ</v>
      </c>
    </row>
    <row r="53" spans="2:13" ht="28.5">
      <c r="B53" s="243" t="s">
        <v>1111</v>
      </c>
      <c r="C53" s="20">
        <f xml:space="preserve"> MATCH(B53, 十五音韻母清單!$K$6:$K$105,0)</f>
        <v>100</v>
      </c>
      <c r="D53" s="20" cm="1">
        <f t="array" ref="D53" xml:space="preserve"> INDEX(十五音韻母清單!$B$6:$K$105, $C53, D$2)</f>
        <v>50</v>
      </c>
      <c r="F53" s="20">
        <v>49</v>
      </c>
      <c r="G53" s="22" t="str" cm="1">
        <f t="array" ref="G53" xml:space="preserve"> INDEX(十五音韻母清單!$B$6:$K$105, $C53, G$2)</f>
        <v>ㄧㆫㆷ</v>
      </c>
      <c r="H53" s="22" t="str" cm="1">
        <f t="array" ref="H53" xml:space="preserve"> INDEX(十五音韻母清單!$B$6:$K$105, $C53, H$2)</f>
        <v>iunnh</v>
      </c>
      <c r="I53" s="20" t="str" cm="1">
        <f t="array" ref="I53" xml:space="preserve"> INDEX(十五音韻母清單!$B$6:$K$105, $C53, I$2)</f>
        <v>牛</v>
      </c>
      <c r="J53" s="22" t="str" cm="1">
        <f t="array" ref="J53" xml:space="preserve"> INDEX(十五音韻母清單!$B$6:$K$105, 方音韻母排序!$C53,方音韻母排序!J$2)</f>
        <v>iuhⁿ</v>
      </c>
      <c r="K53" s="22" t="str" cm="1">
        <f t="array" ref="K53" xml:space="preserve"> INDEX(十五音韻母清單!$B$6:$K$105, 方音韻母排序!$C53,方音韻母排序!K$2)</f>
        <v>iunnh</v>
      </c>
      <c r="L53" s="22" t="str" cm="1">
        <f t="array" ref="L53" xml:space="preserve"> INDEX(十五音韻母清單!$B$6:$K$105, 方音韻母排序!$C53,方音韻母排序!L$2)</f>
        <v>niuh</v>
      </c>
      <c r="M53" s="22" t="str" cm="1">
        <f t="array" ref="M53" xml:space="preserve"> INDEX(十五音韻母清單!$B$6:$K$105, 方音韻母排序!$C53,方音韻母排序!M$2)</f>
        <v>iũh</v>
      </c>
    </row>
    <row r="54" spans="2:13" ht="28.5">
      <c r="B54" s="243" t="s">
        <v>819</v>
      </c>
      <c r="C54" s="20">
        <f xml:space="preserve"> MATCH(B54, 十五音韻母清單!$K$6:$K$105,0)</f>
        <v>29</v>
      </c>
      <c r="D54" s="20" cm="1">
        <f t="array" ref="D54" xml:space="preserve"> INDEX(十五音韻母清單!$B$6:$K$105, $C54, D$2)</f>
        <v>15</v>
      </c>
      <c r="F54" s="20">
        <v>50</v>
      </c>
      <c r="G54" s="22" t="str" cm="1">
        <f t="array" ref="G54" xml:space="preserve"> INDEX(十五音韻母清單!$B$6:$K$105, $C54, G$2)</f>
        <v>ㄜ</v>
      </c>
      <c r="H54" s="22" t="str" cm="1">
        <f t="array" ref="H54" xml:space="preserve"> INDEX(十五音韻母清單!$B$6:$K$105, $C54, H$2)</f>
        <v>o</v>
      </c>
      <c r="I54" s="20" t="str" cm="1">
        <f t="array" ref="I54" xml:space="preserve"> INDEX(十五音韻母清單!$B$6:$K$105, $C54, I$2)</f>
        <v>高</v>
      </c>
      <c r="J54" s="22" t="str" cm="1">
        <f t="array" ref="J54" xml:space="preserve"> INDEX(十五音韻母清單!$B$6:$K$105, 方音韻母排序!$C54,方音韻母排序!J$2)</f>
        <v>o</v>
      </c>
      <c r="K54" s="22" t="str" cm="1">
        <f t="array" ref="K54" xml:space="preserve"> INDEX(十五音韻母清單!$B$6:$K$105, 方音韻母排序!$C54,方音韻母排序!K$2)</f>
        <v>o</v>
      </c>
      <c r="L54" s="22" t="str" cm="1">
        <f t="array" ref="L54" xml:space="preserve"> INDEX(十五音韻母清單!$B$6:$K$105, 方音韻母排序!$C54,方音韻母排序!L$2)</f>
        <v>o</v>
      </c>
      <c r="M54" s="22" t="str" cm="1">
        <f t="array" ref="M54" xml:space="preserve"> INDEX(十五音韻母清單!$B$6:$K$105, 方音韻母排序!$C54,方音韻母排序!M$2)</f>
        <v>o</v>
      </c>
    </row>
    <row r="55" spans="2:13" ht="28.5">
      <c r="B55" s="243" t="s">
        <v>786</v>
      </c>
      <c r="C55" s="20">
        <f xml:space="preserve"> MATCH(B55, 十五音韻母清單!$K$6:$K$105,0)</f>
        <v>21</v>
      </c>
      <c r="D55" s="20" cm="1">
        <f t="array" ref="D55" xml:space="preserve"> INDEX(十五音韻母清單!$B$6:$K$105, $C55, D$2)</f>
        <v>11</v>
      </c>
      <c r="F55" s="20">
        <v>51</v>
      </c>
      <c r="G55" s="22" t="str" cm="1">
        <f t="array" ref="G55" xml:space="preserve"> INDEX(十五音韻母清單!$B$6:$K$105, $C55, G$2)</f>
        <v>ㆦ</v>
      </c>
      <c r="H55" s="22" t="str" cm="1">
        <f t="array" ref="H55" xml:space="preserve"> INDEX(十五音韻母清單!$B$6:$K$105, $C55, H$2)</f>
        <v>oo</v>
      </c>
      <c r="I55" s="20" t="str" cm="1">
        <f t="array" ref="I55" xml:space="preserve"> INDEX(十五音韻母清單!$B$6:$K$105, $C55, I$2)</f>
        <v>沽</v>
      </c>
      <c r="J55" s="22" t="str" cm="1">
        <f t="array" ref="J55" xml:space="preserve"> INDEX(十五音韻母清單!$B$6:$K$105, 方音韻母排序!$C55,方音韻母排序!J$2)</f>
        <v>o͘</v>
      </c>
      <c r="K55" s="22" t="str" cm="1">
        <f t="array" ref="K55" xml:space="preserve"> INDEX(十五音韻母清單!$B$6:$K$105, 方音韻母排序!$C55,方音韻母排序!K$2)</f>
        <v>oo</v>
      </c>
      <c r="L55" s="22" t="str" cm="1">
        <f t="array" ref="L55" xml:space="preserve"> INDEX(十五音韻母清單!$B$6:$K$105, 方音韻母排序!$C55,方音韻母排序!L$2)</f>
        <v>oo</v>
      </c>
      <c r="M55" s="22" t="str" cm="1">
        <f t="array" ref="M55" xml:space="preserve"> INDEX(十五音韻母清單!$B$6:$K$105, 方音韻母排序!$C55,方音韻母排序!M$2)</f>
        <v>ou</v>
      </c>
    </row>
    <row r="56" spans="2:13" ht="28.5">
      <c r="B56" s="243" t="s">
        <v>1031</v>
      </c>
      <c r="C56" s="20">
        <f xml:space="preserve"> MATCH(B56, 十五音韻母清單!$K$6:$K$105,0)</f>
        <v>81</v>
      </c>
      <c r="D56" s="20" cm="1">
        <f t="array" ref="D56" xml:space="preserve"> INDEX(十五音韻母清單!$B$6:$K$105, $C56, D$2)</f>
        <v>41</v>
      </c>
      <c r="F56" s="20">
        <v>52</v>
      </c>
      <c r="G56" s="22" t="str" cm="1">
        <f t="array" ref="G56" xml:space="preserve"> INDEX(十五音韻母清單!$B$6:$K$105, $C56, G$2)</f>
        <v>ㆧ</v>
      </c>
      <c r="H56" s="22" t="str" cm="1">
        <f t="array" ref="H56" xml:space="preserve"> INDEX(十五音韻母清單!$B$6:$K$105, $C56, H$2)</f>
        <v>oonn</v>
      </c>
      <c r="I56" s="20" t="str" cm="1">
        <f t="array" ref="I56" xml:space="preserve"> INDEX(十五音韻母清單!$B$6:$K$105, $C56, I$2)</f>
        <v>姑</v>
      </c>
      <c r="J56" s="22" t="str" cm="1">
        <f t="array" ref="J56" xml:space="preserve"> INDEX(十五音韻母清單!$B$6:$K$105, 方音韻母排序!$C56,方音韻母排序!J$2)</f>
        <v>oⁿ</v>
      </c>
      <c r="K56" s="22" t="str" cm="1">
        <f t="array" ref="K56" xml:space="preserve"> INDEX(十五音韻母清單!$B$6:$K$105, 方音韻母排序!$C56,方音韻母排序!K$2)</f>
        <v>onn</v>
      </c>
      <c r="L56" s="22" t="str" cm="1">
        <f t="array" ref="L56" xml:space="preserve"> INDEX(十五音韻母清單!$B$6:$K$105, 方音韻母排序!$C56,方音韻母排序!L$2)</f>
        <v>noo</v>
      </c>
      <c r="M56" s="22" t="str" cm="1">
        <f t="array" ref="M56" xml:space="preserve"> INDEX(十五音韻母清單!$B$6:$K$105, 方音韻母排序!$C56,方音韻母排序!M$2)</f>
        <v>õu</v>
      </c>
    </row>
    <row r="57" spans="2:13" ht="28.5">
      <c r="B57" s="243" t="s">
        <v>820</v>
      </c>
      <c r="C57" s="20">
        <f xml:space="preserve"> MATCH(B57, 十五音韻母清單!$K$6:$K$105,0)</f>
        <v>30</v>
      </c>
      <c r="D57" s="20" cm="1">
        <f t="array" ref="D57" xml:space="preserve"> INDEX(十五音韻母清單!$B$6:$K$105, $C57, D$2)</f>
        <v>15</v>
      </c>
      <c r="F57" s="20">
        <v>53</v>
      </c>
      <c r="G57" s="22" t="str" cm="1">
        <f t="array" ref="G57" xml:space="preserve"> INDEX(十五音韻母清單!$B$6:$K$105, $C57, G$2)</f>
        <v>ㄜㆷ</v>
      </c>
      <c r="H57" s="22" t="str" cm="1">
        <f t="array" ref="H57" xml:space="preserve"> INDEX(十五音韻母清單!$B$6:$K$105, $C57, H$2)</f>
        <v>oh</v>
      </c>
      <c r="I57" s="20" t="str" cm="1">
        <f t="array" ref="I57" xml:space="preserve"> INDEX(十五音韻母清單!$B$6:$K$105, $C57, I$2)</f>
        <v>高</v>
      </c>
      <c r="J57" s="22" t="str" cm="1">
        <f t="array" ref="J57" xml:space="preserve"> INDEX(十五音韻母清單!$B$6:$K$105, 方音韻母排序!$C57,方音韻母排序!J$2)</f>
        <v>oh</v>
      </c>
      <c r="K57" s="22" t="str" cm="1">
        <f t="array" ref="K57" xml:space="preserve"> INDEX(十五音韻母清單!$B$6:$K$105, 方音韻母排序!$C57,方音韻母排序!K$2)</f>
        <v>oh</v>
      </c>
      <c r="L57" s="22" t="str" cm="1">
        <f t="array" ref="L57" xml:space="preserve"> INDEX(十五音韻母清單!$B$6:$K$105, 方音韻母排序!$C57,方音韻母排序!L$2)</f>
        <v>oh</v>
      </c>
      <c r="M57" s="22" t="str" cm="1">
        <f t="array" ref="M57" xml:space="preserve"> INDEX(十五音韻母清單!$B$6:$K$105, 方音韻母排序!$C57,方音韻母排序!M$2)</f>
        <v>o?</v>
      </c>
    </row>
    <row r="58" spans="2:13" ht="28.5">
      <c r="B58" s="243" t="s">
        <v>787</v>
      </c>
      <c r="C58" s="20">
        <f xml:space="preserve"> MATCH(B58, 十五音韻母清單!$K$6:$K$105,0)</f>
        <v>22</v>
      </c>
      <c r="D58" s="20" cm="1">
        <f t="array" ref="D58" xml:space="preserve"> INDEX(十五音韻母清單!$B$6:$K$105, $C58, D$2)</f>
        <v>11</v>
      </c>
      <c r="F58" s="20">
        <v>54</v>
      </c>
      <c r="G58" s="22" t="str" cm="1">
        <f t="array" ref="G58" xml:space="preserve"> INDEX(十五音韻母清單!$B$6:$K$105, $C58, G$2)</f>
        <v>ㆦㆷ</v>
      </c>
      <c r="H58" s="22" t="str" cm="1">
        <f t="array" ref="H58" xml:space="preserve"> INDEX(十五音韻母清單!$B$6:$K$105, $C58, H$2)</f>
        <v>ooh</v>
      </c>
      <c r="I58" s="20" t="str" cm="1">
        <f t="array" ref="I58" xml:space="preserve"> INDEX(十五音韻母清單!$B$6:$K$105, $C58, I$2)</f>
        <v>沽</v>
      </c>
      <c r="J58" s="22" t="str" cm="1">
        <f t="array" ref="J58" xml:space="preserve"> INDEX(十五音韻母清單!$B$6:$K$105, 方音韻母排序!$C58,方音韻母排序!J$2)</f>
        <v>o͘h</v>
      </c>
      <c r="K58" s="22" t="str" cm="1">
        <f t="array" ref="K58" xml:space="preserve"> INDEX(十五音韻母清單!$B$6:$K$105, 方音韻母排序!$C58,方音韻母排序!K$2)</f>
        <v>ooh</v>
      </c>
      <c r="L58" s="22" t="str" cm="1">
        <f t="array" ref="L58" xml:space="preserve"> INDEX(十五音韻母清單!$B$6:$K$105, 方音韻母排序!$C58,方音韻母排序!L$2)</f>
        <v>ooh</v>
      </c>
      <c r="M58" s="22" t="str" cm="1">
        <f t="array" ref="M58" xml:space="preserve"> INDEX(十五音韻母清單!$B$6:$K$105, 方音韻母排序!$C58,方音韻母排序!M$2)</f>
        <v>ou?</v>
      </c>
    </row>
    <row r="59" spans="2:13" ht="28.5">
      <c r="B59" s="243" t="s">
        <v>1032</v>
      </c>
      <c r="C59" s="20">
        <f xml:space="preserve"> MATCH(B59, 十五音韻母清單!$K$6:$K$105,0)</f>
        <v>82</v>
      </c>
      <c r="D59" s="20" cm="1">
        <f t="array" ref="D59" xml:space="preserve"> INDEX(十五音韻母清單!$B$6:$K$105, $C59, D$2)</f>
        <v>41</v>
      </c>
      <c r="F59" s="20">
        <v>55</v>
      </c>
      <c r="G59" s="22" t="str" cm="1">
        <f t="array" ref="G59" xml:space="preserve"> INDEX(十五音韻母清單!$B$6:$K$105, $C59, G$2)</f>
        <v>ㆧㆷ</v>
      </c>
      <c r="H59" s="22" t="str" cm="1">
        <f t="array" ref="H59" xml:space="preserve"> INDEX(十五音韻母清單!$B$6:$K$105, $C59, H$2)</f>
        <v>oonnh</v>
      </c>
      <c r="I59" s="20" t="str" cm="1">
        <f t="array" ref="I59" xml:space="preserve"> INDEX(十五音韻母清單!$B$6:$K$105, $C59, I$2)</f>
        <v>姑</v>
      </c>
      <c r="J59" s="22" t="str" cm="1">
        <f t="array" ref="J59" xml:space="preserve"> INDEX(十五音韻母清單!$B$6:$K$105, 方音韻母排序!$C59,方音韻母排序!J$2)</f>
        <v>ohⁿ</v>
      </c>
      <c r="K59" s="22" t="str" cm="1">
        <f t="array" ref="K59" xml:space="preserve"> INDEX(十五音韻母清單!$B$6:$K$105, 方音韻母排序!$C59,方音韻母排序!K$2)</f>
        <v>onnh</v>
      </c>
      <c r="L59" s="22" t="str" cm="1">
        <f t="array" ref="L59" xml:space="preserve"> INDEX(十五音韻母清單!$B$6:$K$105, 方音韻母排序!$C59,方音韻母排序!L$2)</f>
        <v>nooh</v>
      </c>
      <c r="M59" s="22" t="str" cm="1">
        <f t="array" ref="M59" xml:space="preserve"> INDEX(十五音韻母清單!$B$6:$K$105, 方音韻母排序!$C59,方音韻母排序!M$2)</f>
        <v>õu?</v>
      </c>
    </row>
    <row r="60" spans="2:13" ht="28.5">
      <c r="B60" s="243" t="s">
        <v>1086</v>
      </c>
      <c r="C60" s="20">
        <f xml:space="preserve"> MATCH(B60, 十五音韻母清單!$K$6:$K$105,0)</f>
        <v>93</v>
      </c>
      <c r="D60" s="20" cm="1">
        <f t="array" ref="D60" xml:space="preserve"> INDEX(十五音韻母清單!$B$6:$K$105, $C60, D$2)</f>
        <v>47</v>
      </c>
      <c r="F60" s="20">
        <v>56</v>
      </c>
      <c r="G60" s="22" t="str" cm="1">
        <f t="array" ref="G60" xml:space="preserve"> INDEX(十五音韻母清單!$B$6:$K$105, $C60, G$2)</f>
        <v>ㆱ</v>
      </c>
      <c r="H60" s="22" t="str" cm="1">
        <f t="array" ref="H60" xml:space="preserve"> INDEX(十五音韻母清單!$B$6:$K$105, $C60, H$2)</f>
        <v>om</v>
      </c>
      <c r="I60" s="20" t="str" cm="1">
        <f t="array" ref="I60" xml:space="preserve"> INDEX(十五音韻母清單!$B$6:$K$105, $C60, I$2)</f>
        <v>箴</v>
      </c>
      <c r="J60" s="22" t="str" cm="1">
        <f t="array" ref="J60" xml:space="preserve"> INDEX(十五音韻母清單!$B$6:$K$105, 方音韻母排序!$C60,方音韻母排序!J$2)</f>
        <v>om</v>
      </c>
      <c r="K60" s="22" t="str" cm="1">
        <f t="array" ref="K60" xml:space="preserve"> INDEX(十五音韻母清單!$B$6:$K$105, 方音韻母排序!$C60,方音韻母排序!K$2)</f>
        <v>om</v>
      </c>
      <c r="L60" s="22" t="str" cm="1">
        <f t="array" ref="L60" xml:space="preserve"> INDEX(十五音韻母清單!$B$6:$K$105, 方音韻母排序!$C60,方音韻母排序!L$2)</f>
        <v>om</v>
      </c>
      <c r="M60" s="22" t="str" cm="1">
        <f t="array" ref="M60" xml:space="preserve"> INDEX(十五音韻母清單!$B$6:$K$105, 方音韻母排序!$C60,方音韻母排序!M$2)</f>
        <v>ɔm</v>
      </c>
    </row>
    <row r="61" spans="2:13" ht="28.5">
      <c r="B61" s="243" t="s">
        <v>757</v>
      </c>
      <c r="C61" s="20">
        <f xml:space="preserve"> MATCH(B61, 十五音韻母清單!$K$6:$K$105,0)</f>
        <v>13</v>
      </c>
      <c r="D61" s="20" cm="1">
        <f t="array" ref="D61" xml:space="preserve"> INDEX(十五音韻母清單!$B$6:$K$105, $C61, D$2)</f>
        <v>7</v>
      </c>
      <c r="F61" s="20">
        <v>57</v>
      </c>
      <c r="G61" s="22" t="str" cm="1">
        <f t="array" ref="G61" xml:space="preserve"> INDEX(十五音韻母清單!$B$6:$K$105, $C61, G$2)</f>
        <v>ㆲ</v>
      </c>
      <c r="H61" s="22" t="str" cm="1">
        <f t="array" ref="H61" xml:space="preserve"> INDEX(十五音韻母清單!$B$6:$K$105, $C61, H$2)</f>
        <v>ong</v>
      </c>
      <c r="I61" s="20" t="str" cm="1">
        <f t="array" ref="I61" xml:space="preserve"> INDEX(十五音韻母清單!$B$6:$K$105, $C61, I$2)</f>
        <v>公</v>
      </c>
      <c r="J61" s="22" t="str" cm="1">
        <f t="array" ref="J61" xml:space="preserve"> INDEX(十五音韻母清單!$B$6:$K$105, 方音韻母排序!$C61,方音韻母排序!J$2)</f>
        <v>ong</v>
      </c>
      <c r="K61" s="22" t="str" cm="1">
        <f t="array" ref="K61" xml:space="preserve"> INDEX(十五音韻母清單!$B$6:$K$105, 方音韻母排序!$C61,方音韻母排序!K$2)</f>
        <v>ong</v>
      </c>
      <c r="L61" s="22" t="str" cm="1">
        <f t="array" ref="L61" xml:space="preserve"> INDEX(十五音韻母清單!$B$6:$K$105, 方音韻母排序!$C61,方音韻母排序!L$2)</f>
        <v>ong</v>
      </c>
      <c r="M61" s="22" t="str" cm="1">
        <f t="array" ref="M61" xml:space="preserve"> INDEX(十五音韻母清單!$B$6:$K$105, 方音韻母排序!$C61,方音韻母排序!M$2)</f>
        <v>ɔŋ</v>
      </c>
    </row>
    <row r="62" spans="2:13" ht="28.5">
      <c r="B62" s="243" t="s">
        <v>1087</v>
      </c>
      <c r="C62" s="20">
        <f xml:space="preserve"> MATCH(B62, 十五音韻母清單!$K$6:$K$105,0)</f>
        <v>94</v>
      </c>
      <c r="D62" s="20" cm="1">
        <f t="array" ref="D62" xml:space="preserve"> INDEX(十五音韻母清單!$B$6:$K$105, $C62, D$2)</f>
        <v>47</v>
      </c>
      <c r="F62" s="20">
        <v>58</v>
      </c>
      <c r="G62" s="22" t="str" cm="1">
        <f t="array" ref="G62" xml:space="preserve"> INDEX(十五音韻母清單!$B$6:$K$105, $C62, G$2)</f>
        <v>ㆦㆴ</v>
      </c>
      <c r="H62" s="22" t="str" cm="1">
        <f t="array" ref="H62" xml:space="preserve"> INDEX(十五音韻母清單!$B$6:$K$105, $C62, H$2)</f>
        <v>op</v>
      </c>
      <c r="I62" s="20" t="str" cm="1">
        <f t="array" ref="I62" xml:space="preserve"> INDEX(十五音韻母清單!$B$6:$K$105, $C62, I$2)</f>
        <v>箴</v>
      </c>
      <c r="J62" s="22" t="str" cm="1">
        <f t="array" ref="J62" xml:space="preserve"> INDEX(十五音韻母清單!$B$6:$K$105, 方音韻母排序!$C62,方音韻母排序!J$2)</f>
        <v>op</v>
      </c>
      <c r="K62" s="22" t="str" cm="1">
        <f t="array" ref="K62" xml:space="preserve"> INDEX(十五音韻母清單!$B$6:$K$105, 方音韻母排序!$C62,方音韻母排序!K$2)</f>
        <v>op</v>
      </c>
      <c r="L62" s="22" t="str" cm="1">
        <f t="array" ref="L62" xml:space="preserve"> INDEX(十五音韻母清單!$B$6:$K$105, 方音韻母排序!$C62,方音韻母排序!L$2)</f>
        <v>op</v>
      </c>
      <c r="M62" s="22" t="str" cm="1">
        <f t="array" ref="M62" xml:space="preserve"> INDEX(十五音韻母清單!$B$6:$K$105, 方音韻母排序!$C62,方音韻母排序!M$2)</f>
        <v>ɔp̚</v>
      </c>
    </row>
    <row r="63" spans="2:13" ht="28.5">
      <c r="B63" s="243" t="s">
        <v>758</v>
      </c>
      <c r="C63" s="20">
        <f xml:space="preserve"> MATCH(B63, 十五音韻母清單!$K$6:$K$105,0)</f>
        <v>14</v>
      </c>
      <c r="D63" s="20" cm="1">
        <f t="array" ref="D63" xml:space="preserve"> INDEX(十五音韻母清單!$B$6:$K$105, $C63, D$2)</f>
        <v>7</v>
      </c>
      <c r="F63" s="20">
        <v>59</v>
      </c>
      <c r="G63" s="22" t="str" cm="1">
        <f t="array" ref="G63" xml:space="preserve"> INDEX(十五音韻母清單!$B$6:$K$105, $C63, G$2)</f>
        <v>ㆦㆻ</v>
      </c>
      <c r="H63" s="22" t="str" cm="1">
        <f t="array" ref="H63" xml:space="preserve"> INDEX(十五音韻母清單!$B$6:$K$105, $C63, H$2)</f>
        <v>ok</v>
      </c>
      <c r="I63" s="20" t="str" cm="1">
        <f t="array" ref="I63" xml:space="preserve"> INDEX(十五音韻母清單!$B$6:$K$105, $C63, I$2)</f>
        <v>公</v>
      </c>
      <c r="J63" s="22" t="str" cm="1">
        <f t="array" ref="J63" xml:space="preserve"> INDEX(十五音韻母清單!$B$6:$K$105, 方音韻母排序!$C63,方音韻母排序!J$2)</f>
        <v>ok</v>
      </c>
      <c r="K63" s="22" t="str" cm="1">
        <f t="array" ref="K63" xml:space="preserve"> INDEX(十五音韻母清單!$B$6:$K$105, 方音韻母排序!$C63,方音韻母排序!K$2)</f>
        <v>ok</v>
      </c>
      <c r="L63" s="22" t="str" cm="1">
        <f t="array" ref="L63" xml:space="preserve"> INDEX(十五音韻母清單!$B$6:$K$105, 方音韻母排序!$C63,方音韻母排序!L$2)</f>
        <v>ok</v>
      </c>
      <c r="M63" s="22" t="str" cm="1">
        <f t="array" ref="M63" xml:space="preserve"> INDEX(十五音韻母清單!$B$6:$K$105, 方音韻母排序!$C63,方音韻母排序!M$2)</f>
        <v>ɔk̚</v>
      </c>
    </row>
    <row r="64" spans="2:13" ht="28.5">
      <c r="B64" s="243" t="s">
        <v>904</v>
      </c>
      <c r="C64" s="20">
        <f xml:space="preserve"> MATCH(B64, 十五音韻母清單!$K$6:$K$105,0)</f>
        <v>53</v>
      </c>
      <c r="D64" s="20" cm="1">
        <f t="array" ref="D64" xml:space="preserve"> INDEX(十五音韻母清單!$B$6:$K$105, $C64, D$2)</f>
        <v>27</v>
      </c>
      <c r="F64" s="20">
        <v>60</v>
      </c>
      <c r="G64" s="22" t="str" cm="1">
        <f t="array" ref="G64" xml:space="preserve"> INDEX(十五音韻母清單!$B$6:$K$105, $C64, G$2)</f>
        <v>ㄨ</v>
      </c>
      <c r="H64" s="22" t="str" cm="1">
        <f t="array" ref="H64" xml:space="preserve"> INDEX(十五音韻母清單!$B$6:$K$105, $C64, H$2)</f>
        <v>u</v>
      </c>
      <c r="I64" s="20" t="str" cm="1">
        <f t="array" ref="I64" xml:space="preserve"> INDEX(十五音韻母清單!$B$6:$K$105, $C64, I$2)</f>
        <v>艍</v>
      </c>
      <c r="J64" s="22" t="str" cm="1">
        <f t="array" ref="J64" xml:space="preserve"> INDEX(十五音韻母清單!$B$6:$K$105, 方音韻母排序!$C64,方音韻母排序!J$2)</f>
        <v>u</v>
      </c>
      <c r="K64" s="22" t="str" cm="1">
        <f t="array" ref="K64" xml:space="preserve"> INDEX(十五音韻母清單!$B$6:$K$105, 方音韻母排序!$C64,方音韻母排序!K$2)</f>
        <v>u</v>
      </c>
      <c r="L64" s="22" t="str" cm="1">
        <f t="array" ref="L64" xml:space="preserve"> INDEX(十五音韻母清單!$B$6:$K$105, 方音韻母排序!$C64,方音韻母排序!L$2)</f>
        <v>u</v>
      </c>
      <c r="M64" s="22" t="str" cm="1">
        <f t="array" ref="M64" xml:space="preserve"> INDEX(十五音韻母清單!$B$6:$K$105, 方音韻母排序!$C64,方音韻母排序!M$2)</f>
        <v>u</v>
      </c>
    </row>
    <row r="65" spans="2:13" ht="28.5">
      <c r="B65" s="243" t="s">
        <v>905</v>
      </c>
      <c r="C65" s="20">
        <f xml:space="preserve"> MATCH(B65, 十五音韻母清單!$K$6:$K$105,0)</f>
        <v>54</v>
      </c>
      <c r="D65" s="20" cm="1">
        <f t="array" ref="D65" xml:space="preserve"> INDEX(十五音韻母清單!$B$6:$K$105, $C65, D$2)</f>
        <v>27</v>
      </c>
      <c r="F65" s="20">
        <v>61</v>
      </c>
      <c r="G65" s="22" t="str" cm="1">
        <f t="array" ref="G65" xml:space="preserve"> INDEX(十五音韻母清單!$B$6:$K$105, $C65, G$2)</f>
        <v>ㄨㆷ</v>
      </c>
      <c r="H65" s="22" t="str" cm="1">
        <f t="array" ref="H65" xml:space="preserve"> INDEX(十五音韻母清單!$B$6:$K$105, $C65, H$2)</f>
        <v>uh</v>
      </c>
      <c r="I65" s="20" t="str" cm="1">
        <f t="array" ref="I65" xml:space="preserve"> INDEX(十五音韻母清單!$B$6:$K$105, $C65, I$2)</f>
        <v>艍</v>
      </c>
      <c r="J65" s="22" t="str" cm="1">
        <f t="array" ref="J65" xml:space="preserve"> INDEX(十五音韻母清單!$B$6:$K$105, 方音韻母排序!$C65,方音韻母排序!J$2)</f>
        <v>uh</v>
      </c>
      <c r="K65" s="22" t="str" cm="1">
        <f t="array" ref="K65" xml:space="preserve"> INDEX(十五音韻母清單!$B$6:$K$105, 方音韻母排序!$C65,方音韻母排序!K$2)</f>
        <v>uh</v>
      </c>
      <c r="L65" s="22" t="str" cm="1">
        <f t="array" ref="L65" xml:space="preserve"> INDEX(十五音韻母清單!$B$6:$K$105, 方音韻母排序!$C65,方音韻母排序!L$2)</f>
        <v>uh</v>
      </c>
      <c r="M65" s="22" t="str" cm="1">
        <f t="array" ref="M65" xml:space="preserve"> INDEX(十五音韻母清單!$B$6:$K$105, 方音韻母排序!$C65,方音韻母排序!M$2)</f>
        <v>u?</v>
      </c>
    </row>
    <row r="66" spans="2:13" ht="28.5">
      <c r="B66" s="243" t="s">
        <v>708</v>
      </c>
      <c r="C66" s="20">
        <f xml:space="preserve"> MATCH(B66, 十五音韻母清單!$K$6:$K$105,0)</f>
        <v>1</v>
      </c>
      <c r="D66" s="20" cm="1">
        <f t="array" ref="D66" xml:space="preserve"> INDEX(十五音韻母清單!$B$6:$K$105, $C66, D$2)</f>
        <v>1</v>
      </c>
      <c r="F66" s="20">
        <v>62</v>
      </c>
      <c r="G66" s="22" t="str" cm="1">
        <f t="array" ref="G66" xml:space="preserve"> INDEX(十五音韻母清單!$B$6:$K$105, $C66, G$2)</f>
        <v>ㄨㄣ</v>
      </c>
      <c r="H66" s="22" t="str" cm="1">
        <f t="array" ref="H66" xml:space="preserve"> INDEX(十五音韻母清單!$B$6:$K$105, $C66, H$2)</f>
        <v>un</v>
      </c>
      <c r="I66" s="20" t="str" cm="1">
        <f t="array" ref="I66" xml:space="preserve"> INDEX(十五音韻母清單!$B$6:$K$105, $C66, I$2)</f>
        <v>君</v>
      </c>
      <c r="J66" s="22" t="str" cm="1">
        <f t="array" ref="J66" xml:space="preserve"> INDEX(十五音韻母清單!$B$6:$K$105, 方音韻母排序!$C66,方音韻母排序!J$2)</f>
        <v>un</v>
      </c>
      <c r="K66" s="22" t="str" cm="1">
        <f t="array" ref="K66" xml:space="preserve"> INDEX(十五音韻母清單!$B$6:$K$105, 方音韻母排序!$C66,方音韻母排序!K$2)</f>
        <v>un</v>
      </c>
      <c r="L66" s="22" t="str" cm="1">
        <f t="array" ref="L66" xml:space="preserve"> INDEX(十五音韻母清單!$B$6:$K$105, 方音韻母排序!$C66,方音韻母排序!L$2)</f>
        <v>un</v>
      </c>
      <c r="M66" s="22" t="str" cm="1">
        <f t="array" ref="M66" xml:space="preserve"> INDEX(十五音韻母清單!$B$6:$K$105, 方音韻母排序!$C66,方音韻母排序!M$2)</f>
        <v>un</v>
      </c>
    </row>
    <row r="67" spans="2:13" ht="28.5">
      <c r="B67" s="243" t="s">
        <v>709</v>
      </c>
      <c r="C67" s="20">
        <f xml:space="preserve"> MATCH(B67, 十五音韻母清單!$K$6:$K$105,0)</f>
        <v>2</v>
      </c>
      <c r="D67" s="20" cm="1">
        <f t="array" ref="D67" xml:space="preserve"> INDEX(十五音韻母清單!$B$6:$K$105, $C67, D$2)</f>
        <v>1</v>
      </c>
      <c r="F67" s="20">
        <v>63</v>
      </c>
      <c r="G67" s="22" t="str" cm="1">
        <f t="array" ref="G67" xml:space="preserve"> INDEX(十五音韻母清單!$B$6:$K$105, $C67, G$2)</f>
        <v>ㄨㆵ</v>
      </c>
      <c r="H67" s="22" t="str" cm="1">
        <f t="array" ref="H67" xml:space="preserve"> INDEX(十五音韻母清單!$B$6:$K$105, $C67, H$2)</f>
        <v>ut</v>
      </c>
      <c r="I67" s="20" t="str" cm="1">
        <f t="array" ref="I67" xml:space="preserve"> INDEX(十五音韻母清單!$B$6:$K$105, $C67, I$2)</f>
        <v>君</v>
      </c>
      <c r="J67" s="22" t="str" cm="1">
        <f t="array" ref="J67" xml:space="preserve"> INDEX(十五音韻母清單!$B$6:$K$105, 方音韻母排序!$C67,方音韻母排序!J$2)</f>
        <v>ut</v>
      </c>
      <c r="K67" s="22" t="str" cm="1">
        <f t="array" ref="K67" xml:space="preserve"> INDEX(十五音韻母清單!$B$6:$K$105, 方音韻母排序!$C67,方音韻母排序!K$2)</f>
        <v>ut</v>
      </c>
      <c r="L67" s="22" t="str" cm="1">
        <f t="array" ref="L67" xml:space="preserve"> INDEX(十五音韻母清單!$B$6:$K$105, 方音韻母排序!$C67,方音韻母排序!L$2)</f>
        <v>ut</v>
      </c>
      <c r="M67" s="22" t="str" cm="1">
        <f t="array" ref="M67" xml:space="preserve"> INDEX(十五音韻母清單!$B$6:$K$105, 方音韻母排序!$C67,方音韻母排序!M$2)</f>
        <v>ut̚</v>
      </c>
    </row>
    <row r="68" spans="2:13" ht="28.5">
      <c r="B68" s="243" t="s">
        <v>848</v>
      </c>
      <c r="C68" s="20">
        <f xml:space="preserve"> MATCH(B68, 十五音韻母清單!$K$6:$K$105,0)</f>
        <v>39</v>
      </c>
      <c r="D68" s="20" cm="1">
        <f t="array" ref="D68" xml:space="preserve"> INDEX(十五音韻母清單!$B$6:$K$105, $C68, D$2)</f>
        <v>20</v>
      </c>
      <c r="F68" s="20">
        <v>64</v>
      </c>
      <c r="G68" s="22" t="str" cm="1">
        <f t="array" ref="G68" xml:space="preserve"> INDEX(十五音韻母清單!$B$6:$K$105, $C68, G$2)</f>
        <v>ㄨㄚ</v>
      </c>
      <c r="H68" s="22" t="str" cm="1">
        <f t="array" ref="H68" xml:space="preserve"> INDEX(十五音韻母清單!$B$6:$K$105, $C68, H$2)</f>
        <v>ua</v>
      </c>
      <c r="I68" s="20" t="str" cm="1">
        <f t="array" ref="I68" xml:space="preserve"> INDEX(十五音韻母清單!$B$6:$K$105, $C68, I$2)</f>
        <v>瓜</v>
      </c>
      <c r="J68" s="22" t="str" cm="1">
        <f t="array" ref="J68" xml:space="preserve"> INDEX(十五音韻母清單!$B$6:$K$105, 方音韻母排序!$C68,方音韻母排序!J$2)</f>
        <v>oa</v>
      </c>
      <c r="K68" s="22" t="str" cm="1">
        <f t="array" ref="K68" xml:space="preserve"> INDEX(十五音韻母清單!$B$6:$K$105, 方音韻母排序!$C68,方音韻母排序!K$2)</f>
        <v>ua</v>
      </c>
      <c r="L68" s="22" t="str" cm="1">
        <f t="array" ref="L68" xml:space="preserve"> INDEX(十五音韻母清單!$B$6:$K$105, 方音韻母排序!$C68,方音韻母排序!L$2)</f>
        <v>ua</v>
      </c>
      <c r="M68" s="22" t="str" cm="1">
        <f t="array" ref="M68" xml:space="preserve"> INDEX(十五音韻母清單!$B$6:$K$105, 方音韻母排序!$C68,方音韻母排序!M$2)</f>
        <v>ua</v>
      </c>
    </row>
    <row r="69" spans="2:13" ht="28.5">
      <c r="B69" s="243" t="s">
        <v>995</v>
      </c>
      <c r="C69" s="20">
        <f xml:space="preserve"> MATCH(B69, 十五音韻母清單!$K$6:$K$105,0)</f>
        <v>73</v>
      </c>
      <c r="D69" s="20" cm="1">
        <f t="array" ref="D69" xml:space="preserve"> INDEX(十五音韻母清單!$B$6:$K$105, $C69, D$2)</f>
        <v>37</v>
      </c>
      <c r="F69" s="20">
        <v>65</v>
      </c>
      <c r="G69" s="22" t="str" cm="1">
        <f t="array" ref="G69" xml:space="preserve"> INDEX(十五音韻母清單!$B$6:$K$105, $C69, G$2)</f>
        <v>ㄨㆩ</v>
      </c>
      <c r="H69" s="22" t="str" cm="1">
        <f t="array" ref="H69" xml:space="preserve"> INDEX(十五音韻母清單!$B$6:$K$105, $C69, H$2)</f>
        <v>uann</v>
      </c>
      <c r="I69" s="20" t="str" cm="1">
        <f t="array" ref="I69" xml:space="preserve"> INDEX(十五音韻母清單!$B$6:$K$105, $C69, I$2)</f>
        <v>官</v>
      </c>
      <c r="J69" s="22" t="str" cm="1">
        <f t="array" ref="J69" xml:space="preserve"> INDEX(十五音韻母清單!$B$6:$K$105, 方音韻母排序!$C69,方音韻母排序!J$2)</f>
        <v>oaⁿ</v>
      </c>
      <c r="K69" s="22" t="str" cm="1">
        <f t="array" ref="K69" xml:space="preserve"> INDEX(十五音韻母清單!$B$6:$K$105, 方音韻母排序!$C69,方音韻母排序!K$2)</f>
        <v>uann</v>
      </c>
      <c r="L69" s="22" t="str" cm="1">
        <f t="array" ref="L69" xml:space="preserve"> INDEX(十五音韻母清單!$B$6:$K$105, 方音韻母排序!$C69,方音韻母排序!L$2)</f>
        <v>nua</v>
      </c>
      <c r="M69" s="22" t="str" cm="1">
        <f t="array" ref="M69" xml:space="preserve"> INDEX(十五音韻母清單!$B$6:$K$105, 方音韻母排序!$C69,方音韻母排序!M$2)</f>
        <v>uã</v>
      </c>
    </row>
    <row r="70" spans="2:13" ht="28.5">
      <c r="B70" s="243" t="s">
        <v>849</v>
      </c>
      <c r="C70" s="20">
        <f xml:space="preserve"> MATCH(B70, 十五音韻母清單!$K$6:$K$105,0)</f>
        <v>40</v>
      </c>
      <c r="D70" s="20" cm="1">
        <f t="array" ref="D70" xml:space="preserve"> INDEX(十五音韻母清單!$B$6:$K$105, $C70, D$2)</f>
        <v>20</v>
      </c>
      <c r="F70" s="20">
        <v>66</v>
      </c>
      <c r="G70" s="22" t="str" cm="1">
        <f t="array" ref="G70" xml:space="preserve"> INDEX(十五音韻母清單!$B$6:$K$105, $C70, G$2)</f>
        <v>ㄨㄚㆷ</v>
      </c>
      <c r="H70" s="22" t="str" cm="1">
        <f t="array" ref="H70" xml:space="preserve"> INDEX(十五音韻母清單!$B$6:$K$105, $C70, H$2)</f>
        <v>uah</v>
      </c>
      <c r="I70" s="20" t="str" cm="1">
        <f t="array" ref="I70" xml:space="preserve"> INDEX(十五音韻母清單!$B$6:$K$105, $C70, I$2)</f>
        <v>瓜</v>
      </c>
      <c r="J70" s="22" t="str" cm="1">
        <f t="array" ref="J70" xml:space="preserve"> INDEX(十五音韻母清單!$B$6:$K$105, 方音韻母排序!$C70,方音韻母排序!J$2)</f>
        <v>oah</v>
      </c>
      <c r="K70" s="22" t="str" cm="1">
        <f t="array" ref="K70" xml:space="preserve"> INDEX(十五音韻母清單!$B$6:$K$105, 方音韻母排序!$C70,方音韻母排序!K$2)</f>
        <v>uah</v>
      </c>
      <c r="L70" s="22" t="str" cm="1">
        <f t="array" ref="L70" xml:space="preserve"> INDEX(十五音韻母清單!$B$6:$K$105, 方音韻母排序!$C70,方音韻母排序!L$2)</f>
        <v>uah</v>
      </c>
      <c r="M70" s="22" t="str" cm="1">
        <f t="array" ref="M70" xml:space="preserve"> INDEX(十五音韻母清單!$B$6:$K$105, 方音韻母排序!$C70,方音韻母排序!M$2)</f>
        <v>ua?</v>
      </c>
    </row>
    <row r="71" spans="2:13" ht="28.5">
      <c r="B71" s="243" t="s">
        <v>776</v>
      </c>
      <c r="C71" s="20">
        <f xml:space="preserve"> MATCH(B71, 十五音韻母清單!$K$6:$K$105,0)</f>
        <v>19</v>
      </c>
      <c r="D71" s="20" cm="1">
        <f t="array" ref="D71" xml:space="preserve"> INDEX(十五音韻母清單!$B$6:$K$105, $C71, D$2)</f>
        <v>10</v>
      </c>
      <c r="F71" s="20">
        <v>67</v>
      </c>
      <c r="G71" s="22" t="str" cm="1">
        <f t="array" ref="G71" xml:space="preserve"> INDEX(十五音韻母清單!$B$6:$K$105, $C71, G$2)</f>
        <v>ㄨㄢ</v>
      </c>
      <c r="H71" s="22" t="str" cm="1">
        <f t="array" ref="H71" xml:space="preserve"> INDEX(十五音韻母清單!$B$6:$K$105, $C71, H$2)</f>
        <v>uan</v>
      </c>
      <c r="I71" s="20" t="str" cm="1">
        <f t="array" ref="I71" xml:space="preserve"> INDEX(十五音韻母清單!$B$6:$K$105, $C71, I$2)</f>
        <v>觀</v>
      </c>
      <c r="J71" s="22" t="str" cm="1">
        <f t="array" ref="J71" xml:space="preserve"> INDEX(十五音韻母清單!$B$6:$K$105, 方音韻母排序!$C71,方音韻母排序!J$2)</f>
        <v>oan</v>
      </c>
      <c r="K71" s="22" t="str" cm="1">
        <f t="array" ref="K71" xml:space="preserve"> INDEX(十五音韻母清單!$B$6:$K$105, 方音韻母排序!$C71,方音韻母排序!K$2)</f>
        <v>uan</v>
      </c>
      <c r="L71" s="22" t="str" cm="1">
        <f t="array" ref="L71" xml:space="preserve"> INDEX(十五音韻母清單!$B$6:$K$105, 方音韻母排序!$C71,方音韻母排序!L$2)</f>
        <v>uan</v>
      </c>
      <c r="M71" s="22" t="str" cm="1">
        <f t="array" ref="M71" xml:space="preserve"> INDEX(十五音韻母清單!$B$6:$K$105, 方音韻母排序!$C71,方音韻母排序!M$2)</f>
        <v>uan</v>
      </c>
    </row>
    <row r="72" spans="2:13" ht="28.5">
      <c r="B72" s="243" t="s">
        <v>1046</v>
      </c>
      <c r="C72" s="20">
        <f xml:space="preserve"> MATCH(B72, 十五音韻母清單!$K$6:$K$105,0)</f>
        <v>85</v>
      </c>
      <c r="D72" s="20" cm="1">
        <f t="array" ref="D72" xml:space="preserve"> INDEX(十五音韻母清單!$B$6:$K$105, $C72, D$2)</f>
        <v>43</v>
      </c>
      <c r="F72" s="20">
        <v>68</v>
      </c>
      <c r="G72" s="22" t="str" cm="1">
        <f t="array" ref="G72" xml:space="preserve"> INDEX(十五音韻母清單!$B$6:$K$105, $C72, G$2)</f>
        <v>ㄨㄤ</v>
      </c>
      <c r="H72" s="22" t="str" cm="1">
        <f t="array" ref="H72" xml:space="preserve"> INDEX(十五音韻母清單!$B$6:$K$105, $C72, H$2)</f>
        <v>uang</v>
      </c>
      <c r="I72" s="20" t="str" cm="1">
        <f t="array" ref="I72" xml:space="preserve"> INDEX(十五音韻母清單!$B$6:$K$105, $C72, I$2)</f>
        <v>光</v>
      </c>
      <c r="J72" s="22" t="str" cm="1">
        <f t="array" ref="J72" xml:space="preserve"> INDEX(十五音韻母清單!$B$6:$K$105, 方音韻母排序!$C72,方音韻母排序!J$2)</f>
        <v>oang</v>
      </c>
      <c r="K72" s="22" t="str" cm="1">
        <f t="array" ref="K72" xml:space="preserve"> INDEX(十五音韻母清單!$B$6:$K$105, 方音韻母排序!$C72,方音韻母排序!K$2)</f>
        <v>uang</v>
      </c>
      <c r="L72" s="22" t="str" cm="1">
        <f t="array" ref="L72" xml:space="preserve"> INDEX(十五音韻母清單!$B$6:$K$105, 方音韻母排序!$C72,方音韻母排序!L$2)</f>
        <v>uang</v>
      </c>
      <c r="M72" s="22" t="str" cm="1">
        <f t="array" ref="M72" xml:space="preserve"> INDEX(十五音韻母清單!$B$6:$K$105, 方音韻母排序!$C72,方音韻母排序!M$2)</f>
        <v>uaŋ</v>
      </c>
    </row>
    <row r="73" spans="2:13" ht="28.5">
      <c r="B73" s="243" t="s">
        <v>777</v>
      </c>
      <c r="C73" s="20">
        <f xml:space="preserve"> MATCH(B73, 十五音韻母清單!$K$6:$K$105,0)</f>
        <v>20</v>
      </c>
      <c r="D73" s="20" cm="1">
        <f t="array" ref="D73" xml:space="preserve"> INDEX(十五音韻母清單!$B$6:$K$105, $C73, D$2)</f>
        <v>10</v>
      </c>
      <c r="F73" s="20">
        <v>69</v>
      </c>
      <c r="G73" s="22" t="str" cm="1">
        <f t="array" ref="G73" xml:space="preserve"> INDEX(十五音韻母清單!$B$6:$K$105, $C73, G$2)</f>
        <v>ㄨㄚㆵ</v>
      </c>
      <c r="H73" s="22" t="str" cm="1">
        <f t="array" ref="H73" xml:space="preserve"> INDEX(十五音韻母清單!$B$6:$K$105, $C73, H$2)</f>
        <v>uat</v>
      </c>
      <c r="I73" s="20" t="str" cm="1">
        <f t="array" ref="I73" xml:space="preserve"> INDEX(十五音韻母清單!$B$6:$K$105, $C73, I$2)</f>
        <v>觀</v>
      </c>
      <c r="J73" s="22" t="str" cm="1">
        <f t="array" ref="J73" xml:space="preserve"> INDEX(十五音韻母清單!$B$6:$K$105, 方音韻母排序!$C73,方音韻母排序!J$2)</f>
        <v>oat</v>
      </c>
      <c r="K73" s="22" t="str" cm="1">
        <f t="array" ref="K73" xml:space="preserve"> INDEX(十五音韻母清單!$B$6:$K$105, 方音韻母排序!$C73,方音韻母排序!K$2)</f>
        <v>uat</v>
      </c>
      <c r="L73" s="22" t="str" cm="1">
        <f t="array" ref="L73" xml:space="preserve"> INDEX(十五音韻母清單!$B$6:$K$105, 方音韻母排序!$C73,方音韻母排序!L$2)</f>
        <v>uat</v>
      </c>
      <c r="M73" s="22" t="str" cm="1">
        <f t="array" ref="M73" xml:space="preserve"> INDEX(十五音韻母清單!$B$6:$K$105, 方音韻母排序!$C73,方音韻母排序!M$2)</f>
        <v>uat̚</v>
      </c>
    </row>
    <row r="74" spans="2:13" ht="28.5">
      <c r="B74" s="243" t="s">
        <v>763</v>
      </c>
      <c r="C74" s="20">
        <f xml:space="preserve"> MATCH(B74, 十五音韻母清單!$K$6:$K$105,0)</f>
        <v>15</v>
      </c>
      <c r="D74" s="20" cm="1">
        <f t="array" ref="D74" xml:space="preserve"> INDEX(十五音韻母清單!$B$6:$K$105, $C74, D$2)</f>
        <v>8</v>
      </c>
      <c r="F74" s="20">
        <v>70</v>
      </c>
      <c r="G74" s="22" t="str" cm="1">
        <f t="array" ref="G74" xml:space="preserve"> INDEX(十五音韻母清單!$B$6:$K$105, $C74, G$2)</f>
        <v>ㄨㄞ</v>
      </c>
      <c r="H74" s="22" t="str" cm="1">
        <f t="array" ref="H74" xml:space="preserve"> INDEX(十五音韻母清單!$B$6:$K$105, $C74, H$2)</f>
        <v>uai</v>
      </c>
      <c r="I74" s="20" t="str" cm="1">
        <f t="array" ref="I74" xml:space="preserve"> INDEX(十五音韻母清單!$B$6:$K$105, $C74, I$2)</f>
        <v>乖</v>
      </c>
      <c r="J74" s="22" t="str" cm="1">
        <f t="array" ref="J74" xml:space="preserve"> INDEX(十五音韻母清單!$B$6:$K$105, 方音韻母排序!$C74,方音韻母排序!J$2)</f>
        <v>oai</v>
      </c>
      <c r="K74" s="22" t="str" cm="1">
        <f t="array" ref="K74" xml:space="preserve"> INDEX(十五音韻母清單!$B$6:$K$105, 方音韻母排序!$C74,方音韻母排序!K$2)</f>
        <v>uai</v>
      </c>
      <c r="L74" s="22" t="str" cm="1">
        <f t="array" ref="L74" xml:space="preserve"> INDEX(十五音韻母清單!$B$6:$K$105, 方音韻母排序!$C74,方音韻母排序!L$2)</f>
        <v>uai</v>
      </c>
      <c r="M74" s="22" t="str" cm="1">
        <f t="array" ref="M74" xml:space="preserve"> INDEX(十五音韻母清單!$B$6:$K$105, 方音韻母排序!$C74,方音韻母排序!M$2)</f>
        <v>uai</v>
      </c>
    </row>
    <row r="75" spans="2:13" ht="28.5">
      <c r="B75" s="243" t="s">
        <v>1056</v>
      </c>
      <c r="C75" s="20">
        <f xml:space="preserve"> MATCH(B75, 十五音韻母清單!$K$6:$K$105,0)</f>
        <v>87</v>
      </c>
      <c r="D75" s="20" cm="1">
        <f t="array" ref="D75" xml:space="preserve"> INDEX(十五音韻母清單!$B$6:$K$105, $C75, D$2)</f>
        <v>44</v>
      </c>
      <c r="F75" s="20">
        <v>71</v>
      </c>
      <c r="G75" s="22" t="str" cm="1">
        <f t="array" ref="G75" xml:space="preserve"> INDEX(十五音韻母清單!$B$6:$K$105, $C75, G$2)</f>
        <v>ㄨㆮ</v>
      </c>
      <c r="H75" s="22" t="str" cm="1">
        <f t="array" ref="H75" xml:space="preserve"> INDEX(十五音韻母清單!$B$6:$K$105, $C75, H$2)</f>
        <v>uainn</v>
      </c>
      <c r="I75" s="20" t="str" cm="1">
        <f t="array" ref="I75" xml:space="preserve"> INDEX(十五音韻母清單!$B$6:$K$105, $C75, I$2)</f>
        <v>閂</v>
      </c>
      <c r="J75" s="22" t="str" cm="1">
        <f t="array" ref="J75" xml:space="preserve"> INDEX(十五音韻母清單!$B$6:$K$105, 方音韻母排序!$C75,方音韻母排序!J$2)</f>
        <v>oaiⁿ</v>
      </c>
      <c r="K75" s="22" t="str" cm="1">
        <f t="array" ref="K75" xml:space="preserve"> INDEX(十五音韻母清單!$B$6:$K$105, 方音韻母排序!$C75,方音韻母排序!K$2)</f>
        <v>uainn</v>
      </c>
      <c r="L75" s="22" t="str" cm="1">
        <f t="array" ref="L75" xml:space="preserve"> INDEX(十五音韻母清單!$B$6:$K$105, 方音韻母排序!$C75,方音韻母排序!L$2)</f>
        <v>nuai</v>
      </c>
      <c r="M75" s="22" t="str" cm="1">
        <f t="array" ref="M75" xml:space="preserve"> INDEX(十五音韻母清單!$B$6:$K$105, 方音韻母排序!$C75,方音韻母排序!M$2)</f>
        <v>uãi</v>
      </c>
    </row>
    <row r="76" spans="2:13" ht="28.5">
      <c r="B76" s="243" t="s">
        <v>764</v>
      </c>
      <c r="C76" s="20">
        <f xml:space="preserve"> MATCH(B76, 十五音韻母清單!$K$6:$K$105,0)</f>
        <v>16</v>
      </c>
      <c r="D76" s="20" cm="1">
        <f t="array" ref="D76" xml:space="preserve"> INDEX(十五音韻母清單!$B$6:$K$105, $C76, D$2)</f>
        <v>8</v>
      </c>
      <c r="F76" s="20">
        <v>72</v>
      </c>
      <c r="G76" s="22" t="str" cm="1">
        <f t="array" ref="G76" xml:space="preserve"> INDEX(十五音韻母清單!$B$6:$K$105, $C76, G$2)</f>
        <v>ㄨㄞㆷ</v>
      </c>
      <c r="H76" s="22" t="str" cm="1">
        <f t="array" ref="H76" xml:space="preserve"> INDEX(十五音韻母清單!$B$6:$K$105, $C76, H$2)</f>
        <v>uaih</v>
      </c>
      <c r="I76" s="20" t="str" cm="1">
        <f t="array" ref="I76" xml:space="preserve"> INDEX(十五音韻母清單!$B$6:$K$105, $C76, I$2)</f>
        <v>乖</v>
      </c>
      <c r="J76" s="22" t="str" cm="1">
        <f t="array" ref="J76" xml:space="preserve"> INDEX(十五音韻母清單!$B$6:$K$105, 方音韻母排序!$C76,方音韻母排序!J$2)</f>
        <v>oaih</v>
      </c>
      <c r="K76" s="22" t="str" cm="1">
        <f t="array" ref="K76" xml:space="preserve"> INDEX(十五音韻母清單!$B$6:$K$105, 方音韻母排序!$C76,方音韻母排序!K$2)</f>
        <v>uaih</v>
      </c>
      <c r="L76" s="22" t="str" cm="1">
        <f t="array" ref="L76" xml:space="preserve"> INDEX(十五音韻母清單!$B$6:$K$105, 方音韻母排序!$C76,方音韻母排序!L$2)</f>
        <v>uaih</v>
      </c>
      <c r="M76" s="22" t="str" cm="1">
        <f t="array" ref="M76" xml:space="preserve"> INDEX(十五音韻母清單!$B$6:$K$105, 方音韻母排序!$C76,方音韻母排序!M$2)</f>
        <v>uai?</v>
      </c>
    </row>
    <row r="77" spans="2:13" ht="28.5">
      <c r="B77" s="243" t="s">
        <v>1057</v>
      </c>
      <c r="C77" s="20">
        <f xml:space="preserve"> MATCH(B77, 十五音韻母清單!$K$6:$K$105,0)</f>
        <v>88</v>
      </c>
      <c r="D77" s="20" cm="1">
        <f t="array" ref="D77" xml:space="preserve"> INDEX(十五音韻母清單!$B$6:$K$105, $C77, D$2)</f>
        <v>44</v>
      </c>
      <c r="F77" s="20">
        <v>73</v>
      </c>
      <c r="G77" s="22" t="str" cm="1">
        <f t="array" ref="G77" xml:space="preserve"> INDEX(十五音韻母清單!$B$6:$K$105, $C77, G$2)</f>
        <v>ㄨㆮㆷ</v>
      </c>
      <c r="H77" s="22" t="str" cm="1">
        <f t="array" ref="H77" xml:space="preserve"> INDEX(十五音韻母清單!$B$6:$K$105, $C77, H$2)</f>
        <v>uainnh</v>
      </c>
      <c r="I77" s="20" t="str" cm="1">
        <f t="array" ref="I77" xml:space="preserve"> INDEX(十五音韻母清單!$B$6:$K$105, $C77, I$2)</f>
        <v>閂</v>
      </c>
      <c r="J77" s="22" t="str" cm="1">
        <f t="array" ref="J77" xml:space="preserve"> INDEX(十五音韻母清單!$B$6:$K$105, 方音韻母排序!$C77,方音韻母排序!J$2)</f>
        <v>oaiⁿh</v>
      </c>
      <c r="K77" s="22" t="str" cm="1">
        <f t="array" ref="K77" xml:space="preserve"> INDEX(十五音韻母清單!$B$6:$K$105, 方音韻母排序!$C77,方音韻母排序!K$2)</f>
        <v>uainnh</v>
      </c>
      <c r="L77" s="22" t="str" cm="1">
        <f t="array" ref="L77" xml:space="preserve"> INDEX(十五音韻母清單!$B$6:$K$105, 方音韻母排序!$C77,方音韻母排序!L$2)</f>
        <v>nuaih</v>
      </c>
      <c r="M77" s="22" t="str" cm="1">
        <f t="array" ref="M77" xml:space="preserve"> INDEX(十五音韻母清單!$B$6:$K$105, 方音韻母排序!$C77,方音韻母排序!M$2)</f>
        <v>uãi?</v>
      </c>
    </row>
    <row r="78" spans="2:13" ht="28.5">
      <c r="B78" s="243" t="s">
        <v>1470</v>
      </c>
      <c r="C78" s="20">
        <f xml:space="preserve"> MATCH(B78, 十五音韻母清單!$K$6:$K$105,0)</f>
        <v>49</v>
      </c>
      <c r="D78" s="20" cm="1">
        <f t="array" ref="D78" xml:space="preserve"> INDEX(十五音韻母清單!$B$6:$K$105, $C78, D$2)</f>
        <v>25</v>
      </c>
      <c r="F78" s="20">
        <v>74</v>
      </c>
      <c r="G78" s="22" t="str" cm="1">
        <f t="array" ref="G78" xml:space="preserve"> INDEX(十五音韻母清單!$B$6:$K$105, $C78, G$2)</f>
        <v>ㄨㆤ</v>
      </c>
      <c r="H78" s="22" t="str" cm="1">
        <f t="array" ref="H78" xml:space="preserve"> INDEX(十五音韻母清單!$B$6:$K$105, $C78, H$2)</f>
        <v>ue</v>
      </c>
      <c r="I78" s="20" t="str" cm="1">
        <f t="array" ref="I78" xml:space="preserve"> INDEX(十五音韻母清單!$B$6:$K$105, $C78, I$2)</f>
        <v>檜</v>
      </c>
      <c r="J78" s="22" t="str" cm="1">
        <f t="array" ref="J78" xml:space="preserve"> INDEX(十五音韻母清單!$B$6:$K$105, 方音韻母排序!$C78,方音韻母排序!J$2)</f>
        <v>oe</v>
      </c>
      <c r="K78" s="22" t="str" cm="1">
        <f t="array" ref="K78" xml:space="preserve"> INDEX(十五音韻母清單!$B$6:$K$105, 方音韻母排序!$C78,方音韻母排序!K$2)</f>
        <v>ue</v>
      </c>
      <c r="L78" s="22" t="str" cm="1">
        <f t="array" ref="L78" xml:space="preserve"> INDEX(十五音韻母清單!$B$6:$K$105, 方音韻母排序!$C78,方音韻母排序!L$2)</f>
        <v>ue</v>
      </c>
      <c r="M78" s="22" t="str" cm="1">
        <f t="array" ref="M78" xml:space="preserve"> INDEX(十五音韻母清單!$B$6:$K$105, 方音韻母排序!$C78,方音韻母排序!M$2)</f>
        <v>ue</v>
      </c>
    </row>
    <row r="79" spans="2:13" ht="28.5">
      <c r="B79" s="243" t="s">
        <v>1471</v>
      </c>
      <c r="C79" s="20">
        <f xml:space="preserve"> MATCH(B79, 十五音韻母清單!$K$6:$K$105,0)</f>
        <v>50</v>
      </c>
      <c r="D79" s="20" cm="1">
        <f t="array" ref="D79" xml:space="preserve"> INDEX(十五音韻母清單!$B$6:$K$105, $C79, D$2)</f>
        <v>25</v>
      </c>
      <c r="F79" s="20">
        <v>75</v>
      </c>
      <c r="G79" s="22" t="str" cm="1">
        <f t="array" ref="G79" xml:space="preserve"> INDEX(十五音韻母清單!$B$6:$K$105, $C79, G$2)</f>
        <v>ㄨㆤㆷ</v>
      </c>
      <c r="H79" s="22" t="str" cm="1">
        <f t="array" ref="H79" xml:space="preserve"> INDEX(十五音韻母清單!$B$6:$K$105, $C79, H$2)</f>
        <v>ueh</v>
      </c>
      <c r="I79" s="20" t="str" cm="1">
        <f t="array" ref="I79" xml:space="preserve"> INDEX(十五音韻母清單!$B$6:$K$105, $C79, I$2)</f>
        <v>檜</v>
      </c>
      <c r="J79" s="22" t="str" cm="1">
        <f t="array" ref="J79" xml:space="preserve"> INDEX(十五音韻母清單!$B$6:$K$105, 方音韻母排序!$C79,方音韻母排序!J$2)</f>
        <v>oeh</v>
      </c>
      <c r="K79" s="22" t="str" cm="1">
        <f t="array" ref="K79" xml:space="preserve"> INDEX(十五音韻母清單!$B$6:$K$105, 方音韻母排序!$C79,方音韻母排序!K$2)</f>
        <v>ueh</v>
      </c>
      <c r="L79" s="22" t="str" cm="1">
        <f t="array" ref="L79" xml:space="preserve"> INDEX(十五音韻母清單!$B$6:$K$105, 方音韻母排序!$C79,方音韻母排序!L$2)</f>
        <v>ueh</v>
      </c>
      <c r="M79" s="22" t="str" cm="1">
        <f t="array" ref="M79" xml:space="preserve"> INDEX(十五音韻母清單!$B$6:$K$105, 方音韻母排序!$C79,方音韻母排序!M$2)</f>
        <v>ue?</v>
      </c>
    </row>
    <row r="80" spans="2:13" ht="28.5">
      <c r="B80" s="243" t="s">
        <v>729</v>
      </c>
      <c r="C80" s="20">
        <f xml:space="preserve"> MATCH(B80, 十五音韻母清單!$K$6:$K$105,0)</f>
        <v>7</v>
      </c>
      <c r="D80" s="20" cm="1">
        <f t="array" ref="D80" xml:space="preserve"> INDEX(十五音韻母清單!$B$6:$K$105, $C80, D$2)</f>
        <v>4</v>
      </c>
      <c r="F80" s="20">
        <v>76</v>
      </c>
      <c r="G80" s="22" t="str" cm="1">
        <f t="array" ref="G80" xml:space="preserve"> INDEX(十五音韻母清單!$B$6:$K$105, $C80, G$2)</f>
        <v>ㄨㄧ</v>
      </c>
      <c r="H80" s="22" t="str" cm="1">
        <f t="array" ref="H80" xml:space="preserve"> INDEX(十五音韻母清單!$B$6:$K$105, $C80, H$2)</f>
        <v>ui</v>
      </c>
      <c r="I80" s="20" t="str" cm="1">
        <f t="array" ref="I80" xml:space="preserve"> INDEX(十五音韻母清單!$B$6:$K$105, $C80, I$2)</f>
        <v>規</v>
      </c>
      <c r="J80" s="22" t="str" cm="1">
        <f t="array" ref="J80" xml:space="preserve"> INDEX(十五音韻母清單!$B$6:$K$105, 方音韻母排序!$C80,方音韻母排序!J$2)</f>
        <v>ui</v>
      </c>
      <c r="K80" s="22" t="str" cm="1">
        <f t="array" ref="K80" xml:space="preserve"> INDEX(十五音韻母清單!$B$6:$K$105, 方音韻母排序!$C80,方音韻母排序!K$2)</f>
        <v>ui</v>
      </c>
      <c r="L80" s="22" t="str" cm="1">
        <f t="array" ref="L80" xml:space="preserve"> INDEX(十五音韻母清單!$B$6:$K$105, 方音韻母排序!$C80,方音韻母排序!L$2)</f>
        <v>ui</v>
      </c>
      <c r="M80" s="22" t="str" cm="1">
        <f t="array" ref="M80" xml:space="preserve"> INDEX(十五音韻母清單!$B$6:$K$105, 方音韻母排序!$C80,方音韻母排序!M$2)</f>
        <v>ui</v>
      </c>
    </row>
    <row r="81" spans="2:13" ht="28.5">
      <c r="B81" s="243" t="s">
        <v>945</v>
      </c>
      <c r="C81" s="20">
        <f xml:space="preserve"> MATCH(B81, 十五音韻母清單!$K$6:$K$105,0)</f>
        <v>63</v>
      </c>
      <c r="D81" s="20" cm="1">
        <f t="array" ref="D81" xml:space="preserve"> INDEX(十五音韻母清單!$B$6:$K$105, $C81, D$2)</f>
        <v>32</v>
      </c>
      <c r="F81" s="20">
        <v>77</v>
      </c>
      <c r="G81" s="22" t="str" cm="1">
        <f t="array" ref="G81" xml:space="preserve"> INDEX(十五音韻母清單!$B$6:$K$105, $C81, G$2)</f>
        <v>ㄨㆪ</v>
      </c>
      <c r="H81" s="22" t="str" cm="1">
        <f t="array" ref="H81" xml:space="preserve"> INDEX(十五音韻母清單!$B$6:$K$105, $C81, H$2)</f>
        <v>uinn</v>
      </c>
      <c r="I81" s="20" t="str" cm="1">
        <f t="array" ref="I81" xml:space="preserve"> INDEX(十五音韻母清單!$B$6:$K$105, $C81, I$2)</f>
        <v>褌</v>
      </c>
      <c r="J81" s="22" t="str" cm="1">
        <f t="array" ref="J81" xml:space="preserve"> INDEX(十五音韻母清單!$B$6:$K$105, 方音韻母排序!$C81,方音韻母排序!J$2)</f>
        <v>uiⁿ</v>
      </c>
      <c r="K81" s="22" t="str" cm="1">
        <f t="array" ref="K81" xml:space="preserve"> INDEX(十五音韻母清單!$B$6:$K$105, 方音韻母排序!$C81,方音韻母排序!K$2)</f>
        <v>uinn</v>
      </c>
      <c r="L81" s="22" t="str" cm="1">
        <f t="array" ref="L81" xml:space="preserve"> INDEX(十五音韻母清單!$B$6:$K$105, 方音韻母排序!$C81,方音韻母排序!L$2)</f>
        <v>nui</v>
      </c>
      <c r="M81" s="22" t="str" cm="1">
        <f t="array" ref="M81" xml:space="preserve"> INDEX(十五音韻母清單!$B$6:$K$105, 方音韻母排序!$C81,方音韻母排序!M$2)</f>
        <v>uĩ</v>
      </c>
    </row>
    <row r="82" spans="2:13" ht="28.5">
      <c r="B82" s="243" t="s">
        <v>730</v>
      </c>
      <c r="C82" s="20">
        <f xml:space="preserve"> MATCH(B82, 十五音韻母清單!$K$6:$K$105,0)</f>
        <v>8</v>
      </c>
      <c r="D82" s="20" cm="1">
        <f t="array" ref="D82" xml:space="preserve"> INDEX(十五音韻母清單!$B$6:$K$105, $C82, D$2)</f>
        <v>4</v>
      </c>
      <c r="F82" s="20">
        <v>78</v>
      </c>
      <c r="G82" s="22" t="str" cm="1">
        <f t="array" ref="G82" xml:space="preserve"> INDEX(十五音韻母清單!$B$6:$K$105, $C82, G$2)</f>
        <v>ㄨㄧㆷ</v>
      </c>
      <c r="H82" s="22" t="str" cm="1">
        <f t="array" ref="H82" xml:space="preserve"> INDEX(十五音韻母清單!$B$6:$K$105, $C82, H$2)</f>
        <v>uih</v>
      </c>
      <c r="I82" s="20" t="str" cm="1">
        <f t="array" ref="I82" xml:space="preserve"> INDEX(十五音韻母清單!$B$6:$K$105, $C82, I$2)</f>
        <v>規</v>
      </c>
      <c r="J82" s="22" t="str" cm="1">
        <f t="array" ref="J82" xml:space="preserve"> INDEX(十五音韻母清單!$B$6:$K$105, 方音韻母排序!$C82,方音韻母排序!J$2)</f>
        <v>uih</v>
      </c>
      <c r="K82" s="22" t="str" cm="1">
        <f t="array" ref="K82" xml:space="preserve"> INDEX(十五音韻母清單!$B$6:$K$105, 方音韻母排序!$C82,方音韻母排序!K$2)</f>
        <v>uih</v>
      </c>
      <c r="L82" s="22" t="str" cm="1">
        <f t="array" ref="L82" xml:space="preserve"> INDEX(十五音韻母清單!$B$6:$K$105, 方音韻母排序!$C82,方音韻母排序!L$2)</f>
        <v>uih</v>
      </c>
      <c r="M82" s="22" t="str" cm="1">
        <f t="array" ref="M82" xml:space="preserve"> INDEX(十五音韻母清單!$B$6:$K$105, 方音韻母排序!$C82,方音韻母排序!M$2)</f>
        <v>ui?</v>
      </c>
    </row>
    <row r="83" spans="2:13" ht="28.5">
      <c r="B83" s="243" t="s">
        <v>1038</v>
      </c>
      <c r="C83" s="20">
        <f xml:space="preserve"> MATCH(B83, 十五音韻母清單!$K$6:$K$105,0)</f>
        <v>83</v>
      </c>
      <c r="D83" s="20" cm="1">
        <f t="array" ref="D83" xml:space="preserve"> INDEX(十五音韻母清單!$B$6:$K$105, $C83, D$2)</f>
        <v>42</v>
      </c>
      <c r="F83" s="20">
        <v>79</v>
      </c>
      <c r="G83" s="22" t="str" cm="1">
        <f t="array" ref="G83" xml:space="preserve"> INDEX(十五音韻母清單!$B$6:$K$105, $C83, G$2)</f>
        <v>ㆬ</v>
      </c>
      <c r="H83" s="22" t="str" cm="1">
        <f t="array" ref="H83" xml:space="preserve"> INDEX(十五音韻母清單!$B$6:$K$105, $C83, H$2)</f>
        <v>m</v>
      </c>
      <c r="I83" s="20" t="str" cm="1">
        <f t="array" ref="I83" xml:space="preserve"> INDEX(十五音韻母清單!$B$6:$K$105, $C83, I$2)</f>
        <v>姆</v>
      </c>
      <c r="J83" s="22" t="str" cm="1">
        <f t="array" ref="J83" xml:space="preserve"> INDEX(十五音韻母清單!$B$6:$K$105, 方音韻母排序!$C83,方音韻母排序!J$2)</f>
        <v>m</v>
      </c>
      <c r="K83" s="22" t="str" cm="1">
        <f t="array" ref="K83" xml:space="preserve"> INDEX(十五音韻母清單!$B$6:$K$105, 方音韻母排序!$C83,方音韻母排序!K$2)</f>
        <v>m</v>
      </c>
      <c r="L83" s="22" t="str" cm="1">
        <f t="array" ref="L83" xml:space="preserve"> INDEX(十五音韻母清單!$B$6:$K$105, 方音韻母排序!$C83,方音韻母排序!L$2)</f>
        <v>m</v>
      </c>
      <c r="M83" s="22" t="str" cm="1">
        <f t="array" ref="M83" xml:space="preserve"> INDEX(十五音韻母清單!$B$6:$K$105, 方音韻母排序!$C83,方音韻母排序!M$2)</f>
        <v>m</v>
      </c>
    </row>
    <row r="84" spans="2:13" ht="28.5">
      <c r="B84" s="243" t="s">
        <v>1039</v>
      </c>
      <c r="C84" s="20">
        <f xml:space="preserve"> MATCH(B84, 十五音韻母清單!$K$6:$K$105,0)</f>
        <v>84</v>
      </c>
      <c r="D84" s="20" cm="1">
        <f t="array" ref="D84" xml:space="preserve"> INDEX(十五音韻母清單!$B$6:$K$105, $C84, D$2)</f>
        <v>42</v>
      </c>
      <c r="F84" s="20">
        <v>80</v>
      </c>
      <c r="G84" s="22" t="str" cm="1">
        <f t="array" ref="G84" xml:space="preserve"> INDEX(十五音韻母清單!$B$6:$K$105, $C84, G$2)</f>
        <v>ㆬㆷ</v>
      </c>
      <c r="H84" s="22" t="str" cm="1">
        <f t="array" ref="H84" xml:space="preserve"> INDEX(十五音韻母清單!$B$6:$K$105, $C84, H$2)</f>
        <v>mh</v>
      </c>
      <c r="I84" s="20" t="str" cm="1">
        <f t="array" ref="I84" xml:space="preserve"> INDEX(十五音韻母清單!$B$6:$K$105, $C84, I$2)</f>
        <v>姆</v>
      </c>
      <c r="J84" s="22" t="str" cm="1">
        <f t="array" ref="J84" xml:space="preserve"> INDEX(十五音韻母清單!$B$6:$K$105, 方音韻母排序!$C84,方音韻母排序!J$2)</f>
        <v>mh</v>
      </c>
      <c r="K84" s="22" t="str" cm="1">
        <f t="array" ref="K84" xml:space="preserve"> INDEX(十五音韻母清單!$B$6:$K$105, 方音韻母排序!$C84,方音韻母排序!K$2)</f>
        <v>mh</v>
      </c>
      <c r="L84" s="22" t="str" cm="1">
        <f t="array" ref="L84" xml:space="preserve"> INDEX(十五音韻母清單!$B$6:$K$105, 方音韻母排序!$C84,方音韻母排序!L$2)</f>
        <v>mh</v>
      </c>
      <c r="M84" s="22" t="str" cm="1">
        <f t="array" ref="M84" xml:space="preserve"> INDEX(十五音韻母清單!$B$6:$K$105, 方音韻母排序!$C84,方音韻母排序!M$2)</f>
        <v>mh</v>
      </c>
    </row>
    <row r="85" spans="2:13" ht="28.5">
      <c r="B85" s="243" t="s">
        <v>1003</v>
      </c>
      <c r="C85" s="20">
        <f xml:space="preserve"> MATCH(B85, 十五音韻母清單!$K$6:$K$105,0)</f>
        <v>75</v>
      </c>
      <c r="D85" s="20" cm="1">
        <f t="array" ref="D85" xml:space="preserve"> INDEX(十五音韻母清單!$B$6:$K$105, $C85, D$2)</f>
        <v>38</v>
      </c>
      <c r="F85" s="20">
        <v>81</v>
      </c>
      <c r="G85" s="22" t="str" cm="1">
        <f t="array" ref="G85" xml:space="preserve"> INDEX(十五音韻母清單!$B$6:$K$105, $C85, G$2)</f>
        <v>ㆭ</v>
      </c>
      <c r="H85" s="22" t="str" cm="1">
        <f t="array" ref="H85" xml:space="preserve"> INDEX(十五音韻母清單!$B$6:$K$105, $C85, H$2)</f>
        <v>ng</v>
      </c>
      <c r="I85" s="20" t="str" cm="1">
        <f t="array" ref="I85" xml:space="preserve"> INDEX(十五音韻母清單!$B$6:$K$105, $C85, I$2)</f>
        <v>鋼</v>
      </c>
      <c r="J85" s="22" t="str" cm="1">
        <f t="array" ref="J85" xml:space="preserve"> INDEX(十五音韻母清單!$B$6:$K$105, 方音韻母排序!$C85,方音韻母排序!J$2)</f>
        <v>ng</v>
      </c>
      <c r="K85" s="22" t="str" cm="1">
        <f t="array" ref="K85" xml:space="preserve"> INDEX(十五音韻母清單!$B$6:$K$105, 方音韻母排序!$C85,方音韻母排序!K$2)</f>
        <v>ng</v>
      </c>
      <c r="L85" s="22" t="str" cm="1">
        <f t="array" ref="L85" xml:space="preserve"> INDEX(十五音韻母清單!$B$6:$K$105, 方音韻母排序!$C85,方音韻母排序!L$2)</f>
        <v>ng</v>
      </c>
      <c r="M85" s="22" t="str" cm="1">
        <f t="array" ref="M85" xml:space="preserve"> INDEX(十五音韻母清單!$B$6:$K$105, 方音韻母排序!$C85,方音韻母排序!M$2)</f>
        <v>ŋ</v>
      </c>
    </row>
    <row r="86" spans="2:13" ht="28.5">
      <c r="B86" s="243" t="s">
        <v>1004</v>
      </c>
      <c r="C86" s="20">
        <f xml:space="preserve"> MATCH(B86, 十五音韻母清單!$K$6:$K$105,0)</f>
        <v>76</v>
      </c>
      <c r="D86" s="20" cm="1">
        <f t="array" ref="D86" xml:space="preserve"> INDEX(十五音韻母清單!$B$6:$K$105, $C86, D$2)</f>
        <v>38</v>
      </c>
      <c r="F86" s="20">
        <v>82</v>
      </c>
      <c r="G86" s="22" t="str" cm="1">
        <f t="array" ref="G86" xml:space="preserve"> INDEX(十五音韻母清單!$B$6:$K$105, $C86, G$2)</f>
        <v>ㆭㆷ</v>
      </c>
      <c r="H86" s="22" t="str" cm="1">
        <f t="array" ref="H86" xml:space="preserve"> INDEX(十五音韻母清單!$B$6:$K$105, $C86, H$2)</f>
        <v>ngh</v>
      </c>
      <c r="I86" s="20" t="str" cm="1">
        <f t="array" ref="I86" xml:space="preserve"> INDEX(十五音韻母清單!$B$6:$K$105, $C86, I$2)</f>
        <v>鋼</v>
      </c>
      <c r="J86" s="22" t="str" cm="1">
        <f t="array" ref="J86" xml:space="preserve"> INDEX(十五音韻母清單!$B$6:$K$105, 方音韻母排序!$C86,方音韻母排序!J$2)</f>
        <v>ngh</v>
      </c>
      <c r="K86" s="22" t="str" cm="1">
        <f t="array" ref="K86" xml:space="preserve"> INDEX(十五音韻母清單!$B$6:$K$105, 方音韻母排序!$C86,方音韻母排序!K$2)</f>
        <v>ngh</v>
      </c>
      <c r="L86" s="22" t="str" cm="1">
        <f t="array" ref="L86" xml:space="preserve"> INDEX(十五音韻母清單!$B$6:$K$105, 方音韻母排序!$C86,方音韻母排序!L$2)</f>
        <v>ngh</v>
      </c>
      <c r="M86" s="22" t="str" cm="1">
        <f t="array" ref="M86" xml:space="preserve"> INDEX(十五音韻母清單!$B$6:$K$105, 方音韻母排序!$C86,方音韻母排序!M$2)</f>
        <v>ŋ?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BAB9-C2FB-1948-A62C-5793BEDDBE2F}">
  <sheetPr codeName="工作表23">
    <tabColor rgb="FF92D050"/>
  </sheetPr>
  <dimension ref="B1:H46"/>
  <sheetViews>
    <sheetView topLeftCell="A4" workbookViewId="0"/>
  </sheetViews>
  <sheetFormatPr defaultColWidth="7.81640625" defaultRowHeight="25.5" outlineLevelRow="1"/>
  <cols>
    <col min="1" max="1" width="3.1796875" style="172" customWidth="1"/>
    <col min="2" max="2" width="8.7265625" style="172" bestFit="1" customWidth="1"/>
    <col min="3" max="16384" width="7.81640625" style="172"/>
  </cols>
  <sheetData>
    <row r="1" spans="2:8" hidden="1" outlineLevel="1"/>
    <row r="2" spans="2:8" hidden="1" outlineLevel="1"/>
    <row r="3" spans="2:8" hidden="1" outlineLevel="1"/>
    <row r="4" spans="2:8" collapsed="1"/>
    <row r="6" spans="2:8">
      <c r="B6" s="173">
        <v>1</v>
      </c>
      <c r="C6" s="193" t="s">
        <v>1660</v>
      </c>
      <c r="D6" s="196" t="str">
        <f xml:space="preserve"> IF(C6="", ("'" &amp; B6 &amp; "' : " &amp; B6), ("'" &amp; B6 &amp; "' : " &amp; C6))</f>
        <v>'1' : ㄅ</v>
      </c>
      <c r="F6" s="173" t="s">
        <v>1661</v>
      </c>
      <c r="G6" s="193" t="s">
        <v>1662</v>
      </c>
      <c r="H6" s="196" t="str">
        <f xml:space="preserve"> IF(G6="", ("'" &amp; F6 &amp; "' : " &amp; F6), ("'" &amp; F6 &amp; "' : " &amp; G6))</f>
        <v>'!' : ㆠ</v>
      </c>
    </row>
    <row r="7" spans="2:8">
      <c r="B7" s="173" t="s">
        <v>115</v>
      </c>
      <c r="C7" s="193" t="s">
        <v>25</v>
      </c>
      <c r="D7" s="196" t="str">
        <f t="shared" ref="D7:D45" si="0" xml:space="preserve"> IF(C7="", ("'" &amp; B7 &amp; "' : " &amp; B7), ("'" &amp; B7 &amp; "' : " &amp; C7))</f>
        <v>'q' : ㄆ</v>
      </c>
      <c r="F7" s="173" t="s">
        <v>1663</v>
      </c>
      <c r="G7" s="193"/>
      <c r="H7" s="196" t="str">
        <f t="shared" ref="H7:H45" si="1" xml:space="preserve"> IF(G7="", ("'" &amp; F7 &amp; "' : " &amp; F7), ("'" &amp; F7 &amp; "' : " &amp; G7))</f>
        <v>'Q' : Q</v>
      </c>
    </row>
    <row r="8" spans="2:8">
      <c r="B8" s="173" t="s">
        <v>713</v>
      </c>
      <c r="C8" s="193" t="s">
        <v>1664</v>
      </c>
      <c r="D8" s="196" t="str">
        <f t="shared" si="0"/>
        <v>'a' : ㄇ</v>
      </c>
      <c r="F8" s="173" t="s">
        <v>1665</v>
      </c>
      <c r="G8" s="193"/>
      <c r="H8" s="196" t="str">
        <f t="shared" si="1"/>
        <v>'A' : A</v>
      </c>
    </row>
    <row r="9" spans="2:8">
      <c r="B9" s="173" t="s">
        <v>1666</v>
      </c>
      <c r="C9" s="193" t="s">
        <v>1667</v>
      </c>
      <c r="D9" s="196" t="str">
        <f t="shared" si="0"/>
        <v>'z' : ㆷ</v>
      </c>
      <c r="F9" s="173" t="s">
        <v>1668</v>
      </c>
      <c r="G9" s="193"/>
      <c r="H9" s="196" t="str">
        <f t="shared" si="1"/>
        <v>'Z' : Z</v>
      </c>
    </row>
    <row r="10" spans="2:8">
      <c r="B10" s="173">
        <v>2</v>
      </c>
      <c r="C10" s="193" t="s">
        <v>62</v>
      </c>
      <c r="D10" s="196" t="str">
        <f t="shared" si="0"/>
        <v>'2' : ㄉ</v>
      </c>
      <c r="F10" s="173" t="s">
        <v>1669</v>
      </c>
      <c r="G10" s="193"/>
      <c r="H10" s="196" t="str">
        <f t="shared" si="1"/>
        <v>'@' : @</v>
      </c>
    </row>
    <row r="11" spans="2:8">
      <c r="B11" s="173" t="s">
        <v>1670</v>
      </c>
      <c r="C11" s="193" t="s">
        <v>67</v>
      </c>
      <c r="D11" s="196" t="str">
        <f t="shared" si="0"/>
        <v>'w' : ㄊ</v>
      </c>
      <c r="F11" s="173" t="s">
        <v>1671</v>
      </c>
      <c r="G11" s="193"/>
      <c r="H11" s="196" t="str">
        <f t="shared" si="1"/>
        <v>'W' : W</v>
      </c>
    </row>
    <row r="12" spans="2:8">
      <c r="B12" s="173" t="s">
        <v>85</v>
      </c>
      <c r="C12" s="193" t="s">
        <v>73</v>
      </c>
      <c r="D12" s="196" t="str">
        <f t="shared" si="0"/>
        <v>'s' : ㄋ</v>
      </c>
      <c r="F12" s="173" t="s">
        <v>1672</v>
      </c>
      <c r="G12" s="193"/>
      <c r="H12" s="196" t="str">
        <f t="shared" si="1"/>
        <v>'S' : S</v>
      </c>
    </row>
    <row r="13" spans="2:8">
      <c r="B13" s="173" t="s">
        <v>1673</v>
      </c>
      <c r="C13" s="193" t="s">
        <v>77</v>
      </c>
      <c r="D13" s="196" t="str">
        <f t="shared" si="0"/>
        <v>'x' : ㄌ</v>
      </c>
      <c r="F13" s="173" t="s">
        <v>1674</v>
      </c>
      <c r="G13" s="193"/>
      <c r="H13" s="196" t="str">
        <f t="shared" si="1"/>
        <v>'X' : X</v>
      </c>
    </row>
    <row r="14" spans="2:8">
      <c r="B14" s="173">
        <v>3</v>
      </c>
      <c r="C14" s="193" t="s">
        <v>1675</v>
      </c>
      <c r="D14" s="196" t="str">
        <f t="shared" si="0"/>
        <v>'3' : ˪</v>
      </c>
      <c r="F14" s="173" t="s">
        <v>1676</v>
      </c>
      <c r="G14" s="193"/>
      <c r="H14" s="196" t="str">
        <f t="shared" si="1"/>
        <v>'#' : #</v>
      </c>
    </row>
    <row r="15" spans="2:8">
      <c r="B15" s="173" t="s">
        <v>739</v>
      </c>
      <c r="C15" s="193" t="s">
        <v>41</v>
      </c>
      <c r="D15" s="196" t="str">
        <f t="shared" si="0"/>
        <v>'e' : ㄍ</v>
      </c>
      <c r="F15" s="173" t="s">
        <v>1677</v>
      </c>
      <c r="G15" s="193" t="s">
        <v>56</v>
      </c>
      <c r="H15" s="196" t="str">
        <f t="shared" si="1"/>
        <v>'E' : ㆣ</v>
      </c>
    </row>
    <row r="16" spans="2:8">
      <c r="B16" s="173" t="s">
        <v>1678</v>
      </c>
      <c r="C16" s="193" t="s">
        <v>46</v>
      </c>
      <c r="D16" s="196" t="str">
        <f t="shared" si="0"/>
        <v>'d' : ㄎ</v>
      </c>
      <c r="F16" s="173" t="s">
        <v>1679</v>
      </c>
      <c r="G16" s="193"/>
      <c r="H16" s="196" t="str">
        <f t="shared" si="1"/>
        <v>'D' : D</v>
      </c>
    </row>
    <row r="17" spans="2:8">
      <c r="B17" s="173" t="s">
        <v>1680</v>
      </c>
      <c r="C17" s="193" t="s">
        <v>119</v>
      </c>
      <c r="D17" s="196" t="str">
        <f t="shared" si="0"/>
        <v>'c' : ㄏ</v>
      </c>
      <c r="F17" s="173" t="s">
        <v>1681</v>
      </c>
      <c r="G17" s="193"/>
      <c r="H17" s="196" t="str">
        <f t="shared" si="1"/>
        <v>'C' : C</v>
      </c>
    </row>
    <row r="18" spans="2:8">
      <c r="B18" s="173">
        <v>4</v>
      </c>
      <c r="C18" s="173" t="s">
        <v>571</v>
      </c>
      <c r="D18" s="196" t="str">
        <f t="shared" si="0"/>
        <v>'4' : ˋ</v>
      </c>
      <c r="F18" s="173" t="s">
        <v>1682</v>
      </c>
      <c r="G18" s="173"/>
      <c r="H18" s="196" t="str">
        <f t="shared" si="1"/>
        <v>'$' : $</v>
      </c>
    </row>
    <row r="19" spans="2:8">
      <c r="B19" s="173" t="s">
        <v>1683</v>
      </c>
      <c r="C19" s="193" t="s">
        <v>1684</v>
      </c>
      <c r="D19" s="196" t="str">
        <f t="shared" si="0"/>
        <v>'r' : ㄐ</v>
      </c>
      <c r="F19" s="173" t="s">
        <v>1685</v>
      </c>
      <c r="G19" s="193" t="s">
        <v>1686</v>
      </c>
      <c r="H19" s="196" t="str">
        <f t="shared" si="1"/>
        <v>'R' : ㆢ</v>
      </c>
    </row>
    <row r="20" spans="2:8">
      <c r="B20" s="173" t="s">
        <v>1687</v>
      </c>
      <c r="C20" s="193" t="s">
        <v>1652</v>
      </c>
      <c r="D20" s="196" t="str">
        <f t="shared" si="0"/>
        <v>'f' : ㄑ</v>
      </c>
      <c r="F20" s="173" t="s">
        <v>1688</v>
      </c>
      <c r="G20" s="193"/>
      <c r="H20" s="196" t="str">
        <f t="shared" si="1"/>
        <v>'F' : F</v>
      </c>
    </row>
    <row r="21" spans="2:8">
      <c r="B21" s="173" t="s">
        <v>1689</v>
      </c>
      <c r="C21" s="193" t="s">
        <v>1654</v>
      </c>
      <c r="D21" s="196" t="str">
        <f t="shared" si="0"/>
        <v>'v' : ㄒ</v>
      </c>
      <c r="F21" s="173" t="s">
        <v>1690</v>
      </c>
      <c r="G21" s="193"/>
      <c r="H21" s="196" t="str">
        <f t="shared" si="1"/>
        <v>'V' : V</v>
      </c>
    </row>
    <row r="22" spans="2:8">
      <c r="B22" s="173">
        <v>5</v>
      </c>
      <c r="C22" s="173" t="s">
        <v>577</v>
      </c>
      <c r="D22" s="196" t="str">
        <f t="shared" si="0"/>
        <v>'5' : ˫</v>
      </c>
      <c r="F22" s="173" t="s">
        <v>1691</v>
      </c>
      <c r="G22" s="173"/>
      <c r="H22" s="196" t="str">
        <f t="shared" si="1"/>
        <v>'%' : %</v>
      </c>
    </row>
    <row r="23" spans="2:8">
      <c r="B23" s="173" t="s">
        <v>78</v>
      </c>
      <c r="C23" s="193" t="s">
        <v>1692</v>
      </c>
      <c r="D23" s="196" t="str">
        <f t="shared" si="0"/>
        <v>'t' : ㆵ</v>
      </c>
      <c r="F23" s="173" t="s">
        <v>1693</v>
      </c>
      <c r="G23" s="193"/>
      <c r="H23" s="196" t="str">
        <f t="shared" si="1"/>
        <v>'T' : T</v>
      </c>
    </row>
    <row r="24" spans="2:8">
      <c r="B24" s="173" t="s">
        <v>74</v>
      </c>
      <c r="C24" s="193" t="s">
        <v>1694</v>
      </c>
      <c r="D24" s="196" t="str">
        <f t="shared" si="0"/>
        <v>'g' : ㆻ</v>
      </c>
      <c r="F24" s="173" t="s">
        <v>1695</v>
      </c>
      <c r="G24" s="193"/>
      <c r="H24" s="196" t="str">
        <f t="shared" si="1"/>
        <v>'G' : G</v>
      </c>
    </row>
    <row r="25" spans="2:8">
      <c r="B25" s="173" t="s">
        <v>26</v>
      </c>
      <c r="C25" s="193" t="s">
        <v>1696</v>
      </c>
      <c r="D25" s="196" t="str">
        <f t="shared" si="0"/>
        <v>'b' : ㆴ</v>
      </c>
      <c r="E25" s="171"/>
      <c r="F25" s="173" t="s">
        <v>1697</v>
      </c>
      <c r="G25" s="193"/>
      <c r="H25" s="196" t="str">
        <f t="shared" si="1"/>
        <v>'B' : B</v>
      </c>
    </row>
    <row r="26" spans="2:8">
      <c r="B26" s="193">
        <v>6</v>
      </c>
      <c r="C26" s="173" t="s">
        <v>568</v>
      </c>
      <c r="D26" s="196" t="str">
        <f t="shared" si="0"/>
        <v>'6' : ˊ</v>
      </c>
      <c r="E26" s="171"/>
      <c r="F26" s="193" t="s">
        <v>1698</v>
      </c>
      <c r="G26" s="173"/>
      <c r="H26" s="196" t="str">
        <f t="shared" si="1"/>
        <v>'^' : ^</v>
      </c>
    </row>
    <row r="27" spans="2:8">
      <c r="B27" s="193" t="s">
        <v>1358</v>
      </c>
      <c r="C27" s="193" t="s">
        <v>1650</v>
      </c>
      <c r="D27" s="196" t="str">
        <f t="shared" si="0"/>
        <v>'y' : ㄗ</v>
      </c>
      <c r="F27" s="193" t="s">
        <v>1699</v>
      </c>
      <c r="G27" s="193" t="s">
        <v>1655</v>
      </c>
      <c r="H27" s="196" t="str">
        <f t="shared" si="1"/>
        <v>'Y' : ㆡ</v>
      </c>
    </row>
    <row r="28" spans="2:8">
      <c r="B28" s="193" t="s">
        <v>106</v>
      </c>
      <c r="C28" s="193" t="s">
        <v>1651</v>
      </c>
      <c r="D28" s="196" t="str">
        <f t="shared" si="0"/>
        <v>'h' : ㄘ</v>
      </c>
      <c r="F28" s="193" t="s">
        <v>1700</v>
      </c>
      <c r="G28" s="193"/>
      <c r="H28" s="196" t="str">
        <f t="shared" si="1"/>
        <v>'H' : H</v>
      </c>
    </row>
    <row r="29" spans="2:8">
      <c r="B29" s="193" t="s">
        <v>47</v>
      </c>
      <c r="C29" s="193" t="s">
        <v>1653</v>
      </c>
      <c r="D29" s="196" t="str">
        <f t="shared" si="0"/>
        <v>'n' : ㄙ</v>
      </c>
      <c r="F29" s="193" t="s">
        <v>1701</v>
      </c>
      <c r="G29" s="193"/>
      <c r="H29" s="196" t="str">
        <f t="shared" si="1"/>
        <v>'N' : N</v>
      </c>
    </row>
    <row r="30" spans="2:8">
      <c r="B30" s="173">
        <v>7</v>
      </c>
      <c r="C30" s="173" t="s">
        <v>1702</v>
      </c>
      <c r="D30" s="196" t="str">
        <f t="shared" si="0"/>
        <v>'7' : ．</v>
      </c>
      <c r="F30" s="173" t="s">
        <v>1703</v>
      </c>
      <c r="G30" s="173"/>
      <c r="H30" s="196" t="str">
        <f t="shared" si="1"/>
        <v>'&amp;' : &amp;</v>
      </c>
    </row>
    <row r="31" spans="2:8">
      <c r="B31" s="173" t="s">
        <v>989</v>
      </c>
      <c r="C31" s="173" t="s">
        <v>917</v>
      </c>
      <c r="D31" s="196" t="str">
        <f t="shared" si="0"/>
        <v>'u' : ㄧ</v>
      </c>
      <c r="F31" s="173" t="s">
        <v>1704</v>
      </c>
      <c r="G31" s="173" t="s">
        <v>962</v>
      </c>
      <c r="H31" s="196" t="str">
        <f t="shared" si="1"/>
        <v>'U' : ㆪ</v>
      </c>
    </row>
    <row r="32" spans="2:8">
      <c r="B32" s="173" t="s">
        <v>97</v>
      </c>
      <c r="C32" s="173" t="s">
        <v>904</v>
      </c>
      <c r="D32" s="196" t="str">
        <f t="shared" si="0"/>
        <v>'j' : ㄨ</v>
      </c>
      <c r="F32" s="173" t="s">
        <v>1705</v>
      </c>
      <c r="G32" s="173" t="s">
        <v>1706</v>
      </c>
      <c r="H32" s="196" t="str">
        <f t="shared" si="1"/>
        <v>'J' : ㆫ</v>
      </c>
    </row>
    <row r="33" spans="2:8">
      <c r="B33" s="173" t="s">
        <v>36</v>
      </c>
      <c r="C33" s="173" t="s">
        <v>1038</v>
      </c>
      <c r="D33" s="196" t="str">
        <f t="shared" si="0"/>
        <v>'m' : ㆬ</v>
      </c>
      <c r="F33" s="173" t="s">
        <v>1707</v>
      </c>
      <c r="G33" s="173"/>
      <c r="H33" s="196" t="str">
        <f t="shared" si="1"/>
        <v>'M' : M</v>
      </c>
    </row>
    <row r="34" spans="2:8">
      <c r="B34" s="173">
        <v>8</v>
      </c>
      <c r="C34" s="195" t="s">
        <v>1708</v>
      </c>
      <c r="D34" s="196" t="str">
        <f t="shared" si="0"/>
        <v>'8' : ㄚ</v>
      </c>
      <c r="F34" s="173" t="s">
        <v>1709</v>
      </c>
      <c r="G34" s="195" t="s">
        <v>1710</v>
      </c>
      <c r="H34" s="196" t="str">
        <f t="shared" si="1"/>
        <v>'*' : ㆩ</v>
      </c>
    </row>
    <row r="35" spans="2:8">
      <c r="B35" s="173" t="s">
        <v>800</v>
      </c>
      <c r="C35" s="173" t="s">
        <v>786</v>
      </c>
      <c r="D35" s="196" t="str">
        <f t="shared" si="0"/>
        <v>'i' : ㆦ</v>
      </c>
      <c r="F35" s="173" t="s">
        <v>1711</v>
      </c>
      <c r="G35" s="173" t="s">
        <v>1031</v>
      </c>
      <c r="H35" s="196" t="str">
        <f t="shared" si="1"/>
        <v>'I' : ㆧ</v>
      </c>
    </row>
    <row r="36" spans="2:8">
      <c r="B36" s="173" t="s">
        <v>32</v>
      </c>
      <c r="C36" s="173" t="s">
        <v>819</v>
      </c>
      <c r="D36" s="196" t="str">
        <f t="shared" si="0"/>
        <v>'k' : ㄜ</v>
      </c>
      <c r="F36" s="173" t="s">
        <v>1712</v>
      </c>
      <c r="G36" s="173"/>
      <c r="H36" s="196" t="str">
        <f t="shared" si="1"/>
        <v>'K' : K</v>
      </c>
    </row>
    <row r="37" spans="2:8">
      <c r="B37" s="173" t="s">
        <v>1713</v>
      </c>
      <c r="C37" s="173" t="s">
        <v>844</v>
      </c>
      <c r="D37" s="196" t="str">
        <f t="shared" si="0"/>
        <v>',' : ㆰ</v>
      </c>
      <c r="F37" s="173" t="s">
        <v>1714</v>
      </c>
      <c r="G37" s="173" t="s">
        <v>1086</v>
      </c>
      <c r="H37" s="196" t="str">
        <f t="shared" si="1"/>
        <v>'&lt;' : ㆱ</v>
      </c>
    </row>
    <row r="38" spans="2:8">
      <c r="B38" s="173">
        <v>9</v>
      </c>
      <c r="C38" s="173" t="s">
        <v>826</v>
      </c>
      <c r="D38" s="196" t="str">
        <f t="shared" si="0"/>
        <v>'9' : ㄞ</v>
      </c>
      <c r="F38" s="173" t="s">
        <v>1715</v>
      </c>
      <c r="G38" s="173" t="s">
        <v>1018</v>
      </c>
      <c r="H38" s="196" t="str">
        <f t="shared" si="1"/>
        <v>'(' : ㆮ</v>
      </c>
    </row>
    <row r="39" spans="2:8">
      <c r="B39" s="173" t="s">
        <v>938</v>
      </c>
      <c r="C39" s="173" t="s">
        <v>1716</v>
      </c>
      <c r="D39" s="196" t="str">
        <f t="shared" si="0"/>
        <v>'o' : ㆤ</v>
      </c>
      <c r="F39" s="173" t="s">
        <v>1717</v>
      </c>
      <c r="G39" s="173" t="s">
        <v>1718</v>
      </c>
      <c r="H39" s="196" t="str">
        <f t="shared" si="1"/>
        <v>'O' : ㆥ</v>
      </c>
    </row>
    <row r="40" spans="2:8">
      <c r="B40" s="173" t="s">
        <v>57</v>
      </c>
      <c r="C40" s="173" t="s">
        <v>870</v>
      </c>
      <c r="D40" s="196" t="str">
        <f t="shared" si="0"/>
        <v>'l' : ㄠ</v>
      </c>
      <c r="F40" s="173" t="s">
        <v>1719</v>
      </c>
      <c r="G40" s="173" t="s">
        <v>1095</v>
      </c>
      <c r="H40" s="196" t="str">
        <f t="shared" si="1"/>
        <v>'L' : ㆯ</v>
      </c>
    </row>
    <row r="41" spans="2:8">
      <c r="B41" s="173" t="s">
        <v>1720</v>
      </c>
      <c r="C41" s="173"/>
      <c r="D41" s="196" t="str">
        <f t="shared" si="0"/>
        <v>'.' : .</v>
      </c>
      <c r="F41" s="173" t="s">
        <v>1721</v>
      </c>
      <c r="G41" s="173"/>
      <c r="H41" s="196" t="str">
        <f t="shared" si="1"/>
        <v>'&gt;' : &gt;</v>
      </c>
    </row>
    <row r="42" spans="2:8">
      <c r="B42" s="173">
        <v>0</v>
      </c>
      <c r="C42" s="173" t="s">
        <v>1722</v>
      </c>
      <c r="D42" s="196" t="str">
        <f t="shared" si="0"/>
        <v>'0' : ㄢ</v>
      </c>
      <c r="F42" s="173" t="s">
        <v>1723</v>
      </c>
      <c r="G42" s="173"/>
      <c r="H42" s="196" t="str">
        <f t="shared" si="1"/>
        <v>')' : )</v>
      </c>
    </row>
    <row r="43" spans="2:8">
      <c r="B43" s="173" t="s">
        <v>15</v>
      </c>
      <c r="C43" s="182" t="s">
        <v>1724</v>
      </c>
      <c r="D43" s="196" t="str">
        <f t="shared" si="0"/>
        <v>'p' : ㄣ</v>
      </c>
      <c r="F43" s="173" t="s">
        <v>1725</v>
      </c>
      <c r="G43" s="182"/>
      <c r="H43" s="196" t="str">
        <f t="shared" si="1"/>
        <v>'P' : P</v>
      </c>
    </row>
    <row r="44" spans="2:8">
      <c r="B44" s="173" t="s">
        <v>1726</v>
      </c>
      <c r="C44" s="173" t="s">
        <v>856</v>
      </c>
      <c r="D44" s="196" t="str">
        <f t="shared" si="0"/>
        <v>';' : ㄤ</v>
      </c>
      <c r="F44" s="173" t="s">
        <v>1727</v>
      </c>
      <c r="G44" s="173" t="s">
        <v>757</v>
      </c>
      <c r="H44" s="196" t="str">
        <f t="shared" si="1"/>
        <v>':' : ㆲ</v>
      </c>
    </row>
    <row r="45" spans="2:8">
      <c r="B45" s="173" t="s">
        <v>1728</v>
      </c>
      <c r="C45" s="194" t="s">
        <v>1729</v>
      </c>
      <c r="D45" s="196" t="str">
        <f t="shared" si="0"/>
        <v>'/' : ㄥ</v>
      </c>
      <c r="F45" s="173" t="s">
        <v>1730</v>
      </c>
      <c r="G45" s="194"/>
      <c r="H45" s="196" t="str">
        <f t="shared" si="1"/>
        <v>'?' : ?</v>
      </c>
    </row>
    <row r="46" spans="2:8">
      <c r="B46" s="173" t="s">
        <v>1731</v>
      </c>
      <c r="C46" s="173" t="s">
        <v>1003</v>
      </c>
      <c r="D46" s="196" t="str">
        <f xml:space="preserve"> IF(C46="", "", "'" &amp; B46 &amp; "' : " &amp; C46)</f>
        <v>'-' : ㆭ</v>
      </c>
      <c r="F46" s="173"/>
      <c r="G46" s="173"/>
      <c r="H46" s="196" t="str">
        <f xml:space="preserve"> IF(G46="", "", "'" &amp; F46 &amp; "' : " &amp; G46)</f>
        <v/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145A-EDC1-BA4F-A990-E7A9D20A1804}">
  <sheetPr codeName="工作表30">
    <tabColor theme="9" tint="0.59999389629810485"/>
  </sheetPr>
  <dimension ref="B4:V80"/>
  <sheetViews>
    <sheetView workbookViewId="0"/>
  </sheetViews>
  <sheetFormatPr defaultColWidth="10.90625" defaultRowHeight="25.5"/>
  <cols>
    <col min="1" max="1" width="3.1796875" customWidth="1"/>
    <col min="2" max="2" width="3.1796875" style="140" customWidth="1"/>
    <col min="3" max="22" width="6.26953125" style="135" customWidth="1"/>
  </cols>
  <sheetData>
    <row r="4" spans="2:22">
      <c r="C4" s="136"/>
      <c r="D4" s="136" t="s">
        <v>14</v>
      </c>
      <c r="E4" s="136" t="s">
        <v>19</v>
      </c>
      <c r="F4" s="136" t="s">
        <v>1732</v>
      </c>
      <c r="G4" s="136" t="s">
        <v>1733</v>
      </c>
      <c r="H4" s="136" t="s">
        <v>40</v>
      </c>
      <c r="I4" s="136" t="s">
        <v>116</v>
      </c>
      <c r="J4" s="136" t="s">
        <v>107</v>
      </c>
      <c r="K4" s="136" t="s">
        <v>37</v>
      </c>
      <c r="L4" s="136" t="s">
        <v>43</v>
      </c>
      <c r="M4" s="136" t="s">
        <v>75</v>
      </c>
      <c r="N4" s="136" t="s">
        <v>27</v>
      </c>
      <c r="O4" s="136" t="s">
        <v>69</v>
      </c>
      <c r="P4" s="136" t="s">
        <v>48</v>
      </c>
      <c r="Q4" s="136" t="s">
        <v>16</v>
      </c>
      <c r="R4" s="136" t="s">
        <v>22</v>
      </c>
      <c r="S4" s="136" t="s">
        <v>98</v>
      </c>
      <c r="T4" s="136" t="s">
        <v>58</v>
      </c>
      <c r="U4" s="136" t="s">
        <v>64</v>
      </c>
      <c r="V4" s="136"/>
    </row>
    <row r="5" spans="2:22">
      <c r="B5" s="140" cm="1">
        <f t="array" ref="B5" xml:space="preserve"> ROW() - ROW($4:$4)</f>
        <v>1</v>
      </c>
      <c r="C5" s="137" t="s">
        <v>139</v>
      </c>
      <c r="D5" s="138" t="s">
        <v>139</v>
      </c>
      <c r="E5" s="138" t="s">
        <v>1734</v>
      </c>
      <c r="F5" s="138" t="s">
        <v>1735</v>
      </c>
      <c r="G5" s="138" t="s">
        <v>1736</v>
      </c>
      <c r="H5" s="138" t="s">
        <v>1737</v>
      </c>
      <c r="I5" s="138" t="s">
        <v>1738</v>
      </c>
      <c r="J5" s="138"/>
      <c r="K5" s="138" t="s">
        <v>1739</v>
      </c>
      <c r="L5" s="138" t="s">
        <v>1740</v>
      </c>
      <c r="M5" s="138" t="s">
        <v>1741</v>
      </c>
      <c r="N5" s="138" t="s">
        <v>1742</v>
      </c>
      <c r="O5" s="138" t="s">
        <v>538</v>
      </c>
      <c r="P5" s="138" t="s">
        <v>1743</v>
      </c>
      <c r="Q5" s="138" t="s">
        <v>1744</v>
      </c>
      <c r="R5" s="138" t="s">
        <v>1745</v>
      </c>
      <c r="S5" s="138" t="s">
        <v>1746</v>
      </c>
      <c r="T5" s="138" t="s">
        <v>1747</v>
      </c>
      <c r="U5" s="138" t="s">
        <v>1748</v>
      </c>
      <c r="V5" s="139" t="s">
        <v>139</v>
      </c>
    </row>
    <row r="6" spans="2:22">
      <c r="B6" s="140" cm="1">
        <f t="array" ref="B6" xml:space="preserve"> ROW() - ROW($4:$4)</f>
        <v>2</v>
      </c>
      <c r="C6" s="137" t="s">
        <v>1749</v>
      </c>
      <c r="D6" s="138" t="s">
        <v>1750</v>
      </c>
      <c r="E6" s="138"/>
      <c r="F6" s="138" t="s">
        <v>1751</v>
      </c>
      <c r="G6" s="138" t="s">
        <v>1752</v>
      </c>
      <c r="H6" s="138"/>
      <c r="I6" s="138" t="s">
        <v>1753</v>
      </c>
      <c r="J6" s="138"/>
      <c r="K6" s="138" t="s">
        <v>1754</v>
      </c>
      <c r="L6" s="138" t="s">
        <v>1755</v>
      </c>
      <c r="M6" s="138"/>
      <c r="N6" s="138"/>
      <c r="O6" s="138"/>
      <c r="P6" s="138"/>
      <c r="Q6" s="138"/>
      <c r="R6" s="138" t="s">
        <v>1756</v>
      </c>
      <c r="S6" s="138" t="s">
        <v>1757</v>
      </c>
      <c r="T6" s="138" t="s">
        <v>1758</v>
      </c>
      <c r="U6" s="138" t="s">
        <v>1759</v>
      </c>
      <c r="V6" s="139" t="s">
        <v>1749</v>
      </c>
    </row>
    <row r="7" spans="2:22">
      <c r="B7" s="140" cm="1">
        <f t="array" ref="B7" xml:space="preserve"> ROW() - ROW($4:$4)</f>
        <v>3</v>
      </c>
      <c r="C7" s="137" t="s">
        <v>140</v>
      </c>
      <c r="D7" s="138" t="s">
        <v>140</v>
      </c>
      <c r="E7" s="138" t="s">
        <v>1760</v>
      </c>
      <c r="F7" s="138" t="s">
        <v>1761</v>
      </c>
      <c r="G7" s="138" t="s">
        <v>1762</v>
      </c>
      <c r="H7" s="138"/>
      <c r="I7" s="138" t="s">
        <v>1763</v>
      </c>
      <c r="J7" s="138"/>
      <c r="K7" s="138" t="s">
        <v>1764</v>
      </c>
      <c r="L7" s="138" t="s">
        <v>1765</v>
      </c>
      <c r="M7" s="138" t="s">
        <v>1766</v>
      </c>
      <c r="N7" s="138"/>
      <c r="O7" s="138" t="s">
        <v>895</v>
      </c>
      <c r="P7" s="138"/>
      <c r="Q7" s="138" t="s">
        <v>1767</v>
      </c>
      <c r="R7" s="138" t="s">
        <v>1768</v>
      </c>
      <c r="S7" s="138" t="s">
        <v>1769</v>
      </c>
      <c r="T7" s="138" t="s">
        <v>1770</v>
      </c>
      <c r="U7" s="138" t="s">
        <v>1771</v>
      </c>
      <c r="V7" s="139" t="s">
        <v>140</v>
      </c>
    </row>
    <row r="8" spans="2:22">
      <c r="B8" s="140" cm="1">
        <f t="array" ref="B8" xml:space="preserve"> ROW() - ROW($4:$4)</f>
        <v>4</v>
      </c>
      <c r="C8" s="137" t="s">
        <v>1772</v>
      </c>
      <c r="D8" s="138"/>
      <c r="E8" s="138"/>
      <c r="F8" s="138"/>
      <c r="G8" s="138"/>
      <c r="H8" s="138"/>
      <c r="I8" s="138" t="s">
        <v>1773</v>
      </c>
      <c r="J8" s="138"/>
      <c r="K8" s="138"/>
      <c r="L8" s="138"/>
      <c r="M8" s="138"/>
      <c r="N8" s="138"/>
      <c r="O8" s="138"/>
      <c r="P8" s="138"/>
      <c r="Q8" s="138"/>
      <c r="R8" s="138"/>
      <c r="S8" s="138" t="s">
        <v>1774</v>
      </c>
      <c r="T8" s="138"/>
      <c r="U8" s="138"/>
      <c r="V8" s="139" t="s">
        <v>1772</v>
      </c>
    </row>
    <row r="9" spans="2:22">
      <c r="B9" s="140" cm="1">
        <f t="array" ref="B9" xml:space="preserve"> ROW() - ROW($4:$4)</f>
        <v>5</v>
      </c>
      <c r="C9" s="137" t="s">
        <v>151</v>
      </c>
      <c r="D9" s="138" t="s">
        <v>151</v>
      </c>
      <c r="E9" s="138" t="s">
        <v>1775</v>
      </c>
      <c r="F9" s="138" t="s">
        <v>1776</v>
      </c>
      <c r="G9" s="138" t="s">
        <v>1777</v>
      </c>
      <c r="H9" s="138" t="s">
        <v>1778</v>
      </c>
      <c r="I9" s="138" t="s">
        <v>1779</v>
      </c>
      <c r="J9" s="138"/>
      <c r="K9" s="138" t="s">
        <v>1780</v>
      </c>
      <c r="L9" s="138" t="s">
        <v>1781</v>
      </c>
      <c r="M9" s="138" t="s">
        <v>1782</v>
      </c>
      <c r="N9" s="138" t="s">
        <v>1783</v>
      </c>
      <c r="O9" s="138" t="s">
        <v>1016</v>
      </c>
      <c r="P9" s="138" t="s">
        <v>1784</v>
      </c>
      <c r="Q9" s="138" t="s">
        <v>1785</v>
      </c>
      <c r="R9" s="138" t="s">
        <v>1786</v>
      </c>
      <c r="S9" s="138" t="s">
        <v>1787</v>
      </c>
      <c r="T9" s="138" t="s">
        <v>1788</v>
      </c>
      <c r="U9" s="138" t="s">
        <v>1789</v>
      </c>
      <c r="V9" s="139" t="s">
        <v>151</v>
      </c>
    </row>
    <row r="10" spans="2:22">
      <c r="B10" s="140" cm="1">
        <f t="array" ref="B10" xml:space="preserve"> ROW() - ROW($4:$4)</f>
        <v>6</v>
      </c>
      <c r="C10" s="137" t="s">
        <v>1790</v>
      </c>
      <c r="D10" s="138" t="s">
        <v>1791</v>
      </c>
      <c r="E10" s="138"/>
      <c r="F10" s="138" t="s">
        <v>1792</v>
      </c>
      <c r="G10" s="138"/>
      <c r="H10" s="138"/>
      <c r="I10" s="138" t="s">
        <v>1793</v>
      </c>
      <c r="J10" s="138"/>
      <c r="K10" s="138" t="s">
        <v>1794</v>
      </c>
      <c r="L10" s="138" t="s">
        <v>1795</v>
      </c>
      <c r="M10" s="138"/>
      <c r="N10" s="138"/>
      <c r="O10" s="138"/>
      <c r="P10" s="138"/>
      <c r="Q10" s="138"/>
      <c r="R10" s="138" t="s">
        <v>1796</v>
      </c>
      <c r="S10" s="138"/>
      <c r="T10" s="138" t="s">
        <v>1797</v>
      </c>
      <c r="U10" s="138"/>
      <c r="V10" s="139" t="s">
        <v>1790</v>
      </c>
    </row>
    <row r="11" spans="2:22">
      <c r="B11" s="140" cm="1">
        <f t="array" ref="B11" xml:space="preserve"> ROW() - ROW($4:$4)</f>
        <v>7</v>
      </c>
      <c r="C11" s="137" t="s">
        <v>173</v>
      </c>
      <c r="D11" s="138" t="s">
        <v>173</v>
      </c>
      <c r="E11" s="138" t="s">
        <v>1798</v>
      </c>
      <c r="F11" s="138" t="s">
        <v>1799</v>
      </c>
      <c r="G11" s="138" t="s">
        <v>1800</v>
      </c>
      <c r="H11" s="138" t="s">
        <v>1801</v>
      </c>
      <c r="I11" s="138" t="s">
        <v>1802</v>
      </c>
      <c r="J11" s="138"/>
      <c r="K11" s="138" t="s">
        <v>1803</v>
      </c>
      <c r="L11" s="138" t="s">
        <v>1804</v>
      </c>
      <c r="M11" s="138" t="s">
        <v>1805</v>
      </c>
      <c r="N11" s="138"/>
      <c r="O11" s="138"/>
      <c r="P11" s="138"/>
      <c r="Q11" s="138" t="s">
        <v>1806</v>
      </c>
      <c r="R11" s="138" t="s">
        <v>1807</v>
      </c>
      <c r="S11" s="138" t="s">
        <v>1808</v>
      </c>
      <c r="T11" s="138" t="s">
        <v>1809</v>
      </c>
      <c r="U11" s="138" t="s">
        <v>1810</v>
      </c>
      <c r="V11" s="139" t="s">
        <v>173</v>
      </c>
    </row>
    <row r="12" spans="2:22">
      <c r="B12" s="140" cm="1">
        <f t="array" ref="B12" xml:space="preserve"> ROW() - ROW($4:$4)</f>
        <v>8</v>
      </c>
      <c r="C12" s="137" t="s">
        <v>163</v>
      </c>
      <c r="D12" s="138" t="s">
        <v>163</v>
      </c>
      <c r="E12" s="138"/>
      <c r="F12" s="138" t="s">
        <v>1811</v>
      </c>
      <c r="G12" s="138" t="s">
        <v>1812</v>
      </c>
      <c r="H12" s="138" t="s">
        <v>1813</v>
      </c>
      <c r="I12" s="138" t="s">
        <v>1814</v>
      </c>
      <c r="J12" s="138"/>
      <c r="K12" s="138" t="s">
        <v>1815</v>
      </c>
      <c r="L12" s="138" t="s">
        <v>1816</v>
      </c>
      <c r="M12" s="138" t="s">
        <v>1817</v>
      </c>
      <c r="N12" s="138"/>
      <c r="O12" s="138"/>
      <c r="P12" s="138"/>
      <c r="Q12" s="138"/>
      <c r="R12" s="138"/>
      <c r="S12" s="138" t="s">
        <v>1818</v>
      </c>
      <c r="T12" s="138" t="s">
        <v>1819</v>
      </c>
      <c r="U12" s="138" t="s">
        <v>1820</v>
      </c>
      <c r="V12" s="139" t="s">
        <v>163</v>
      </c>
    </row>
    <row r="13" spans="2:22">
      <c r="B13" s="140" cm="1">
        <f t="array" ref="B13" xml:space="preserve"> ROW() - ROW($4:$4)</f>
        <v>9</v>
      </c>
      <c r="C13" s="137" t="s">
        <v>166</v>
      </c>
      <c r="D13" s="138" t="s">
        <v>166</v>
      </c>
      <c r="E13" s="138" t="s">
        <v>1821</v>
      </c>
      <c r="F13" s="138" t="s">
        <v>1822</v>
      </c>
      <c r="G13" s="138" t="s">
        <v>1823</v>
      </c>
      <c r="H13" s="138" t="s">
        <v>1824</v>
      </c>
      <c r="I13" s="138" t="s">
        <v>1825</v>
      </c>
      <c r="J13" s="138"/>
      <c r="K13" s="138" t="s">
        <v>1826</v>
      </c>
      <c r="L13" s="138" t="s">
        <v>1827</v>
      </c>
      <c r="M13" s="138" t="s">
        <v>1828</v>
      </c>
      <c r="N13" s="138"/>
      <c r="O13" s="138"/>
      <c r="P13" s="138"/>
      <c r="Q13" s="138" t="s">
        <v>1829</v>
      </c>
      <c r="R13" s="138" t="s">
        <v>1830</v>
      </c>
      <c r="S13" s="138" t="s">
        <v>1831</v>
      </c>
      <c r="T13" s="138" t="s">
        <v>1832</v>
      </c>
      <c r="U13" s="138" t="s">
        <v>1833</v>
      </c>
      <c r="V13" s="139" t="s">
        <v>166</v>
      </c>
    </row>
    <row r="14" spans="2:22">
      <c r="B14" s="140" cm="1">
        <f t="array" ref="B14" xml:space="preserve"> ROW() - ROW($4:$4)</f>
        <v>10</v>
      </c>
      <c r="C14" s="137" t="s">
        <v>172</v>
      </c>
      <c r="D14" s="138" t="s">
        <v>172</v>
      </c>
      <c r="E14" s="138" t="s">
        <v>1834</v>
      </c>
      <c r="F14" s="138" t="s">
        <v>1835</v>
      </c>
      <c r="G14" s="138" t="s">
        <v>1836</v>
      </c>
      <c r="H14" s="138" t="s">
        <v>1837</v>
      </c>
      <c r="I14" s="138" t="s">
        <v>1838</v>
      </c>
      <c r="J14" s="138"/>
      <c r="K14" s="138" t="s">
        <v>1839</v>
      </c>
      <c r="L14" s="138" t="s">
        <v>1840</v>
      </c>
      <c r="M14" s="138" t="s">
        <v>1841</v>
      </c>
      <c r="N14" s="138"/>
      <c r="O14" s="138"/>
      <c r="P14" s="138"/>
      <c r="Q14" s="138" t="s">
        <v>1842</v>
      </c>
      <c r="R14" s="138" t="s">
        <v>1843</v>
      </c>
      <c r="S14" s="138" t="s">
        <v>1844</v>
      </c>
      <c r="T14" s="138" t="s">
        <v>1845</v>
      </c>
      <c r="U14" s="138" t="s">
        <v>1846</v>
      </c>
      <c r="V14" s="139" t="s">
        <v>172</v>
      </c>
    </row>
    <row r="15" spans="2:22">
      <c r="B15" s="140" cm="1">
        <f t="array" ref="B15" xml:space="preserve"> ROW() - ROW($4:$4)</f>
        <v>11</v>
      </c>
      <c r="C15" s="137" t="s">
        <v>164</v>
      </c>
      <c r="D15" s="138" t="s">
        <v>164</v>
      </c>
      <c r="E15" s="138"/>
      <c r="F15" s="138" t="s">
        <v>1847</v>
      </c>
      <c r="G15" s="138" t="s">
        <v>1848</v>
      </c>
      <c r="H15" s="138"/>
      <c r="I15" s="138" t="s">
        <v>1849</v>
      </c>
      <c r="J15" s="138"/>
      <c r="K15" s="138" t="s">
        <v>1850</v>
      </c>
      <c r="L15" s="138" t="s">
        <v>1851</v>
      </c>
      <c r="M15" s="138" t="s">
        <v>1852</v>
      </c>
      <c r="N15" s="138"/>
      <c r="O15" s="138"/>
      <c r="P15" s="138"/>
      <c r="Q15" s="138"/>
      <c r="R15" s="138"/>
      <c r="S15" s="138" t="s">
        <v>1853</v>
      </c>
      <c r="T15" s="138" t="s">
        <v>1854</v>
      </c>
      <c r="U15" s="138" t="s">
        <v>1855</v>
      </c>
      <c r="V15" s="139" t="s">
        <v>164</v>
      </c>
    </row>
    <row r="16" spans="2:22">
      <c r="B16" s="140" cm="1">
        <f t="array" ref="B16" xml:space="preserve"> ROW() - ROW($4:$4)</f>
        <v>12</v>
      </c>
      <c r="C16" s="137" t="s">
        <v>167</v>
      </c>
      <c r="D16" s="138" t="s">
        <v>167</v>
      </c>
      <c r="E16" s="138" t="s">
        <v>1856</v>
      </c>
      <c r="F16" s="138" t="s">
        <v>1857</v>
      </c>
      <c r="G16" s="138" t="s">
        <v>1858</v>
      </c>
      <c r="H16" s="138"/>
      <c r="I16" s="138" t="s">
        <v>1859</v>
      </c>
      <c r="J16" s="138"/>
      <c r="K16" s="138" t="s">
        <v>1860</v>
      </c>
      <c r="L16" s="138" t="s">
        <v>1861</v>
      </c>
      <c r="M16" s="138" t="s">
        <v>1862</v>
      </c>
      <c r="N16" s="138"/>
      <c r="O16" s="138"/>
      <c r="P16" s="138"/>
      <c r="Q16" s="138" t="s">
        <v>1863</v>
      </c>
      <c r="R16" s="138"/>
      <c r="S16" s="138" t="s">
        <v>1864</v>
      </c>
      <c r="T16" s="138" t="s">
        <v>1865</v>
      </c>
      <c r="U16" s="138" t="s">
        <v>1866</v>
      </c>
      <c r="V16" s="139" t="s">
        <v>167</v>
      </c>
    </row>
    <row r="17" spans="2:22">
      <c r="B17" s="140" cm="1">
        <f t="array" ref="B17" xml:space="preserve"> ROW() - ROW($4:$4)</f>
        <v>13</v>
      </c>
      <c r="C17" s="137" t="s">
        <v>178</v>
      </c>
      <c r="D17" s="138" t="s">
        <v>178</v>
      </c>
      <c r="E17" s="138" t="s">
        <v>1867</v>
      </c>
      <c r="F17" s="138" t="s">
        <v>1868</v>
      </c>
      <c r="G17" s="138" t="s">
        <v>1869</v>
      </c>
      <c r="H17" s="138" t="s">
        <v>1870</v>
      </c>
      <c r="I17" s="138" t="s">
        <v>1871</v>
      </c>
      <c r="J17" s="138"/>
      <c r="K17" s="138" t="s">
        <v>1872</v>
      </c>
      <c r="L17" s="138" t="s">
        <v>1873</v>
      </c>
      <c r="M17" s="138" t="s">
        <v>1874</v>
      </c>
      <c r="N17" s="138" t="s">
        <v>1875</v>
      </c>
      <c r="O17" s="138" t="s">
        <v>1876</v>
      </c>
      <c r="P17" s="138" t="s">
        <v>1877</v>
      </c>
      <c r="Q17" s="138" t="s">
        <v>1878</v>
      </c>
      <c r="R17" s="138" t="s">
        <v>1879</v>
      </c>
      <c r="S17" s="138" t="s">
        <v>1880</v>
      </c>
      <c r="T17" s="138" t="s">
        <v>1881</v>
      </c>
      <c r="U17" s="138" t="s">
        <v>1882</v>
      </c>
      <c r="V17" s="139" t="s">
        <v>178</v>
      </c>
    </row>
    <row r="18" spans="2:22">
      <c r="B18" s="140" cm="1">
        <f t="array" ref="B18" xml:space="preserve"> ROW() - ROW($4:$4)</f>
        <v>14</v>
      </c>
      <c r="C18" s="137" t="s">
        <v>179</v>
      </c>
      <c r="D18" s="138"/>
      <c r="E18" s="138"/>
      <c r="F18" s="138"/>
      <c r="G18" s="138" t="s">
        <v>1883</v>
      </c>
      <c r="H18" s="138"/>
      <c r="I18" s="138"/>
      <c r="J18" s="138"/>
      <c r="K18" s="138" t="s">
        <v>1884</v>
      </c>
      <c r="L18" s="138"/>
      <c r="M18" s="138" t="s">
        <v>1885</v>
      </c>
      <c r="N18" s="138" t="s">
        <v>1886</v>
      </c>
      <c r="O18" s="138" t="s">
        <v>1887</v>
      </c>
      <c r="P18" s="138"/>
      <c r="Q18" s="138"/>
      <c r="R18" s="138" t="s">
        <v>1888</v>
      </c>
      <c r="S18" s="138"/>
      <c r="T18" s="138" t="s">
        <v>1889</v>
      </c>
      <c r="U18" s="138"/>
      <c r="V18" s="139" t="s">
        <v>179</v>
      </c>
    </row>
    <row r="19" spans="2:22">
      <c r="B19" s="140" cm="1">
        <f t="array" ref="B19" xml:space="preserve"> ROW() - ROW($4:$4)</f>
        <v>15</v>
      </c>
      <c r="C19" s="137" t="s">
        <v>160</v>
      </c>
      <c r="D19" s="138" t="s">
        <v>160</v>
      </c>
      <c r="E19" s="138" t="s">
        <v>1890</v>
      </c>
      <c r="F19" s="138" t="s">
        <v>1891</v>
      </c>
      <c r="G19" s="138" t="s">
        <v>1892</v>
      </c>
      <c r="H19" s="138" t="s">
        <v>1893</v>
      </c>
      <c r="I19" s="138" t="s">
        <v>1894</v>
      </c>
      <c r="J19" s="138"/>
      <c r="K19" s="138" t="s">
        <v>1895</v>
      </c>
      <c r="L19" s="138" t="s">
        <v>1896</v>
      </c>
      <c r="M19" s="138" t="s">
        <v>1897</v>
      </c>
      <c r="N19" s="138" t="s">
        <v>1898</v>
      </c>
      <c r="O19" s="138" t="s">
        <v>930</v>
      </c>
      <c r="P19" s="138" t="s">
        <v>1899</v>
      </c>
      <c r="Q19" s="138" t="s">
        <v>1900</v>
      </c>
      <c r="R19" s="138" t="s">
        <v>1901</v>
      </c>
      <c r="S19" s="138" t="s">
        <v>1902</v>
      </c>
      <c r="T19" s="138" t="s">
        <v>1903</v>
      </c>
      <c r="U19" s="138" t="s">
        <v>1904</v>
      </c>
      <c r="V19" s="139" t="s">
        <v>160</v>
      </c>
    </row>
    <row r="20" spans="2:22">
      <c r="B20" s="140" cm="1">
        <f t="array" ref="B20" xml:space="preserve"> ROW() - ROW($4:$4)</f>
        <v>16</v>
      </c>
      <c r="C20" s="137" t="s">
        <v>1905</v>
      </c>
      <c r="D20" s="138" t="s">
        <v>1906</v>
      </c>
      <c r="E20" s="138"/>
      <c r="F20" s="138" t="s">
        <v>1907</v>
      </c>
      <c r="G20" s="138" t="s">
        <v>1908</v>
      </c>
      <c r="H20" s="138"/>
      <c r="I20" s="138" t="s">
        <v>1909</v>
      </c>
      <c r="J20" s="138"/>
      <c r="K20" s="138" t="s">
        <v>1910</v>
      </c>
      <c r="L20" s="138" t="s">
        <v>1911</v>
      </c>
      <c r="M20" s="138"/>
      <c r="N20" s="138"/>
      <c r="O20" s="138"/>
      <c r="P20" s="138"/>
      <c r="Q20" s="138" t="s">
        <v>1912</v>
      </c>
      <c r="R20" s="138" t="s">
        <v>1913</v>
      </c>
      <c r="S20" s="138" t="s">
        <v>1914</v>
      </c>
      <c r="T20" s="138" t="s">
        <v>1915</v>
      </c>
      <c r="U20" s="138" t="s">
        <v>1916</v>
      </c>
      <c r="V20" s="139" t="s">
        <v>1905</v>
      </c>
    </row>
    <row r="21" spans="2:22">
      <c r="B21" s="140" cm="1">
        <f t="array" ref="B21" xml:space="preserve"> ROW() - ROW($4:$4)</f>
        <v>17</v>
      </c>
      <c r="C21" s="137" t="s">
        <v>161</v>
      </c>
      <c r="D21" s="138" t="s">
        <v>161</v>
      </c>
      <c r="E21" s="138" t="s">
        <v>1917</v>
      </c>
      <c r="F21" s="138" t="s">
        <v>1918</v>
      </c>
      <c r="G21" s="138" t="s">
        <v>1919</v>
      </c>
      <c r="H21" s="138"/>
      <c r="I21" s="138" t="s">
        <v>1920</v>
      </c>
      <c r="J21" s="138"/>
      <c r="K21" s="138" t="s">
        <v>1921</v>
      </c>
      <c r="L21" s="138" t="s">
        <v>1922</v>
      </c>
      <c r="M21" s="138" t="s">
        <v>1923</v>
      </c>
      <c r="N21" s="138" t="s">
        <v>1924</v>
      </c>
      <c r="O21" s="138" t="s">
        <v>931</v>
      </c>
      <c r="P21" s="138" t="s">
        <v>1925</v>
      </c>
      <c r="Q21" s="138" t="s">
        <v>1926</v>
      </c>
      <c r="R21" s="138"/>
      <c r="S21" s="138" t="s">
        <v>1927</v>
      </c>
      <c r="T21" s="138" t="s">
        <v>1928</v>
      </c>
      <c r="U21" s="138" t="s">
        <v>1929</v>
      </c>
      <c r="V21" s="139" t="s">
        <v>161</v>
      </c>
    </row>
    <row r="22" spans="2:22">
      <c r="B22" s="140" cm="1">
        <f t="array" ref="B22" xml:space="preserve"> ROW() - ROW($4:$4)</f>
        <v>18</v>
      </c>
      <c r="C22" s="137" t="s">
        <v>1930</v>
      </c>
      <c r="D22" s="138"/>
      <c r="E22" s="138"/>
      <c r="F22" s="138"/>
      <c r="G22" s="138"/>
      <c r="H22" s="138"/>
      <c r="I22" s="138" t="s">
        <v>1931</v>
      </c>
      <c r="J22" s="138"/>
      <c r="K22" s="138"/>
      <c r="L22" s="138" t="s">
        <v>1932</v>
      </c>
      <c r="M22" s="138"/>
      <c r="N22" s="138"/>
      <c r="O22" s="138"/>
      <c r="P22" s="138"/>
      <c r="Q22" s="138"/>
      <c r="R22" s="138"/>
      <c r="S22" s="138"/>
      <c r="T22" s="138"/>
      <c r="U22" s="138"/>
      <c r="V22" s="139" t="s">
        <v>1930</v>
      </c>
    </row>
    <row r="23" spans="2:22">
      <c r="B23" s="140" cm="1">
        <f t="array" ref="B23" xml:space="preserve"> ROW() - ROW($4:$4)</f>
        <v>19</v>
      </c>
      <c r="C23" s="137" t="s">
        <v>303</v>
      </c>
      <c r="D23" s="138" t="s">
        <v>303</v>
      </c>
      <c r="E23" s="138" t="s">
        <v>1933</v>
      </c>
      <c r="F23" s="138" t="s">
        <v>1934</v>
      </c>
      <c r="G23" s="138" t="s">
        <v>1935</v>
      </c>
      <c r="H23" s="138" t="s">
        <v>1936</v>
      </c>
      <c r="I23" s="138" t="s">
        <v>1937</v>
      </c>
      <c r="J23" s="138"/>
      <c r="K23" s="138" t="s">
        <v>1938</v>
      </c>
      <c r="L23" s="138"/>
      <c r="M23" s="138" t="s">
        <v>1939</v>
      </c>
      <c r="N23" s="138"/>
      <c r="O23" s="138"/>
      <c r="P23" s="138"/>
      <c r="Q23" s="138" t="s">
        <v>1940</v>
      </c>
      <c r="R23" s="138" t="s">
        <v>1941</v>
      </c>
      <c r="S23" s="138" t="s">
        <v>1942</v>
      </c>
      <c r="T23" s="138" t="s">
        <v>1943</v>
      </c>
      <c r="U23" s="138" t="s">
        <v>1944</v>
      </c>
      <c r="V23" s="139" t="s">
        <v>303</v>
      </c>
    </row>
    <row r="24" spans="2:22">
      <c r="B24" s="140" cm="1">
        <f t="array" ref="B24" xml:space="preserve"> ROW() - ROW($4:$4)</f>
        <v>20</v>
      </c>
      <c r="C24" s="137" t="s">
        <v>305</v>
      </c>
      <c r="D24" s="138" t="s">
        <v>305</v>
      </c>
      <c r="E24" s="138" t="s">
        <v>1945</v>
      </c>
      <c r="F24" s="138" t="s">
        <v>1946</v>
      </c>
      <c r="G24" s="138" t="s">
        <v>1947</v>
      </c>
      <c r="H24" s="138" t="s">
        <v>1948</v>
      </c>
      <c r="I24" s="138" t="s">
        <v>1949</v>
      </c>
      <c r="J24" s="138"/>
      <c r="K24" s="138" t="s">
        <v>1950</v>
      </c>
      <c r="L24" s="138" t="s">
        <v>1951</v>
      </c>
      <c r="M24" s="138" t="s">
        <v>1952</v>
      </c>
      <c r="N24" s="138"/>
      <c r="O24" s="138"/>
      <c r="P24" s="138"/>
      <c r="Q24" s="138" t="s">
        <v>1953</v>
      </c>
      <c r="R24" s="138" t="s">
        <v>1954</v>
      </c>
      <c r="S24" s="138" t="s">
        <v>1955</v>
      </c>
      <c r="T24" s="138" t="s">
        <v>1956</v>
      </c>
      <c r="U24" s="138" t="s">
        <v>1957</v>
      </c>
      <c r="V24" s="139" t="s">
        <v>305</v>
      </c>
    </row>
    <row r="25" spans="2:22">
      <c r="B25" s="140" cm="1">
        <f t="array" ref="B25" xml:space="preserve"> ROW() - ROW($4:$4)</f>
        <v>21</v>
      </c>
      <c r="C25" s="137" t="s">
        <v>200</v>
      </c>
      <c r="D25" s="138" t="s">
        <v>200</v>
      </c>
      <c r="E25" s="138" t="s">
        <v>1958</v>
      </c>
      <c r="F25" s="138" t="s">
        <v>1959</v>
      </c>
      <c r="G25" s="138" t="s">
        <v>1960</v>
      </c>
      <c r="H25" s="138" t="s">
        <v>1961</v>
      </c>
      <c r="I25" s="138" t="s">
        <v>1962</v>
      </c>
      <c r="J25" s="138" t="s">
        <v>649</v>
      </c>
      <c r="K25" s="138" t="s">
        <v>1963</v>
      </c>
      <c r="L25" s="138" t="s">
        <v>1964</v>
      </c>
      <c r="M25" s="138" t="s">
        <v>1965</v>
      </c>
      <c r="N25" s="138" t="s">
        <v>1966</v>
      </c>
      <c r="O25" s="138" t="s">
        <v>960</v>
      </c>
      <c r="P25" s="138"/>
      <c r="Q25" s="138" t="s">
        <v>1967</v>
      </c>
      <c r="R25" s="138" t="s">
        <v>1968</v>
      </c>
      <c r="S25" s="138" t="s">
        <v>655</v>
      </c>
      <c r="T25" s="138" t="s">
        <v>1969</v>
      </c>
      <c r="U25" s="138" t="s">
        <v>1970</v>
      </c>
      <c r="V25" s="139" t="s">
        <v>200</v>
      </c>
    </row>
    <row r="26" spans="2:22">
      <c r="B26" s="140" cm="1">
        <f t="array" ref="B26" xml:space="preserve"> ROW() - ROW($4:$4)</f>
        <v>22</v>
      </c>
      <c r="C26" s="137" t="s">
        <v>1971</v>
      </c>
      <c r="D26" s="138" t="s">
        <v>1972</v>
      </c>
      <c r="E26" s="138"/>
      <c r="F26" s="138" t="s">
        <v>1973</v>
      </c>
      <c r="G26" s="138" t="s">
        <v>1974</v>
      </c>
      <c r="H26" s="138"/>
      <c r="I26" s="138" t="s">
        <v>1975</v>
      </c>
      <c r="J26" s="138"/>
      <c r="K26" s="138" t="s">
        <v>1976</v>
      </c>
      <c r="L26" s="138" t="s">
        <v>1977</v>
      </c>
      <c r="M26" s="138"/>
      <c r="N26" s="138"/>
      <c r="O26" s="138"/>
      <c r="P26" s="138"/>
      <c r="Q26" s="138"/>
      <c r="R26" s="138"/>
      <c r="S26" s="138" t="s">
        <v>1978</v>
      </c>
      <c r="T26" s="138" t="s">
        <v>1979</v>
      </c>
      <c r="U26" s="138" t="s">
        <v>1980</v>
      </c>
      <c r="V26" s="139" t="s">
        <v>1971</v>
      </c>
    </row>
    <row r="27" spans="2:22">
      <c r="B27" s="140" cm="1">
        <f t="array" ref="B27" xml:space="preserve"> ROW() - ROW($4:$4)</f>
        <v>23</v>
      </c>
      <c r="C27" s="137" t="s">
        <v>212</v>
      </c>
      <c r="D27" s="138" t="s">
        <v>212</v>
      </c>
      <c r="E27" s="138"/>
      <c r="F27" s="138" t="s">
        <v>1981</v>
      </c>
      <c r="G27" s="138" t="s">
        <v>1982</v>
      </c>
      <c r="H27" s="138" t="s">
        <v>1983</v>
      </c>
      <c r="I27" s="138" t="s">
        <v>1984</v>
      </c>
      <c r="J27" s="138" t="s">
        <v>1985</v>
      </c>
      <c r="K27" s="138" t="s">
        <v>1986</v>
      </c>
      <c r="L27" s="138" t="s">
        <v>1987</v>
      </c>
      <c r="M27" s="138"/>
      <c r="N27" s="138" t="s">
        <v>1988</v>
      </c>
      <c r="O27" s="138" t="s">
        <v>982</v>
      </c>
      <c r="P27" s="138" t="s">
        <v>1989</v>
      </c>
      <c r="Q27" s="138"/>
      <c r="R27" s="138"/>
      <c r="S27" s="138" t="s">
        <v>1990</v>
      </c>
      <c r="T27" s="138" t="s">
        <v>1991</v>
      </c>
      <c r="U27" s="138"/>
      <c r="V27" s="139" t="s">
        <v>212</v>
      </c>
    </row>
    <row r="28" spans="2:22">
      <c r="B28" s="140" cm="1">
        <f t="array" ref="B28" xml:space="preserve"> ROW() - ROW($4:$4)</f>
        <v>24</v>
      </c>
      <c r="C28" s="137" t="s">
        <v>1992</v>
      </c>
      <c r="D28" s="138" t="s">
        <v>1993</v>
      </c>
      <c r="E28" s="138"/>
      <c r="F28" s="138" t="s">
        <v>1994</v>
      </c>
      <c r="G28" s="138" t="s">
        <v>1995</v>
      </c>
      <c r="H28" s="138"/>
      <c r="I28" s="138" t="s">
        <v>1996</v>
      </c>
      <c r="J28" s="138"/>
      <c r="K28" s="138" t="s">
        <v>1997</v>
      </c>
      <c r="L28" s="138"/>
      <c r="M28" s="138"/>
      <c r="N28" s="138"/>
      <c r="O28" s="138"/>
      <c r="P28" s="138"/>
      <c r="Q28" s="138" t="s">
        <v>1998</v>
      </c>
      <c r="R28" s="138"/>
      <c r="S28" s="138" t="s">
        <v>1999</v>
      </c>
      <c r="T28" s="138" t="s">
        <v>2000</v>
      </c>
      <c r="U28" s="138" t="s">
        <v>2001</v>
      </c>
      <c r="V28" s="139" t="s">
        <v>1992</v>
      </c>
    </row>
    <row r="29" spans="2:22">
      <c r="B29" s="140" cm="1">
        <f t="array" ref="B29" xml:space="preserve"> ROW() - ROW($4:$4)</f>
        <v>25</v>
      </c>
      <c r="C29" s="137" t="s">
        <v>213</v>
      </c>
      <c r="D29" s="138" t="s">
        <v>213</v>
      </c>
      <c r="E29" s="138"/>
      <c r="F29" s="138" t="s">
        <v>2002</v>
      </c>
      <c r="G29" s="138" t="s">
        <v>2003</v>
      </c>
      <c r="H29" s="138" t="s">
        <v>2004</v>
      </c>
      <c r="I29" s="138" t="s">
        <v>2005</v>
      </c>
      <c r="J29" s="138"/>
      <c r="K29" s="138" t="s">
        <v>2006</v>
      </c>
      <c r="L29" s="138" t="s">
        <v>2007</v>
      </c>
      <c r="M29" s="138" t="s">
        <v>2008</v>
      </c>
      <c r="N29" s="138"/>
      <c r="O29" s="138"/>
      <c r="P29" s="138"/>
      <c r="Q29" s="138" t="s">
        <v>2009</v>
      </c>
      <c r="R29" s="138" t="s">
        <v>2010</v>
      </c>
      <c r="S29" s="138" t="s">
        <v>2011</v>
      </c>
      <c r="T29" s="138" t="s">
        <v>2012</v>
      </c>
      <c r="U29" s="138" t="s">
        <v>2013</v>
      </c>
      <c r="V29" s="139" t="s">
        <v>213</v>
      </c>
    </row>
    <row r="30" spans="2:22">
      <c r="B30" s="140" cm="1">
        <f t="array" ref="B30" xml:space="preserve"> ROW() - ROW($4:$4)</f>
        <v>26</v>
      </c>
      <c r="C30" s="137" t="s">
        <v>2014</v>
      </c>
      <c r="D30" s="138"/>
      <c r="E30" s="138"/>
      <c r="F30" s="138"/>
      <c r="G30" s="138"/>
      <c r="H30" s="138"/>
      <c r="I30" s="138" t="s">
        <v>2015</v>
      </c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9" t="s">
        <v>2014</v>
      </c>
    </row>
    <row r="31" spans="2:22">
      <c r="B31" s="140" cm="1">
        <f t="array" ref="B31" xml:space="preserve"> ROW() - ROW($4:$4)</f>
        <v>27</v>
      </c>
      <c r="C31" s="137" t="s">
        <v>228</v>
      </c>
      <c r="D31" s="138"/>
      <c r="E31" s="138"/>
      <c r="F31" s="138"/>
      <c r="G31" s="138" t="s">
        <v>2016</v>
      </c>
      <c r="H31" s="138"/>
      <c r="I31" s="138"/>
      <c r="J31" s="138"/>
      <c r="K31" s="138"/>
      <c r="L31" s="138" t="s">
        <v>2017</v>
      </c>
      <c r="M31" s="138"/>
      <c r="N31" s="138"/>
      <c r="O31" s="138"/>
      <c r="P31" s="138"/>
      <c r="Q31" s="138" t="s">
        <v>2018</v>
      </c>
      <c r="R31" s="138" t="s">
        <v>2019</v>
      </c>
      <c r="S31" s="138" t="s">
        <v>2020</v>
      </c>
      <c r="T31" s="138" t="s">
        <v>2021</v>
      </c>
      <c r="U31" s="138"/>
      <c r="V31" s="139" t="s">
        <v>228</v>
      </c>
    </row>
    <row r="32" spans="2:22">
      <c r="B32" s="140" cm="1">
        <f t="array" ref="B32" xml:space="preserve"> ROW() - ROW($4:$4)</f>
        <v>28</v>
      </c>
      <c r="C32" s="137" t="s">
        <v>221</v>
      </c>
      <c r="D32" s="138" t="s">
        <v>221</v>
      </c>
      <c r="E32" s="138"/>
      <c r="F32" s="138" t="s">
        <v>2022</v>
      </c>
      <c r="G32" s="138" t="s">
        <v>2023</v>
      </c>
      <c r="H32" s="138" t="s">
        <v>2024</v>
      </c>
      <c r="I32" s="138" t="s">
        <v>2025</v>
      </c>
      <c r="J32" s="138" t="s">
        <v>2026</v>
      </c>
      <c r="K32" s="138" t="s">
        <v>2027</v>
      </c>
      <c r="L32" s="138" t="s">
        <v>2028</v>
      </c>
      <c r="M32" s="138" t="s">
        <v>2029</v>
      </c>
      <c r="N32" s="138"/>
      <c r="O32" s="138"/>
      <c r="P32" s="138"/>
      <c r="Q32" s="138"/>
      <c r="R32" s="138"/>
      <c r="S32" s="138" t="s">
        <v>2030</v>
      </c>
      <c r="T32" s="138" t="s">
        <v>2031</v>
      </c>
      <c r="U32" s="138" t="s">
        <v>2032</v>
      </c>
      <c r="V32" s="139" t="s">
        <v>221</v>
      </c>
    </row>
    <row r="33" spans="2:22">
      <c r="B33" s="140" cm="1">
        <f t="array" ref="B33" xml:space="preserve"> ROW() - ROW($4:$4)</f>
        <v>29</v>
      </c>
      <c r="C33" s="137" t="s">
        <v>142</v>
      </c>
      <c r="D33" s="138" t="s">
        <v>142</v>
      </c>
      <c r="E33" s="138" t="s">
        <v>2033</v>
      </c>
      <c r="F33" s="138" t="s">
        <v>2034</v>
      </c>
      <c r="G33" s="138" t="s">
        <v>2035</v>
      </c>
      <c r="H33" s="138" t="s">
        <v>2036</v>
      </c>
      <c r="I33" s="138" t="s">
        <v>2037</v>
      </c>
      <c r="J33" s="138" t="s">
        <v>2038</v>
      </c>
      <c r="K33" s="138" t="s">
        <v>2039</v>
      </c>
      <c r="L33" s="138" t="s">
        <v>2040</v>
      </c>
      <c r="M33" s="138" t="s">
        <v>2041</v>
      </c>
      <c r="N33" s="138"/>
      <c r="O33" s="138"/>
      <c r="P33" s="138"/>
      <c r="Q33" s="138" t="s">
        <v>2042</v>
      </c>
      <c r="R33" s="138" t="s">
        <v>2043</v>
      </c>
      <c r="S33" s="138" t="s">
        <v>2044</v>
      </c>
      <c r="T33" s="138" t="s">
        <v>2045</v>
      </c>
      <c r="U33" s="138" t="s">
        <v>2046</v>
      </c>
      <c r="V33" s="139" t="s">
        <v>142</v>
      </c>
    </row>
    <row r="34" spans="2:22">
      <c r="B34" s="140" cm="1">
        <f t="array" ref="B34" xml:space="preserve"> ROW() - ROW($4:$4)</f>
        <v>30</v>
      </c>
      <c r="C34" s="137" t="s">
        <v>227</v>
      </c>
      <c r="D34" s="138" t="s">
        <v>227</v>
      </c>
      <c r="E34" s="138"/>
      <c r="F34" s="138" t="s">
        <v>2047</v>
      </c>
      <c r="G34" s="138" t="s">
        <v>2048</v>
      </c>
      <c r="H34" s="138" t="s">
        <v>2049</v>
      </c>
      <c r="I34" s="138" t="s">
        <v>2050</v>
      </c>
      <c r="J34" s="138" t="s">
        <v>2051</v>
      </c>
      <c r="K34" s="138"/>
      <c r="L34" s="138" t="s">
        <v>2052</v>
      </c>
      <c r="M34" s="138" t="s">
        <v>2053</v>
      </c>
      <c r="N34" s="138"/>
      <c r="O34" s="138"/>
      <c r="P34" s="138"/>
      <c r="Q34" s="138" t="s">
        <v>2054</v>
      </c>
      <c r="R34" s="138" t="s">
        <v>2055</v>
      </c>
      <c r="S34" s="138" t="s">
        <v>2056</v>
      </c>
      <c r="T34" s="138"/>
      <c r="U34" s="138"/>
      <c r="V34" s="139" t="s">
        <v>227</v>
      </c>
    </row>
    <row r="35" spans="2:22">
      <c r="B35" s="140" cm="1">
        <f t="array" ref="B35" xml:space="preserve"> ROW() - ROW($4:$4)</f>
        <v>31</v>
      </c>
      <c r="C35" s="137" t="s">
        <v>222</v>
      </c>
      <c r="D35" s="138" t="s">
        <v>222</v>
      </c>
      <c r="E35" s="138"/>
      <c r="F35" s="138" t="s">
        <v>2057</v>
      </c>
      <c r="G35" s="138" t="s">
        <v>2058</v>
      </c>
      <c r="H35" s="138" t="s">
        <v>2059</v>
      </c>
      <c r="I35" s="138" t="s">
        <v>2060</v>
      </c>
      <c r="J35" s="138" t="s">
        <v>2061</v>
      </c>
      <c r="K35" s="138" t="s">
        <v>2062</v>
      </c>
      <c r="L35" s="138" t="s">
        <v>2063</v>
      </c>
      <c r="M35" s="138" t="s">
        <v>2064</v>
      </c>
      <c r="N35" s="138"/>
      <c r="O35" s="138"/>
      <c r="P35" s="138"/>
      <c r="Q35" s="138"/>
      <c r="R35" s="138"/>
      <c r="S35" s="138" t="s">
        <v>2065</v>
      </c>
      <c r="T35" s="138" t="s">
        <v>2066</v>
      </c>
      <c r="U35" s="138" t="s">
        <v>2067</v>
      </c>
      <c r="V35" s="139" t="s">
        <v>222</v>
      </c>
    </row>
    <row r="36" spans="2:22">
      <c r="B36" s="140" cm="1">
        <f t="array" ref="B36" xml:space="preserve"> ROW() - ROW($4:$4)</f>
        <v>32</v>
      </c>
      <c r="C36" s="137" t="s">
        <v>143</v>
      </c>
      <c r="D36" s="138" t="s">
        <v>143</v>
      </c>
      <c r="E36" s="138" t="s">
        <v>2068</v>
      </c>
      <c r="F36" s="138" t="s">
        <v>2069</v>
      </c>
      <c r="G36" s="138" t="s">
        <v>2070</v>
      </c>
      <c r="H36" s="138" t="s">
        <v>2071</v>
      </c>
      <c r="I36" s="138" t="s">
        <v>2072</v>
      </c>
      <c r="J36" s="138" t="s">
        <v>2073</v>
      </c>
      <c r="K36" s="138" t="s">
        <v>2074</v>
      </c>
      <c r="L36" s="138" t="s">
        <v>2075</v>
      </c>
      <c r="M36" s="138" t="s">
        <v>2076</v>
      </c>
      <c r="N36" s="138"/>
      <c r="O36" s="138"/>
      <c r="P36" s="138"/>
      <c r="Q36" s="138" t="s">
        <v>2077</v>
      </c>
      <c r="R36" s="138" t="s">
        <v>2078</v>
      </c>
      <c r="S36" s="138" t="s">
        <v>2079</v>
      </c>
      <c r="T36" s="138" t="s">
        <v>2080</v>
      </c>
      <c r="U36" s="138" t="s">
        <v>2081</v>
      </c>
      <c r="V36" s="139" t="s">
        <v>143</v>
      </c>
    </row>
    <row r="37" spans="2:22">
      <c r="B37" s="140" cm="1">
        <f t="array" ref="B37" xml:space="preserve"> ROW() - ROW($4:$4)</f>
        <v>33</v>
      </c>
      <c r="C37" s="137" t="s">
        <v>197</v>
      </c>
      <c r="D37" s="138" t="s">
        <v>197</v>
      </c>
      <c r="E37" s="138" t="s">
        <v>2082</v>
      </c>
      <c r="F37" s="138" t="s">
        <v>2083</v>
      </c>
      <c r="G37" s="138" t="s">
        <v>2084</v>
      </c>
      <c r="H37" s="138" t="s">
        <v>2085</v>
      </c>
      <c r="I37" s="138" t="s">
        <v>2086</v>
      </c>
      <c r="J37" s="138" t="s">
        <v>2087</v>
      </c>
      <c r="K37" s="138" t="s">
        <v>2088</v>
      </c>
      <c r="L37" s="138" t="s">
        <v>2089</v>
      </c>
      <c r="M37" s="138" t="s">
        <v>2090</v>
      </c>
      <c r="N37" s="138" t="s">
        <v>2091</v>
      </c>
      <c r="O37" s="138" t="s">
        <v>2092</v>
      </c>
      <c r="P37" s="138" t="s">
        <v>2093</v>
      </c>
      <c r="Q37" s="138" t="s">
        <v>2094</v>
      </c>
      <c r="R37" s="138" t="s">
        <v>2095</v>
      </c>
      <c r="S37" s="138" t="s">
        <v>2096</v>
      </c>
      <c r="T37" s="138" t="s">
        <v>2097</v>
      </c>
      <c r="U37" s="138" t="s">
        <v>2098</v>
      </c>
      <c r="V37" s="139" t="s">
        <v>197</v>
      </c>
    </row>
    <row r="38" spans="2:22">
      <c r="B38" s="140" cm="1">
        <f t="array" ref="B38" xml:space="preserve"> ROW() - ROW($4:$4)</f>
        <v>34</v>
      </c>
      <c r="C38" s="137" t="s">
        <v>2099</v>
      </c>
      <c r="D38" s="138" t="s">
        <v>2100</v>
      </c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9" t="s">
        <v>2099</v>
      </c>
    </row>
    <row r="39" spans="2:22">
      <c r="B39" s="140" cm="1">
        <f t="array" ref="B39" xml:space="preserve"> ROW() - ROW($4:$4)</f>
        <v>35</v>
      </c>
      <c r="C39" s="137" t="s">
        <v>198</v>
      </c>
      <c r="D39" s="138"/>
      <c r="E39" s="138"/>
      <c r="F39" s="138"/>
      <c r="G39" s="138"/>
      <c r="H39" s="138"/>
      <c r="I39" s="138" t="s">
        <v>2101</v>
      </c>
      <c r="J39" s="138"/>
      <c r="K39" s="138"/>
      <c r="L39" s="138" t="s">
        <v>2102</v>
      </c>
      <c r="M39" s="138"/>
      <c r="N39" s="138"/>
      <c r="O39" s="138"/>
      <c r="P39" s="138" t="s">
        <v>2103</v>
      </c>
      <c r="Q39" s="138"/>
      <c r="R39" s="138"/>
      <c r="S39" s="138"/>
      <c r="T39" s="138"/>
      <c r="U39" s="138"/>
      <c r="V39" s="139" t="s">
        <v>198</v>
      </c>
    </row>
    <row r="40" spans="2:22">
      <c r="B40" s="140" cm="1">
        <f t="array" ref="B40" xml:space="preserve"> ROW() - ROW($4:$4)</f>
        <v>36</v>
      </c>
      <c r="C40" s="137" t="s">
        <v>201</v>
      </c>
      <c r="D40" s="138"/>
      <c r="E40" s="138" t="s">
        <v>2104</v>
      </c>
      <c r="F40" s="138" t="s">
        <v>2105</v>
      </c>
      <c r="G40" s="138" t="s">
        <v>2106</v>
      </c>
      <c r="H40" s="138"/>
      <c r="I40" s="138"/>
      <c r="J40" s="138"/>
      <c r="K40" s="138"/>
      <c r="L40" s="138" t="s">
        <v>2107</v>
      </c>
      <c r="M40" s="138"/>
      <c r="N40" s="138" t="s">
        <v>2108</v>
      </c>
      <c r="O40" s="138" t="s">
        <v>961</v>
      </c>
      <c r="P40" s="138"/>
      <c r="Q40" s="138" t="s">
        <v>2109</v>
      </c>
      <c r="R40" s="138" t="s">
        <v>2110</v>
      </c>
      <c r="S40" s="138" t="s">
        <v>2111</v>
      </c>
      <c r="T40" s="138" t="s">
        <v>2112</v>
      </c>
      <c r="U40" s="138" t="s">
        <v>2113</v>
      </c>
      <c r="V40" s="139" t="s">
        <v>201</v>
      </c>
    </row>
    <row r="41" spans="2:22">
      <c r="B41" s="140" cm="1">
        <f t="array" ref="B41" xml:space="preserve"> ROW() - ROW($4:$4)</f>
        <v>37</v>
      </c>
      <c r="C41" s="137" t="s">
        <v>148</v>
      </c>
      <c r="D41" s="138" t="s">
        <v>148</v>
      </c>
      <c r="E41" s="138"/>
      <c r="F41" s="138" t="s">
        <v>2114</v>
      </c>
      <c r="G41" s="138" t="s">
        <v>2115</v>
      </c>
      <c r="H41" s="138" t="s">
        <v>2116</v>
      </c>
      <c r="I41" s="138" t="s">
        <v>2117</v>
      </c>
      <c r="J41" s="138" t="s">
        <v>2118</v>
      </c>
      <c r="K41" s="138" t="s">
        <v>2119</v>
      </c>
      <c r="L41" s="138" t="s">
        <v>2120</v>
      </c>
      <c r="M41" s="138" t="s">
        <v>2121</v>
      </c>
      <c r="N41" s="138"/>
      <c r="O41" s="138"/>
      <c r="P41" s="138"/>
      <c r="Q41" s="138"/>
      <c r="R41" s="138"/>
      <c r="S41" s="138" t="s">
        <v>2122</v>
      </c>
      <c r="T41" s="138" t="s">
        <v>2123</v>
      </c>
      <c r="U41" s="138" t="s">
        <v>2124</v>
      </c>
      <c r="V41" s="139" t="s">
        <v>148</v>
      </c>
    </row>
    <row r="42" spans="2:22">
      <c r="B42" s="140" cm="1">
        <f t="array" ref="B42" xml:space="preserve"> ROW() - ROW($4:$4)</f>
        <v>38</v>
      </c>
      <c r="C42" s="137" t="s">
        <v>224</v>
      </c>
      <c r="D42" s="138" t="s">
        <v>224</v>
      </c>
      <c r="E42" s="138" t="s">
        <v>2125</v>
      </c>
      <c r="F42" s="138" t="s">
        <v>2126</v>
      </c>
      <c r="G42" s="138" t="s">
        <v>2127</v>
      </c>
      <c r="H42" s="138" t="s">
        <v>2128</v>
      </c>
      <c r="I42" s="138" t="s">
        <v>2129</v>
      </c>
      <c r="J42" s="138" t="s">
        <v>2130</v>
      </c>
      <c r="K42" s="138" t="s">
        <v>2131</v>
      </c>
      <c r="L42" s="138" t="s">
        <v>2132</v>
      </c>
      <c r="M42" s="138" t="s">
        <v>2133</v>
      </c>
      <c r="N42" s="138"/>
      <c r="O42" s="138"/>
      <c r="P42" s="138"/>
      <c r="Q42" s="138" t="s">
        <v>2134</v>
      </c>
      <c r="R42" s="138" t="s">
        <v>2135</v>
      </c>
      <c r="S42" s="138" t="s">
        <v>2136</v>
      </c>
      <c r="T42" s="138" t="s">
        <v>2137</v>
      </c>
      <c r="U42" s="138" t="s">
        <v>2138</v>
      </c>
      <c r="V42" s="139" t="s">
        <v>224</v>
      </c>
    </row>
    <row r="43" spans="2:22">
      <c r="B43" s="140" cm="1">
        <f t="array" ref="B43" xml:space="preserve"> ROW() - ROW($4:$4)</f>
        <v>39</v>
      </c>
      <c r="C43" s="137" t="s">
        <v>236</v>
      </c>
      <c r="D43" s="138" t="s">
        <v>236</v>
      </c>
      <c r="E43" s="138" t="s">
        <v>2139</v>
      </c>
      <c r="F43" s="138" t="s">
        <v>2140</v>
      </c>
      <c r="G43" s="138" t="s">
        <v>2141</v>
      </c>
      <c r="H43" s="138" t="s">
        <v>2142</v>
      </c>
      <c r="I43" s="138" t="s">
        <v>2143</v>
      </c>
      <c r="J43" s="138" t="s">
        <v>2144</v>
      </c>
      <c r="K43" s="138" t="s">
        <v>2145</v>
      </c>
      <c r="L43" s="138" t="s">
        <v>2146</v>
      </c>
      <c r="M43" s="138" t="s">
        <v>2147</v>
      </c>
      <c r="N43" s="138"/>
      <c r="O43" s="138"/>
      <c r="P43" s="138"/>
      <c r="Q43" s="138" t="s">
        <v>2148</v>
      </c>
      <c r="R43" s="138" t="s">
        <v>2149</v>
      </c>
      <c r="S43" s="138" t="s">
        <v>2150</v>
      </c>
      <c r="T43" s="138" t="s">
        <v>2151</v>
      </c>
      <c r="U43" s="138" t="s">
        <v>2152</v>
      </c>
      <c r="V43" s="139" t="s">
        <v>236</v>
      </c>
    </row>
    <row r="44" spans="2:22">
      <c r="B44" s="140" cm="1">
        <f t="array" ref="B44" xml:space="preserve"> ROW() - ROW($4:$4)</f>
        <v>40</v>
      </c>
      <c r="C44" s="137" t="s">
        <v>237</v>
      </c>
      <c r="D44" s="138" t="s">
        <v>237</v>
      </c>
      <c r="E44" s="138"/>
      <c r="F44" s="138" t="s">
        <v>2153</v>
      </c>
      <c r="G44" s="138" t="s">
        <v>2154</v>
      </c>
      <c r="H44" s="138" t="s">
        <v>2155</v>
      </c>
      <c r="I44" s="138" t="s">
        <v>2156</v>
      </c>
      <c r="J44" s="138"/>
      <c r="K44" s="138" t="s">
        <v>2157</v>
      </c>
      <c r="L44" s="138" t="s">
        <v>2158</v>
      </c>
      <c r="M44" s="138" t="s">
        <v>2159</v>
      </c>
      <c r="N44" s="138"/>
      <c r="O44" s="138"/>
      <c r="P44" s="138"/>
      <c r="Q44" s="138"/>
      <c r="R44" s="138"/>
      <c r="S44" s="138" t="s">
        <v>2160</v>
      </c>
      <c r="T44" s="138" t="s">
        <v>2161</v>
      </c>
      <c r="U44" s="138"/>
      <c r="V44" s="139" t="s">
        <v>237</v>
      </c>
    </row>
    <row r="45" spans="2:22">
      <c r="B45" s="140" cm="1">
        <f t="array" ref="B45" xml:space="preserve"> ROW() - ROW($4:$4)</f>
        <v>41</v>
      </c>
      <c r="C45" s="137" t="s">
        <v>210</v>
      </c>
      <c r="D45" s="138" t="s">
        <v>210</v>
      </c>
      <c r="E45" s="138"/>
      <c r="F45" s="138" t="s">
        <v>2162</v>
      </c>
      <c r="G45" s="138" t="s">
        <v>2163</v>
      </c>
      <c r="H45" s="138" t="s">
        <v>2164</v>
      </c>
      <c r="I45" s="138" t="s">
        <v>2165</v>
      </c>
      <c r="J45" s="138" t="s">
        <v>2166</v>
      </c>
      <c r="K45" s="138" t="s">
        <v>2167</v>
      </c>
      <c r="L45" s="138" t="s">
        <v>2168</v>
      </c>
      <c r="M45" s="138" t="s">
        <v>2169</v>
      </c>
      <c r="N45" s="138"/>
      <c r="O45" s="138"/>
      <c r="P45" s="138"/>
      <c r="Q45" s="138"/>
      <c r="R45" s="138"/>
      <c r="S45" s="138" t="s">
        <v>2170</v>
      </c>
      <c r="T45" s="138" t="s">
        <v>2171</v>
      </c>
      <c r="U45" s="138" t="s">
        <v>2172</v>
      </c>
      <c r="V45" s="139" t="s">
        <v>210</v>
      </c>
    </row>
    <row r="46" spans="2:22">
      <c r="B46" s="140" cm="1">
        <f t="array" ref="B46" xml:space="preserve"> ROW() - ROW($4:$4)</f>
        <v>42</v>
      </c>
      <c r="C46" s="137" t="s">
        <v>209</v>
      </c>
      <c r="D46" s="138" t="s">
        <v>209</v>
      </c>
      <c r="E46" s="138"/>
      <c r="F46" s="138" t="s">
        <v>2173</v>
      </c>
      <c r="G46" s="138" t="s">
        <v>2174</v>
      </c>
      <c r="H46" s="138" t="s">
        <v>2175</v>
      </c>
      <c r="I46" s="138" t="s">
        <v>2176</v>
      </c>
      <c r="J46" s="138" t="s">
        <v>2177</v>
      </c>
      <c r="K46" s="138" t="s">
        <v>2178</v>
      </c>
      <c r="L46" s="138" t="s">
        <v>2179</v>
      </c>
      <c r="M46" s="138" t="s">
        <v>2180</v>
      </c>
      <c r="N46" s="138"/>
      <c r="O46" s="138"/>
      <c r="P46" s="138"/>
      <c r="Q46" s="138"/>
      <c r="R46" s="138"/>
      <c r="S46" s="138" t="s">
        <v>2181</v>
      </c>
      <c r="T46" s="138" t="s">
        <v>2182</v>
      </c>
      <c r="U46" s="138" t="s">
        <v>2183</v>
      </c>
      <c r="V46" s="139" t="s">
        <v>209</v>
      </c>
    </row>
    <row r="47" spans="2:22">
      <c r="B47" s="140" cm="1">
        <f t="array" ref="B47" xml:space="preserve"> ROW() - ROW($4:$4)</f>
        <v>43</v>
      </c>
      <c r="C47" s="137" t="s">
        <v>149</v>
      </c>
      <c r="D47" s="138" t="s">
        <v>149</v>
      </c>
      <c r="E47" s="138"/>
      <c r="F47" s="138" t="s">
        <v>2184</v>
      </c>
      <c r="G47" s="138" t="s">
        <v>2185</v>
      </c>
      <c r="H47" s="138"/>
      <c r="I47" s="138" t="s">
        <v>2186</v>
      </c>
      <c r="J47" s="138" t="s">
        <v>2187</v>
      </c>
      <c r="K47" s="138" t="s">
        <v>2188</v>
      </c>
      <c r="L47" s="138" t="s">
        <v>2189</v>
      </c>
      <c r="M47" s="138" t="s">
        <v>2190</v>
      </c>
      <c r="N47" s="138"/>
      <c r="O47" s="138"/>
      <c r="P47" s="138"/>
      <c r="Q47" s="138"/>
      <c r="R47" s="138"/>
      <c r="S47" s="138" t="s">
        <v>2191</v>
      </c>
      <c r="T47" s="138"/>
      <c r="U47" s="138"/>
      <c r="V47" s="139" t="s">
        <v>149</v>
      </c>
    </row>
    <row r="48" spans="2:22">
      <c r="B48" s="140" cm="1">
        <f t="array" ref="B48" xml:space="preserve"> ROW() - ROW($4:$4)</f>
        <v>44</v>
      </c>
      <c r="C48" s="137" t="s">
        <v>225</v>
      </c>
      <c r="D48" s="138" t="s">
        <v>225</v>
      </c>
      <c r="E48" s="138" t="s">
        <v>2192</v>
      </c>
      <c r="F48" s="138" t="s">
        <v>2193</v>
      </c>
      <c r="G48" s="138" t="s">
        <v>2194</v>
      </c>
      <c r="H48" s="138"/>
      <c r="I48" s="138" t="s">
        <v>2195</v>
      </c>
      <c r="J48" s="138" t="s">
        <v>2196</v>
      </c>
      <c r="K48" s="138" t="s">
        <v>2197</v>
      </c>
      <c r="L48" s="138" t="s">
        <v>2198</v>
      </c>
      <c r="M48" s="138"/>
      <c r="N48" s="138"/>
      <c r="O48" s="138"/>
      <c r="P48" s="138"/>
      <c r="Q48" s="138" t="s">
        <v>2199</v>
      </c>
      <c r="R48" s="138" t="s">
        <v>2200</v>
      </c>
      <c r="S48" s="138" t="s">
        <v>2201</v>
      </c>
      <c r="T48" s="138" t="s">
        <v>2202</v>
      </c>
      <c r="U48" s="138"/>
      <c r="V48" s="139" t="s">
        <v>225</v>
      </c>
    </row>
    <row r="49" spans="2:22">
      <c r="B49" s="140" cm="1">
        <f t="array" ref="B49" xml:space="preserve"> ROW() - ROW($4:$4)</f>
        <v>45</v>
      </c>
      <c r="C49" s="137" t="s">
        <v>242</v>
      </c>
      <c r="D49" s="138" t="s">
        <v>242</v>
      </c>
      <c r="E49" s="138" t="s">
        <v>2203</v>
      </c>
      <c r="F49" s="138" t="s">
        <v>2204</v>
      </c>
      <c r="G49" s="138" t="s">
        <v>2205</v>
      </c>
      <c r="H49" s="138" t="s">
        <v>2206</v>
      </c>
      <c r="I49" s="138" t="s">
        <v>2207</v>
      </c>
      <c r="J49" s="138" t="s">
        <v>2208</v>
      </c>
      <c r="K49" s="138" t="s">
        <v>2209</v>
      </c>
      <c r="L49" s="138" t="s">
        <v>2210</v>
      </c>
      <c r="M49" s="138" t="s">
        <v>2211</v>
      </c>
      <c r="N49" s="138"/>
      <c r="O49" s="138" t="s">
        <v>1108</v>
      </c>
      <c r="P49" s="138"/>
      <c r="Q49" s="138" t="s">
        <v>2212</v>
      </c>
      <c r="R49" s="138"/>
      <c r="S49" s="138" t="s">
        <v>2213</v>
      </c>
      <c r="T49" s="138" t="s">
        <v>2214</v>
      </c>
      <c r="U49" s="138" t="s">
        <v>2215</v>
      </c>
      <c r="V49" s="139" t="s">
        <v>242</v>
      </c>
    </row>
    <row r="50" spans="2:22">
      <c r="B50" s="140" cm="1">
        <f t="array" ref="B50" xml:space="preserve"> ROW() - ROW($4:$4)</f>
        <v>46</v>
      </c>
      <c r="C50" s="137" t="s">
        <v>2216</v>
      </c>
      <c r="D50" s="138" t="s">
        <v>2217</v>
      </c>
      <c r="E50" s="138"/>
      <c r="F50" s="138" t="s">
        <v>2218</v>
      </c>
      <c r="G50" s="138" t="s">
        <v>2219</v>
      </c>
      <c r="H50" s="138"/>
      <c r="I50" s="138" t="s">
        <v>2220</v>
      </c>
      <c r="J50" s="138"/>
      <c r="K50" s="138" t="s">
        <v>2221</v>
      </c>
      <c r="L50" s="138" t="s">
        <v>2222</v>
      </c>
      <c r="M50" s="138"/>
      <c r="N50" s="138"/>
      <c r="O50" s="138"/>
      <c r="P50" s="138"/>
      <c r="Q50" s="138"/>
      <c r="R50" s="138"/>
      <c r="S50" s="138" t="s">
        <v>2223</v>
      </c>
      <c r="T50" s="138" t="s">
        <v>2224</v>
      </c>
      <c r="U50" s="138"/>
      <c r="V50" s="139" t="s">
        <v>2216</v>
      </c>
    </row>
    <row r="51" spans="2:22">
      <c r="B51" s="140" cm="1">
        <f t="array" ref="B51" xml:space="preserve"> ROW() - ROW($4:$4)</f>
        <v>47</v>
      </c>
      <c r="C51" s="137" t="s">
        <v>2225</v>
      </c>
      <c r="D51" s="138" t="s">
        <v>2226</v>
      </c>
      <c r="E51" s="138"/>
      <c r="F51" s="138"/>
      <c r="G51" s="138"/>
      <c r="H51" s="138"/>
      <c r="I51" s="138" t="s">
        <v>2227</v>
      </c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9" t="s">
        <v>2225</v>
      </c>
    </row>
    <row r="52" spans="2:22">
      <c r="B52" s="140" cm="1">
        <f t="array" ref="B52" xml:space="preserve"> ROW() - ROW($4:$4)</f>
        <v>48</v>
      </c>
      <c r="C52" s="137" t="s">
        <v>27</v>
      </c>
      <c r="D52" s="138" t="s">
        <v>27</v>
      </c>
      <c r="E52" s="138"/>
      <c r="F52" s="138"/>
      <c r="G52" s="138"/>
      <c r="H52" s="138"/>
      <c r="I52" s="138" t="s">
        <v>2228</v>
      </c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9" t="s">
        <v>27</v>
      </c>
    </row>
    <row r="53" spans="2:22">
      <c r="B53" s="140" cm="1">
        <f t="array" ref="B53" xml:space="preserve"> ROW() - ROW($4:$4)</f>
        <v>49</v>
      </c>
      <c r="C53" s="137" t="s">
        <v>252</v>
      </c>
      <c r="D53" s="138"/>
      <c r="E53" s="138"/>
      <c r="F53" s="138"/>
      <c r="G53" s="138"/>
      <c r="H53" s="138"/>
      <c r="I53" s="138" t="s">
        <v>2229</v>
      </c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9" t="s">
        <v>252</v>
      </c>
    </row>
    <row r="54" spans="2:22">
      <c r="B54" s="140" cm="1">
        <f t="array" ref="B54" xml:space="preserve"> ROW() - ROW($4:$4)</f>
        <v>50</v>
      </c>
      <c r="C54" s="137" t="s">
        <v>48</v>
      </c>
      <c r="D54" s="138" t="s">
        <v>48</v>
      </c>
      <c r="E54" s="138"/>
      <c r="F54" s="138" t="s">
        <v>2230</v>
      </c>
      <c r="G54" s="138" t="s">
        <v>2231</v>
      </c>
      <c r="H54" s="138"/>
      <c r="I54" s="138" t="s">
        <v>2232</v>
      </c>
      <c r="J54" s="138"/>
      <c r="K54" s="138" t="s">
        <v>2233</v>
      </c>
      <c r="L54" s="138" t="s">
        <v>2234</v>
      </c>
      <c r="M54" s="138"/>
      <c r="N54" s="138" t="s">
        <v>2235</v>
      </c>
      <c r="O54" s="138" t="s">
        <v>2236</v>
      </c>
      <c r="P54" s="138"/>
      <c r="Q54" s="138" t="s">
        <v>2237</v>
      </c>
      <c r="R54" s="138"/>
      <c r="S54" s="138" t="s">
        <v>2238</v>
      </c>
      <c r="T54" s="138" t="s">
        <v>2239</v>
      </c>
      <c r="U54" s="138" t="s">
        <v>2240</v>
      </c>
      <c r="V54" s="139" t="s">
        <v>48</v>
      </c>
    </row>
    <row r="55" spans="2:22">
      <c r="B55" s="140" cm="1">
        <f t="array" ref="B55" xml:space="preserve"> ROW() - ROW($4:$4)</f>
        <v>51</v>
      </c>
      <c r="C55" s="137" t="s">
        <v>254</v>
      </c>
      <c r="D55" s="138"/>
      <c r="E55" s="138"/>
      <c r="F55" s="138"/>
      <c r="G55" s="138" t="s">
        <v>2241</v>
      </c>
      <c r="H55" s="138"/>
      <c r="I55" s="138" t="s">
        <v>2242</v>
      </c>
      <c r="J55" s="138"/>
      <c r="K55" s="138"/>
      <c r="L55" s="138"/>
      <c r="M55" s="138"/>
      <c r="N55" s="138"/>
      <c r="O55" s="138"/>
      <c r="P55" s="138"/>
      <c r="Q55" s="138"/>
      <c r="R55" s="138" t="s">
        <v>2243</v>
      </c>
      <c r="S55" s="138" t="s">
        <v>2244</v>
      </c>
      <c r="T55" s="138"/>
      <c r="U55" s="138"/>
      <c r="V55" s="139" t="s">
        <v>254</v>
      </c>
    </row>
    <row r="56" spans="2:22">
      <c r="B56" s="140" cm="1">
        <f t="array" ref="B56" xml:space="preserve"> ROW() - ROW($4:$4)</f>
        <v>52</v>
      </c>
      <c r="C56" s="137" t="s">
        <v>215</v>
      </c>
      <c r="D56" s="138" t="s">
        <v>215</v>
      </c>
      <c r="E56" s="138" t="s">
        <v>2245</v>
      </c>
      <c r="F56" s="138" t="s">
        <v>2246</v>
      </c>
      <c r="G56" s="138" t="s">
        <v>2247</v>
      </c>
      <c r="H56" s="138" t="s">
        <v>2248</v>
      </c>
      <c r="I56" s="138" t="s">
        <v>2249</v>
      </c>
      <c r="J56" s="138"/>
      <c r="K56" s="138" t="s">
        <v>2250</v>
      </c>
      <c r="L56" s="138" t="s">
        <v>2251</v>
      </c>
      <c r="M56" s="138" t="s">
        <v>2252</v>
      </c>
      <c r="N56" s="138"/>
      <c r="O56" s="138"/>
      <c r="P56" s="138"/>
      <c r="Q56" s="138" t="s">
        <v>2253</v>
      </c>
      <c r="R56" s="138" t="s">
        <v>2254</v>
      </c>
      <c r="S56" s="138" t="s">
        <v>2255</v>
      </c>
      <c r="T56" s="138" t="s">
        <v>2256</v>
      </c>
      <c r="U56" s="138" t="s">
        <v>2257</v>
      </c>
      <c r="V56" s="139" t="s">
        <v>215</v>
      </c>
    </row>
    <row r="57" spans="2:22">
      <c r="B57" s="140" cm="1">
        <f t="array" ref="B57" xml:space="preserve"> ROW() - ROW($4:$4)</f>
        <v>53</v>
      </c>
      <c r="C57" s="137" t="s">
        <v>2258</v>
      </c>
      <c r="D57" s="138" t="s">
        <v>2259</v>
      </c>
      <c r="E57" s="138"/>
      <c r="F57" s="138"/>
      <c r="G57" s="138"/>
      <c r="H57" s="138"/>
      <c r="I57" s="138" t="s">
        <v>2260</v>
      </c>
      <c r="J57" s="138"/>
      <c r="K57" s="138" t="s">
        <v>2261</v>
      </c>
      <c r="L57" s="138"/>
      <c r="M57" s="138"/>
      <c r="N57" s="138"/>
      <c r="O57" s="138"/>
      <c r="P57" s="138"/>
      <c r="Q57" s="138"/>
      <c r="R57" s="138"/>
      <c r="S57" s="138"/>
      <c r="T57" s="138"/>
      <c r="U57" s="138"/>
      <c r="V57" s="139" t="s">
        <v>2258</v>
      </c>
    </row>
    <row r="58" spans="2:22">
      <c r="B58" s="140" cm="1">
        <f t="array" ref="B58" xml:space="preserve"> ROW() - ROW($4:$4)</f>
        <v>54</v>
      </c>
      <c r="C58" s="137" t="s">
        <v>1469</v>
      </c>
      <c r="D58" s="138" t="s">
        <v>1469</v>
      </c>
      <c r="E58" s="138" t="s">
        <v>2262</v>
      </c>
      <c r="F58" s="138" t="s">
        <v>2263</v>
      </c>
      <c r="G58" s="138" t="s">
        <v>2264</v>
      </c>
      <c r="H58" s="138" t="s">
        <v>2265</v>
      </c>
      <c r="I58" s="138" t="s">
        <v>2266</v>
      </c>
      <c r="J58" s="138"/>
      <c r="K58" s="138" t="s">
        <v>2267</v>
      </c>
      <c r="L58" s="138" t="s">
        <v>2268</v>
      </c>
      <c r="M58" s="138" t="s">
        <v>2269</v>
      </c>
      <c r="N58" s="138" t="s">
        <v>2270</v>
      </c>
      <c r="O58" s="138" t="s">
        <v>2271</v>
      </c>
      <c r="P58" s="138" t="s">
        <v>2272</v>
      </c>
      <c r="Q58" s="138" t="s">
        <v>2273</v>
      </c>
      <c r="R58" s="138" t="s">
        <v>2274</v>
      </c>
      <c r="S58" s="138" t="s">
        <v>2275</v>
      </c>
      <c r="T58" s="138" t="s">
        <v>2276</v>
      </c>
      <c r="U58" s="138" t="s">
        <v>2277</v>
      </c>
      <c r="V58" s="139" t="s">
        <v>1469</v>
      </c>
    </row>
    <row r="59" spans="2:22">
      <c r="B59" s="140" cm="1">
        <f t="array" ref="B59" xml:space="preserve"> ROW() - ROW($4:$4)</f>
        <v>55</v>
      </c>
      <c r="C59" s="137" t="s">
        <v>315</v>
      </c>
      <c r="D59" s="138" t="s">
        <v>315</v>
      </c>
      <c r="E59" s="138" t="s">
        <v>2278</v>
      </c>
      <c r="F59" s="138" t="s">
        <v>2279</v>
      </c>
      <c r="G59" s="138" t="s">
        <v>2280</v>
      </c>
      <c r="H59" s="138" t="s">
        <v>2281</v>
      </c>
      <c r="I59" s="138" t="s">
        <v>2282</v>
      </c>
      <c r="J59" s="138"/>
      <c r="K59" s="138" t="s">
        <v>2283</v>
      </c>
      <c r="L59" s="138" t="s">
        <v>2284</v>
      </c>
      <c r="M59" s="138" t="s">
        <v>2285</v>
      </c>
      <c r="N59" s="138" t="s">
        <v>2286</v>
      </c>
      <c r="O59" s="138" t="s">
        <v>2287</v>
      </c>
      <c r="P59" s="138"/>
      <c r="Q59" s="138" t="s">
        <v>2288</v>
      </c>
      <c r="R59" s="138" t="s">
        <v>2289</v>
      </c>
      <c r="S59" s="138" t="s">
        <v>2290</v>
      </c>
      <c r="T59" s="138" t="s">
        <v>2291</v>
      </c>
      <c r="U59" s="138" t="s">
        <v>2292</v>
      </c>
      <c r="V59" s="139" t="s">
        <v>315</v>
      </c>
    </row>
    <row r="60" spans="2:22">
      <c r="B60" s="140" cm="1">
        <f t="array" ref="B60" xml:space="preserve"> ROW() - ROW($4:$4)</f>
        <v>56</v>
      </c>
      <c r="C60" s="137" t="s">
        <v>2293</v>
      </c>
      <c r="D60" s="138" t="s">
        <v>2294</v>
      </c>
      <c r="E60" s="138"/>
      <c r="F60" s="138"/>
      <c r="G60" s="138" t="s">
        <v>2295</v>
      </c>
      <c r="H60" s="138"/>
      <c r="I60" s="138" t="s">
        <v>2296</v>
      </c>
      <c r="J60" s="138"/>
      <c r="K60" s="138" t="s">
        <v>2297</v>
      </c>
      <c r="L60" s="138" t="s">
        <v>2298</v>
      </c>
      <c r="M60" s="138"/>
      <c r="N60" s="138"/>
      <c r="O60" s="138"/>
      <c r="P60" s="138"/>
      <c r="Q60" s="138" t="s">
        <v>2299</v>
      </c>
      <c r="R60" s="138" t="s">
        <v>2300</v>
      </c>
      <c r="S60" s="138" t="s">
        <v>2301</v>
      </c>
      <c r="T60" s="138" t="s">
        <v>2302</v>
      </c>
      <c r="U60" s="138" t="s">
        <v>2303</v>
      </c>
      <c r="V60" s="139" t="s">
        <v>2293</v>
      </c>
    </row>
    <row r="61" spans="2:22">
      <c r="B61" s="140" cm="1">
        <f t="array" ref="B61" xml:space="preserve"> ROW() - ROW($4:$4)</f>
        <v>57</v>
      </c>
      <c r="C61" s="137" t="s">
        <v>317</v>
      </c>
      <c r="D61" s="138" t="s">
        <v>317</v>
      </c>
      <c r="E61" s="138" t="s">
        <v>2304</v>
      </c>
      <c r="F61" s="138" t="s">
        <v>2305</v>
      </c>
      <c r="G61" s="138" t="s">
        <v>2306</v>
      </c>
      <c r="H61" s="138"/>
      <c r="I61" s="138" t="s">
        <v>2307</v>
      </c>
      <c r="J61" s="138" t="s">
        <v>2308</v>
      </c>
      <c r="K61" s="138" t="s">
        <v>2309</v>
      </c>
      <c r="L61" s="138" t="s">
        <v>2310</v>
      </c>
      <c r="M61" s="138" t="s">
        <v>2311</v>
      </c>
      <c r="N61" s="138"/>
      <c r="O61" s="138"/>
      <c r="P61" s="138"/>
      <c r="Q61" s="138" t="s">
        <v>2312</v>
      </c>
      <c r="R61" s="138" t="s">
        <v>2313</v>
      </c>
      <c r="S61" s="138" t="s">
        <v>2314</v>
      </c>
      <c r="T61" s="138"/>
      <c r="U61" s="138" t="s">
        <v>2315</v>
      </c>
      <c r="V61" s="139" t="s">
        <v>317</v>
      </c>
    </row>
    <row r="62" spans="2:22">
      <c r="B62" s="140" cm="1">
        <f t="array" ref="B62" xml:space="preserve"> ROW() - ROW($4:$4)</f>
        <v>58</v>
      </c>
      <c r="C62" s="137" t="s">
        <v>318</v>
      </c>
      <c r="D62" s="138" t="s">
        <v>318</v>
      </c>
      <c r="E62" s="138"/>
      <c r="F62" s="138"/>
      <c r="G62" s="138"/>
      <c r="H62" s="138"/>
      <c r="I62" s="138" t="s">
        <v>2316</v>
      </c>
      <c r="J62" s="138"/>
      <c r="K62" s="138" t="s">
        <v>2317</v>
      </c>
      <c r="L62" s="138" t="s">
        <v>2318</v>
      </c>
      <c r="M62" s="138"/>
      <c r="N62" s="138"/>
      <c r="O62" s="138"/>
      <c r="P62" s="138"/>
      <c r="Q62" s="138"/>
      <c r="R62" s="138"/>
      <c r="S62" s="138" t="s">
        <v>2319</v>
      </c>
      <c r="T62" s="138"/>
      <c r="U62" s="138"/>
      <c r="V62" s="139" t="s">
        <v>318</v>
      </c>
    </row>
    <row r="63" spans="2:22">
      <c r="B63" s="140" cm="1">
        <f t="array" ref="B63" xml:space="preserve"> ROW() - ROW($4:$4)</f>
        <v>59</v>
      </c>
      <c r="C63" s="137" t="s">
        <v>2320</v>
      </c>
      <c r="D63" s="138" t="s">
        <v>2321</v>
      </c>
      <c r="E63" s="138"/>
      <c r="F63" s="138" t="s">
        <v>2322</v>
      </c>
      <c r="G63" s="138"/>
      <c r="H63" s="138"/>
      <c r="I63" s="138" t="s">
        <v>2323</v>
      </c>
      <c r="J63" s="138"/>
      <c r="K63" s="138" t="s">
        <v>2324</v>
      </c>
      <c r="L63" s="138"/>
      <c r="M63" s="138"/>
      <c r="N63" s="138"/>
      <c r="O63" s="138"/>
      <c r="P63" s="138"/>
      <c r="Q63" s="138"/>
      <c r="R63" s="138"/>
      <c r="S63" s="138" t="s">
        <v>2325</v>
      </c>
      <c r="T63" s="138"/>
      <c r="U63" s="138"/>
      <c r="V63" s="139" t="s">
        <v>2320</v>
      </c>
    </row>
    <row r="64" spans="2:22">
      <c r="B64" s="140" cm="1">
        <f t="array" ref="B64" xml:space="preserve"> ROW() - ROW($4:$4)</f>
        <v>60</v>
      </c>
      <c r="C64" s="137" t="s">
        <v>320</v>
      </c>
      <c r="D64" s="138" t="s">
        <v>320</v>
      </c>
      <c r="E64" s="138" t="s">
        <v>2326</v>
      </c>
      <c r="F64" s="138" t="s">
        <v>2327</v>
      </c>
      <c r="G64" s="138" t="s">
        <v>2328</v>
      </c>
      <c r="H64" s="138" t="s">
        <v>2329</v>
      </c>
      <c r="I64" s="138" t="s">
        <v>2330</v>
      </c>
      <c r="J64" s="138"/>
      <c r="K64" s="138" t="s">
        <v>2331</v>
      </c>
      <c r="L64" s="138" t="s">
        <v>2332</v>
      </c>
      <c r="M64" s="138" t="s">
        <v>2333</v>
      </c>
      <c r="N64" s="138"/>
      <c r="O64" s="138"/>
      <c r="P64" s="138"/>
      <c r="Q64" s="138" t="s">
        <v>2334</v>
      </c>
      <c r="R64" s="138" t="s">
        <v>2335</v>
      </c>
      <c r="S64" s="138" t="s">
        <v>2336</v>
      </c>
      <c r="T64" s="138" t="s">
        <v>2337</v>
      </c>
      <c r="U64" s="138" t="s">
        <v>2338</v>
      </c>
      <c r="V64" s="139" t="s">
        <v>320</v>
      </c>
    </row>
    <row r="65" spans="2:22">
      <c r="B65" s="140" cm="1">
        <f t="array" ref="B65" xml:space="preserve"> ROW() - ROW($4:$4)</f>
        <v>61</v>
      </c>
      <c r="C65" s="137" t="s">
        <v>321</v>
      </c>
      <c r="D65" s="138" t="s">
        <v>321</v>
      </c>
      <c r="E65" s="138"/>
      <c r="F65" s="138"/>
      <c r="G65" s="138" t="s">
        <v>2339</v>
      </c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  <c r="U65" s="138"/>
      <c r="V65" s="139" t="s">
        <v>321</v>
      </c>
    </row>
    <row r="66" spans="2:22">
      <c r="B66" s="140" cm="1">
        <f t="array" ref="B66" xml:space="preserve"> ROW() - ROW($4:$4)</f>
        <v>62</v>
      </c>
      <c r="C66" s="137" t="s">
        <v>322</v>
      </c>
      <c r="D66" s="138" t="s">
        <v>322</v>
      </c>
      <c r="E66" s="138" t="s">
        <v>2340</v>
      </c>
      <c r="F66" s="138" t="s">
        <v>2341</v>
      </c>
      <c r="G66" s="138"/>
      <c r="H66" s="138" t="s">
        <v>2342</v>
      </c>
      <c r="I66" s="138" t="s">
        <v>2343</v>
      </c>
      <c r="J66" s="138"/>
      <c r="K66" s="138" t="s">
        <v>2344</v>
      </c>
      <c r="L66" s="138" t="s">
        <v>2345</v>
      </c>
      <c r="M66" s="138" t="s">
        <v>2346</v>
      </c>
      <c r="N66" s="138"/>
      <c r="O66" s="138"/>
      <c r="P66" s="138"/>
      <c r="Q66" s="138" t="s">
        <v>2347</v>
      </c>
      <c r="R66" s="138" t="s">
        <v>2348</v>
      </c>
      <c r="S66" s="138" t="s">
        <v>2349</v>
      </c>
      <c r="T66" s="138" t="s">
        <v>2350</v>
      </c>
      <c r="U66" s="138" t="s">
        <v>2351</v>
      </c>
      <c r="V66" s="139" t="s">
        <v>322</v>
      </c>
    </row>
    <row r="67" spans="2:22">
      <c r="B67" s="140" cm="1">
        <f t="array" ref="B67" xml:space="preserve"> ROW() - ROW($4:$4)</f>
        <v>63</v>
      </c>
      <c r="C67" s="137" t="s">
        <v>323</v>
      </c>
      <c r="D67" s="138" t="s">
        <v>323</v>
      </c>
      <c r="E67" s="138" t="s">
        <v>2352</v>
      </c>
      <c r="F67" s="138" t="s">
        <v>2353</v>
      </c>
      <c r="G67" s="138" t="s">
        <v>2354</v>
      </c>
      <c r="H67" s="138" t="s">
        <v>2355</v>
      </c>
      <c r="I67" s="138" t="s">
        <v>2356</v>
      </c>
      <c r="J67" s="138" t="s">
        <v>2357</v>
      </c>
      <c r="K67" s="138" t="s">
        <v>2358</v>
      </c>
      <c r="L67" s="138" t="s">
        <v>2359</v>
      </c>
      <c r="M67" s="138" t="s">
        <v>2360</v>
      </c>
      <c r="N67" s="138"/>
      <c r="O67" s="138"/>
      <c r="P67" s="138"/>
      <c r="Q67" s="138" t="s">
        <v>2361</v>
      </c>
      <c r="R67" s="138" t="s">
        <v>2362</v>
      </c>
      <c r="S67" s="138" t="s">
        <v>2363</v>
      </c>
      <c r="T67" s="138" t="s">
        <v>2364</v>
      </c>
      <c r="U67" s="138"/>
      <c r="V67" s="139" t="s">
        <v>323</v>
      </c>
    </row>
    <row r="68" spans="2:22">
      <c r="B68" s="140" cm="1">
        <f t="array" ref="B68" xml:space="preserve"> ROW() - ROW($4:$4)</f>
        <v>64</v>
      </c>
      <c r="C68" s="137" t="s">
        <v>324</v>
      </c>
      <c r="D68" s="138" t="s">
        <v>324</v>
      </c>
      <c r="E68" s="138" t="s">
        <v>2365</v>
      </c>
      <c r="F68" s="138"/>
      <c r="G68" s="138"/>
      <c r="H68" s="138" t="s">
        <v>2366</v>
      </c>
      <c r="I68" s="138" t="s">
        <v>2367</v>
      </c>
      <c r="J68" s="138"/>
      <c r="K68" s="138" t="s">
        <v>2368</v>
      </c>
      <c r="L68" s="138" t="s">
        <v>2369</v>
      </c>
      <c r="M68" s="138"/>
      <c r="N68" s="138"/>
      <c r="O68" s="138"/>
      <c r="P68" s="138"/>
      <c r="Q68" s="138" t="s">
        <v>2370</v>
      </c>
      <c r="R68" s="138" t="s">
        <v>2371</v>
      </c>
      <c r="S68" s="138" t="s">
        <v>2372</v>
      </c>
      <c r="T68" s="138"/>
      <c r="U68" s="138"/>
      <c r="V68" s="139" t="s">
        <v>324</v>
      </c>
    </row>
    <row r="69" spans="2:22">
      <c r="B69" s="140" cm="1">
        <f t="array" ref="B69" xml:space="preserve"> ROW() - ROW($4:$4)</f>
        <v>65</v>
      </c>
      <c r="C69" s="137" t="s">
        <v>216</v>
      </c>
      <c r="D69" s="138" t="s">
        <v>216</v>
      </c>
      <c r="E69" s="138"/>
      <c r="F69" s="138" t="s">
        <v>2373</v>
      </c>
      <c r="G69" s="138" t="s">
        <v>2374</v>
      </c>
      <c r="H69" s="138"/>
      <c r="I69" s="138" t="s">
        <v>2375</v>
      </c>
      <c r="J69" s="138"/>
      <c r="K69" s="138" t="s">
        <v>2376</v>
      </c>
      <c r="L69" s="138"/>
      <c r="M69" s="138" t="s">
        <v>2377</v>
      </c>
      <c r="N69" s="138"/>
      <c r="O69" s="138"/>
      <c r="P69" s="138"/>
      <c r="Q69" s="138" t="s">
        <v>2378</v>
      </c>
      <c r="R69" s="138" t="s">
        <v>2379</v>
      </c>
      <c r="S69" s="138" t="s">
        <v>2380</v>
      </c>
      <c r="T69" s="138" t="s">
        <v>2381</v>
      </c>
      <c r="U69" s="138" t="s">
        <v>2382</v>
      </c>
      <c r="V69" s="139" t="s">
        <v>216</v>
      </c>
    </row>
    <row r="70" spans="2:22">
      <c r="B70" s="140" cm="1">
        <f t="array" ref="B70" xml:space="preserve"> ROW() - ROW($4:$4)</f>
        <v>66</v>
      </c>
      <c r="C70" s="137" t="s">
        <v>2383</v>
      </c>
      <c r="D70" s="138"/>
      <c r="E70" s="138"/>
      <c r="F70" s="138"/>
      <c r="G70" s="138"/>
      <c r="H70" s="138"/>
      <c r="I70" s="138"/>
      <c r="J70" s="138"/>
      <c r="K70" s="138"/>
      <c r="L70" s="138"/>
      <c r="M70" s="138"/>
      <c r="N70" s="138" t="s">
        <v>2384</v>
      </c>
      <c r="O70" s="138"/>
      <c r="P70" s="138"/>
      <c r="Q70" s="138"/>
      <c r="R70" s="138"/>
      <c r="S70" s="138"/>
      <c r="T70" s="138"/>
      <c r="U70" s="138"/>
      <c r="V70" s="139" t="s">
        <v>2383</v>
      </c>
    </row>
    <row r="71" spans="2:22">
      <c r="B71" s="140" cm="1">
        <f t="array" ref="B71" xml:space="preserve"> ROW() - ROW($4:$4)</f>
        <v>67</v>
      </c>
      <c r="C71" s="137" t="s">
        <v>2385</v>
      </c>
      <c r="D71" s="138" t="s">
        <v>2386</v>
      </c>
      <c r="E71" s="138"/>
      <c r="F71" s="138"/>
      <c r="G71" s="138"/>
      <c r="H71" s="138"/>
      <c r="I71" s="138" t="s">
        <v>2387</v>
      </c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  <c r="U71" s="138"/>
      <c r="V71" s="139" t="s">
        <v>2385</v>
      </c>
    </row>
    <row r="72" spans="2:22">
      <c r="B72" s="140" cm="1">
        <f t="array" ref="B72" xml:space="preserve"> ROW() - ROW($4:$4)</f>
        <v>68</v>
      </c>
      <c r="C72" s="137" t="s">
        <v>170</v>
      </c>
      <c r="D72" s="138" t="s">
        <v>170</v>
      </c>
      <c r="E72" s="138" t="s">
        <v>2388</v>
      </c>
      <c r="F72" s="138" t="s">
        <v>2389</v>
      </c>
      <c r="G72" s="138" t="s">
        <v>2390</v>
      </c>
      <c r="H72" s="138" t="s">
        <v>2391</v>
      </c>
      <c r="I72" s="138" t="s">
        <v>2392</v>
      </c>
      <c r="J72" s="138"/>
      <c r="K72" s="138" t="s">
        <v>2393</v>
      </c>
      <c r="L72" s="138" t="s">
        <v>2394</v>
      </c>
      <c r="M72" s="138" t="s">
        <v>2395</v>
      </c>
      <c r="N72" s="138"/>
      <c r="O72" s="138"/>
      <c r="P72" s="138"/>
      <c r="Q72" s="138" t="s">
        <v>2396</v>
      </c>
      <c r="R72" s="138" t="s">
        <v>2397</v>
      </c>
      <c r="S72" s="138" t="s">
        <v>2398</v>
      </c>
      <c r="T72" s="138" t="s">
        <v>2399</v>
      </c>
      <c r="U72" s="138" t="s">
        <v>2400</v>
      </c>
      <c r="V72" s="139" t="s">
        <v>170</v>
      </c>
    </row>
    <row r="73" spans="2:22">
      <c r="B73" s="140" cm="1">
        <f t="array" ref="B73" xml:space="preserve"> ROW() - ROW($4:$4)</f>
        <v>69</v>
      </c>
      <c r="C73" s="137" t="s">
        <v>262</v>
      </c>
      <c r="D73" s="138" t="s">
        <v>262</v>
      </c>
      <c r="E73" s="138"/>
      <c r="F73" s="138"/>
      <c r="G73" s="138"/>
      <c r="H73" s="138"/>
      <c r="I73" s="138"/>
      <c r="J73" s="138"/>
      <c r="K73" s="138"/>
      <c r="L73" s="138"/>
      <c r="M73" s="138"/>
      <c r="N73" s="138"/>
      <c r="O73" s="138"/>
      <c r="P73" s="138"/>
      <c r="Q73" s="138"/>
      <c r="R73" s="138"/>
      <c r="S73" s="138" t="s">
        <v>2401</v>
      </c>
      <c r="T73" s="138" t="s">
        <v>2402</v>
      </c>
      <c r="U73" s="138"/>
      <c r="V73" s="139" t="s">
        <v>262</v>
      </c>
    </row>
    <row r="74" spans="2:22">
      <c r="B74" s="140" cm="1">
        <f t="array" ref="B74" xml:space="preserve"> ROW() - ROW($4:$4)</f>
        <v>70</v>
      </c>
      <c r="C74" s="137" t="s">
        <v>169</v>
      </c>
      <c r="D74" s="138" t="s">
        <v>169</v>
      </c>
      <c r="E74" s="138" t="s">
        <v>2403</v>
      </c>
      <c r="F74" s="138" t="s">
        <v>2404</v>
      </c>
      <c r="G74" s="138" t="s">
        <v>2405</v>
      </c>
      <c r="H74" s="138" t="s">
        <v>2406</v>
      </c>
      <c r="I74" s="138" t="s">
        <v>2407</v>
      </c>
      <c r="J74" s="138"/>
      <c r="K74" s="138" t="s">
        <v>2408</v>
      </c>
      <c r="L74" s="138" t="s">
        <v>2409</v>
      </c>
      <c r="M74" s="138" t="s">
        <v>2410</v>
      </c>
      <c r="N74" s="138"/>
      <c r="O74" s="138"/>
      <c r="P74" s="138"/>
      <c r="Q74" s="138" t="s">
        <v>2411</v>
      </c>
      <c r="R74" s="138" t="s">
        <v>2412</v>
      </c>
      <c r="S74" s="138" t="s">
        <v>2413</v>
      </c>
      <c r="T74" s="138" t="s">
        <v>2414</v>
      </c>
      <c r="U74" s="138" t="s">
        <v>2415</v>
      </c>
      <c r="V74" s="139" t="s">
        <v>169</v>
      </c>
    </row>
    <row r="75" spans="2:22">
      <c r="B75" s="140" cm="1">
        <f t="array" ref="B75" xml:space="preserve"> ROW() - ROW($4:$4)</f>
        <v>71</v>
      </c>
      <c r="C75" s="137" t="s">
        <v>245</v>
      </c>
      <c r="D75" s="138" t="s">
        <v>245</v>
      </c>
      <c r="E75" s="138" t="s">
        <v>2416</v>
      </c>
      <c r="F75" s="138" t="s">
        <v>2417</v>
      </c>
      <c r="G75" s="138" t="s">
        <v>2418</v>
      </c>
      <c r="H75" s="138" t="s">
        <v>2419</v>
      </c>
      <c r="I75" s="138" t="s">
        <v>2420</v>
      </c>
      <c r="J75" s="138" t="s">
        <v>2421</v>
      </c>
      <c r="K75" s="138" t="s">
        <v>2422</v>
      </c>
      <c r="L75" s="138" t="s">
        <v>2423</v>
      </c>
      <c r="M75" s="138" t="s">
        <v>2424</v>
      </c>
      <c r="N75" s="138"/>
      <c r="O75" s="138"/>
      <c r="P75" s="138"/>
      <c r="Q75" s="138" t="s">
        <v>2425</v>
      </c>
      <c r="R75" s="138" t="s">
        <v>2426</v>
      </c>
      <c r="S75" s="138" t="s">
        <v>2427</v>
      </c>
      <c r="T75" s="138" t="s">
        <v>2428</v>
      </c>
      <c r="U75" s="138" t="s">
        <v>2429</v>
      </c>
      <c r="V75" s="139" t="s">
        <v>245</v>
      </c>
    </row>
    <row r="76" spans="2:22">
      <c r="B76" s="140" cm="1">
        <f t="array" ref="B76" xml:space="preserve"> ROW() - ROW($4:$4)</f>
        <v>72</v>
      </c>
      <c r="C76" s="137" t="s">
        <v>246</v>
      </c>
      <c r="D76" s="138" t="s">
        <v>246</v>
      </c>
      <c r="E76" s="138"/>
      <c r="F76" s="138" t="s">
        <v>2430</v>
      </c>
      <c r="G76" s="138" t="s">
        <v>2431</v>
      </c>
      <c r="H76" s="138"/>
      <c r="I76" s="138"/>
      <c r="J76" s="138"/>
      <c r="K76" s="138"/>
      <c r="L76" s="138" t="s">
        <v>2432</v>
      </c>
      <c r="M76" s="138"/>
      <c r="N76" s="138"/>
      <c r="O76" s="138"/>
      <c r="P76" s="138"/>
      <c r="Q76" s="138" t="s">
        <v>2433</v>
      </c>
      <c r="R76" s="138" t="s">
        <v>2434</v>
      </c>
      <c r="S76" s="138"/>
      <c r="T76" s="138" t="s">
        <v>2435</v>
      </c>
      <c r="U76" s="138" t="s">
        <v>2436</v>
      </c>
      <c r="V76" s="139" t="s">
        <v>246</v>
      </c>
    </row>
    <row r="77" spans="2:22">
      <c r="B77" s="140" cm="1">
        <f t="array" ref="B77" xml:space="preserve"> ROW() - ROW($4:$4)</f>
        <v>73</v>
      </c>
      <c r="C77" s="137" t="s">
        <v>154</v>
      </c>
      <c r="D77" s="138" t="s">
        <v>154</v>
      </c>
      <c r="E77" s="138" t="s">
        <v>2437</v>
      </c>
      <c r="F77" s="138" t="s">
        <v>2438</v>
      </c>
      <c r="G77" s="138" t="s">
        <v>2439</v>
      </c>
      <c r="H77" s="138" t="s">
        <v>2440</v>
      </c>
      <c r="I77" s="138" t="s">
        <v>2441</v>
      </c>
      <c r="J77" s="138"/>
      <c r="K77" s="138" t="s">
        <v>2442</v>
      </c>
      <c r="L77" s="138" t="s">
        <v>2443</v>
      </c>
      <c r="M77" s="138" t="s">
        <v>2444</v>
      </c>
      <c r="N77" s="138" t="s">
        <v>2445</v>
      </c>
      <c r="O77" s="138"/>
      <c r="P77" s="138"/>
      <c r="Q77" s="138" t="s">
        <v>2446</v>
      </c>
      <c r="R77" s="138" t="s">
        <v>2447</v>
      </c>
      <c r="S77" s="138" t="s">
        <v>2448</v>
      </c>
      <c r="T77" s="138" t="s">
        <v>2449</v>
      </c>
      <c r="U77" s="138" t="s">
        <v>2450</v>
      </c>
      <c r="V77" s="139" t="s">
        <v>154</v>
      </c>
    </row>
    <row r="78" spans="2:22">
      <c r="B78" s="140" cm="1">
        <f t="array" ref="B78" xml:space="preserve"> ROW() - ROW($4:$4)</f>
        <v>74</v>
      </c>
      <c r="C78" s="137" t="s">
        <v>136</v>
      </c>
      <c r="D78" s="138" t="s">
        <v>136</v>
      </c>
      <c r="E78" s="138" t="s">
        <v>2451</v>
      </c>
      <c r="F78" s="138" t="s">
        <v>2452</v>
      </c>
      <c r="G78" s="138" t="s">
        <v>2453</v>
      </c>
      <c r="H78" s="138" t="s">
        <v>2454</v>
      </c>
      <c r="I78" s="138" t="s">
        <v>2455</v>
      </c>
      <c r="J78" s="138" t="s">
        <v>2456</v>
      </c>
      <c r="K78" s="138" t="s">
        <v>2457</v>
      </c>
      <c r="L78" s="138" t="s">
        <v>2458</v>
      </c>
      <c r="M78" s="138" t="s">
        <v>2459</v>
      </c>
      <c r="N78" s="138"/>
      <c r="O78" s="138"/>
      <c r="P78" s="138"/>
      <c r="Q78" s="138" t="s">
        <v>2460</v>
      </c>
      <c r="R78" s="138" t="s">
        <v>2461</v>
      </c>
      <c r="S78" s="138" t="s">
        <v>2462</v>
      </c>
      <c r="T78" s="138" t="s">
        <v>2463</v>
      </c>
      <c r="U78" s="138" t="s">
        <v>2464</v>
      </c>
      <c r="V78" s="139" t="s">
        <v>136</v>
      </c>
    </row>
    <row r="79" spans="2:22">
      <c r="B79" s="140" cm="1">
        <f t="array" ref="B79" xml:space="preserve"> ROW() - ROW($4:$4)</f>
        <v>75</v>
      </c>
      <c r="C79" s="137" t="s">
        <v>137</v>
      </c>
      <c r="D79" s="138" t="s">
        <v>137</v>
      </c>
      <c r="E79" s="138" t="s">
        <v>2465</v>
      </c>
      <c r="F79" s="138" t="s">
        <v>2466</v>
      </c>
      <c r="G79" s="138" t="s">
        <v>2467</v>
      </c>
      <c r="H79" s="138"/>
      <c r="I79" s="138" t="s">
        <v>2468</v>
      </c>
      <c r="J79" s="138"/>
      <c r="K79" s="138" t="s">
        <v>2469</v>
      </c>
      <c r="L79" s="138" t="s">
        <v>2470</v>
      </c>
      <c r="M79" s="138" t="s">
        <v>2471</v>
      </c>
      <c r="N79" s="138"/>
      <c r="O79" s="138"/>
      <c r="P79" s="138"/>
      <c r="Q79" s="138" t="s">
        <v>2472</v>
      </c>
      <c r="R79" s="138" t="s">
        <v>2473</v>
      </c>
      <c r="S79" s="138" t="s">
        <v>2474</v>
      </c>
      <c r="T79" s="138" t="s">
        <v>2475</v>
      </c>
      <c r="U79" s="138" t="s">
        <v>2476</v>
      </c>
      <c r="V79" s="139" t="s">
        <v>137</v>
      </c>
    </row>
    <row r="80" spans="2:22">
      <c r="C80" s="138" t="s">
        <v>2477</v>
      </c>
      <c r="D80" s="138">
        <v>65</v>
      </c>
      <c r="E80" s="138">
        <v>35</v>
      </c>
      <c r="F80" s="138">
        <v>56</v>
      </c>
      <c r="G80" s="138">
        <v>58</v>
      </c>
      <c r="H80" s="138">
        <v>38</v>
      </c>
      <c r="I80" s="138">
        <v>67</v>
      </c>
      <c r="J80" s="138">
        <v>20</v>
      </c>
      <c r="K80" s="138">
        <v>58</v>
      </c>
      <c r="L80" s="138">
        <v>58</v>
      </c>
      <c r="M80" s="138">
        <v>35</v>
      </c>
      <c r="N80" s="138">
        <v>15</v>
      </c>
      <c r="O80" s="138">
        <v>15</v>
      </c>
      <c r="P80" s="138">
        <v>9</v>
      </c>
      <c r="Q80" s="138">
        <v>44</v>
      </c>
      <c r="R80" s="138">
        <v>43</v>
      </c>
      <c r="S80" s="138">
        <v>61</v>
      </c>
      <c r="T80" s="138">
        <v>56</v>
      </c>
      <c r="U80" s="138">
        <v>48</v>
      </c>
      <c r="V80" s="138" t="s">
        <v>2478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190D-B617-8943-ACD8-17623F9F0286}">
  <sheetPr codeName="工作表5">
    <tabColor rgb="FF92D050"/>
  </sheetPr>
  <dimension ref="B2:T84"/>
  <sheetViews>
    <sheetView workbookViewId="0"/>
  </sheetViews>
  <sheetFormatPr defaultColWidth="10.7265625" defaultRowHeight="25.5"/>
  <cols>
    <col min="1" max="1" width="4.26953125" customWidth="1"/>
    <col min="2" max="20" width="7.7265625" customWidth="1"/>
  </cols>
  <sheetData>
    <row r="2" spans="2:20">
      <c r="B2" s="230"/>
      <c r="C2" s="230" t="s">
        <v>14</v>
      </c>
      <c r="D2" s="230" t="s">
        <v>116</v>
      </c>
      <c r="E2" s="230" t="s">
        <v>16</v>
      </c>
      <c r="F2" s="230" t="s">
        <v>634</v>
      </c>
      <c r="G2" s="230" t="s">
        <v>19</v>
      </c>
      <c r="H2" s="230" t="s">
        <v>27</v>
      </c>
      <c r="I2" s="230" t="s">
        <v>58</v>
      </c>
      <c r="J2" s="230" t="s">
        <v>636</v>
      </c>
      <c r="K2" s="230" t="s">
        <v>69</v>
      </c>
      <c r="L2" s="230" t="s">
        <v>75</v>
      </c>
      <c r="M2" s="230" t="s">
        <v>2479</v>
      </c>
      <c r="N2" s="230" t="s">
        <v>2480</v>
      </c>
      <c r="O2" s="230" t="s">
        <v>2481</v>
      </c>
      <c r="P2" s="230" t="s">
        <v>2482</v>
      </c>
      <c r="Q2" s="230" t="s">
        <v>37</v>
      </c>
      <c r="R2" s="230" t="s">
        <v>631</v>
      </c>
      <c r="S2" s="230" t="s">
        <v>40</v>
      </c>
      <c r="T2" s="230" t="s">
        <v>684</v>
      </c>
    </row>
    <row r="3" spans="2:20">
      <c r="B3" s="231" t="s">
        <v>139</v>
      </c>
      <c r="C3" s="232" t="s">
        <v>911</v>
      </c>
      <c r="D3" s="232" t="s">
        <v>2483</v>
      </c>
      <c r="E3" s="232" t="s">
        <v>2484</v>
      </c>
      <c r="F3" s="232" t="s">
        <v>2485</v>
      </c>
      <c r="G3" s="232" t="s">
        <v>2486</v>
      </c>
      <c r="H3" s="232" t="s">
        <v>2487</v>
      </c>
      <c r="I3" s="232" t="s">
        <v>2488</v>
      </c>
      <c r="J3" s="232" t="s">
        <v>2489</v>
      </c>
      <c r="K3" s="232" t="s">
        <v>2490</v>
      </c>
      <c r="L3" s="232" t="s">
        <v>2491</v>
      </c>
      <c r="M3" s="232" t="s">
        <v>2492</v>
      </c>
      <c r="N3" s="232" t="s">
        <v>2493</v>
      </c>
      <c r="O3" s="232"/>
      <c r="P3" s="232" t="s">
        <v>2494</v>
      </c>
      <c r="Q3" s="232" t="s">
        <v>2495</v>
      </c>
      <c r="R3" s="232" t="s">
        <v>2496</v>
      </c>
      <c r="S3" s="232" t="s">
        <v>2497</v>
      </c>
      <c r="T3" s="232" t="s">
        <v>2498</v>
      </c>
    </row>
    <row r="4" spans="2:20">
      <c r="B4" s="231" t="s">
        <v>892</v>
      </c>
      <c r="C4" s="232" t="s">
        <v>896</v>
      </c>
      <c r="D4" s="232" t="s">
        <v>2499</v>
      </c>
      <c r="E4" s="232"/>
      <c r="F4" s="232" t="s">
        <v>2500</v>
      </c>
      <c r="G4" s="232"/>
      <c r="H4" s="232"/>
      <c r="I4" s="232" t="s">
        <v>2501</v>
      </c>
      <c r="J4" s="232" t="s">
        <v>2502</v>
      </c>
      <c r="K4" s="232"/>
      <c r="L4" s="232"/>
      <c r="M4" s="232" t="s">
        <v>2503</v>
      </c>
      <c r="N4" s="232" t="s">
        <v>2504</v>
      </c>
      <c r="O4" s="232"/>
      <c r="P4" s="232" t="s">
        <v>2505</v>
      </c>
      <c r="Q4" s="232" t="s">
        <v>2506</v>
      </c>
      <c r="R4" s="232" t="s">
        <v>2507</v>
      </c>
      <c r="S4" s="232"/>
      <c r="T4" s="232"/>
    </row>
    <row r="5" spans="2:20">
      <c r="B5" s="231" t="s">
        <v>2508</v>
      </c>
      <c r="C5" s="232" t="s">
        <v>912</v>
      </c>
      <c r="D5" s="232" t="s">
        <v>2509</v>
      </c>
      <c r="E5" s="232" t="s">
        <v>2510</v>
      </c>
      <c r="F5" s="232" t="s">
        <v>2511</v>
      </c>
      <c r="G5" s="232" t="s">
        <v>2512</v>
      </c>
      <c r="H5" s="232" t="s">
        <v>2513</v>
      </c>
      <c r="I5" s="232" t="s">
        <v>2514</v>
      </c>
      <c r="J5" s="232" t="s">
        <v>2515</v>
      </c>
      <c r="K5" s="232" t="s">
        <v>2516</v>
      </c>
      <c r="L5" s="232" t="s">
        <v>2517</v>
      </c>
      <c r="M5" s="232" t="s">
        <v>2518</v>
      </c>
      <c r="N5" s="232" t="s">
        <v>2519</v>
      </c>
      <c r="O5" s="232"/>
      <c r="P5" s="232" t="s">
        <v>2520</v>
      </c>
      <c r="Q5" s="232" t="s">
        <v>2521</v>
      </c>
      <c r="R5" s="232" t="s">
        <v>2522</v>
      </c>
      <c r="S5" s="232"/>
      <c r="T5" s="232"/>
    </row>
    <row r="6" spans="2:20">
      <c r="B6" s="231" t="s">
        <v>2523</v>
      </c>
      <c r="C6" s="232" t="s">
        <v>897</v>
      </c>
      <c r="D6" s="232" t="s">
        <v>2524</v>
      </c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 t="s">
        <v>2525</v>
      </c>
      <c r="Q6" s="232"/>
      <c r="R6" s="232"/>
      <c r="S6" s="232"/>
      <c r="T6" s="232"/>
    </row>
    <row r="7" spans="2:20">
      <c r="B7" s="231" t="s">
        <v>163</v>
      </c>
      <c r="C7" s="232" t="s">
        <v>844</v>
      </c>
      <c r="D7" s="232" t="s">
        <v>2526</v>
      </c>
      <c r="E7" s="232"/>
      <c r="F7" s="232"/>
      <c r="G7" s="232"/>
      <c r="H7" s="232"/>
      <c r="I7" s="232" t="s">
        <v>2527</v>
      </c>
      <c r="J7" s="232" t="s">
        <v>2528</v>
      </c>
      <c r="K7" s="232"/>
      <c r="L7" s="232" t="s">
        <v>2529</v>
      </c>
      <c r="M7" s="232" t="s">
        <v>2530</v>
      </c>
      <c r="N7" s="232" t="s">
        <v>2531</v>
      </c>
      <c r="O7" s="232"/>
      <c r="P7" s="232" t="s">
        <v>2532</v>
      </c>
      <c r="Q7" s="232" t="s">
        <v>2533</v>
      </c>
      <c r="R7" s="232" t="s">
        <v>2534</v>
      </c>
      <c r="S7" s="232" t="s">
        <v>2535</v>
      </c>
      <c r="T7" s="232"/>
    </row>
    <row r="8" spans="2:20">
      <c r="B8" s="231" t="s">
        <v>166</v>
      </c>
      <c r="C8" s="232" t="s">
        <v>751</v>
      </c>
      <c r="D8" s="232" t="s">
        <v>2536</v>
      </c>
      <c r="E8" s="232" t="s">
        <v>2537</v>
      </c>
      <c r="F8" s="232" t="s">
        <v>2538</v>
      </c>
      <c r="G8" s="232" t="s">
        <v>2539</v>
      </c>
      <c r="H8" s="232"/>
      <c r="I8" s="232" t="s">
        <v>2540</v>
      </c>
      <c r="J8" s="232" t="s">
        <v>2541</v>
      </c>
      <c r="K8" s="232"/>
      <c r="L8" s="232" t="s">
        <v>2542</v>
      </c>
      <c r="M8" s="232" t="s">
        <v>2543</v>
      </c>
      <c r="N8" s="232" t="s">
        <v>2544</v>
      </c>
      <c r="O8" s="232"/>
      <c r="P8" s="232" t="s">
        <v>2545</v>
      </c>
      <c r="Q8" s="232" t="s">
        <v>2546</v>
      </c>
      <c r="R8" s="232" t="s">
        <v>2547</v>
      </c>
      <c r="S8" s="232" t="s">
        <v>2548</v>
      </c>
      <c r="T8" s="232"/>
    </row>
    <row r="9" spans="2:20">
      <c r="B9" s="231" t="s">
        <v>854</v>
      </c>
      <c r="C9" s="232" t="s">
        <v>856</v>
      </c>
      <c r="D9" s="232" t="s">
        <v>2549</v>
      </c>
      <c r="E9" s="232" t="s">
        <v>2550</v>
      </c>
      <c r="F9" s="232" t="s">
        <v>2551</v>
      </c>
      <c r="G9" s="232" t="s">
        <v>2552</v>
      </c>
      <c r="H9" s="232"/>
      <c r="I9" s="232" t="s">
        <v>2553</v>
      </c>
      <c r="J9" s="232" t="s">
        <v>2554</v>
      </c>
      <c r="K9" s="232"/>
      <c r="L9" s="232" t="s">
        <v>2555</v>
      </c>
      <c r="M9" s="232" t="s">
        <v>2556</v>
      </c>
      <c r="N9" s="232" t="s">
        <v>2557</v>
      </c>
      <c r="O9" s="232"/>
      <c r="P9" s="232" t="s">
        <v>2558</v>
      </c>
      <c r="Q9" s="232" t="s">
        <v>2559</v>
      </c>
      <c r="R9" s="232" t="s">
        <v>2560</v>
      </c>
      <c r="S9" s="232" t="s">
        <v>2561</v>
      </c>
      <c r="T9" s="232"/>
    </row>
    <row r="10" spans="2:20">
      <c r="B10" s="231" t="s">
        <v>843</v>
      </c>
      <c r="C10" s="232" t="s">
        <v>845</v>
      </c>
      <c r="D10" s="232" t="s">
        <v>2562</v>
      </c>
      <c r="E10" s="232"/>
      <c r="F10" s="232"/>
      <c r="G10" s="232"/>
      <c r="H10" s="232"/>
      <c r="I10" s="232" t="s">
        <v>2563</v>
      </c>
      <c r="J10" s="232" t="s">
        <v>2564</v>
      </c>
      <c r="K10" s="232"/>
      <c r="L10" s="232" t="s">
        <v>2565</v>
      </c>
      <c r="M10" s="232" t="s">
        <v>2566</v>
      </c>
      <c r="N10" s="232" t="s">
        <v>2567</v>
      </c>
      <c r="O10" s="232"/>
      <c r="P10" s="232" t="s">
        <v>2568</v>
      </c>
      <c r="Q10" s="232" t="s">
        <v>2569</v>
      </c>
      <c r="R10" s="232" t="s">
        <v>2570</v>
      </c>
      <c r="S10" s="232"/>
      <c r="T10" s="232"/>
    </row>
    <row r="11" spans="2:20">
      <c r="B11" s="231" t="s">
        <v>749</v>
      </c>
      <c r="C11" s="232" t="s">
        <v>752</v>
      </c>
      <c r="D11" s="232" t="s">
        <v>2571</v>
      </c>
      <c r="E11" s="232" t="s">
        <v>2572</v>
      </c>
      <c r="F11" s="232" t="s">
        <v>2573</v>
      </c>
      <c r="G11" s="232" t="s">
        <v>2574</v>
      </c>
      <c r="H11" s="232"/>
      <c r="I11" s="232" t="s">
        <v>2575</v>
      </c>
      <c r="J11" s="232" t="s">
        <v>2576</v>
      </c>
      <c r="K11" s="232"/>
      <c r="L11" s="232" t="s">
        <v>2577</v>
      </c>
      <c r="M11" s="232" t="s">
        <v>2578</v>
      </c>
      <c r="N11" s="232" t="s">
        <v>2579</v>
      </c>
      <c r="O11" s="232"/>
      <c r="P11" s="232" t="s">
        <v>2580</v>
      </c>
      <c r="Q11" s="232" t="s">
        <v>2581</v>
      </c>
      <c r="R11" s="232" t="s">
        <v>2582</v>
      </c>
      <c r="S11" s="232"/>
      <c r="T11" s="232"/>
    </row>
    <row r="12" spans="2:20">
      <c r="B12" s="231" t="s">
        <v>855</v>
      </c>
      <c r="C12" s="232" t="s">
        <v>1461</v>
      </c>
      <c r="D12" s="232" t="s">
        <v>2583</v>
      </c>
      <c r="E12" s="232" t="s">
        <v>2584</v>
      </c>
      <c r="F12" s="232" t="s">
        <v>2585</v>
      </c>
      <c r="G12" s="232" t="s">
        <v>2586</v>
      </c>
      <c r="H12" s="232"/>
      <c r="I12" s="232" t="s">
        <v>2587</v>
      </c>
      <c r="J12" s="232" t="s">
        <v>2588</v>
      </c>
      <c r="K12" s="232"/>
      <c r="L12" s="232" t="s">
        <v>2589</v>
      </c>
      <c r="M12" s="232" t="s">
        <v>2590</v>
      </c>
      <c r="N12" s="232" t="s">
        <v>2591</v>
      </c>
      <c r="O12" s="232"/>
      <c r="P12" s="232" t="s">
        <v>2592</v>
      </c>
      <c r="Q12" s="232" t="s">
        <v>2593</v>
      </c>
      <c r="R12" s="232" t="s">
        <v>2594</v>
      </c>
      <c r="S12" s="232" t="s">
        <v>2595</v>
      </c>
      <c r="T12" s="232"/>
    </row>
    <row r="13" spans="2:20">
      <c r="B13" s="231" t="s">
        <v>2596</v>
      </c>
      <c r="C13" s="232" t="s">
        <v>826</v>
      </c>
      <c r="D13" s="232" t="s">
        <v>2597</v>
      </c>
      <c r="E13" s="232" t="s">
        <v>2598</v>
      </c>
      <c r="F13" s="232" t="s">
        <v>2599</v>
      </c>
      <c r="G13" s="232" t="s">
        <v>2600</v>
      </c>
      <c r="H13" s="232" t="s">
        <v>2601</v>
      </c>
      <c r="I13" s="232" t="s">
        <v>2602</v>
      </c>
      <c r="J13" s="232" t="s">
        <v>2603</v>
      </c>
      <c r="K13" s="232" t="s">
        <v>2604</v>
      </c>
      <c r="L13" s="232" t="s">
        <v>2605</v>
      </c>
      <c r="M13" s="232" t="s">
        <v>2606</v>
      </c>
      <c r="N13" s="232" t="s">
        <v>2607</v>
      </c>
      <c r="O13" s="232"/>
      <c r="P13" s="232" t="s">
        <v>2608</v>
      </c>
      <c r="Q13" s="232" t="s">
        <v>2609</v>
      </c>
      <c r="R13" s="232" t="s">
        <v>2610</v>
      </c>
      <c r="S13" s="232" t="s">
        <v>2611</v>
      </c>
      <c r="T13" s="232" t="s">
        <v>2612</v>
      </c>
    </row>
    <row r="14" spans="2:20">
      <c r="B14" s="231" t="s">
        <v>2613</v>
      </c>
      <c r="C14" s="232" t="s">
        <v>1018</v>
      </c>
      <c r="D14" s="232" t="s">
        <v>2614</v>
      </c>
      <c r="E14" s="232"/>
      <c r="F14" s="232" t="s">
        <v>2615</v>
      </c>
      <c r="G14" s="232"/>
      <c r="H14" s="232"/>
      <c r="I14" s="232" t="s">
        <v>2616</v>
      </c>
      <c r="J14" s="232"/>
      <c r="K14" s="232"/>
      <c r="L14" s="232"/>
      <c r="M14" s="232" t="s">
        <v>2617</v>
      </c>
      <c r="N14" s="232"/>
      <c r="O14" s="232"/>
      <c r="P14" s="232"/>
      <c r="Q14" s="232" t="s">
        <v>2618</v>
      </c>
      <c r="R14" s="232" t="s">
        <v>2619</v>
      </c>
      <c r="S14" s="232"/>
      <c r="T14" s="232"/>
    </row>
    <row r="15" spans="2:20">
      <c r="B15" s="231" t="s">
        <v>2620</v>
      </c>
      <c r="C15" s="232" t="s">
        <v>827</v>
      </c>
      <c r="D15" s="232" t="s">
        <v>2621</v>
      </c>
      <c r="E15" s="232"/>
      <c r="F15" s="232"/>
      <c r="G15" s="232"/>
      <c r="H15" s="232"/>
      <c r="I15" s="232"/>
      <c r="J15" s="232"/>
      <c r="K15" s="232"/>
      <c r="L15" s="232" t="s">
        <v>2622</v>
      </c>
      <c r="M15" s="232"/>
      <c r="N15" s="232"/>
      <c r="O15" s="232"/>
      <c r="P15" s="232" t="s">
        <v>2623</v>
      </c>
      <c r="Q15" s="232"/>
      <c r="R15" s="232"/>
      <c r="S15" s="232"/>
      <c r="T15" s="232"/>
    </row>
    <row r="16" spans="2:20">
      <c r="B16" s="231" t="s">
        <v>178</v>
      </c>
      <c r="C16" s="232" t="s">
        <v>870</v>
      </c>
      <c r="D16" s="232" t="s">
        <v>2624</v>
      </c>
      <c r="E16" s="232" t="s">
        <v>2625</v>
      </c>
      <c r="F16" s="232" t="s">
        <v>2626</v>
      </c>
      <c r="G16" s="232" t="s">
        <v>2627</v>
      </c>
      <c r="H16" s="232" t="s">
        <v>2628</v>
      </c>
      <c r="I16" s="232" t="s">
        <v>2629</v>
      </c>
      <c r="J16" s="232" t="s">
        <v>2630</v>
      </c>
      <c r="K16" s="232" t="s">
        <v>2631</v>
      </c>
      <c r="L16" s="232" t="s">
        <v>2632</v>
      </c>
      <c r="M16" s="232" t="s">
        <v>2633</v>
      </c>
      <c r="N16" s="232" t="s">
        <v>2634</v>
      </c>
      <c r="O16" s="232"/>
      <c r="P16" s="232" t="s">
        <v>2635</v>
      </c>
      <c r="Q16" s="232" t="s">
        <v>2636</v>
      </c>
      <c r="R16" s="232" t="s">
        <v>2637</v>
      </c>
      <c r="S16" s="232" t="s">
        <v>2638</v>
      </c>
      <c r="T16" s="232" t="s">
        <v>2639</v>
      </c>
    </row>
    <row r="17" spans="2:20">
      <c r="B17" s="231" t="s">
        <v>2640</v>
      </c>
      <c r="C17" s="232" t="s">
        <v>871</v>
      </c>
      <c r="D17" s="232"/>
      <c r="E17" s="232"/>
      <c r="F17" s="232" t="s">
        <v>2641</v>
      </c>
      <c r="G17" s="232"/>
      <c r="H17" s="232" t="s">
        <v>2642</v>
      </c>
      <c r="I17" s="232" t="s">
        <v>2643</v>
      </c>
      <c r="J17" s="232"/>
      <c r="K17" s="232" t="s">
        <v>2644</v>
      </c>
      <c r="L17" s="232" t="s">
        <v>2645</v>
      </c>
      <c r="M17" s="232"/>
      <c r="N17" s="232" t="s">
        <v>2646</v>
      </c>
      <c r="O17" s="232"/>
      <c r="P17" s="232"/>
      <c r="Q17" s="232" t="s">
        <v>2647</v>
      </c>
      <c r="R17" s="232"/>
      <c r="S17" s="232"/>
      <c r="T17" s="232" t="s">
        <v>2648</v>
      </c>
    </row>
    <row r="18" spans="2:20">
      <c r="B18" s="233" t="s">
        <v>160</v>
      </c>
      <c r="C18" s="234" t="s">
        <v>1009</v>
      </c>
      <c r="D18" s="234" t="s">
        <v>2649</v>
      </c>
      <c r="E18" s="234" t="s">
        <v>2650</v>
      </c>
      <c r="F18" s="234" t="s">
        <v>2651</v>
      </c>
      <c r="G18" s="234" t="s">
        <v>2652</v>
      </c>
      <c r="H18" s="234" t="s">
        <v>2653</v>
      </c>
      <c r="I18" s="234" t="s">
        <v>2654</v>
      </c>
      <c r="J18" s="234" t="s">
        <v>2655</v>
      </c>
      <c r="K18" s="234" t="s">
        <v>2656</v>
      </c>
      <c r="L18" s="234" t="s">
        <v>2657</v>
      </c>
      <c r="M18" s="234" t="s">
        <v>2658</v>
      </c>
      <c r="N18" s="234" t="s">
        <v>2659</v>
      </c>
      <c r="O18" s="234"/>
      <c r="P18" s="234" t="s">
        <v>2660</v>
      </c>
      <c r="Q18" s="234" t="s">
        <v>2661</v>
      </c>
      <c r="R18" s="234" t="s">
        <v>2662</v>
      </c>
      <c r="S18" s="234" t="s">
        <v>2663</v>
      </c>
      <c r="T18" s="234" t="s">
        <v>2664</v>
      </c>
    </row>
    <row r="19" spans="2:20">
      <c r="B19" s="233" t="s">
        <v>1416</v>
      </c>
      <c r="C19" s="234" t="s">
        <v>932</v>
      </c>
      <c r="D19" s="234" t="s">
        <v>2665</v>
      </c>
      <c r="E19" s="234" t="s">
        <v>2666</v>
      </c>
      <c r="F19" s="234" t="s">
        <v>2667</v>
      </c>
      <c r="G19" s="234"/>
      <c r="H19" s="234"/>
      <c r="I19" s="234" t="s">
        <v>2668</v>
      </c>
      <c r="J19" s="234" t="s">
        <v>2669</v>
      </c>
      <c r="K19" s="234"/>
      <c r="L19" s="234"/>
      <c r="M19" s="234" t="s">
        <v>2670</v>
      </c>
      <c r="N19" s="234" t="s">
        <v>2671</v>
      </c>
      <c r="O19" s="234"/>
      <c r="P19" s="234" t="s">
        <v>2672</v>
      </c>
      <c r="Q19" s="234" t="s">
        <v>2673</v>
      </c>
      <c r="R19" s="234" t="s">
        <v>2674</v>
      </c>
      <c r="S19" s="234"/>
      <c r="T19" s="234"/>
    </row>
    <row r="20" spans="2:20">
      <c r="B20" s="233" t="s">
        <v>2675</v>
      </c>
      <c r="C20" s="234" t="s">
        <v>1010</v>
      </c>
      <c r="D20" s="234" t="s">
        <v>2676</v>
      </c>
      <c r="E20" s="234" t="s">
        <v>2677</v>
      </c>
      <c r="F20" s="234" t="s">
        <v>2678</v>
      </c>
      <c r="G20" s="234" t="s">
        <v>2679</v>
      </c>
      <c r="H20" s="234" t="s">
        <v>2680</v>
      </c>
      <c r="I20" s="234" t="s">
        <v>2681</v>
      </c>
      <c r="J20" s="234" t="s">
        <v>2682</v>
      </c>
      <c r="K20" s="234" t="s">
        <v>2683</v>
      </c>
      <c r="L20" s="234" t="s">
        <v>2684</v>
      </c>
      <c r="M20" s="234" t="s">
        <v>2685</v>
      </c>
      <c r="N20" s="234" t="s">
        <v>2686</v>
      </c>
      <c r="O20" s="234"/>
      <c r="P20" s="234" t="s">
        <v>2687</v>
      </c>
      <c r="Q20" s="234" t="s">
        <v>2688</v>
      </c>
      <c r="R20" s="234" t="s">
        <v>2689</v>
      </c>
      <c r="S20" s="234" t="s">
        <v>2690</v>
      </c>
      <c r="T20" s="234" t="s">
        <v>2691</v>
      </c>
    </row>
    <row r="21" spans="2:20">
      <c r="B21" s="233" t="s">
        <v>2692</v>
      </c>
      <c r="C21" s="234" t="s">
        <v>933</v>
      </c>
      <c r="D21" s="234" t="s">
        <v>2693</v>
      </c>
      <c r="E21" s="234"/>
      <c r="F21" s="234"/>
      <c r="G21" s="234"/>
      <c r="H21" s="234"/>
      <c r="I21" s="234"/>
      <c r="J21" s="234"/>
      <c r="K21" s="234"/>
      <c r="L21" s="234"/>
      <c r="M21" s="234"/>
      <c r="N21" s="234"/>
      <c r="O21" s="234"/>
      <c r="P21" s="234"/>
      <c r="Q21" s="234"/>
      <c r="R21" s="234" t="s">
        <v>2694</v>
      </c>
      <c r="S21" s="234"/>
      <c r="T21" s="234"/>
    </row>
    <row r="22" spans="2:20">
      <c r="B22" s="231" t="s">
        <v>200</v>
      </c>
      <c r="C22" s="232" t="s">
        <v>917</v>
      </c>
      <c r="D22" s="232" t="s">
        <v>2695</v>
      </c>
      <c r="E22" s="232" t="s">
        <v>2696</v>
      </c>
      <c r="F22" s="232" t="s">
        <v>2697</v>
      </c>
      <c r="G22" s="232" t="s">
        <v>2698</v>
      </c>
      <c r="H22" s="232" t="s">
        <v>2699</v>
      </c>
      <c r="I22" s="232" t="s">
        <v>2700</v>
      </c>
      <c r="J22" s="232" t="s">
        <v>2701</v>
      </c>
      <c r="K22" s="232" t="s">
        <v>2702</v>
      </c>
      <c r="L22" s="232" t="s">
        <v>2703</v>
      </c>
      <c r="M22" s="232" t="s">
        <v>2704</v>
      </c>
      <c r="N22" s="232" t="s">
        <v>2705</v>
      </c>
      <c r="O22" s="232" t="s">
        <v>2706</v>
      </c>
      <c r="P22" s="232" t="s">
        <v>2707</v>
      </c>
      <c r="Q22" s="232" t="s">
        <v>2708</v>
      </c>
      <c r="R22" s="232" t="s">
        <v>2709</v>
      </c>
      <c r="S22" s="232" t="s">
        <v>2710</v>
      </c>
      <c r="T22" s="232" t="s">
        <v>2711</v>
      </c>
    </row>
    <row r="23" spans="2:20">
      <c r="B23" s="231" t="s">
        <v>957</v>
      </c>
      <c r="C23" s="232" t="s">
        <v>962</v>
      </c>
      <c r="D23" s="232" t="s">
        <v>2712</v>
      </c>
      <c r="E23" s="232" t="s">
        <v>2713</v>
      </c>
      <c r="F23" s="232" t="s">
        <v>2714</v>
      </c>
      <c r="G23" s="232"/>
      <c r="H23" s="232"/>
      <c r="I23" s="232" t="s">
        <v>2715</v>
      </c>
      <c r="J23" s="232" t="s">
        <v>2716</v>
      </c>
      <c r="K23" s="232"/>
      <c r="L23" s="232"/>
      <c r="M23" s="232" t="s">
        <v>2717</v>
      </c>
      <c r="N23" s="232" t="s">
        <v>2718</v>
      </c>
      <c r="O23" s="232"/>
      <c r="P23" s="232" t="s">
        <v>2719</v>
      </c>
      <c r="Q23" s="232" t="s">
        <v>2720</v>
      </c>
      <c r="R23" s="232" t="s">
        <v>2721</v>
      </c>
      <c r="S23" s="232"/>
      <c r="T23" s="232"/>
    </row>
    <row r="24" spans="2:20">
      <c r="B24" s="231" t="s">
        <v>2722</v>
      </c>
      <c r="C24" s="232" t="s">
        <v>918</v>
      </c>
      <c r="D24" s="232"/>
      <c r="E24" s="232" t="s">
        <v>2723</v>
      </c>
      <c r="F24" s="232" t="s">
        <v>2724</v>
      </c>
      <c r="G24" s="232" t="s">
        <v>2725</v>
      </c>
      <c r="H24" s="232" t="s">
        <v>2726</v>
      </c>
      <c r="I24" s="232" t="s">
        <v>2727</v>
      </c>
      <c r="J24" s="232" t="s">
        <v>2728</v>
      </c>
      <c r="K24" s="232" t="s">
        <v>2729</v>
      </c>
      <c r="L24" s="232" t="s">
        <v>2730</v>
      </c>
      <c r="M24" s="232" t="s">
        <v>2731</v>
      </c>
      <c r="N24" s="232" t="s">
        <v>2732</v>
      </c>
      <c r="O24" s="232"/>
      <c r="P24" s="232" t="s">
        <v>2733</v>
      </c>
      <c r="Q24" s="232" t="s">
        <v>2734</v>
      </c>
      <c r="R24" s="232" t="s">
        <v>2735</v>
      </c>
      <c r="S24" s="232"/>
      <c r="T24" s="232"/>
    </row>
    <row r="25" spans="2:20">
      <c r="B25" s="231" t="s">
        <v>148</v>
      </c>
      <c r="C25" s="232" t="s">
        <v>722</v>
      </c>
      <c r="D25" s="232" t="s">
        <v>2736</v>
      </c>
      <c r="E25" s="232"/>
      <c r="F25" s="232"/>
      <c r="G25" s="232"/>
      <c r="H25" s="232"/>
      <c r="I25" s="232" t="s">
        <v>2737</v>
      </c>
      <c r="J25" s="232" t="s">
        <v>2738</v>
      </c>
      <c r="K25" s="232"/>
      <c r="L25" s="232" t="s">
        <v>2739</v>
      </c>
      <c r="M25" s="232" t="s">
        <v>2740</v>
      </c>
      <c r="N25" s="232" t="s">
        <v>2741</v>
      </c>
      <c r="O25" s="232" t="s">
        <v>2742</v>
      </c>
      <c r="P25" s="232" t="s">
        <v>2743</v>
      </c>
      <c r="Q25" s="232" t="s">
        <v>2744</v>
      </c>
      <c r="R25" s="232" t="s">
        <v>2745</v>
      </c>
      <c r="S25" s="232" t="s">
        <v>2746</v>
      </c>
      <c r="T25" s="232"/>
    </row>
    <row r="26" spans="2:20">
      <c r="B26" s="231" t="s">
        <v>224</v>
      </c>
      <c r="C26" s="232" t="s">
        <v>832</v>
      </c>
      <c r="D26" s="232" t="s">
        <v>2747</v>
      </c>
      <c r="E26" s="232" t="s">
        <v>2748</v>
      </c>
      <c r="F26" s="232" t="s">
        <v>2749</v>
      </c>
      <c r="G26" s="232" t="s">
        <v>2750</v>
      </c>
      <c r="H26" s="232"/>
      <c r="I26" s="232" t="s">
        <v>2751</v>
      </c>
      <c r="J26" s="232" t="s">
        <v>2752</v>
      </c>
      <c r="K26" s="232"/>
      <c r="L26" s="232" t="s">
        <v>2753</v>
      </c>
      <c r="M26" s="232" t="s">
        <v>2754</v>
      </c>
      <c r="N26" s="232" t="s">
        <v>2755</v>
      </c>
      <c r="O26" s="232" t="s">
        <v>2756</v>
      </c>
      <c r="P26" s="232" t="s">
        <v>2757</v>
      </c>
      <c r="Q26" s="232" t="s">
        <v>2758</v>
      </c>
      <c r="R26" s="232" t="s">
        <v>2759</v>
      </c>
      <c r="S26" s="232" t="s">
        <v>2760</v>
      </c>
      <c r="T26" s="232"/>
    </row>
    <row r="27" spans="2:20">
      <c r="B27" s="231" t="s">
        <v>2761</v>
      </c>
      <c r="C27" s="232" t="s">
        <v>771</v>
      </c>
      <c r="D27" s="232" t="s">
        <v>2762</v>
      </c>
      <c r="E27" s="232" t="s">
        <v>2763</v>
      </c>
      <c r="F27" s="232" t="s">
        <v>2764</v>
      </c>
      <c r="G27" s="232" t="s">
        <v>2765</v>
      </c>
      <c r="H27" s="232"/>
      <c r="I27" s="232" t="s">
        <v>2766</v>
      </c>
      <c r="J27" s="232" t="s">
        <v>2767</v>
      </c>
      <c r="K27" s="232"/>
      <c r="L27" s="232" t="s">
        <v>2768</v>
      </c>
      <c r="M27" s="232" t="s">
        <v>2769</v>
      </c>
      <c r="N27" s="232" t="s">
        <v>2770</v>
      </c>
      <c r="O27" s="232"/>
      <c r="P27" s="232" t="s">
        <v>2771</v>
      </c>
      <c r="Q27" s="232" t="s">
        <v>2772</v>
      </c>
      <c r="R27" s="232" t="s">
        <v>2773</v>
      </c>
      <c r="S27" s="232" t="s">
        <v>2774</v>
      </c>
      <c r="T27" s="232"/>
    </row>
    <row r="28" spans="2:20">
      <c r="B28" s="231" t="s">
        <v>721</v>
      </c>
      <c r="C28" s="232" t="s">
        <v>723</v>
      </c>
      <c r="D28" s="232" t="s">
        <v>2775</v>
      </c>
      <c r="E28" s="232"/>
      <c r="F28" s="232"/>
      <c r="G28" s="232"/>
      <c r="H28" s="232"/>
      <c r="I28" s="232"/>
      <c r="J28" s="232"/>
      <c r="K28" s="232"/>
      <c r="L28" s="232" t="s">
        <v>2776</v>
      </c>
      <c r="M28" s="232" t="s">
        <v>2777</v>
      </c>
      <c r="N28" s="232" t="s">
        <v>2778</v>
      </c>
      <c r="O28" s="232" t="s">
        <v>2779</v>
      </c>
      <c r="P28" s="232" t="s">
        <v>2780</v>
      </c>
      <c r="Q28" s="232" t="s">
        <v>2781</v>
      </c>
      <c r="R28" s="232" t="s">
        <v>2782</v>
      </c>
      <c r="S28" s="232"/>
      <c r="T28" s="232"/>
    </row>
    <row r="29" spans="2:20">
      <c r="B29" s="231" t="s">
        <v>831</v>
      </c>
      <c r="C29" s="232" t="s">
        <v>833</v>
      </c>
      <c r="D29" s="232" t="s">
        <v>2783</v>
      </c>
      <c r="E29" s="232" t="s">
        <v>2784</v>
      </c>
      <c r="F29" s="232" t="s">
        <v>2785</v>
      </c>
      <c r="G29" s="232" t="s">
        <v>2786</v>
      </c>
      <c r="H29" s="232"/>
      <c r="I29" s="232" t="s">
        <v>2787</v>
      </c>
      <c r="J29" s="232" t="s">
        <v>2788</v>
      </c>
      <c r="K29" s="232"/>
      <c r="L29" s="232" t="s">
        <v>2789</v>
      </c>
      <c r="M29" s="232" t="s">
        <v>2790</v>
      </c>
      <c r="N29" s="232" t="s">
        <v>2791</v>
      </c>
      <c r="O29" s="232" t="s">
        <v>2792</v>
      </c>
      <c r="P29" s="232" t="s">
        <v>2793</v>
      </c>
      <c r="Q29" s="232" t="s">
        <v>2794</v>
      </c>
      <c r="R29" s="232" t="s">
        <v>2795</v>
      </c>
      <c r="S29" s="232"/>
      <c r="T29" s="232"/>
    </row>
    <row r="30" spans="2:20">
      <c r="B30" s="231" t="s">
        <v>2796</v>
      </c>
      <c r="C30" s="232" t="s">
        <v>1462</v>
      </c>
      <c r="D30" s="232" t="s">
        <v>2797</v>
      </c>
      <c r="E30" s="232" t="s">
        <v>2798</v>
      </c>
      <c r="F30" s="232" t="s">
        <v>2799</v>
      </c>
      <c r="G30" s="232" t="s">
        <v>2800</v>
      </c>
      <c r="H30" s="232"/>
      <c r="I30" s="232" t="s">
        <v>2801</v>
      </c>
      <c r="J30" s="232" t="s">
        <v>2802</v>
      </c>
      <c r="K30" s="232"/>
      <c r="L30" s="232" t="s">
        <v>2803</v>
      </c>
      <c r="M30" s="232" t="s">
        <v>2804</v>
      </c>
      <c r="N30" s="232" t="s">
        <v>2805</v>
      </c>
      <c r="O30" s="232" t="s">
        <v>2806</v>
      </c>
      <c r="P30" s="232" t="s">
        <v>2807</v>
      </c>
      <c r="Q30" s="232" t="s">
        <v>2808</v>
      </c>
      <c r="R30" s="232" t="s">
        <v>2809</v>
      </c>
      <c r="S30" s="232" t="s">
        <v>2810</v>
      </c>
      <c r="T30" s="232"/>
    </row>
    <row r="31" spans="2:20">
      <c r="B31" s="231" t="s">
        <v>2811</v>
      </c>
      <c r="C31" s="232" t="s">
        <v>878</v>
      </c>
      <c r="D31" s="232" t="s">
        <v>2812</v>
      </c>
      <c r="E31" s="232"/>
      <c r="F31" s="232"/>
      <c r="G31" s="232"/>
      <c r="H31" s="232" t="s">
        <v>2813</v>
      </c>
      <c r="I31" s="232" t="s">
        <v>2814</v>
      </c>
      <c r="J31" s="232"/>
      <c r="K31" s="232" t="s">
        <v>2815</v>
      </c>
      <c r="L31" s="232" t="s">
        <v>2816</v>
      </c>
      <c r="M31" s="232" t="s">
        <v>2817</v>
      </c>
      <c r="N31" s="232" t="s">
        <v>2818</v>
      </c>
      <c r="O31" s="232" t="s">
        <v>2819</v>
      </c>
      <c r="P31" s="232" t="s">
        <v>2820</v>
      </c>
      <c r="Q31" s="232" t="s">
        <v>2821</v>
      </c>
      <c r="R31" s="232" t="s">
        <v>2822</v>
      </c>
      <c r="S31" s="232" t="s">
        <v>2823</v>
      </c>
      <c r="T31" s="232" t="s">
        <v>2824</v>
      </c>
    </row>
    <row r="32" spans="2:20">
      <c r="B32" s="231" t="s">
        <v>2825</v>
      </c>
      <c r="C32" s="232" t="s">
        <v>984</v>
      </c>
      <c r="D32" s="232" t="s">
        <v>2826</v>
      </c>
      <c r="E32" s="232" t="s">
        <v>2827</v>
      </c>
      <c r="F32" s="232" t="s">
        <v>2828</v>
      </c>
      <c r="G32" s="232"/>
      <c r="H32" s="232"/>
      <c r="I32" s="232" t="s">
        <v>2829</v>
      </c>
      <c r="J32" s="232" t="s">
        <v>2830</v>
      </c>
      <c r="K32" s="232"/>
      <c r="L32" s="232"/>
      <c r="M32" s="232" t="s">
        <v>2831</v>
      </c>
      <c r="N32" s="232" t="s">
        <v>2832</v>
      </c>
      <c r="O32" s="232"/>
      <c r="P32" s="232" t="s">
        <v>2833</v>
      </c>
      <c r="Q32" s="232" t="s">
        <v>2834</v>
      </c>
      <c r="R32" s="232" t="s">
        <v>2835</v>
      </c>
      <c r="S32" s="232"/>
      <c r="T32" s="232"/>
    </row>
    <row r="33" spans="2:20">
      <c r="B33" s="231" t="s">
        <v>2836</v>
      </c>
      <c r="C33" s="232" t="s">
        <v>879</v>
      </c>
      <c r="D33" s="232" t="s">
        <v>2837</v>
      </c>
      <c r="E33" s="232" t="s">
        <v>2838</v>
      </c>
      <c r="F33" s="232" t="s">
        <v>2839</v>
      </c>
      <c r="G33" s="232"/>
      <c r="H33" s="232"/>
      <c r="I33" s="232" t="s">
        <v>2840</v>
      </c>
      <c r="J33" s="232" t="s">
        <v>2841</v>
      </c>
      <c r="K33" s="232"/>
      <c r="L33" s="232" t="s">
        <v>2842</v>
      </c>
      <c r="M33" s="232" t="s">
        <v>2843</v>
      </c>
      <c r="N33" s="232" t="s">
        <v>2844</v>
      </c>
      <c r="O33" s="232" t="s">
        <v>2845</v>
      </c>
      <c r="P33" s="232" t="s">
        <v>2846</v>
      </c>
      <c r="Q33" s="232" t="s">
        <v>2847</v>
      </c>
      <c r="R33" s="232" t="s">
        <v>2848</v>
      </c>
      <c r="S33" s="232" t="s">
        <v>2849</v>
      </c>
      <c r="T33" s="232"/>
    </row>
    <row r="34" spans="2:20">
      <c r="B34" s="231" t="s">
        <v>2850</v>
      </c>
      <c r="C34" s="232" t="s">
        <v>985</v>
      </c>
      <c r="D34" s="232" t="s">
        <v>2851</v>
      </c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2" t="s">
        <v>2852</v>
      </c>
      <c r="Q34" s="232"/>
      <c r="R34" s="232"/>
      <c r="S34" s="232"/>
      <c r="T34" s="232"/>
    </row>
    <row r="35" spans="2:20">
      <c r="B35" s="231" t="s">
        <v>2853</v>
      </c>
      <c r="C35" s="232" t="s">
        <v>861</v>
      </c>
      <c r="D35" s="232" t="s">
        <v>2854</v>
      </c>
      <c r="E35" s="232"/>
      <c r="F35" s="232"/>
      <c r="G35" s="232"/>
      <c r="H35" s="232"/>
      <c r="I35" s="232" t="s">
        <v>2855</v>
      </c>
      <c r="J35" s="232" t="s">
        <v>2856</v>
      </c>
      <c r="K35" s="232"/>
      <c r="L35" s="232" t="s">
        <v>2857</v>
      </c>
      <c r="M35" s="232" t="s">
        <v>2858</v>
      </c>
      <c r="N35" s="232" t="s">
        <v>2859</v>
      </c>
      <c r="O35" s="232" t="s">
        <v>2860</v>
      </c>
      <c r="P35" s="232" t="s">
        <v>2861</v>
      </c>
      <c r="Q35" s="232" t="s">
        <v>2862</v>
      </c>
      <c r="R35" s="232" t="s">
        <v>2863</v>
      </c>
      <c r="S35" s="232" t="s">
        <v>2864</v>
      </c>
      <c r="T35" s="232"/>
    </row>
    <row r="36" spans="2:20">
      <c r="B36" s="231" t="s">
        <v>2865</v>
      </c>
      <c r="C36" s="232" t="s">
        <v>715</v>
      </c>
      <c r="D36" s="232" t="s">
        <v>2866</v>
      </c>
      <c r="E36" s="232" t="s">
        <v>2867</v>
      </c>
      <c r="F36" s="232" t="s">
        <v>2868</v>
      </c>
      <c r="G36" s="232" t="s">
        <v>2869</v>
      </c>
      <c r="H36" s="232"/>
      <c r="I36" s="232" t="s">
        <v>2870</v>
      </c>
      <c r="J36" s="232" t="s">
        <v>2871</v>
      </c>
      <c r="K36" s="232"/>
      <c r="L36" s="232" t="s">
        <v>2872</v>
      </c>
      <c r="M36" s="232" t="s">
        <v>2873</v>
      </c>
      <c r="N36" s="232" t="s">
        <v>2874</v>
      </c>
      <c r="O36" s="232" t="s">
        <v>2875</v>
      </c>
      <c r="P36" s="232" t="s">
        <v>2876</v>
      </c>
      <c r="Q36" s="232" t="s">
        <v>2877</v>
      </c>
      <c r="R36" s="232" t="s">
        <v>2878</v>
      </c>
      <c r="S36" s="232" t="s">
        <v>2879</v>
      </c>
      <c r="T36" s="232"/>
    </row>
    <row r="37" spans="2:20">
      <c r="B37" s="233" t="s">
        <v>2880</v>
      </c>
      <c r="C37" s="234" t="s">
        <v>838</v>
      </c>
      <c r="D37" s="234" t="s">
        <v>2881</v>
      </c>
      <c r="E37" s="234" t="s">
        <v>2882</v>
      </c>
      <c r="F37" s="234" t="s">
        <v>2883</v>
      </c>
      <c r="G37" s="234"/>
      <c r="H37" s="234"/>
      <c r="I37" s="234"/>
      <c r="J37" s="234"/>
      <c r="K37" s="234"/>
      <c r="L37" s="234" t="s">
        <v>2884</v>
      </c>
      <c r="M37" s="234" t="s">
        <v>2885</v>
      </c>
      <c r="N37" s="234" t="s">
        <v>2886</v>
      </c>
      <c r="O37" s="234" t="s">
        <v>2887</v>
      </c>
      <c r="P37" s="234" t="s">
        <v>2888</v>
      </c>
      <c r="Q37" s="234" t="s">
        <v>2889</v>
      </c>
      <c r="R37" s="234" t="s">
        <v>2890</v>
      </c>
      <c r="S37" s="234" t="s">
        <v>2891</v>
      </c>
      <c r="T37" s="234"/>
    </row>
    <row r="38" spans="2:20">
      <c r="B38" s="233" t="s">
        <v>2892</v>
      </c>
      <c r="C38" s="234" t="s">
        <v>862</v>
      </c>
      <c r="D38" s="234" t="s">
        <v>2893</v>
      </c>
      <c r="E38" s="234"/>
      <c r="F38" s="234"/>
      <c r="G38" s="234"/>
      <c r="H38" s="234"/>
      <c r="I38" s="234" t="s">
        <v>2894</v>
      </c>
      <c r="J38" s="234" t="s">
        <v>2895</v>
      </c>
      <c r="K38" s="234"/>
      <c r="L38" s="234" t="s">
        <v>2896</v>
      </c>
      <c r="M38" s="234" t="s">
        <v>2897</v>
      </c>
      <c r="N38" s="234" t="s">
        <v>2898</v>
      </c>
      <c r="O38" s="234" t="s">
        <v>2899</v>
      </c>
      <c r="P38" s="234" t="s">
        <v>2900</v>
      </c>
      <c r="Q38" s="234" t="s">
        <v>2901</v>
      </c>
      <c r="R38" s="234" t="s">
        <v>2902</v>
      </c>
      <c r="S38" s="234" t="s">
        <v>2903</v>
      </c>
      <c r="T38" s="234"/>
    </row>
    <row r="39" spans="2:20">
      <c r="B39" s="233" t="s">
        <v>2904</v>
      </c>
      <c r="C39" s="234" t="s">
        <v>716</v>
      </c>
      <c r="D39" s="234" t="s">
        <v>2905</v>
      </c>
      <c r="E39" s="234" t="s">
        <v>2906</v>
      </c>
      <c r="F39" s="234" t="s">
        <v>2907</v>
      </c>
      <c r="G39" s="234" t="s">
        <v>2908</v>
      </c>
      <c r="H39" s="234"/>
      <c r="I39" s="234" t="s">
        <v>2909</v>
      </c>
      <c r="J39" s="234" t="s">
        <v>2910</v>
      </c>
      <c r="K39" s="234"/>
      <c r="L39" s="234" t="s">
        <v>2911</v>
      </c>
      <c r="M39" s="234" t="s">
        <v>2912</v>
      </c>
      <c r="N39" s="234" t="s">
        <v>2913</v>
      </c>
      <c r="O39" s="234" t="s">
        <v>2914</v>
      </c>
      <c r="P39" s="234" t="s">
        <v>2915</v>
      </c>
      <c r="Q39" s="234" t="s">
        <v>2916</v>
      </c>
      <c r="R39" s="234" t="s">
        <v>2917</v>
      </c>
      <c r="S39" s="234" t="s">
        <v>2918</v>
      </c>
      <c r="T39" s="234"/>
    </row>
    <row r="40" spans="2:20">
      <c r="B40" s="233" t="s">
        <v>2919</v>
      </c>
      <c r="C40" s="234" t="s">
        <v>839</v>
      </c>
      <c r="D40" s="234"/>
      <c r="E40" s="234" t="s">
        <v>2920</v>
      </c>
      <c r="F40" s="234" t="s">
        <v>2921</v>
      </c>
      <c r="G40" s="234"/>
      <c r="H40" s="234"/>
      <c r="I40" s="234" t="s">
        <v>2922</v>
      </c>
      <c r="J40" s="234"/>
      <c r="K40" s="234"/>
      <c r="L40" s="234"/>
      <c r="M40" s="234"/>
      <c r="N40" s="234" t="s">
        <v>2923</v>
      </c>
      <c r="O40" s="234"/>
      <c r="P40" s="234" t="s">
        <v>2924</v>
      </c>
      <c r="Q40" s="234"/>
      <c r="R40" s="234" t="s">
        <v>2925</v>
      </c>
      <c r="S40" s="234"/>
      <c r="T40" s="234"/>
    </row>
    <row r="41" spans="2:20">
      <c r="B41" s="233" t="s">
        <v>2926</v>
      </c>
      <c r="C41" s="234" t="s">
        <v>795</v>
      </c>
      <c r="D41" s="234" t="s">
        <v>2927</v>
      </c>
      <c r="E41" s="234" t="s">
        <v>2928</v>
      </c>
      <c r="F41" s="234" t="s">
        <v>2929</v>
      </c>
      <c r="G41" s="234" t="s">
        <v>2930</v>
      </c>
      <c r="H41" s="234" t="s">
        <v>2931</v>
      </c>
      <c r="I41" s="234" t="s">
        <v>2932</v>
      </c>
      <c r="J41" s="234" t="s">
        <v>2933</v>
      </c>
      <c r="K41" s="234" t="s">
        <v>2934</v>
      </c>
      <c r="L41" s="234" t="s">
        <v>2935</v>
      </c>
      <c r="M41" s="234" t="s">
        <v>2936</v>
      </c>
      <c r="N41" s="234" t="s">
        <v>2937</v>
      </c>
      <c r="O41" s="234" t="s">
        <v>2938</v>
      </c>
      <c r="P41" s="234" t="s">
        <v>2939</v>
      </c>
      <c r="Q41" s="234" t="s">
        <v>2940</v>
      </c>
      <c r="R41" s="234" t="s">
        <v>2941</v>
      </c>
      <c r="S41" s="234" t="s">
        <v>2942</v>
      </c>
      <c r="T41" s="234" t="s">
        <v>2943</v>
      </c>
    </row>
    <row r="42" spans="2:20">
      <c r="B42" s="233" t="s">
        <v>2944</v>
      </c>
      <c r="C42" s="234" t="s">
        <v>1080</v>
      </c>
      <c r="D42" s="234"/>
      <c r="E42" s="234"/>
      <c r="F42" s="234"/>
      <c r="G42" s="234"/>
      <c r="H42" s="234"/>
      <c r="I42" s="234"/>
      <c r="J42" s="234"/>
      <c r="K42" s="234"/>
      <c r="L42" s="234"/>
      <c r="M42" s="234"/>
      <c r="N42" s="234"/>
      <c r="O42" s="234"/>
      <c r="P42" s="234"/>
      <c r="Q42" s="234"/>
      <c r="R42" s="234"/>
      <c r="S42" s="234"/>
      <c r="T42" s="234"/>
    </row>
    <row r="43" spans="2:20">
      <c r="B43" s="233" t="s">
        <v>2945</v>
      </c>
      <c r="C43" s="234" t="s">
        <v>796</v>
      </c>
      <c r="D43" s="234" t="s">
        <v>2946</v>
      </c>
      <c r="E43" s="234"/>
      <c r="F43" s="234"/>
      <c r="G43" s="234"/>
      <c r="H43" s="234"/>
      <c r="I43" s="234"/>
      <c r="J43" s="234"/>
      <c r="K43" s="234"/>
      <c r="L43" s="234"/>
      <c r="M43" s="234"/>
      <c r="N43" s="234"/>
      <c r="O43" s="234"/>
      <c r="P43" s="234"/>
      <c r="Q43" s="234"/>
      <c r="R43" s="234" t="s">
        <v>2947</v>
      </c>
      <c r="S43" s="234"/>
      <c r="T43" s="234" t="s">
        <v>2948</v>
      </c>
    </row>
    <row r="44" spans="2:20">
      <c r="B44" s="233" t="s">
        <v>2949</v>
      </c>
      <c r="C44" s="234" t="s">
        <v>951</v>
      </c>
      <c r="D44" s="234" t="s">
        <v>2950</v>
      </c>
      <c r="E44" s="234" t="s">
        <v>2951</v>
      </c>
      <c r="F44" s="234" t="s">
        <v>2952</v>
      </c>
      <c r="G44" s="234" t="s">
        <v>2953</v>
      </c>
      <c r="H44" s="234"/>
      <c r="I44" s="234" t="s">
        <v>2954</v>
      </c>
      <c r="J44" s="234" t="s">
        <v>2955</v>
      </c>
      <c r="K44" s="234"/>
      <c r="L44" s="234" t="s">
        <v>2956</v>
      </c>
      <c r="M44" s="234" t="s">
        <v>2957</v>
      </c>
      <c r="N44" s="234" t="s">
        <v>2958</v>
      </c>
      <c r="O44" s="234" t="s">
        <v>2959</v>
      </c>
      <c r="P44" s="234" t="s">
        <v>2960</v>
      </c>
      <c r="Q44" s="234" t="s">
        <v>2961</v>
      </c>
      <c r="R44" s="234" t="s">
        <v>2962</v>
      </c>
      <c r="S44" s="234" t="s">
        <v>2963</v>
      </c>
      <c r="T44" s="234"/>
    </row>
    <row r="45" spans="2:20">
      <c r="B45" s="233" t="s">
        <v>2964</v>
      </c>
      <c r="C45" s="234" t="s">
        <v>973</v>
      </c>
      <c r="D45" s="234" t="s">
        <v>2965</v>
      </c>
      <c r="E45" s="234"/>
      <c r="F45" s="234"/>
      <c r="G45" s="234"/>
      <c r="H45" s="234"/>
      <c r="I45" s="234" t="s">
        <v>2966</v>
      </c>
      <c r="J45" s="234"/>
      <c r="K45" s="234"/>
      <c r="L45" s="234"/>
      <c r="M45" s="234" t="s">
        <v>2967</v>
      </c>
      <c r="N45" s="234" t="s">
        <v>2968</v>
      </c>
      <c r="O45" s="234"/>
      <c r="P45" s="234" t="s">
        <v>2969</v>
      </c>
      <c r="Q45" s="234" t="s">
        <v>2970</v>
      </c>
      <c r="R45" s="234" t="s">
        <v>2971</v>
      </c>
      <c r="S45" s="234"/>
      <c r="T45" s="234"/>
    </row>
    <row r="46" spans="2:20">
      <c r="B46" s="233" t="s">
        <v>2972</v>
      </c>
      <c r="C46" s="234" t="s">
        <v>952</v>
      </c>
      <c r="D46" s="234" t="s">
        <v>2973</v>
      </c>
      <c r="E46" s="234"/>
      <c r="F46" s="234"/>
      <c r="G46" s="234"/>
      <c r="H46" s="234"/>
      <c r="I46" s="234" t="s">
        <v>2974</v>
      </c>
      <c r="J46" s="234"/>
      <c r="K46" s="234"/>
      <c r="L46" s="234" t="s">
        <v>2975</v>
      </c>
      <c r="M46" s="234" t="s">
        <v>2976</v>
      </c>
      <c r="N46" s="234" t="s">
        <v>2977</v>
      </c>
      <c r="O46" s="234"/>
      <c r="P46" s="234" t="s">
        <v>2978</v>
      </c>
      <c r="Q46" s="234" t="s">
        <v>2979</v>
      </c>
      <c r="R46" s="234" t="s">
        <v>2980</v>
      </c>
      <c r="S46" s="234" t="s">
        <v>2981</v>
      </c>
      <c r="T46" s="234"/>
    </row>
    <row r="47" spans="2:20">
      <c r="B47" s="233" t="s">
        <v>2982</v>
      </c>
      <c r="C47" s="234" t="s">
        <v>812</v>
      </c>
      <c r="D47" s="234" t="s">
        <v>2983</v>
      </c>
      <c r="E47" s="234"/>
      <c r="F47" s="234"/>
      <c r="G47" s="234"/>
      <c r="H47" s="234"/>
      <c r="I47" s="234" t="s">
        <v>2984</v>
      </c>
      <c r="J47" s="234" t="s">
        <v>2985</v>
      </c>
      <c r="K47" s="234"/>
      <c r="L47" s="234" t="s">
        <v>2986</v>
      </c>
      <c r="M47" s="234" t="s">
        <v>2987</v>
      </c>
      <c r="N47" s="234" t="s">
        <v>2988</v>
      </c>
      <c r="O47" s="234" t="s">
        <v>2989</v>
      </c>
      <c r="P47" s="234" t="s">
        <v>2990</v>
      </c>
      <c r="Q47" s="234" t="s">
        <v>2991</v>
      </c>
      <c r="R47" s="234" t="s">
        <v>2992</v>
      </c>
      <c r="S47" s="234" t="s">
        <v>2993</v>
      </c>
      <c r="T47" s="234"/>
    </row>
    <row r="48" spans="2:20">
      <c r="B48" s="233" t="s">
        <v>2994</v>
      </c>
      <c r="C48" s="234" t="s">
        <v>813</v>
      </c>
      <c r="D48" s="234" t="s">
        <v>2995</v>
      </c>
      <c r="E48" s="234"/>
      <c r="F48" s="234"/>
      <c r="G48" s="234"/>
      <c r="H48" s="234"/>
      <c r="I48" s="234" t="s">
        <v>2996</v>
      </c>
      <c r="J48" s="234" t="s">
        <v>2997</v>
      </c>
      <c r="K48" s="234"/>
      <c r="L48" s="234" t="s">
        <v>2998</v>
      </c>
      <c r="M48" s="234" t="s">
        <v>2999</v>
      </c>
      <c r="N48" s="234" t="s">
        <v>3000</v>
      </c>
      <c r="O48" s="234" t="s">
        <v>3001</v>
      </c>
      <c r="P48" s="234" t="s">
        <v>3002</v>
      </c>
      <c r="Q48" s="234" t="s">
        <v>3003</v>
      </c>
      <c r="R48" s="234" t="s">
        <v>3004</v>
      </c>
      <c r="S48" s="234" t="s">
        <v>3005</v>
      </c>
      <c r="T48" s="234"/>
    </row>
    <row r="49" spans="2:20">
      <c r="B49" s="233" t="s">
        <v>242</v>
      </c>
      <c r="C49" s="234" t="s">
        <v>923</v>
      </c>
      <c r="D49" s="234" t="s">
        <v>3006</v>
      </c>
      <c r="E49" s="234" t="s">
        <v>3007</v>
      </c>
      <c r="F49" s="234"/>
      <c r="G49" s="234" t="s">
        <v>3008</v>
      </c>
      <c r="H49" s="234"/>
      <c r="I49" s="234" t="s">
        <v>3009</v>
      </c>
      <c r="J49" s="234" t="s">
        <v>3010</v>
      </c>
      <c r="K49" s="234" t="s">
        <v>3011</v>
      </c>
      <c r="L49" s="234" t="s">
        <v>3012</v>
      </c>
      <c r="M49" s="234" t="s">
        <v>3013</v>
      </c>
      <c r="N49" s="234" t="s">
        <v>3014</v>
      </c>
      <c r="O49" s="234" t="s">
        <v>3015</v>
      </c>
      <c r="P49" s="234" t="s">
        <v>3016</v>
      </c>
      <c r="Q49" s="234" t="s">
        <v>3017</v>
      </c>
      <c r="R49" s="234" t="s">
        <v>3018</v>
      </c>
      <c r="S49" s="234" t="s">
        <v>3019</v>
      </c>
      <c r="T49" s="234" t="s">
        <v>3020</v>
      </c>
    </row>
    <row r="50" spans="2:20">
      <c r="B50" s="233" t="s">
        <v>3021</v>
      </c>
      <c r="C50" s="234" t="s">
        <v>1110</v>
      </c>
      <c r="D50" s="234" t="s">
        <v>3022</v>
      </c>
      <c r="E50" s="234"/>
      <c r="F50" s="234"/>
      <c r="G50" s="234"/>
      <c r="H50" s="234"/>
      <c r="I50" s="234" t="s">
        <v>3023</v>
      </c>
      <c r="J50" s="234"/>
      <c r="K50" s="234"/>
      <c r="L50" s="234"/>
      <c r="M50" s="234" t="s">
        <v>3024</v>
      </c>
      <c r="N50" s="234" t="s">
        <v>3025</v>
      </c>
      <c r="O50" s="234"/>
      <c r="P50" s="234" t="s">
        <v>3026</v>
      </c>
      <c r="Q50" s="234" t="s">
        <v>3027</v>
      </c>
      <c r="R50" s="234" t="s">
        <v>3028</v>
      </c>
      <c r="S50" s="234"/>
      <c r="T50" s="234"/>
    </row>
    <row r="51" spans="2:20">
      <c r="B51" s="233" t="s">
        <v>3029</v>
      </c>
      <c r="C51" s="234" t="s">
        <v>1111</v>
      </c>
      <c r="D51" s="234" t="s">
        <v>3030</v>
      </c>
      <c r="E51" s="234"/>
      <c r="F51" s="234"/>
      <c r="G51" s="234"/>
      <c r="H51" s="234"/>
      <c r="I51" s="234"/>
      <c r="J51" s="234"/>
      <c r="K51" s="234"/>
      <c r="L51" s="234"/>
      <c r="M51" s="234"/>
      <c r="N51" s="234"/>
      <c r="O51" s="234"/>
      <c r="P51" s="234"/>
      <c r="Q51" s="234"/>
      <c r="R51" s="234"/>
      <c r="S51" s="234"/>
      <c r="T51" s="234"/>
    </row>
    <row r="52" spans="2:20">
      <c r="B52" s="231" t="s">
        <v>3031</v>
      </c>
      <c r="C52" s="232" t="s">
        <v>819</v>
      </c>
      <c r="D52" s="232" t="s">
        <v>3032</v>
      </c>
      <c r="E52" s="232" t="s">
        <v>3033</v>
      </c>
      <c r="F52" s="232" t="s">
        <v>3034</v>
      </c>
      <c r="G52" s="232" t="s">
        <v>3035</v>
      </c>
      <c r="H52" s="232"/>
      <c r="I52" s="232" t="s">
        <v>3036</v>
      </c>
      <c r="J52" s="232" t="s">
        <v>3037</v>
      </c>
      <c r="K52" s="232"/>
      <c r="L52" s="232" t="s">
        <v>3038</v>
      </c>
      <c r="M52" s="232" t="s">
        <v>3039</v>
      </c>
      <c r="N52" s="232" t="s">
        <v>3040</v>
      </c>
      <c r="O52" s="232"/>
      <c r="P52" s="232" t="s">
        <v>3041</v>
      </c>
      <c r="Q52" s="232" t="s">
        <v>3042</v>
      </c>
      <c r="R52" s="232" t="s">
        <v>3043</v>
      </c>
      <c r="S52" s="232" t="s">
        <v>3044</v>
      </c>
      <c r="T52" s="232"/>
    </row>
    <row r="53" spans="2:20">
      <c r="B53" s="231" t="s">
        <v>1399</v>
      </c>
      <c r="C53" s="232" t="s">
        <v>786</v>
      </c>
      <c r="D53" s="232" t="s">
        <v>3045</v>
      </c>
      <c r="E53" s="232" t="s">
        <v>3046</v>
      </c>
      <c r="F53" s="232" t="s">
        <v>3047</v>
      </c>
      <c r="G53" s="232" t="s">
        <v>3048</v>
      </c>
      <c r="H53" s="232" t="s">
        <v>3049</v>
      </c>
      <c r="I53" s="232" t="s">
        <v>3050</v>
      </c>
      <c r="J53" s="232" t="s">
        <v>3051</v>
      </c>
      <c r="K53" s="232" t="s">
        <v>3052</v>
      </c>
      <c r="L53" s="232" t="s">
        <v>3053</v>
      </c>
      <c r="M53" s="232" t="s">
        <v>3054</v>
      </c>
      <c r="N53" s="232" t="s">
        <v>3055</v>
      </c>
      <c r="O53" s="232"/>
      <c r="P53" s="232" t="s">
        <v>3056</v>
      </c>
      <c r="Q53" s="232" t="s">
        <v>3057</v>
      </c>
      <c r="R53" s="232" t="s">
        <v>3058</v>
      </c>
      <c r="S53" s="232" t="s">
        <v>3059</v>
      </c>
      <c r="T53" s="232" t="s">
        <v>3060</v>
      </c>
    </row>
    <row r="54" spans="2:20">
      <c r="B54" s="231" t="s">
        <v>1442</v>
      </c>
      <c r="C54" s="232" t="s">
        <v>1031</v>
      </c>
      <c r="D54" s="232" t="s">
        <v>3061</v>
      </c>
      <c r="E54" s="232"/>
      <c r="F54" s="232"/>
      <c r="G54" s="232"/>
      <c r="H54" s="232"/>
      <c r="I54" s="232"/>
      <c r="J54" s="232"/>
      <c r="K54" s="232"/>
      <c r="L54" s="232"/>
      <c r="M54" s="232"/>
      <c r="N54" s="232"/>
      <c r="O54" s="232"/>
      <c r="P54" s="232"/>
      <c r="Q54" s="232" t="s">
        <v>3062</v>
      </c>
      <c r="R54" s="232"/>
      <c r="S54" s="232"/>
      <c r="T54" s="232"/>
    </row>
    <row r="55" spans="2:20">
      <c r="B55" s="231" t="s">
        <v>3063</v>
      </c>
      <c r="C55" s="232" t="s">
        <v>820</v>
      </c>
      <c r="D55" s="232" t="s">
        <v>3064</v>
      </c>
      <c r="E55" s="232" t="s">
        <v>3065</v>
      </c>
      <c r="F55" s="232" t="s">
        <v>3066</v>
      </c>
      <c r="G55" s="232" t="s">
        <v>3067</v>
      </c>
      <c r="H55" s="232"/>
      <c r="I55" s="232" t="s">
        <v>3068</v>
      </c>
      <c r="J55" s="232" t="s">
        <v>3069</v>
      </c>
      <c r="K55" s="232"/>
      <c r="L55" s="232" t="s">
        <v>3070</v>
      </c>
      <c r="M55" s="232" t="s">
        <v>3071</v>
      </c>
      <c r="N55" s="232" t="s">
        <v>3072</v>
      </c>
      <c r="O55" s="232"/>
      <c r="P55" s="232" t="s">
        <v>3073</v>
      </c>
      <c r="Q55" s="232" t="s">
        <v>3074</v>
      </c>
      <c r="R55" s="232"/>
      <c r="S55" s="232"/>
      <c r="T55" s="232"/>
    </row>
    <row r="56" spans="2:20">
      <c r="B56" s="231" t="s">
        <v>3075</v>
      </c>
      <c r="C56" s="232" t="s">
        <v>787</v>
      </c>
      <c r="D56" s="232" t="s">
        <v>3076</v>
      </c>
      <c r="E56" s="232"/>
      <c r="F56" s="232"/>
      <c r="G56" s="232"/>
      <c r="H56" s="232" t="s">
        <v>3077</v>
      </c>
      <c r="I56" s="232" t="s">
        <v>3078</v>
      </c>
      <c r="J56" s="232"/>
      <c r="K56" s="232"/>
      <c r="L56" s="232" t="s">
        <v>3079</v>
      </c>
      <c r="M56" s="232"/>
      <c r="N56" s="232"/>
      <c r="O56" s="232"/>
      <c r="P56" s="232"/>
      <c r="Q56" s="232" t="s">
        <v>3080</v>
      </c>
      <c r="R56" s="232"/>
      <c r="S56" s="232"/>
      <c r="T56" s="232"/>
    </row>
    <row r="57" spans="2:20">
      <c r="B57" s="231" t="s">
        <v>3081</v>
      </c>
      <c r="C57" s="232" t="s">
        <v>1032</v>
      </c>
      <c r="D57" s="232" t="s">
        <v>3082</v>
      </c>
      <c r="E57" s="232"/>
      <c r="F57" s="232"/>
      <c r="G57" s="232"/>
      <c r="H57" s="232"/>
      <c r="I57" s="232"/>
      <c r="J57" s="232"/>
      <c r="K57" s="232"/>
      <c r="L57" s="232"/>
      <c r="M57" s="232"/>
      <c r="N57" s="232"/>
      <c r="O57" s="232"/>
      <c r="P57" s="232"/>
      <c r="Q57" s="232"/>
      <c r="R57" s="232"/>
      <c r="S57" s="232"/>
      <c r="T57" s="232"/>
    </row>
    <row r="58" spans="2:20">
      <c r="B58" s="231" t="s">
        <v>1084</v>
      </c>
      <c r="C58" s="232" t="s">
        <v>1086</v>
      </c>
      <c r="D58" s="232"/>
      <c r="E58" s="232"/>
      <c r="F58" s="232"/>
      <c r="G58" s="232"/>
      <c r="H58" s="232"/>
      <c r="I58" s="232" t="s">
        <v>3083</v>
      </c>
      <c r="J58" s="232"/>
      <c r="K58" s="232"/>
      <c r="L58" s="232"/>
      <c r="M58" s="232"/>
      <c r="N58" s="232"/>
      <c r="O58" s="232"/>
      <c r="P58" s="232" t="s">
        <v>3084</v>
      </c>
      <c r="Q58" s="232"/>
      <c r="R58" s="232"/>
      <c r="S58" s="232"/>
      <c r="T58" s="232"/>
    </row>
    <row r="59" spans="2:20">
      <c r="B59" s="231" t="s">
        <v>755</v>
      </c>
      <c r="C59" s="232" t="s">
        <v>757</v>
      </c>
      <c r="D59" s="232" t="s">
        <v>3085</v>
      </c>
      <c r="E59" s="232" t="s">
        <v>3086</v>
      </c>
      <c r="F59" s="232" t="s">
        <v>3087</v>
      </c>
      <c r="G59" s="232" t="s">
        <v>3088</v>
      </c>
      <c r="H59" s="232"/>
      <c r="I59" s="232" t="s">
        <v>3089</v>
      </c>
      <c r="J59" s="232" t="s">
        <v>3090</v>
      </c>
      <c r="K59" s="232"/>
      <c r="L59" s="232" t="s">
        <v>3091</v>
      </c>
      <c r="M59" s="232" t="s">
        <v>3092</v>
      </c>
      <c r="N59" s="232" t="s">
        <v>3093</v>
      </c>
      <c r="O59" s="232"/>
      <c r="P59" s="232" t="s">
        <v>3094</v>
      </c>
      <c r="Q59" s="232" t="s">
        <v>3095</v>
      </c>
      <c r="R59" s="232" t="s">
        <v>3096</v>
      </c>
      <c r="S59" s="232" t="s">
        <v>3097</v>
      </c>
      <c r="T59" s="232"/>
    </row>
    <row r="60" spans="2:20">
      <c r="B60" s="231" t="s">
        <v>1085</v>
      </c>
      <c r="C60" s="232" t="s">
        <v>1087</v>
      </c>
      <c r="D60" s="232" t="s">
        <v>3098</v>
      </c>
      <c r="E60" s="232"/>
      <c r="F60" s="232"/>
      <c r="G60" s="232"/>
      <c r="H60" s="232"/>
      <c r="I60" s="232"/>
      <c r="J60" s="232"/>
      <c r="K60" s="232"/>
      <c r="L60" s="232" t="s">
        <v>3099</v>
      </c>
      <c r="M60" s="232"/>
      <c r="N60" s="232"/>
      <c r="O60" s="232"/>
      <c r="P60" s="232"/>
      <c r="Q60" s="232" t="s">
        <v>3100</v>
      </c>
      <c r="R60" s="232"/>
      <c r="S60" s="232"/>
      <c r="T60" s="232"/>
    </row>
    <row r="61" spans="2:20">
      <c r="B61" s="231" t="s">
        <v>756</v>
      </c>
      <c r="C61" s="232" t="s">
        <v>758</v>
      </c>
      <c r="D61" s="232" t="s">
        <v>3101</v>
      </c>
      <c r="E61" s="232" t="s">
        <v>3102</v>
      </c>
      <c r="F61" s="232" t="s">
        <v>3103</v>
      </c>
      <c r="G61" s="232" t="s">
        <v>3104</v>
      </c>
      <c r="H61" s="232"/>
      <c r="I61" s="232" t="s">
        <v>3105</v>
      </c>
      <c r="J61" s="232" t="s">
        <v>3106</v>
      </c>
      <c r="K61" s="232"/>
      <c r="L61" s="232" t="s">
        <v>3107</v>
      </c>
      <c r="M61" s="232" t="s">
        <v>3108</v>
      </c>
      <c r="N61" s="232" t="s">
        <v>3109</v>
      </c>
      <c r="O61" s="232"/>
      <c r="P61" s="232" t="s">
        <v>3110</v>
      </c>
      <c r="Q61" s="232" t="s">
        <v>3111</v>
      </c>
      <c r="R61" s="232" t="s">
        <v>3112</v>
      </c>
      <c r="S61" s="232" t="s">
        <v>3113</v>
      </c>
      <c r="T61" s="232"/>
    </row>
    <row r="62" spans="2:20">
      <c r="B62" s="233" t="s">
        <v>245</v>
      </c>
      <c r="C62" s="234" t="s">
        <v>904</v>
      </c>
      <c r="D62" s="234" t="s">
        <v>3114</v>
      </c>
      <c r="E62" s="234" t="s">
        <v>3115</v>
      </c>
      <c r="F62" s="234" t="s">
        <v>3116</v>
      </c>
      <c r="G62" s="234" t="s">
        <v>3117</v>
      </c>
      <c r="H62" s="234"/>
      <c r="I62" s="234" t="s">
        <v>3118</v>
      </c>
      <c r="J62" s="234" t="s">
        <v>3119</v>
      </c>
      <c r="K62" s="234"/>
      <c r="L62" s="234" t="s">
        <v>3120</v>
      </c>
      <c r="M62" s="234" t="s">
        <v>3121</v>
      </c>
      <c r="N62" s="234" t="s">
        <v>3122</v>
      </c>
      <c r="O62" s="234" t="s">
        <v>3123</v>
      </c>
      <c r="P62" s="234" t="s">
        <v>3124</v>
      </c>
      <c r="Q62" s="234" t="s">
        <v>3125</v>
      </c>
      <c r="R62" s="234" t="s">
        <v>3126</v>
      </c>
      <c r="S62" s="234" t="s">
        <v>3127</v>
      </c>
      <c r="T62" s="234"/>
    </row>
    <row r="63" spans="2:20">
      <c r="B63" s="233" t="s">
        <v>3128</v>
      </c>
      <c r="C63" s="234" t="s">
        <v>905</v>
      </c>
      <c r="D63" s="234"/>
      <c r="E63" s="234" t="s">
        <v>3129</v>
      </c>
      <c r="F63" s="234" t="s">
        <v>3130</v>
      </c>
      <c r="G63" s="234" t="s">
        <v>3131</v>
      </c>
      <c r="H63" s="234"/>
      <c r="I63" s="234" t="s">
        <v>3132</v>
      </c>
      <c r="J63" s="234" t="s">
        <v>3133</v>
      </c>
      <c r="K63" s="234"/>
      <c r="L63" s="234" t="s">
        <v>3134</v>
      </c>
      <c r="M63" s="234" t="s">
        <v>3135</v>
      </c>
      <c r="N63" s="234" t="s">
        <v>3136</v>
      </c>
      <c r="O63" s="234"/>
      <c r="P63" s="234" t="s">
        <v>3137</v>
      </c>
      <c r="Q63" s="234"/>
      <c r="R63" s="234" t="s">
        <v>3138</v>
      </c>
      <c r="S63" s="234"/>
      <c r="T63" s="234"/>
    </row>
    <row r="64" spans="2:20">
      <c r="B64" s="233" t="s">
        <v>136</v>
      </c>
      <c r="C64" s="234" t="s">
        <v>708</v>
      </c>
      <c r="D64" s="234" t="s">
        <v>3139</v>
      </c>
      <c r="E64" s="234" t="s">
        <v>3140</v>
      </c>
      <c r="F64" s="234" t="s">
        <v>3141</v>
      </c>
      <c r="G64" s="234" t="s">
        <v>3142</v>
      </c>
      <c r="H64" s="234"/>
      <c r="I64" s="234" t="s">
        <v>3143</v>
      </c>
      <c r="J64" s="234" t="s">
        <v>3144</v>
      </c>
      <c r="K64" s="234"/>
      <c r="L64" s="234" t="s">
        <v>3145</v>
      </c>
      <c r="M64" s="234" t="s">
        <v>3146</v>
      </c>
      <c r="N64" s="234" t="s">
        <v>3147</v>
      </c>
      <c r="O64" s="234" t="s">
        <v>3148</v>
      </c>
      <c r="P64" s="234" t="s">
        <v>3149</v>
      </c>
      <c r="Q64" s="234" t="s">
        <v>3150</v>
      </c>
      <c r="R64" s="234" t="s">
        <v>3151</v>
      </c>
      <c r="S64" s="234" t="s">
        <v>3152</v>
      </c>
      <c r="T64" s="234"/>
    </row>
    <row r="65" spans="2:20">
      <c r="B65" s="233" t="s">
        <v>707</v>
      </c>
      <c r="C65" s="234" t="s">
        <v>709</v>
      </c>
      <c r="D65" s="234" t="s">
        <v>3153</v>
      </c>
      <c r="E65" s="234" t="s">
        <v>3154</v>
      </c>
      <c r="F65" s="234" t="s">
        <v>3155</v>
      </c>
      <c r="G65" s="234" t="s">
        <v>3156</v>
      </c>
      <c r="H65" s="234"/>
      <c r="I65" s="234" t="s">
        <v>3157</v>
      </c>
      <c r="J65" s="234" t="s">
        <v>3158</v>
      </c>
      <c r="K65" s="234"/>
      <c r="L65" s="234" t="s">
        <v>3159</v>
      </c>
      <c r="M65" s="234" t="s">
        <v>3160</v>
      </c>
      <c r="N65" s="234" t="s">
        <v>3161</v>
      </c>
      <c r="O65" s="234"/>
      <c r="P65" s="234" t="s">
        <v>3162</v>
      </c>
      <c r="Q65" s="234" t="s">
        <v>3163</v>
      </c>
      <c r="R65" s="234" t="s">
        <v>3164</v>
      </c>
      <c r="S65" s="234"/>
      <c r="T65" s="234"/>
    </row>
    <row r="66" spans="2:20">
      <c r="B66" s="233" t="s">
        <v>230</v>
      </c>
      <c r="C66" s="234" t="s">
        <v>848</v>
      </c>
      <c r="D66" s="234" t="s">
        <v>3165</v>
      </c>
      <c r="E66" s="234" t="s">
        <v>3166</v>
      </c>
      <c r="F66" s="234" t="s">
        <v>3167</v>
      </c>
      <c r="G66" s="234" t="s">
        <v>3168</v>
      </c>
      <c r="H66" s="234" t="s">
        <v>3169</v>
      </c>
      <c r="I66" s="234" t="s">
        <v>3170</v>
      </c>
      <c r="J66" s="234" t="s">
        <v>3171</v>
      </c>
      <c r="K66" s="234" t="s">
        <v>3172</v>
      </c>
      <c r="L66" s="234" t="s">
        <v>3173</v>
      </c>
      <c r="M66" s="234" t="s">
        <v>3174</v>
      </c>
      <c r="N66" s="234" t="s">
        <v>3175</v>
      </c>
      <c r="O66" s="234" t="s">
        <v>3176</v>
      </c>
      <c r="P66" s="234" t="s">
        <v>3177</v>
      </c>
      <c r="Q66" s="234" t="s">
        <v>3178</v>
      </c>
      <c r="R66" s="234" t="s">
        <v>3179</v>
      </c>
      <c r="S66" s="234" t="s">
        <v>3180</v>
      </c>
      <c r="T66" s="234"/>
    </row>
    <row r="67" spans="2:20">
      <c r="B67" s="233" t="s">
        <v>3181</v>
      </c>
      <c r="C67" s="234" t="s">
        <v>995</v>
      </c>
      <c r="D67" s="234" t="s">
        <v>3182</v>
      </c>
      <c r="E67" s="234" t="s">
        <v>3183</v>
      </c>
      <c r="F67" s="234" t="s">
        <v>3184</v>
      </c>
      <c r="G67" s="234"/>
      <c r="H67" s="234"/>
      <c r="I67" s="234" t="s">
        <v>3185</v>
      </c>
      <c r="J67" s="234" t="s">
        <v>3186</v>
      </c>
      <c r="K67" s="234"/>
      <c r="L67" s="234"/>
      <c r="M67" s="234" t="s">
        <v>3187</v>
      </c>
      <c r="N67" s="234" t="s">
        <v>3188</v>
      </c>
      <c r="O67" s="234"/>
      <c r="P67" s="234" t="s">
        <v>3189</v>
      </c>
      <c r="Q67" s="234" t="s">
        <v>3190</v>
      </c>
      <c r="R67" s="234" t="s">
        <v>3191</v>
      </c>
      <c r="S67" s="234"/>
      <c r="T67" s="234"/>
    </row>
    <row r="68" spans="2:20">
      <c r="B68" s="233" t="s">
        <v>3192</v>
      </c>
      <c r="C68" s="234" t="s">
        <v>849</v>
      </c>
      <c r="D68" s="234" t="s">
        <v>3193</v>
      </c>
      <c r="E68" s="234" t="s">
        <v>3194</v>
      </c>
      <c r="F68" s="234" t="s">
        <v>3195</v>
      </c>
      <c r="G68" s="234" t="s">
        <v>3196</v>
      </c>
      <c r="H68" s="234"/>
      <c r="I68" s="234" t="s">
        <v>3197</v>
      </c>
      <c r="J68" s="234" t="s">
        <v>3198</v>
      </c>
      <c r="K68" s="234"/>
      <c r="L68" s="234" t="s">
        <v>3199</v>
      </c>
      <c r="M68" s="234" t="s">
        <v>3200</v>
      </c>
      <c r="N68" s="234" t="s">
        <v>3201</v>
      </c>
      <c r="O68" s="234" t="s">
        <v>3202</v>
      </c>
      <c r="P68" s="234" t="s">
        <v>3203</v>
      </c>
      <c r="Q68" s="234" t="s">
        <v>3204</v>
      </c>
      <c r="R68" s="234" t="s">
        <v>3205</v>
      </c>
      <c r="S68" s="234"/>
      <c r="T68" s="234"/>
    </row>
    <row r="69" spans="2:20">
      <c r="B69" s="233" t="s">
        <v>187</v>
      </c>
      <c r="C69" s="234" t="s">
        <v>776</v>
      </c>
      <c r="D69" s="234" t="s">
        <v>3206</v>
      </c>
      <c r="E69" s="234" t="s">
        <v>3207</v>
      </c>
      <c r="F69" s="234" t="s">
        <v>3208</v>
      </c>
      <c r="G69" s="234" t="s">
        <v>3209</v>
      </c>
      <c r="H69" s="234"/>
      <c r="I69" s="234" t="s">
        <v>3210</v>
      </c>
      <c r="J69" s="234" t="s">
        <v>3211</v>
      </c>
      <c r="K69" s="234"/>
      <c r="L69" s="234" t="s">
        <v>3212</v>
      </c>
      <c r="M69" s="234" t="s">
        <v>3213</v>
      </c>
      <c r="N69" s="234" t="s">
        <v>3214</v>
      </c>
      <c r="O69" s="234"/>
      <c r="P69" s="234" t="s">
        <v>3215</v>
      </c>
      <c r="Q69" s="234" t="s">
        <v>3216</v>
      </c>
      <c r="R69" s="234" t="s">
        <v>3217</v>
      </c>
      <c r="S69" s="234" t="s">
        <v>3218</v>
      </c>
      <c r="T69" s="234"/>
    </row>
    <row r="70" spans="2:20">
      <c r="B70" s="233" t="s">
        <v>1043</v>
      </c>
      <c r="C70" s="234" t="s">
        <v>1046</v>
      </c>
      <c r="D70" s="234" t="s">
        <v>3219</v>
      </c>
      <c r="E70" s="234"/>
      <c r="F70" s="234"/>
      <c r="G70" s="234"/>
      <c r="H70" s="234"/>
      <c r="I70" s="234"/>
      <c r="J70" s="234"/>
      <c r="K70" s="234"/>
      <c r="L70" s="234"/>
      <c r="M70" s="234"/>
      <c r="N70" s="234" t="s">
        <v>3220</v>
      </c>
      <c r="O70" s="234"/>
      <c r="P70" s="234"/>
      <c r="Q70" s="234"/>
      <c r="R70" s="234"/>
      <c r="S70" s="234"/>
      <c r="T70" s="234"/>
    </row>
    <row r="71" spans="2:20">
      <c r="B71" s="233" t="s">
        <v>775</v>
      </c>
      <c r="C71" s="234" t="s">
        <v>777</v>
      </c>
      <c r="D71" s="234" t="s">
        <v>3221</v>
      </c>
      <c r="E71" s="234" t="s">
        <v>3222</v>
      </c>
      <c r="F71" s="234" t="s">
        <v>3223</v>
      </c>
      <c r="G71" s="234" t="s">
        <v>3224</v>
      </c>
      <c r="H71" s="234"/>
      <c r="I71" s="234" t="s">
        <v>3225</v>
      </c>
      <c r="J71" s="234" t="s">
        <v>3226</v>
      </c>
      <c r="K71" s="234"/>
      <c r="L71" s="234" t="s">
        <v>3227</v>
      </c>
      <c r="M71" s="234" t="s">
        <v>3228</v>
      </c>
      <c r="N71" s="234"/>
      <c r="O71" s="234"/>
      <c r="P71" s="234" t="s">
        <v>3229</v>
      </c>
      <c r="Q71" s="234" t="s">
        <v>3230</v>
      </c>
      <c r="R71" s="234" t="s">
        <v>3231</v>
      </c>
      <c r="S71" s="234" t="s">
        <v>3232</v>
      </c>
      <c r="T71" s="234"/>
    </row>
    <row r="72" spans="2:20">
      <c r="B72" s="233" t="s">
        <v>175</v>
      </c>
      <c r="C72" s="234" t="s">
        <v>763</v>
      </c>
      <c r="D72" s="234" t="s">
        <v>3233</v>
      </c>
      <c r="E72" s="234"/>
      <c r="F72" s="234"/>
      <c r="G72" s="234"/>
      <c r="H72" s="234"/>
      <c r="I72" s="234"/>
      <c r="J72" s="234"/>
      <c r="K72" s="234"/>
      <c r="L72" s="234"/>
      <c r="M72" s="234"/>
      <c r="N72" s="234"/>
      <c r="O72" s="234"/>
      <c r="P72" s="234" t="s">
        <v>3234</v>
      </c>
      <c r="Q72" s="234" t="s">
        <v>3235</v>
      </c>
      <c r="R72" s="234" t="s">
        <v>3236</v>
      </c>
      <c r="S72" s="234"/>
      <c r="T72" s="234"/>
    </row>
    <row r="73" spans="2:20">
      <c r="B73" s="233" t="s">
        <v>3237</v>
      </c>
      <c r="C73" s="234" t="s">
        <v>1056</v>
      </c>
      <c r="D73" s="234" t="s">
        <v>3238</v>
      </c>
      <c r="E73" s="234"/>
      <c r="F73" s="234"/>
      <c r="G73" s="234"/>
      <c r="H73" s="234"/>
      <c r="I73" s="234"/>
      <c r="J73" s="234"/>
      <c r="K73" s="234"/>
      <c r="L73" s="234"/>
      <c r="M73" s="234" t="s">
        <v>3239</v>
      </c>
      <c r="N73" s="234"/>
      <c r="O73" s="234"/>
      <c r="P73" s="234" t="s">
        <v>3240</v>
      </c>
      <c r="Q73" s="234" t="s">
        <v>3241</v>
      </c>
      <c r="R73" s="234"/>
      <c r="S73" s="234"/>
      <c r="T73" s="234"/>
    </row>
    <row r="74" spans="2:20">
      <c r="B74" s="233" t="s">
        <v>3242</v>
      </c>
      <c r="C74" s="234" t="s">
        <v>764</v>
      </c>
      <c r="D74" s="234"/>
      <c r="E74" s="234"/>
      <c r="F74" s="234"/>
      <c r="G74" s="234" t="s">
        <v>3243</v>
      </c>
      <c r="H74" s="234"/>
      <c r="I74" s="234"/>
      <c r="J74" s="234"/>
      <c r="K74" s="234"/>
      <c r="L74" s="234" t="s">
        <v>3244</v>
      </c>
      <c r="M74" s="234"/>
      <c r="N74" s="234" t="s">
        <v>3245</v>
      </c>
      <c r="O74" s="234"/>
      <c r="P74" s="234"/>
      <c r="Q74" s="234" t="s">
        <v>3246</v>
      </c>
      <c r="R74" s="234"/>
      <c r="S74" s="234"/>
      <c r="T74" s="234"/>
    </row>
    <row r="75" spans="2:20">
      <c r="B75" s="233" t="s">
        <v>3247</v>
      </c>
      <c r="C75" s="234" t="s">
        <v>1057</v>
      </c>
      <c r="D75" s="234"/>
      <c r="E75" s="234"/>
      <c r="F75" s="234"/>
      <c r="G75" s="234"/>
      <c r="H75" s="234"/>
      <c r="I75" s="234"/>
      <c r="J75" s="234"/>
      <c r="K75" s="234"/>
      <c r="L75" s="234"/>
      <c r="M75" s="234"/>
      <c r="N75" s="234"/>
      <c r="O75" s="234"/>
      <c r="P75" s="234"/>
      <c r="Q75" s="234" t="s">
        <v>3248</v>
      </c>
      <c r="R75" s="234"/>
      <c r="S75" s="234"/>
      <c r="T75" s="234"/>
    </row>
    <row r="76" spans="2:20">
      <c r="B76" s="233" t="s">
        <v>239</v>
      </c>
      <c r="C76" s="234" t="s">
        <v>1470</v>
      </c>
      <c r="D76" s="234" t="s">
        <v>3249</v>
      </c>
      <c r="E76" s="234" t="s">
        <v>3250</v>
      </c>
      <c r="F76" s="234" t="s">
        <v>3251</v>
      </c>
      <c r="G76" s="234" t="s">
        <v>3252</v>
      </c>
      <c r="H76" s="234" t="s">
        <v>3253</v>
      </c>
      <c r="I76" s="234" t="s">
        <v>3254</v>
      </c>
      <c r="J76" s="234" t="s">
        <v>3255</v>
      </c>
      <c r="K76" s="234"/>
      <c r="L76" s="234" t="s">
        <v>3256</v>
      </c>
      <c r="M76" s="234" t="s">
        <v>3257</v>
      </c>
      <c r="N76" s="234" t="s">
        <v>3258</v>
      </c>
      <c r="O76" s="234" t="s">
        <v>3259</v>
      </c>
      <c r="P76" s="234" t="s">
        <v>3260</v>
      </c>
      <c r="Q76" s="234" t="s">
        <v>3261</v>
      </c>
      <c r="R76" s="234" t="s">
        <v>3262</v>
      </c>
      <c r="S76" s="234" t="s">
        <v>3263</v>
      </c>
      <c r="T76" s="234"/>
    </row>
    <row r="77" spans="2:20">
      <c r="B77" s="231" t="s">
        <v>3264</v>
      </c>
      <c r="C77" s="232" t="s">
        <v>1471</v>
      </c>
      <c r="D77" s="232" t="s">
        <v>3265</v>
      </c>
      <c r="E77" s="232" t="s">
        <v>3266</v>
      </c>
      <c r="F77" s="232" t="s">
        <v>3267</v>
      </c>
      <c r="G77" s="232" t="s">
        <v>3268</v>
      </c>
      <c r="H77" s="232"/>
      <c r="I77" s="232"/>
      <c r="J77" s="232" t="s">
        <v>3269</v>
      </c>
      <c r="K77" s="232"/>
      <c r="L77" s="232" t="s">
        <v>3270</v>
      </c>
      <c r="M77" s="232" t="s">
        <v>3271</v>
      </c>
      <c r="N77" s="232" t="s">
        <v>3272</v>
      </c>
      <c r="O77" s="232"/>
      <c r="P77" s="232" t="s">
        <v>3273</v>
      </c>
      <c r="Q77" s="232" t="s">
        <v>3274</v>
      </c>
      <c r="R77" s="232" t="s">
        <v>3275</v>
      </c>
      <c r="S77" s="232" t="s">
        <v>3276</v>
      </c>
      <c r="T77" s="232" t="s">
        <v>3277</v>
      </c>
    </row>
    <row r="78" spans="2:20">
      <c r="B78" s="231" t="s">
        <v>154</v>
      </c>
      <c r="C78" s="232" t="s">
        <v>729</v>
      </c>
      <c r="D78" s="232" t="s">
        <v>3278</v>
      </c>
      <c r="E78" s="232" t="s">
        <v>3279</v>
      </c>
      <c r="F78" s="232" t="s">
        <v>3280</v>
      </c>
      <c r="G78" s="232" t="s">
        <v>3281</v>
      </c>
      <c r="H78" s="232" t="s">
        <v>3282</v>
      </c>
      <c r="I78" s="232" t="s">
        <v>3283</v>
      </c>
      <c r="J78" s="232" t="s">
        <v>3284</v>
      </c>
      <c r="K78" s="232"/>
      <c r="L78" s="232" t="s">
        <v>3285</v>
      </c>
      <c r="M78" s="232" t="s">
        <v>3286</v>
      </c>
      <c r="N78" s="232" t="s">
        <v>3287</v>
      </c>
      <c r="O78" s="232"/>
      <c r="P78" s="232" t="s">
        <v>3288</v>
      </c>
      <c r="Q78" s="232" t="s">
        <v>3289</v>
      </c>
      <c r="R78" s="232" t="s">
        <v>3290</v>
      </c>
      <c r="S78" s="232" t="s">
        <v>3291</v>
      </c>
      <c r="T78" s="232"/>
    </row>
    <row r="79" spans="2:20">
      <c r="B79" s="231" t="s">
        <v>3292</v>
      </c>
      <c r="C79" s="232" t="s">
        <v>945</v>
      </c>
      <c r="D79" s="232" t="s">
        <v>3293</v>
      </c>
      <c r="E79" s="232" t="s">
        <v>3294</v>
      </c>
      <c r="F79" s="232"/>
      <c r="G79" s="232"/>
      <c r="H79" s="232"/>
      <c r="I79" s="232"/>
      <c r="J79" s="232"/>
      <c r="K79" s="232"/>
      <c r="L79" s="232"/>
      <c r="M79" s="232" t="s">
        <v>3295</v>
      </c>
      <c r="N79" s="232" t="s">
        <v>3296</v>
      </c>
      <c r="O79" s="232"/>
      <c r="P79" s="232" t="s">
        <v>3297</v>
      </c>
      <c r="Q79" s="232" t="s">
        <v>3298</v>
      </c>
      <c r="R79" s="232"/>
      <c r="S79" s="232"/>
      <c r="T79" s="232"/>
    </row>
    <row r="80" spans="2:20">
      <c r="B80" s="231" t="s">
        <v>3299</v>
      </c>
      <c r="C80" s="232" t="s">
        <v>730</v>
      </c>
      <c r="D80" s="232" t="s">
        <v>3300</v>
      </c>
      <c r="E80" s="232"/>
      <c r="F80" s="232"/>
      <c r="G80" s="232"/>
      <c r="H80" s="232"/>
      <c r="I80" s="232"/>
      <c r="J80" s="232"/>
      <c r="K80" s="232"/>
      <c r="L80" s="232"/>
      <c r="M80" s="232"/>
      <c r="N80" s="232"/>
      <c r="O80" s="232"/>
      <c r="P80" s="232"/>
      <c r="Q80" s="232" t="s">
        <v>3301</v>
      </c>
      <c r="R80" s="232"/>
      <c r="S80" s="232"/>
      <c r="T80" s="232"/>
    </row>
    <row r="81" spans="2:20">
      <c r="B81" s="233" t="s">
        <v>1445</v>
      </c>
      <c r="C81" s="234" t="s">
        <v>1038</v>
      </c>
      <c r="D81" s="234" t="s">
        <v>3302</v>
      </c>
      <c r="E81" s="234"/>
      <c r="F81" s="234"/>
      <c r="G81" s="234"/>
      <c r="H81" s="234"/>
      <c r="I81" s="234"/>
      <c r="J81" s="234"/>
      <c r="K81" s="234"/>
      <c r="L81" s="234"/>
      <c r="M81" s="234"/>
      <c r="N81" s="234"/>
      <c r="O81" s="234"/>
      <c r="P81" s="234"/>
      <c r="Q81" s="234"/>
      <c r="R81" s="234"/>
      <c r="S81" s="234"/>
      <c r="T81" s="234"/>
    </row>
    <row r="82" spans="2:20">
      <c r="B82" s="233" t="s">
        <v>3303</v>
      </c>
      <c r="C82" s="234" t="s">
        <v>1039</v>
      </c>
      <c r="D82" s="234" t="s">
        <v>3304</v>
      </c>
      <c r="E82" s="234"/>
      <c r="F82" s="234"/>
      <c r="G82" s="234"/>
      <c r="H82" s="234"/>
      <c r="I82" s="234"/>
      <c r="J82" s="234"/>
      <c r="K82" s="234"/>
      <c r="L82" s="234"/>
      <c r="M82" s="234"/>
      <c r="N82" s="234"/>
      <c r="O82" s="234"/>
      <c r="P82" s="234"/>
      <c r="Q82" s="234"/>
      <c r="R82" s="234"/>
      <c r="S82" s="234"/>
      <c r="T82" s="234"/>
    </row>
    <row r="83" spans="2:20">
      <c r="B83" s="233" t="s">
        <v>1435</v>
      </c>
      <c r="C83" s="234" t="s">
        <v>1003</v>
      </c>
      <c r="D83" s="234" t="s">
        <v>3305</v>
      </c>
      <c r="E83" s="234" t="s">
        <v>3306</v>
      </c>
      <c r="F83" s="234"/>
      <c r="G83" s="234"/>
      <c r="H83" s="234" t="s">
        <v>3307</v>
      </c>
      <c r="I83" s="234" t="s">
        <v>3308</v>
      </c>
      <c r="J83" s="234" t="s">
        <v>3309</v>
      </c>
      <c r="K83" s="234" t="s">
        <v>3310</v>
      </c>
      <c r="L83" s="234"/>
      <c r="M83" s="234" t="s">
        <v>3311</v>
      </c>
      <c r="N83" s="234" t="s">
        <v>3312</v>
      </c>
      <c r="O83" s="234"/>
      <c r="P83" s="234" t="s">
        <v>3313</v>
      </c>
      <c r="Q83" s="234" t="s">
        <v>3314</v>
      </c>
      <c r="R83" s="234" t="s">
        <v>3315</v>
      </c>
      <c r="S83" s="234"/>
      <c r="T83" s="234"/>
    </row>
    <row r="84" spans="2:20">
      <c r="B84" s="233" t="s">
        <v>3316</v>
      </c>
      <c r="C84" s="234" t="s">
        <v>1004</v>
      </c>
      <c r="D84" s="234" t="s">
        <v>3317</v>
      </c>
      <c r="E84" s="234"/>
      <c r="F84" s="234" t="s">
        <v>3318</v>
      </c>
      <c r="G84" s="234"/>
      <c r="H84" s="234" t="s">
        <v>3319</v>
      </c>
      <c r="I84" s="234"/>
      <c r="J84" s="234"/>
      <c r="K84" s="234"/>
      <c r="L84" s="234"/>
      <c r="M84" s="234"/>
      <c r="N84" s="234" t="s">
        <v>3320</v>
      </c>
      <c r="O84" s="234"/>
      <c r="P84" s="234" t="s">
        <v>3321</v>
      </c>
      <c r="Q84" s="234"/>
      <c r="R84" s="234" t="s">
        <v>3322</v>
      </c>
      <c r="S84" s="234"/>
      <c r="T84" s="234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7795-9B99-1542-9CA6-431F3CD3C7BD}">
  <sheetPr codeName="工作表6">
    <tabColor theme="7" tint="0.39997558519241921"/>
  </sheetPr>
  <dimension ref="A1:S28"/>
  <sheetViews>
    <sheetView topLeftCell="M4" workbookViewId="0"/>
  </sheetViews>
  <sheetFormatPr defaultColWidth="10.90625" defaultRowHeight="50.25" outlineLevelRow="1" outlineLevelCol="1"/>
  <cols>
    <col min="1" max="1" width="4" hidden="1" customWidth="1" outlineLevel="1"/>
    <col min="2" max="2" width="0" style="6" hidden="1" customWidth="1" outlineLevel="1"/>
    <col min="3" max="3" width="2.7265625" style="68" hidden="1" customWidth="1" outlineLevel="1" collapsed="1"/>
    <col min="4" max="4" width="6.26953125" style="68" hidden="1" customWidth="1" outlineLevel="1"/>
    <col min="5" max="5" width="10.453125" style="69" hidden="1" customWidth="1" outlineLevel="1"/>
    <col min="6" max="6" width="10.453125" style="70" hidden="1" customWidth="1" outlineLevel="1"/>
    <col min="7" max="7" width="10.453125" style="69" hidden="1" customWidth="1" outlineLevel="1"/>
    <col min="8" max="10" width="10.453125" style="70" hidden="1" customWidth="1" outlineLevel="1"/>
    <col min="11" max="11" width="10.453125" style="71" hidden="1" customWidth="1" outlineLevel="1"/>
    <col min="12" max="12" width="0" style="68" hidden="1" customWidth="1" outlineLevel="1"/>
    <col min="13" max="13" width="10.7265625" style="68" collapsed="1"/>
    <col min="15" max="16" width="13.36328125" customWidth="1"/>
    <col min="17" max="17" width="13.36328125" style="23" customWidth="1"/>
  </cols>
  <sheetData>
    <row r="1" spans="2:19" ht="12" hidden="1" customHeight="1" outlineLevel="1"/>
    <row r="2" spans="2:19" ht="27" hidden="1" customHeight="1" outlineLevel="1">
      <c r="F2" s="141">
        <v>3</v>
      </c>
      <c r="G2" s="142">
        <v>4</v>
      </c>
      <c r="H2" s="141">
        <v>5</v>
      </c>
      <c r="I2" s="141">
        <v>6</v>
      </c>
      <c r="J2" s="141">
        <v>7</v>
      </c>
      <c r="K2" s="141">
        <v>8</v>
      </c>
    </row>
    <row r="3" spans="2:19" ht="25.5" hidden="1" outlineLevel="1">
      <c r="D3" s="101" cm="1">
        <f t="array" ref="D3">COLUMN()-COLUMN(($C:$C))</f>
        <v>1</v>
      </c>
      <c r="E3" s="101" cm="1">
        <f t="array" ref="E3">COLUMN()-COLUMN(($C:$C))</f>
        <v>2</v>
      </c>
      <c r="F3" s="101" cm="1">
        <f t="array" ref="F3">COLUMN()-COLUMN(($C:$C))</f>
        <v>3</v>
      </c>
      <c r="G3" s="101" cm="1">
        <f t="array" ref="G3">COLUMN()-COLUMN(($C:$C))</f>
        <v>4</v>
      </c>
      <c r="H3" s="101" cm="1">
        <f t="array" ref="H3">COLUMN()-COLUMN(($C:$C))</f>
        <v>5</v>
      </c>
      <c r="I3" s="101" cm="1">
        <f t="array" ref="I3">COLUMN()-COLUMN(($C:$C))</f>
        <v>6</v>
      </c>
      <c r="J3" s="101" cm="1">
        <f t="array" ref="J3">COLUMN()-COLUMN(($C:$C))</f>
        <v>7</v>
      </c>
      <c r="K3" s="101" cm="1">
        <f t="array" ref="K3">COLUMN()-COLUMN(($C:$C))</f>
        <v>8</v>
      </c>
    </row>
    <row r="4" spans="2:19" ht="21" customHeight="1" collapsed="1"/>
    <row r="5" spans="2:19" ht="51">
      <c r="B5" s="125" t="s">
        <v>0</v>
      </c>
      <c r="C5" s="73"/>
      <c r="D5" s="123" t="s">
        <v>1</v>
      </c>
      <c r="E5" s="123" t="s">
        <v>622</v>
      </c>
      <c r="F5" s="123" t="s">
        <v>3</v>
      </c>
      <c r="G5" s="124" t="s">
        <v>587</v>
      </c>
      <c r="H5" s="125" t="s">
        <v>1649</v>
      </c>
      <c r="I5" s="72" t="s">
        <v>625</v>
      </c>
      <c r="J5" s="72" t="s">
        <v>626</v>
      </c>
      <c r="K5" s="124" t="s">
        <v>3323</v>
      </c>
      <c r="L5" s="124" t="s">
        <v>3324</v>
      </c>
      <c r="M5" s="73"/>
      <c r="N5" s="123" t="s">
        <v>1</v>
      </c>
      <c r="O5" s="155" t="s">
        <v>3325</v>
      </c>
      <c r="P5" s="155" t="s">
        <v>3326</v>
      </c>
      <c r="Q5" s="156" t="s">
        <v>622</v>
      </c>
    </row>
    <row r="6" spans="2:19" s="147" customFormat="1" ht="38.25">
      <c r="B6" s="143">
        <f xml:space="preserve"> MATCH(E6, 十五音聲母清單!$C$5:$C$26,0)</f>
        <v>2</v>
      </c>
      <c r="C6" s="144"/>
      <c r="D6" s="145">
        <v>13</v>
      </c>
      <c r="E6" s="146" t="s">
        <v>16</v>
      </c>
      <c r="F6" s="146" t="str" cm="1">
        <f t="array" ref="F6" xml:space="preserve"> INDEX(十五音聲母清單!$B$5:$I$26, $B6, F$2)</f>
        <v>p</v>
      </c>
      <c r="G6" s="146" t="str" cm="1">
        <f t="array" ref="G6" xml:space="preserve"> INDEX(十五音聲母清單!$B$5:$I$26, $B6, G$2)</f>
        <v>邊</v>
      </c>
      <c r="H6" s="146" t="str" cm="1">
        <f t="array" ref="H6" xml:space="preserve"> INDEX(十五音聲母清單!$B$5:$I$26, $B6, H$2)</f>
        <v>ㄅ</v>
      </c>
      <c r="I6" s="146" t="str" cm="1">
        <f t="array" ref="I6" xml:space="preserve"> INDEX(十五音聲母清單!$B$5:$I$26, $B6, I$2)</f>
        <v>p</v>
      </c>
      <c r="J6" s="146" t="str" cm="1">
        <f t="array" ref="J6" xml:space="preserve"> INDEX(十五音聲母清單!$B$5:$I$26, $B6, J$2)</f>
        <v>p</v>
      </c>
      <c r="K6" s="146" t="str" cm="1">
        <f t="array" ref="K6" xml:space="preserve"> INDEX(十五音聲母清單!$B$5:$I$26, $B6, K$2)</f>
        <v>b</v>
      </c>
      <c r="L6" s="144">
        <v>1</v>
      </c>
      <c r="M6" s="144"/>
      <c r="N6" s="145">
        <v>1</v>
      </c>
      <c r="O6" s="146" t="s">
        <v>1660</v>
      </c>
      <c r="P6" s="146" t="s">
        <v>19</v>
      </c>
      <c r="Q6" s="157" t="s">
        <v>15</v>
      </c>
      <c r="S6" t="str">
        <f>"'"&amp;O6&amp;"': "&amp;"'"&amp;Q6&amp;"', "</f>
        <v xml:space="preserve">'ㄅ': 'p', </v>
      </c>
    </row>
    <row r="7" spans="2:19" s="147" customFormat="1" ht="38.25">
      <c r="B7" s="143">
        <f xml:space="preserve"> MATCH(E7, 十五音聲母清單!$C$5:$C$26,0)</f>
        <v>6</v>
      </c>
      <c r="C7" s="144"/>
      <c r="D7" s="145">
        <v>14</v>
      </c>
      <c r="E7" s="145" t="s">
        <v>22</v>
      </c>
      <c r="F7" s="146" t="str" cm="1">
        <f t="array" ref="F7" xml:space="preserve"> INDEX(十五音聲母清單!$B$5:$I$26, $B7, F$2)</f>
        <v>pʰ</v>
      </c>
      <c r="G7" s="146" t="str" cm="1">
        <f t="array" ref="G7" xml:space="preserve"> INDEX(十五音聲母清單!$B$5:$I$26, $B7, G$2)</f>
        <v>頗</v>
      </c>
      <c r="H7" s="146" t="str" cm="1">
        <f t="array" ref="H7" xml:space="preserve"> INDEX(十五音聲母清單!$B$5:$I$26, $B7, H$2)</f>
        <v>ㄆ</v>
      </c>
      <c r="I7" s="146" t="str" cm="1">
        <f t="array" ref="I7" xml:space="preserve"> INDEX(十五音聲母清單!$B$5:$I$26, $B7, I$2)</f>
        <v>ph</v>
      </c>
      <c r="J7" s="146" t="str" cm="1">
        <f t="array" ref="J7" xml:space="preserve"> INDEX(十五音聲母清單!$B$5:$I$26, $B7, J$2)</f>
        <v>ph</v>
      </c>
      <c r="K7" s="146" t="str" cm="1">
        <f t="array" ref="K7" xml:space="preserve"> INDEX(十五音聲母清單!$B$5:$I$26, $B7, K$2)</f>
        <v>p</v>
      </c>
      <c r="L7" s="144">
        <v>2</v>
      </c>
      <c r="M7" s="144"/>
      <c r="N7" s="153">
        <v>2</v>
      </c>
      <c r="O7" s="146" t="s">
        <v>3327</v>
      </c>
      <c r="P7" s="146" t="s">
        <v>16</v>
      </c>
      <c r="Q7" s="157" t="s">
        <v>21</v>
      </c>
      <c r="S7" t="str">
        <f t="shared" ref="S7:S27" si="0">"'"&amp;O7&amp;"': "&amp;"'"&amp;Q7&amp;"', "</f>
        <v xml:space="preserve">'ㄆ': 'ph', </v>
      </c>
    </row>
    <row r="8" spans="2:19" s="147" customFormat="1" ht="38.25">
      <c r="B8" s="143">
        <f xml:space="preserve"> MATCH(E8, 十五音聲母清單!$C$5:$C$26,0)</f>
        <v>20</v>
      </c>
      <c r="C8" s="144"/>
      <c r="D8" s="145">
        <v>10</v>
      </c>
      <c r="E8" s="146" t="s">
        <v>27</v>
      </c>
      <c r="F8" s="146" t="str" cm="1">
        <f t="array" ref="F8" xml:space="preserve"> INDEX(十五音聲母清單!$B$5:$I$26, $B8, F$2)</f>
        <v>m</v>
      </c>
      <c r="G8" s="146" t="str" cm="1">
        <f t="array" ref="G8" xml:space="preserve"> INDEX(十五音聲母清單!$B$5:$I$26, $B8, G$2)</f>
        <v>毛</v>
      </c>
      <c r="H8" s="146" t="str" cm="1">
        <f t="array" ref="H8" xml:space="preserve"> INDEX(十五音聲母清單!$B$5:$I$26, $B8, H$2)</f>
        <v>ㄇ</v>
      </c>
      <c r="I8" s="146" t="str" cm="1">
        <f t="array" ref="I8" xml:space="preserve"> INDEX(十五音聲母清單!$B$5:$I$26, $B8, I$2)</f>
        <v>m</v>
      </c>
      <c r="J8" s="146" t="str" cm="1">
        <f t="array" ref="J8" xml:space="preserve"> INDEX(十五音聲母清單!$B$5:$I$26, $B8, J$2)</f>
        <v>m</v>
      </c>
      <c r="K8" s="146" t="str" cm="1">
        <f t="array" ref="K8" xml:space="preserve"> INDEX(十五音聲母清單!$B$5:$I$26, $B8, K$2)</f>
        <v>bbn</v>
      </c>
      <c r="L8" s="144">
        <v>3</v>
      </c>
      <c r="M8" s="144"/>
      <c r="N8" s="145">
        <v>3</v>
      </c>
      <c r="O8" s="146" t="s">
        <v>1664</v>
      </c>
      <c r="P8" s="146" t="s">
        <v>27</v>
      </c>
      <c r="Q8" s="157" t="s">
        <v>36</v>
      </c>
      <c r="S8" t="str">
        <f t="shared" si="0"/>
        <v xml:space="preserve">'ㄇ': 'm', </v>
      </c>
    </row>
    <row r="9" spans="2:19" s="147" customFormat="1" ht="38.25">
      <c r="B9" s="143">
        <f xml:space="preserve"> MATCH(E9, 十五音聲母清單!$C$5:$C$26,0)</f>
        <v>15</v>
      </c>
      <c r="C9" s="144"/>
      <c r="D9" s="145">
        <v>1</v>
      </c>
      <c r="E9" s="146" t="s">
        <v>19</v>
      </c>
      <c r="F9" s="146" t="str" cm="1">
        <f t="array" ref="F9" xml:space="preserve"> INDEX(十五音聲母清單!$B$5:$I$26, $B9, F$2)</f>
        <v>b</v>
      </c>
      <c r="G9" s="146" t="str" cm="1">
        <f t="array" ref="G9" xml:space="preserve"> INDEX(十五音聲母清單!$B$5:$I$26, $B9, G$2)</f>
        <v>門</v>
      </c>
      <c r="H9" s="146" t="str" cm="1">
        <f t="array" ref="H9" xml:space="preserve"> INDEX(十五音聲母清單!$B$5:$I$26, $B9, H$2)</f>
        <v>ㆠ</v>
      </c>
      <c r="I9" s="146" t="str" cm="1">
        <f t="array" ref="I9" xml:space="preserve"> INDEX(十五音聲母清單!$B$5:$I$26, $B9, I$2)</f>
        <v>b</v>
      </c>
      <c r="J9" s="146" t="str" cm="1">
        <f t="array" ref="J9" xml:space="preserve"> INDEX(十五音聲母清單!$B$5:$I$26, $B9, J$2)</f>
        <v>b</v>
      </c>
      <c r="K9" s="146" t="str" cm="1">
        <f t="array" ref="K9" xml:space="preserve"> INDEX(十五音聲母清單!$B$5:$I$26, $B9, K$2)</f>
        <v>bb</v>
      </c>
      <c r="L9" s="144">
        <v>4</v>
      </c>
      <c r="M9" s="144"/>
      <c r="N9" s="153">
        <v>4</v>
      </c>
      <c r="O9" s="146" t="s">
        <v>35</v>
      </c>
      <c r="P9" s="146" t="s">
        <v>34</v>
      </c>
      <c r="Q9" s="157" t="s">
        <v>26</v>
      </c>
      <c r="S9" t="str">
        <f t="shared" si="0"/>
        <v xml:space="preserve">'ㆠ': 'b', </v>
      </c>
    </row>
    <row r="10" spans="2:19" s="147" customFormat="1" ht="38.25">
      <c r="B10" s="143">
        <f xml:space="preserve"> MATCH(E10, 十五音聲母清單!$C$5:$C$26,0)</f>
        <v>5</v>
      </c>
      <c r="C10" s="144"/>
      <c r="D10" s="145">
        <v>16</v>
      </c>
      <c r="E10" s="146" t="s">
        <v>58</v>
      </c>
      <c r="F10" s="146" t="str" cm="1">
        <f t="array" ref="F10" xml:space="preserve"> INDEX(十五音聲母清單!$B$5:$I$26, $B10, F$2)</f>
        <v>t</v>
      </c>
      <c r="G10" s="146" t="str" cm="1">
        <f t="array" ref="G10" xml:space="preserve"> INDEX(十五音聲母清單!$B$5:$I$26, $B10, G$2)</f>
        <v>地</v>
      </c>
      <c r="H10" s="146" t="str" cm="1">
        <f t="array" ref="H10" xml:space="preserve"> INDEX(十五音聲母清單!$B$5:$I$26, $B10, H$2)</f>
        <v>ㄉ</v>
      </c>
      <c r="I10" s="146" t="str" cm="1">
        <f t="array" ref="I10" xml:space="preserve"> INDEX(十五音聲母清單!$B$5:$I$26, $B10, I$2)</f>
        <v>t</v>
      </c>
      <c r="J10" s="146" t="str" cm="1">
        <f t="array" ref="J10" xml:space="preserve"> INDEX(十五音聲母清單!$B$5:$I$26, $B10, J$2)</f>
        <v>t</v>
      </c>
      <c r="K10" s="146" t="str" cm="1">
        <f t="array" ref="K10" xml:space="preserve"> INDEX(十五音聲母清單!$B$5:$I$26, $B10, K$2)</f>
        <v>d</v>
      </c>
      <c r="L10" s="144">
        <v>5</v>
      </c>
      <c r="M10" s="144"/>
      <c r="N10" s="145">
        <v>5</v>
      </c>
      <c r="O10" s="152" t="s">
        <v>62</v>
      </c>
      <c r="P10" s="152" t="s">
        <v>61</v>
      </c>
      <c r="Q10" s="158" t="s">
        <v>78</v>
      </c>
      <c r="S10" t="str">
        <f t="shared" si="0"/>
        <v xml:space="preserve">'ㄉ': 't', </v>
      </c>
    </row>
    <row r="11" spans="2:19" s="147" customFormat="1" ht="38.25">
      <c r="B11" s="143">
        <f xml:space="preserve"> MATCH(E11, 十五音聲母清單!$C$5:$C$26,0)</f>
        <v>7</v>
      </c>
      <c r="C11" s="144"/>
      <c r="D11" s="145">
        <v>17</v>
      </c>
      <c r="E11" s="146" t="s">
        <v>64</v>
      </c>
      <c r="F11" s="146" t="str" cm="1">
        <f t="array" ref="F11" xml:space="preserve"> INDEX(十五音聲母清單!$B$5:$I$26, $B11, F$2)</f>
        <v>tʰ</v>
      </c>
      <c r="G11" s="146" t="str" cm="1">
        <f t="array" ref="G11" xml:space="preserve"> INDEX(十五音聲母清單!$B$5:$I$26, $B11, G$2)</f>
        <v>他</v>
      </c>
      <c r="H11" s="146" t="str" cm="1">
        <f t="array" ref="H11" xml:space="preserve"> INDEX(十五音聲母清單!$B$5:$I$26, $B11, H$2)</f>
        <v>ㄊ</v>
      </c>
      <c r="I11" s="146" t="str" cm="1">
        <f t="array" ref="I11" xml:space="preserve"> INDEX(十五音聲母清單!$B$5:$I$26, $B11, I$2)</f>
        <v>th</v>
      </c>
      <c r="J11" s="146" t="str" cm="1">
        <f t="array" ref="J11" xml:space="preserve"> INDEX(十五音聲母清單!$B$5:$I$26, $B11, J$2)</f>
        <v>th</v>
      </c>
      <c r="K11" s="146" t="str" cm="1">
        <f t="array" ref="K11" xml:space="preserve"> INDEX(十五音聲母清單!$B$5:$I$26, $B11, K$2)</f>
        <v>t</v>
      </c>
      <c r="L11" s="144">
        <v>6</v>
      </c>
      <c r="M11" s="144"/>
      <c r="N11" s="153">
        <v>6</v>
      </c>
      <c r="O11" s="152" t="s">
        <v>67</v>
      </c>
      <c r="P11" s="152" t="s">
        <v>58</v>
      </c>
      <c r="Q11" s="158" t="s">
        <v>42</v>
      </c>
      <c r="S11" t="str">
        <f t="shared" si="0"/>
        <v xml:space="preserve">'ㄊ': 'th', </v>
      </c>
    </row>
    <row r="12" spans="2:19" s="147" customFormat="1" ht="38.25">
      <c r="B12" s="143">
        <f xml:space="preserve"> MATCH(E12, 十五音聲母清單!$C$5:$C$26,0)</f>
        <v>21</v>
      </c>
      <c r="C12" s="144"/>
      <c r="D12" s="145">
        <v>11</v>
      </c>
      <c r="E12" s="146" t="s">
        <v>69</v>
      </c>
      <c r="F12" s="146" t="str" cm="1">
        <f t="array" ref="F12" xml:space="preserve"> INDEX(十五音聲母清單!$B$5:$I$26, $B12, F$2)</f>
        <v>n</v>
      </c>
      <c r="G12" s="146" t="str" cm="1">
        <f t="array" ref="G12" xml:space="preserve"> INDEX(十五音聲母清單!$B$5:$I$26, $B12, G$2)</f>
        <v>耐</v>
      </c>
      <c r="H12" s="146" t="str" cm="1">
        <f t="array" ref="H12" xml:space="preserve"> INDEX(十五音聲母清單!$B$5:$I$26, $B12, H$2)</f>
        <v>ㄋ</v>
      </c>
      <c r="I12" s="146" t="str" cm="1">
        <f t="array" ref="I12" xml:space="preserve"> INDEX(十五音聲母清單!$B$5:$I$26, $B12, I$2)</f>
        <v>n</v>
      </c>
      <c r="J12" s="146" t="str" cm="1">
        <f t="array" ref="J12" xml:space="preserve"> INDEX(十五音聲母清單!$B$5:$I$26, $B12, J$2)</f>
        <v>n</v>
      </c>
      <c r="K12" s="146" t="str" cm="1">
        <f t="array" ref="K12" xml:space="preserve"> INDEX(十五音聲母清單!$B$5:$I$26, $B12, K$2)</f>
        <v>ln</v>
      </c>
      <c r="L12" s="144">
        <v>7</v>
      </c>
      <c r="M12" s="144"/>
      <c r="N12" s="145">
        <v>7</v>
      </c>
      <c r="O12" s="152" t="s">
        <v>73</v>
      </c>
      <c r="P12" s="152" t="s">
        <v>69</v>
      </c>
      <c r="Q12" s="158" t="s">
        <v>47</v>
      </c>
      <c r="S12" t="str">
        <f t="shared" si="0"/>
        <v xml:space="preserve">'ㄋ': 'n', </v>
      </c>
    </row>
    <row r="13" spans="2:19" s="147" customFormat="1" ht="38.25">
      <c r="B13" s="143">
        <f xml:space="preserve"> MATCH(E13, 十五音聲母清單!$C$5:$C$26,0)</f>
        <v>1</v>
      </c>
      <c r="C13" s="144"/>
      <c r="D13" s="145">
        <v>9</v>
      </c>
      <c r="E13" s="146" t="s">
        <v>75</v>
      </c>
      <c r="F13" s="146" t="str" cm="1">
        <f t="array" ref="F13" xml:space="preserve"> INDEX(十五音聲母清單!$B$5:$I$26, $B13, F$2)</f>
        <v>l</v>
      </c>
      <c r="G13" s="146" t="str" cm="1">
        <f t="array" ref="G13" xml:space="preserve"> INDEX(十五音聲母清單!$B$5:$I$26, $B13, G$2)</f>
        <v>柳</v>
      </c>
      <c r="H13" s="146" t="str" cm="1">
        <f t="array" ref="H13" xml:space="preserve"> INDEX(十五音聲母清單!$B$5:$I$26, $B13, H$2)</f>
        <v>ㄌ</v>
      </c>
      <c r="I13" s="146" t="str" cm="1">
        <f t="array" ref="I13" xml:space="preserve"> INDEX(十五音聲母清單!$B$5:$I$26, $B13, I$2)</f>
        <v>l</v>
      </c>
      <c r="J13" s="146" t="str" cm="1">
        <f t="array" ref="J13" xml:space="preserve"> INDEX(十五音聲母清單!$B$5:$I$26, $B13, J$2)</f>
        <v>l</v>
      </c>
      <c r="K13" s="146" t="str" cm="1">
        <f t="array" ref="K13" xml:space="preserve"> INDEX(十五音聲母清單!$B$5:$I$26, $B13, K$2)</f>
        <v>l</v>
      </c>
      <c r="L13" s="144">
        <v>8</v>
      </c>
      <c r="M13" s="144"/>
      <c r="N13" s="153">
        <v>8</v>
      </c>
      <c r="O13" s="152" t="s">
        <v>77</v>
      </c>
      <c r="P13" s="152" t="s">
        <v>75</v>
      </c>
      <c r="Q13" s="158" t="s">
        <v>57</v>
      </c>
      <c r="S13" t="str">
        <f t="shared" si="0"/>
        <v xml:space="preserve">'ㄌ': 'l', </v>
      </c>
    </row>
    <row r="14" spans="2:19" s="147" customFormat="1" ht="38.25">
      <c r="B14" s="143">
        <f xml:space="preserve"> MATCH(E14, 十五音聲母清單!$C$5:$C$26,0)</f>
        <v>3</v>
      </c>
      <c r="C14" s="144"/>
      <c r="D14" s="145">
        <v>7</v>
      </c>
      <c r="E14" s="146" t="s">
        <v>37</v>
      </c>
      <c r="F14" s="146" t="str" cm="1">
        <f t="array" ref="F14" xml:space="preserve"> INDEX(十五音聲母清單!$B$5:$I$26, $B14, F$2)</f>
        <v>k</v>
      </c>
      <c r="G14" s="146" t="str" cm="1">
        <f t="array" ref="G14" xml:space="preserve"> INDEX(十五音聲母清單!$B$5:$I$26, $B14, G$2)</f>
        <v>求</v>
      </c>
      <c r="H14" s="146" t="str" cm="1">
        <f t="array" ref="H14" xml:space="preserve"> INDEX(十五音聲母清單!$B$5:$I$26, $B14, H$2)</f>
        <v>ㄍ</v>
      </c>
      <c r="I14" s="146" t="str" cm="1">
        <f t="array" ref="I14" xml:space="preserve"> INDEX(十五音聲母清單!$B$5:$I$26, $B14, I$2)</f>
        <v>k</v>
      </c>
      <c r="J14" s="146" t="str" cm="1">
        <f t="array" ref="J14" xml:space="preserve"> INDEX(十五音聲母清單!$B$5:$I$26, $B14, J$2)</f>
        <v>k</v>
      </c>
      <c r="K14" s="146" t="str" cm="1">
        <f t="array" ref="K14" xml:space="preserve"> INDEX(十五音聲母清單!$B$5:$I$26, $B14, K$2)</f>
        <v>g</v>
      </c>
      <c r="L14" s="144">
        <v>9</v>
      </c>
      <c r="M14" s="144"/>
      <c r="N14" s="145">
        <v>9</v>
      </c>
      <c r="O14" s="146" t="s">
        <v>41</v>
      </c>
      <c r="P14" s="146" t="s">
        <v>40</v>
      </c>
      <c r="Q14" s="157" t="s">
        <v>32</v>
      </c>
      <c r="S14" t="str">
        <f t="shared" si="0"/>
        <v xml:space="preserve">'ㄍ': 'k', </v>
      </c>
    </row>
    <row r="15" spans="2:19" s="147" customFormat="1" ht="38.25">
      <c r="B15" s="143">
        <f xml:space="preserve"> MATCH(E15, 十五音聲母清單!$C$5:$C$26,0)</f>
        <v>4</v>
      </c>
      <c r="C15" s="144"/>
      <c r="D15" s="145">
        <v>8</v>
      </c>
      <c r="E15" s="146" t="s">
        <v>43</v>
      </c>
      <c r="F15" s="146" t="str" cm="1">
        <f t="array" ref="F15" xml:space="preserve"> INDEX(十五音聲母清單!$B$5:$I$26, $B15, F$2)</f>
        <v>kʰ</v>
      </c>
      <c r="G15" s="146" t="str" cm="1">
        <f t="array" ref="G15" xml:space="preserve"> INDEX(十五音聲母清單!$B$5:$I$26, $B15, G$2)</f>
        <v>去</v>
      </c>
      <c r="H15" s="146" t="str" cm="1">
        <f t="array" ref="H15" xml:space="preserve"> INDEX(十五音聲母清單!$B$5:$I$26, $B15, H$2)</f>
        <v>ㄎ</v>
      </c>
      <c r="I15" s="146" t="str" cm="1">
        <f t="array" ref="I15" xml:space="preserve"> INDEX(十五音聲母清單!$B$5:$I$26, $B15, I$2)</f>
        <v>kh</v>
      </c>
      <c r="J15" s="146" t="str" cm="1">
        <f t="array" ref="J15" xml:space="preserve"> INDEX(十五音聲母清單!$B$5:$I$26, $B15, J$2)</f>
        <v>kh</v>
      </c>
      <c r="K15" s="146" t="str" cm="1">
        <f t="array" ref="K15" xml:space="preserve"> INDEX(十五音聲母清單!$B$5:$I$26, $B15, K$2)</f>
        <v>k</v>
      </c>
      <c r="L15" s="144">
        <v>10</v>
      </c>
      <c r="M15" s="144"/>
      <c r="N15" s="153">
        <v>10</v>
      </c>
      <c r="O15" s="146" t="s">
        <v>46</v>
      </c>
      <c r="P15" s="146" t="s">
        <v>37</v>
      </c>
      <c r="Q15" s="157" t="s">
        <v>63</v>
      </c>
      <c r="S15" t="str">
        <f t="shared" si="0"/>
        <v xml:space="preserve">'ㄎ': 'kh', </v>
      </c>
    </row>
    <row r="16" spans="2:19" s="147" customFormat="1" ht="38.25">
      <c r="B16" s="143">
        <f xml:space="preserve"> MATCH(E16, 十五音聲母清單!$C$5:$C$26,0)</f>
        <v>19</v>
      </c>
      <c r="C16" s="144"/>
      <c r="D16" s="145">
        <v>5</v>
      </c>
      <c r="E16" s="146" t="s">
        <v>116</v>
      </c>
      <c r="F16" s="146" t="str" cm="1">
        <f t="array" ref="F16" xml:space="preserve"> INDEX(十五音聲母清單!$B$5:$I$26, $B16, F$2)</f>
        <v>h</v>
      </c>
      <c r="G16" s="146" t="str" cm="1">
        <f t="array" ref="G16" xml:space="preserve"> INDEX(十五音聲母清單!$B$5:$I$26, $B16, G$2)</f>
        <v>喜</v>
      </c>
      <c r="H16" s="146" t="str" cm="1">
        <f t="array" ref="H16" xml:space="preserve"> INDEX(十五音聲母清單!$B$5:$I$26, $B16, H$2)</f>
        <v>ㄏ</v>
      </c>
      <c r="I16" s="146" t="str" cm="1">
        <f t="array" ref="I16" xml:space="preserve"> INDEX(十五音聲母清單!$B$5:$I$26, $B16, I$2)</f>
        <v>h</v>
      </c>
      <c r="J16" s="146" t="str" cm="1">
        <f t="array" ref="J16" xml:space="preserve"> INDEX(十五音聲母清單!$B$5:$I$26, $B16, J$2)</f>
        <v>h</v>
      </c>
      <c r="K16" s="146" t="str" cm="1">
        <f t="array" ref="K16" xml:space="preserve"> INDEX(十五音聲母清單!$B$5:$I$26, $B16, K$2)</f>
        <v>h</v>
      </c>
      <c r="L16" s="144">
        <v>11</v>
      </c>
      <c r="M16" s="144"/>
      <c r="N16" s="145">
        <v>11</v>
      </c>
      <c r="O16" s="146" t="s">
        <v>119</v>
      </c>
      <c r="P16" s="146" t="s">
        <v>116</v>
      </c>
      <c r="Q16" s="157" t="s">
        <v>106</v>
      </c>
      <c r="S16" t="str">
        <f t="shared" si="0"/>
        <v xml:space="preserve">'ㄏ': 'h', </v>
      </c>
    </row>
    <row r="17" spans="2:19" s="147" customFormat="1" ht="38.25">
      <c r="B17" s="143">
        <f xml:space="preserve"> MATCH(E17, 十五音聲母清單!$C$5:$C$26,0)</f>
        <v>16</v>
      </c>
      <c r="C17" s="144"/>
      <c r="D17" s="145">
        <v>4</v>
      </c>
      <c r="E17" s="146" t="s">
        <v>40</v>
      </c>
      <c r="F17" s="146" t="str" cm="1">
        <f t="array" ref="F17" xml:space="preserve"> INDEX(十五音聲母清單!$B$5:$I$26, $B17, F$2)</f>
        <v>ɡ</v>
      </c>
      <c r="G17" s="146" t="str" cm="1">
        <f t="array" ref="G17" xml:space="preserve"> INDEX(十五音聲母清單!$B$5:$I$26, $B17, G$2)</f>
        <v>語</v>
      </c>
      <c r="H17" s="146" t="str" cm="1">
        <f t="array" ref="H17" xml:space="preserve"> INDEX(十五音聲母清單!$B$5:$I$26, $B17, H$2)</f>
        <v>ㆣ</v>
      </c>
      <c r="I17" s="146" t="str" cm="1">
        <f t="array" ref="I17" xml:space="preserve"> INDEX(十五音聲母清單!$B$5:$I$26, $B17, I$2)</f>
        <v>g</v>
      </c>
      <c r="J17" s="146" t="str" cm="1">
        <f t="array" ref="J17" xml:space="preserve"> INDEX(十五音聲母清單!$B$5:$I$26, $B17, J$2)</f>
        <v>g</v>
      </c>
      <c r="K17" s="146" t="str" cm="1">
        <f t="array" ref="K17" xml:space="preserve"> INDEX(十五音聲母清單!$B$5:$I$26, $B17, K$2)</f>
        <v>gg</v>
      </c>
      <c r="L17" s="144">
        <v>12</v>
      </c>
      <c r="M17" s="144"/>
      <c r="N17" s="153">
        <v>12</v>
      </c>
      <c r="O17" s="146" t="s">
        <v>56</v>
      </c>
      <c r="P17" s="146" t="s">
        <v>55</v>
      </c>
      <c r="Q17" s="157" t="s">
        <v>74</v>
      </c>
      <c r="S17" t="str">
        <f t="shared" si="0"/>
        <v xml:space="preserve">'ㆣ': 'g', </v>
      </c>
    </row>
    <row r="18" spans="2:19" s="147" customFormat="1" ht="38.25">
      <c r="B18" s="143" t="e">
        <f xml:space="preserve"> MATCH(E18, 十五音聲母清單!$C$5:$C$26,0)</f>
        <v>#N/A</v>
      </c>
      <c r="C18" s="144"/>
      <c r="D18" s="145">
        <v>2</v>
      </c>
      <c r="E18" s="146" t="s">
        <v>1732</v>
      </c>
      <c r="F18" s="146" t="e" cm="1">
        <f t="array" ref="F18" xml:space="preserve"> INDEX(十五音聲母清單!$B$5:$I$26, $B18, F$2)</f>
        <v>#N/A</v>
      </c>
      <c r="G18" s="146" t="e" cm="1">
        <f t="array" ref="G18" xml:space="preserve"> INDEX(十五音聲母清單!$B$5:$I$26, $B18, G$2)</f>
        <v>#N/A</v>
      </c>
      <c r="H18" s="146" t="e" cm="1">
        <f t="array" ref="H18" xml:space="preserve"> INDEX(十五音聲母清單!$B$5:$I$26, $B18, H$2)</f>
        <v>#N/A</v>
      </c>
      <c r="I18" s="146" t="e" cm="1">
        <f t="array" ref="I18" xml:space="preserve"> INDEX(十五音聲母清單!$B$5:$I$26, $B18, I$2)</f>
        <v>#N/A</v>
      </c>
      <c r="J18" s="146" t="e" cm="1">
        <f t="array" ref="J18" xml:space="preserve"> INDEX(十五音聲母清單!$B$5:$I$26, $B18, J$2)</f>
        <v>#N/A</v>
      </c>
      <c r="K18" s="146" t="e" cm="1">
        <f t="array" ref="K18" xml:space="preserve"> INDEX(十五音聲母清單!$B$5:$I$26, $B18, K$2)</f>
        <v>#N/A</v>
      </c>
      <c r="L18" s="144">
        <v>13</v>
      </c>
      <c r="M18" s="144"/>
      <c r="N18" s="145">
        <v>13</v>
      </c>
      <c r="O18" s="152" t="s">
        <v>1650</v>
      </c>
      <c r="P18" s="152" t="s">
        <v>83</v>
      </c>
      <c r="Q18" s="158" t="s">
        <v>82</v>
      </c>
      <c r="S18" t="str">
        <f t="shared" si="0"/>
        <v xml:space="preserve">'ㄗ': 'ch', </v>
      </c>
    </row>
    <row r="19" spans="2:19" s="147" customFormat="1" ht="38.25">
      <c r="B19" s="143" t="e">
        <f xml:space="preserve"> MATCH(E19, 十五音聲母清單!$C$5:$C$26,0)</f>
        <v>#N/A</v>
      </c>
      <c r="C19" s="144"/>
      <c r="D19" s="145">
        <v>3</v>
      </c>
      <c r="E19" s="146" t="s">
        <v>1733</v>
      </c>
      <c r="F19" s="146" t="e" cm="1">
        <f t="array" ref="F19" xml:space="preserve"> INDEX(十五音聲母清單!$B$5:$I$26, $B19, F$2)</f>
        <v>#N/A</v>
      </c>
      <c r="G19" s="146" t="e" cm="1">
        <f t="array" ref="G19" xml:space="preserve"> INDEX(十五音聲母清單!$B$5:$I$26, $B19, G$2)</f>
        <v>#N/A</v>
      </c>
      <c r="H19" s="146" t="e" cm="1">
        <f t="array" ref="H19" xml:space="preserve"> INDEX(十五音聲母清單!$B$5:$I$26, $B19, H$2)</f>
        <v>#N/A</v>
      </c>
      <c r="I19" s="146" t="e" cm="1">
        <f t="array" ref="I19" xml:space="preserve"> INDEX(十五音聲母清單!$B$5:$I$26, $B19, I$2)</f>
        <v>#N/A</v>
      </c>
      <c r="J19" s="146" t="e" cm="1">
        <f t="array" ref="J19" xml:space="preserve"> INDEX(十五音聲母清單!$B$5:$I$26, $B19, J$2)</f>
        <v>#N/A</v>
      </c>
      <c r="K19" s="146" t="e" cm="1">
        <f t="array" ref="K19" xml:space="preserve"> INDEX(十五音聲母清單!$B$5:$I$26, $B19, K$2)</f>
        <v>#N/A</v>
      </c>
      <c r="L19" s="144">
        <v>14</v>
      </c>
      <c r="M19" s="144"/>
      <c r="N19" s="153">
        <v>14</v>
      </c>
      <c r="O19" s="152" t="s">
        <v>1651</v>
      </c>
      <c r="P19" s="152" t="s">
        <v>91</v>
      </c>
      <c r="Q19" s="158" t="s">
        <v>89</v>
      </c>
      <c r="S19" t="str">
        <f t="shared" si="0"/>
        <v xml:space="preserve">'ㄘ': 'chh', </v>
      </c>
    </row>
    <row r="20" spans="2:19" s="147" customFormat="1" ht="38.25">
      <c r="B20" s="143">
        <f xml:space="preserve"> MATCH(E20, 十五音聲母清單!$C$5:$C$26,0)</f>
        <v>12</v>
      </c>
      <c r="C20" s="144"/>
      <c r="D20" s="145">
        <v>15</v>
      </c>
      <c r="E20" s="146" t="s">
        <v>98</v>
      </c>
      <c r="F20" s="146" t="str" cm="1">
        <f t="array" ref="F20" xml:space="preserve"> INDEX(十五音聲母清單!$B$5:$I$26, $B20, F$2)</f>
        <v>s</v>
      </c>
      <c r="G20" s="146" t="str" cm="1">
        <f t="array" ref="G20" xml:space="preserve"> INDEX(十五音聲母清單!$B$5:$I$26, $B20, G$2)</f>
        <v>時</v>
      </c>
      <c r="H20" s="146" t="str" cm="1">
        <f t="array" ref="H20" xml:space="preserve"> INDEX(十五音聲母清單!$B$5:$I$26, $B20, H$2)</f>
        <v>ㄙ</v>
      </c>
      <c r="I20" s="146" t="str" cm="1">
        <f t="array" ref="I20" xml:space="preserve"> INDEX(十五音聲母清單!$B$5:$I$26, $B20, I$2)</f>
        <v>s</v>
      </c>
      <c r="J20" s="146" t="str" cm="1">
        <f t="array" ref="J20" xml:space="preserve"> INDEX(十五音聲母清單!$B$5:$I$26, $B20, J$2)</f>
        <v>s</v>
      </c>
      <c r="K20" s="146" t="str" cm="1">
        <f t="array" ref="K20" xml:space="preserve"> INDEX(十五音聲母清單!$B$5:$I$26, $B20, K$2)</f>
        <v>s</v>
      </c>
      <c r="L20" s="144">
        <v>15</v>
      </c>
      <c r="M20" s="144"/>
      <c r="N20" s="145">
        <v>15</v>
      </c>
      <c r="O20" s="152" t="s">
        <v>1653</v>
      </c>
      <c r="P20" s="152" t="s">
        <v>98</v>
      </c>
      <c r="Q20" s="158" t="s">
        <v>85</v>
      </c>
      <c r="S20" t="str">
        <f t="shared" si="0"/>
        <v xml:space="preserve">'ㄙ': 's', </v>
      </c>
    </row>
    <row r="21" spans="2:19" s="147" customFormat="1" ht="38.25">
      <c r="B21" s="143">
        <f xml:space="preserve"> MATCH(E21, 十五音聲母清單!$C$5:$C$26,0)</f>
        <v>10</v>
      </c>
      <c r="C21" s="144"/>
      <c r="D21" s="145">
        <v>6</v>
      </c>
      <c r="E21" s="146" t="s">
        <v>107</v>
      </c>
      <c r="F21" s="146" t="str" cm="1">
        <f t="array" ref="F21" xml:space="preserve"> INDEX(十五音聲母清單!$B$5:$I$26, $B21, F$2)</f>
        <v>ʣ</v>
      </c>
      <c r="G21" s="146" t="str" cm="1">
        <f t="array" ref="G21" xml:space="preserve"> INDEX(十五音聲母清單!$B$5:$I$26, $B21, G$2)</f>
        <v>入</v>
      </c>
      <c r="H21" s="146" t="str" cm="1">
        <f t="array" ref="H21" xml:space="preserve"> INDEX(十五音聲母清單!$B$5:$I$26, $B21, H$2)</f>
        <v>ㆡ</v>
      </c>
      <c r="I21" s="146" t="str" cm="1">
        <f t="array" ref="I21" xml:space="preserve"> INDEX(十五音聲母清單!$B$5:$I$26, $B21, I$2)</f>
        <v>j</v>
      </c>
      <c r="J21" s="146" t="str" cm="1">
        <f t="array" ref="J21" xml:space="preserve"> INDEX(十五音聲母清單!$B$5:$I$26, $B21, J$2)</f>
        <v>j</v>
      </c>
      <c r="K21" s="146" t="str" cm="1">
        <f t="array" ref="K21" xml:space="preserve"> INDEX(十五音聲母清單!$B$5:$I$26, $B21, K$2)</f>
        <v>zz</v>
      </c>
      <c r="L21" s="144">
        <v>16</v>
      </c>
      <c r="M21" s="144"/>
      <c r="N21" s="153">
        <v>16</v>
      </c>
      <c r="O21" s="152" t="s">
        <v>1655</v>
      </c>
      <c r="P21" s="152" t="s">
        <v>602</v>
      </c>
      <c r="Q21" s="158" t="s">
        <v>97</v>
      </c>
      <c r="S21" t="str">
        <f t="shared" si="0"/>
        <v xml:space="preserve">'ㆡ': 'j', </v>
      </c>
    </row>
    <row r="22" spans="2:19" s="147" customFormat="1" ht="38.25">
      <c r="B22" s="143">
        <f xml:space="preserve"> MATCH(E22, 十五音聲母清單!$C$5:$C$26,0)</f>
        <v>22</v>
      </c>
      <c r="C22" s="144"/>
      <c r="D22" s="145">
        <v>12</v>
      </c>
      <c r="E22" s="146" t="s">
        <v>48</v>
      </c>
      <c r="F22" s="146" t="str" cm="1">
        <f t="array" ref="F22" xml:space="preserve"> INDEX(十五音聲母清單!$B$5:$I$26, $B22, F$2)</f>
        <v>ŋ</v>
      </c>
      <c r="G22" s="146" t="str" cm="1">
        <f t="array" ref="G22" xml:space="preserve"> INDEX(十五音聲母清單!$B$5:$I$26, $B22, G$2)</f>
        <v>雅</v>
      </c>
      <c r="H22" s="146" t="str" cm="1">
        <f t="array" ref="H22" xml:space="preserve"> INDEX(十五音聲母清單!$B$5:$I$26, $B22, H$2)</f>
        <v>ㄫ</v>
      </c>
      <c r="I22" s="146" t="str" cm="1">
        <f t="array" ref="I22" xml:space="preserve"> INDEX(十五音聲母清單!$B$5:$I$26, $B22, I$2)</f>
        <v>ng</v>
      </c>
      <c r="J22" s="146" t="str" cm="1">
        <f t="array" ref="J22" xml:space="preserve"> INDEX(十五音聲母清單!$B$5:$I$26, $B22, J$2)</f>
        <v>ng</v>
      </c>
      <c r="K22" s="146" t="str" cm="1">
        <f t="array" ref="K22" xml:space="preserve"> INDEX(十五音聲母清單!$B$5:$I$26, $B22, K$2)</f>
        <v>ggn</v>
      </c>
      <c r="L22" s="144">
        <v>99</v>
      </c>
      <c r="M22" s="144"/>
      <c r="N22" s="145">
        <v>17</v>
      </c>
      <c r="O22" s="146" t="s">
        <v>1684</v>
      </c>
      <c r="P22" s="146" t="s">
        <v>107</v>
      </c>
      <c r="Q22" s="157" t="s">
        <v>3328</v>
      </c>
      <c r="S22" t="str">
        <f t="shared" si="0"/>
        <v xml:space="preserve">'ㄐ': 'chi', </v>
      </c>
    </row>
    <row r="23" spans="2:19">
      <c r="N23" s="153">
        <v>18</v>
      </c>
      <c r="O23" s="146" t="s">
        <v>3329</v>
      </c>
      <c r="P23" s="146" t="s">
        <v>11</v>
      </c>
      <c r="Q23" s="157" t="s">
        <v>3330</v>
      </c>
      <c r="S23" t="str">
        <f t="shared" si="0"/>
        <v xml:space="preserve">'ㄑ': 'chhi', </v>
      </c>
    </row>
    <row r="24" spans="2:19">
      <c r="N24" s="145">
        <v>19</v>
      </c>
      <c r="O24" s="146" t="s">
        <v>3331</v>
      </c>
      <c r="P24" s="146" t="s">
        <v>3332</v>
      </c>
      <c r="Q24" s="157" t="s">
        <v>3333</v>
      </c>
      <c r="S24" t="str">
        <f t="shared" si="0"/>
        <v xml:space="preserve">'ㄒ': 'si', </v>
      </c>
    </row>
    <row r="25" spans="2:19">
      <c r="N25" s="153">
        <v>20</v>
      </c>
      <c r="O25" s="146" t="s">
        <v>1686</v>
      </c>
      <c r="P25" s="146" t="s">
        <v>3334</v>
      </c>
      <c r="Q25" s="157" t="s">
        <v>3335</v>
      </c>
      <c r="S25" t="str">
        <f t="shared" si="0"/>
        <v xml:space="preserve">'ㆢ': 'ji', </v>
      </c>
    </row>
    <row r="26" spans="2:19">
      <c r="N26" s="145">
        <v>21</v>
      </c>
      <c r="O26" s="152" t="s">
        <v>1664</v>
      </c>
      <c r="P26" s="152" t="s">
        <v>27</v>
      </c>
      <c r="Q26" s="158" t="s">
        <v>36</v>
      </c>
      <c r="S26" t="str">
        <f t="shared" si="0"/>
        <v xml:space="preserve">'ㄇ': 'm', </v>
      </c>
    </row>
    <row r="27" spans="2:19">
      <c r="N27" s="153">
        <v>22</v>
      </c>
      <c r="O27" s="159" t="s">
        <v>3336</v>
      </c>
      <c r="P27" s="152" t="s">
        <v>69</v>
      </c>
      <c r="Q27" s="158" t="s">
        <v>47</v>
      </c>
      <c r="S27" t="str">
        <f t="shared" si="0"/>
        <v xml:space="preserve">'ㄣ': 'n', </v>
      </c>
    </row>
    <row r="28" spans="2:19">
      <c r="N28" s="154">
        <v>24</v>
      </c>
      <c r="O28" s="159" t="s">
        <v>1729</v>
      </c>
      <c r="P28" s="152" t="s">
        <v>48</v>
      </c>
      <c r="Q28" s="158" t="s">
        <v>68</v>
      </c>
      <c r="S28" t="str">
        <f>"'"&amp;O28&amp;"': "&amp;"'"&amp;Q28&amp;"', "</f>
        <v xml:space="preserve">'ㄥ': 'ng', </v>
      </c>
    </row>
  </sheetData>
  <sortState xmlns:xlrd2="http://schemas.microsoft.com/office/spreadsheetml/2017/richdata2" ref="D6:L22">
    <sortCondition ref="L7:L22"/>
  </sortState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0535-49E1-5841-9806-27F6DA9A6C2F}">
  <sheetPr codeName="工作表7">
    <tabColor theme="7" tint="0.39997558519241921"/>
  </sheetPr>
  <dimension ref="B2:G14"/>
  <sheetViews>
    <sheetView workbookViewId="0"/>
  </sheetViews>
  <sheetFormatPr defaultColWidth="10.90625" defaultRowHeight="25.5"/>
  <cols>
    <col min="3" max="5" width="15" customWidth="1"/>
  </cols>
  <sheetData>
    <row r="2" spans="2:7">
      <c r="B2" s="123" t="s">
        <v>1</v>
      </c>
      <c r="C2" s="155" t="s">
        <v>3325</v>
      </c>
      <c r="D2" s="155" t="s">
        <v>3326</v>
      </c>
      <c r="E2" s="156" t="s">
        <v>288</v>
      </c>
    </row>
    <row r="3" spans="2:7" ht="34.5">
      <c r="B3" s="145">
        <v>1</v>
      </c>
      <c r="C3" s="146" t="s">
        <v>1708</v>
      </c>
      <c r="D3" s="146" t="s">
        <v>139</v>
      </c>
      <c r="E3" s="157" t="s">
        <v>713</v>
      </c>
      <c r="G3" t="str">
        <f>"'"&amp;C3&amp;"': "&amp;"'"&amp;E3&amp;"', "</f>
        <v xml:space="preserve">'ㄚ': 'a', </v>
      </c>
    </row>
    <row r="4" spans="2:7" ht="38.25">
      <c r="B4" s="153">
        <v>2</v>
      </c>
      <c r="C4" s="146" t="s">
        <v>3337</v>
      </c>
      <c r="D4" s="146" t="s">
        <v>200</v>
      </c>
      <c r="E4" s="157" t="s">
        <v>800</v>
      </c>
      <c r="G4" t="str">
        <f t="shared" ref="G4:G14" si="0">"'"&amp;C4&amp;"': "&amp;"'"&amp;E4&amp;"', "</f>
        <v xml:space="preserve">'ㄧ': 'i', </v>
      </c>
    </row>
    <row r="5" spans="2:7" ht="34.5">
      <c r="B5" s="145">
        <v>3</v>
      </c>
      <c r="C5" s="146" t="s">
        <v>3338</v>
      </c>
      <c r="D5" s="146" t="s">
        <v>245</v>
      </c>
      <c r="E5" s="157" t="s">
        <v>989</v>
      </c>
      <c r="G5" t="str">
        <f t="shared" si="0"/>
        <v xml:space="preserve">'ㄨ': 'u', </v>
      </c>
    </row>
    <row r="6" spans="2:7" ht="38.25">
      <c r="B6" s="153">
        <v>4</v>
      </c>
      <c r="C6" s="146" t="s">
        <v>1716</v>
      </c>
      <c r="D6" s="146" t="s">
        <v>160</v>
      </c>
      <c r="E6" s="157" t="s">
        <v>739</v>
      </c>
      <c r="G6" t="str">
        <f t="shared" si="0"/>
        <v xml:space="preserve">'ㆤ': 'e', </v>
      </c>
    </row>
    <row r="7" spans="2:7" ht="34.5">
      <c r="B7" s="145">
        <v>5</v>
      </c>
      <c r="C7" s="146" t="s">
        <v>3339</v>
      </c>
      <c r="D7" s="146" t="s">
        <v>215</v>
      </c>
      <c r="E7" s="157" t="s">
        <v>781</v>
      </c>
      <c r="G7" t="str">
        <f t="shared" si="0"/>
        <v xml:space="preserve">'ㄛ': 'oo', </v>
      </c>
    </row>
    <row r="8" spans="2:7" ht="38.25">
      <c r="B8" s="153">
        <v>6</v>
      </c>
      <c r="C8" s="146" t="s">
        <v>3340</v>
      </c>
      <c r="D8" s="146" t="s">
        <v>3341</v>
      </c>
      <c r="E8" s="157" t="s">
        <v>938</v>
      </c>
      <c r="G8" t="str">
        <f t="shared" si="0"/>
        <v xml:space="preserve">'ㄜ': 'o', </v>
      </c>
    </row>
    <row r="9" spans="2:7" ht="34.5">
      <c r="B9" s="145">
        <v>7</v>
      </c>
      <c r="C9" s="146" t="s">
        <v>3342</v>
      </c>
      <c r="D9" s="146" t="s">
        <v>3343</v>
      </c>
      <c r="E9" s="157" t="s">
        <v>938</v>
      </c>
      <c r="G9" t="str">
        <f t="shared" si="0"/>
        <v xml:space="preserve">'儿': 'o', </v>
      </c>
    </row>
    <row r="10" spans="2:7" ht="38.25">
      <c r="B10" s="153">
        <v>8</v>
      </c>
      <c r="C10" s="152" t="s">
        <v>896</v>
      </c>
      <c r="D10" s="152" t="s">
        <v>388</v>
      </c>
      <c r="E10" s="158" t="s">
        <v>720</v>
      </c>
      <c r="G10" t="str">
        <f t="shared" si="0"/>
        <v xml:space="preserve">'ㆩ': 'ann', </v>
      </c>
    </row>
    <row r="11" spans="2:7" ht="34.5">
      <c r="B11" s="145">
        <v>9</v>
      </c>
      <c r="C11" s="152" t="s">
        <v>962</v>
      </c>
      <c r="D11" s="152" t="s">
        <v>3344</v>
      </c>
      <c r="E11" s="158" t="s">
        <v>809</v>
      </c>
      <c r="G11" t="str">
        <f t="shared" si="0"/>
        <v xml:space="preserve">'ㆪ': 'inn', </v>
      </c>
    </row>
    <row r="12" spans="2:7" ht="38.25">
      <c r="B12" s="153">
        <v>10</v>
      </c>
      <c r="C12" s="152" t="s">
        <v>1706</v>
      </c>
      <c r="D12" s="152" t="s">
        <v>3345</v>
      </c>
      <c r="E12" s="158" t="s">
        <v>1539</v>
      </c>
      <c r="G12" t="str">
        <f t="shared" si="0"/>
        <v xml:space="preserve">'ㆫ': 'unn', </v>
      </c>
    </row>
    <row r="13" spans="2:7" ht="34.5">
      <c r="B13" s="145">
        <v>11</v>
      </c>
      <c r="C13" s="152" t="s">
        <v>932</v>
      </c>
      <c r="D13" s="152" t="s">
        <v>202</v>
      </c>
      <c r="E13" s="158" t="s">
        <v>790</v>
      </c>
      <c r="G13" t="str">
        <f t="shared" si="0"/>
        <v xml:space="preserve">'ㆥ': 'enn', </v>
      </c>
    </row>
    <row r="14" spans="2:7" ht="38.25">
      <c r="B14" s="122">
        <v>12</v>
      </c>
      <c r="C14" s="152" t="s">
        <v>1031</v>
      </c>
      <c r="D14" s="152" t="s">
        <v>191</v>
      </c>
      <c r="E14" s="158" t="s">
        <v>956</v>
      </c>
      <c r="G14" t="str">
        <f t="shared" si="0"/>
        <v xml:space="preserve">'ㆧ': 'oonn', 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95D1-7E48-3942-A6CE-33B9B4E1615A}">
  <sheetPr codeName="工作表8">
    <tabColor theme="7" tint="0.39997558519241921"/>
  </sheetPr>
  <dimension ref="B1:L29"/>
  <sheetViews>
    <sheetView workbookViewId="0"/>
  </sheetViews>
  <sheetFormatPr defaultColWidth="10.90625" defaultRowHeight="25.5" outlineLevelRow="1" outlineLevelCol="1"/>
  <cols>
    <col min="1" max="1" width="1.81640625" customWidth="1"/>
    <col min="2" max="2" width="6" customWidth="1"/>
    <col min="3" max="3" width="13.453125" customWidth="1"/>
    <col min="4" max="4" width="11" style="23" customWidth="1"/>
    <col min="5" max="6" width="11" hidden="1" customWidth="1" outlineLevel="1"/>
    <col min="7" max="7" width="11" style="23" customWidth="1" collapsed="1"/>
    <col min="8" max="10" width="11" customWidth="1"/>
    <col min="11" max="11" width="4.7265625" customWidth="1"/>
  </cols>
  <sheetData>
    <row r="1" spans="2:12" outlineLevel="1"/>
    <row r="2" spans="2:12" s="6" customFormat="1" outlineLevel="1">
      <c r="F2" s="119">
        <v>2</v>
      </c>
      <c r="G2" s="168">
        <v>5</v>
      </c>
      <c r="H2" s="119">
        <v>10</v>
      </c>
      <c r="I2" s="119">
        <v>3</v>
      </c>
      <c r="J2" s="119">
        <v>4</v>
      </c>
    </row>
    <row r="3" spans="2:12" s="6" customFormat="1" ht="28.5" outlineLevel="1">
      <c r="B3" s="160" cm="1">
        <f t="array" ref="B3" xml:space="preserve"> COLUMN() - COLUMN($A:$A)</f>
        <v>1</v>
      </c>
      <c r="C3" s="160" cm="1">
        <f t="array" ref="C3" xml:space="preserve"> COLUMN() - COLUMN($A:$A)</f>
        <v>2</v>
      </c>
      <c r="D3" s="160" cm="1">
        <f t="array" ref="D3" xml:space="preserve"> COLUMN() - COLUMN($A:$A)</f>
        <v>3</v>
      </c>
      <c r="E3" s="160" cm="1">
        <f t="array" ref="E3" xml:space="preserve"> COLUMN() - COLUMN($A:$A)</f>
        <v>4</v>
      </c>
      <c r="F3" s="160" cm="1">
        <f t="array" ref="F3" xml:space="preserve"> COLUMN() - COLUMN($A:$A)</f>
        <v>5</v>
      </c>
      <c r="G3" s="169" cm="1">
        <f t="array" ref="G3" xml:space="preserve"> COLUMN() - COLUMN($A:$A)</f>
        <v>6</v>
      </c>
      <c r="H3" s="160" cm="1">
        <f t="array" ref="H3" xml:space="preserve"> COLUMN() - COLUMN($A:$A)</f>
        <v>7</v>
      </c>
      <c r="I3" s="160" cm="1">
        <f t="array" ref="I3" xml:space="preserve"> COLUMN() - COLUMN($A:$A)</f>
        <v>8</v>
      </c>
      <c r="J3" s="160" cm="1">
        <f t="array" ref="J3" xml:space="preserve"> COLUMN() - COLUMN($A:$A)</f>
        <v>9</v>
      </c>
    </row>
    <row r="5" spans="2:12" s="161" customFormat="1">
      <c r="B5" s="162" t="s">
        <v>127</v>
      </c>
      <c r="C5" s="163" t="s">
        <v>3346</v>
      </c>
      <c r="D5" s="162" t="s">
        <v>3347</v>
      </c>
      <c r="E5" s="162" t="s">
        <v>3348</v>
      </c>
      <c r="F5" s="162" t="s">
        <v>3349</v>
      </c>
      <c r="G5" s="162" t="s">
        <v>129</v>
      </c>
      <c r="H5" s="163" t="s">
        <v>3350</v>
      </c>
      <c r="I5" s="163" t="s">
        <v>690</v>
      </c>
      <c r="J5" s="163" t="s">
        <v>3351</v>
      </c>
    </row>
    <row r="6" spans="2:12">
      <c r="B6" s="164" cm="1">
        <f t="array" ref="B6" xml:space="preserve"> ROW() - ROW($5:$5)</f>
        <v>1</v>
      </c>
      <c r="C6" s="165" t="s">
        <v>3352</v>
      </c>
      <c r="D6" s="166" t="s">
        <v>170</v>
      </c>
      <c r="E6" s="167">
        <f xml:space="preserve"> IF($D6="", "", MATCH(D6, 十五音韻母清單!$H$6:$H$105,0))</f>
        <v>14</v>
      </c>
      <c r="F6" s="167" cm="1">
        <f t="array" ref="F6" xml:space="preserve"> IF($D6="", "", INDEX(十五音韻母清單!$B$6:$K$105, $E6, F$2))</f>
        <v>7</v>
      </c>
      <c r="G6" s="170" t="str" cm="1">
        <f t="array" ref="G6" xml:space="preserve"> IF($D6="", "",  INDEX(十五音韻母清單!$B$6:$K$105, $E6, G$2))</f>
        <v>ok</v>
      </c>
      <c r="H6" s="167" t="str" cm="1">
        <f t="array" ref="H6" xml:space="preserve"> IF($D6="", "",  INDEX(十五音韻母清單!$B$6:$K$105, $E6, H$2))</f>
        <v>ㆦㆻ</v>
      </c>
      <c r="I6" s="167" t="str" cm="1">
        <f t="array" ref="I6" xml:space="preserve"> IF($D6="", "", INDEX(十五音韻母清單!$B$6:$K$105, $E6, I$2))</f>
        <v>公</v>
      </c>
      <c r="J6" s="167" t="str" cm="1">
        <f t="array" ref="J6" xml:space="preserve"> IF($D6="", "",  INDEX(十五音韻母清單!$B$6:$K$105, $E6, J$2))</f>
        <v>入聲</v>
      </c>
      <c r="L6" t="str">
        <f xml:space="preserve"> ".replace('" &amp; C6 &amp; "', '" &amp; D6 &amp; "') \"</f>
        <v>.replace('ㄛㄍ', 'ok') \</v>
      </c>
    </row>
    <row r="7" spans="2:12">
      <c r="B7" s="164" cm="1">
        <f t="array" ref="B7" xml:space="preserve"> ROW() - ROW($5:$5)</f>
        <v>2</v>
      </c>
      <c r="C7" s="165" t="s">
        <v>3353</v>
      </c>
      <c r="D7" s="166" t="s">
        <v>978</v>
      </c>
      <c r="E7" s="167">
        <f xml:space="preserve"> IF($D7="", "", MATCH(D7, 十五音韻母清單!$H$6:$H$105,0))</f>
        <v>13</v>
      </c>
      <c r="F7" s="167" cm="1">
        <f t="array" ref="F7" xml:space="preserve"> IF($D7="", "", INDEX(十五音韻母清單!$B$6:$K$105, $E7, F$2))</f>
        <v>7</v>
      </c>
      <c r="G7" s="170" t="str" cm="1">
        <f t="array" ref="G7" xml:space="preserve"> IF($D7="", "",  INDEX(十五音韻母清單!$B$6:$K$105, $E7, G$2))</f>
        <v>ong</v>
      </c>
      <c r="H7" s="167" t="str" cm="1">
        <f t="array" ref="H7" xml:space="preserve"> IF($D7="", "",  INDEX(十五音韻母清單!$B$6:$K$105, $E7, H$2))</f>
        <v>ㆲ</v>
      </c>
      <c r="I7" s="167" t="str" cm="1">
        <f t="array" ref="I7" xml:space="preserve"> IF($D7="", "", INDEX(十五音韻母清單!$B$6:$K$105, $E7, I$2))</f>
        <v>公</v>
      </c>
      <c r="J7" s="167" t="str" cm="1">
        <f t="array" ref="J7" xml:space="preserve"> IF($D7="", "",  INDEX(十五音韻母清單!$B$6:$K$105, $E7, J$2))</f>
        <v>舒聲</v>
      </c>
      <c r="L7" t="str">
        <f t="shared" ref="L7:L16" si="0" xml:space="preserve"> ".replace('" &amp; C7 &amp; "', '" &amp; D7 &amp; "') \"</f>
        <v>.replace('ㄛㄥ', 'ong') \</v>
      </c>
    </row>
    <row r="8" spans="2:12">
      <c r="B8" s="164" cm="1">
        <f t="array" ref="B8" xml:space="preserve"> ROW() - ROW($5:$5)</f>
        <v>3</v>
      </c>
      <c r="C8" s="165" t="s">
        <v>3354</v>
      </c>
      <c r="D8" s="166" t="s">
        <v>754</v>
      </c>
      <c r="E8" s="167">
        <f xml:space="preserve"> IF($D8="", "", MATCH(D8, 十五音韻母清單!$H$6:$H$105,0))</f>
        <v>11</v>
      </c>
      <c r="F8" s="167" cm="1">
        <f t="array" ref="F8" xml:space="preserve"> IF($D8="", "", INDEX(十五音韻母清單!$B$6:$K$105, $E8, F$2))</f>
        <v>6</v>
      </c>
      <c r="G8" s="170" t="str" cm="1">
        <f t="array" ref="G8" xml:space="preserve"> IF($D8="", "",  INDEX(十五音韻母清單!$B$6:$K$105, $E8, G$2))</f>
        <v>an</v>
      </c>
      <c r="H8" s="167" t="str" cm="1">
        <f t="array" ref="H8" xml:space="preserve"> IF($D8="", "",  INDEX(十五音韻母清單!$B$6:$K$105, $E8, H$2))</f>
        <v>ㄢ</v>
      </c>
      <c r="I8" s="167" t="str" cm="1">
        <f t="array" ref="I8" xml:space="preserve"> IF($D8="", "", INDEX(十五音韻母清單!$B$6:$K$105, $E8, I$2))</f>
        <v>干</v>
      </c>
      <c r="J8" s="167" t="str" cm="1">
        <f t="array" ref="J8" xml:space="preserve"> IF($D8="", "",  INDEX(十五音韻母清單!$B$6:$K$105, $E8, J$2))</f>
        <v>舒聲</v>
      </c>
      <c r="L8" t="str">
        <f t="shared" si="0"/>
        <v>.replace('ㆤㄣ', 'an') \</v>
      </c>
    </row>
    <row r="9" spans="2:12">
      <c r="B9" s="164" cm="1">
        <f t="array" ref="B9" xml:space="preserve"> ROW() - ROW($5:$5)</f>
        <v>4</v>
      </c>
      <c r="C9" s="165" t="s">
        <v>3355</v>
      </c>
      <c r="D9" s="166" t="s">
        <v>210</v>
      </c>
      <c r="E9" s="167">
        <f xml:space="preserve"> IF($D9="", "", MATCH(D9, 十五音韻母清單!$H$6:$H$105,0))</f>
        <v>28</v>
      </c>
      <c r="F9" s="167" cm="1">
        <f t="array" ref="F9" xml:space="preserve"> IF($D9="", "", INDEX(十五音韻母清單!$B$6:$K$105, $E9, F$2))</f>
        <v>14</v>
      </c>
      <c r="G9" s="170" t="str" cm="1">
        <f t="array" ref="G9" xml:space="preserve"> IF($D9="", "",  INDEX(十五音韻母清單!$B$6:$K$105, $E9, G$2))</f>
        <v>iok</v>
      </c>
      <c r="H9" s="167" t="str" cm="1">
        <f t="array" ref="H9" xml:space="preserve"> IF($D9="", "",  INDEX(十五音韻母清單!$B$6:$K$105, $E9, H$2))</f>
        <v>ㄧㆦㆻ</v>
      </c>
      <c r="I9" s="167" t="str" cm="1">
        <f t="array" ref="I9" xml:space="preserve"> IF($D9="", "", INDEX(十五音韻母清單!$B$6:$K$105, $E9, I$2))</f>
        <v>恭</v>
      </c>
      <c r="J9" s="167" t="str" cm="1">
        <f t="array" ref="J9" xml:space="preserve"> IF($D9="", "",  INDEX(十五音韻母清單!$B$6:$K$105, $E9, J$2))</f>
        <v>入聲</v>
      </c>
      <c r="L9" t="str">
        <f t="shared" si="0"/>
        <v>.replace('ㄧㄛㄍ', 'iok') \</v>
      </c>
    </row>
    <row r="10" spans="2:12">
      <c r="B10" s="164" cm="1">
        <f t="array" ref="B10" xml:space="preserve"> ROW() - ROW($5:$5)</f>
        <v>5</v>
      </c>
      <c r="C10" s="165" t="s">
        <v>3356</v>
      </c>
      <c r="D10" s="166" t="s">
        <v>143</v>
      </c>
      <c r="E10" s="167">
        <f xml:space="preserve"> IF($D10="", "", MATCH(D10, 十五音韻母清單!$H$6:$H$105,0))</f>
        <v>4</v>
      </c>
      <c r="F10" s="167" cm="1">
        <f t="array" ref="F10" xml:space="preserve"> IF($D10="", "", INDEX(十五音韻母清單!$B$6:$K$105, $E10, F$2))</f>
        <v>2</v>
      </c>
      <c r="G10" s="170" t="str" cm="1">
        <f t="array" ref="G10" xml:space="preserve"> IF($D10="", "",  INDEX(十五音韻母清單!$B$6:$K$105, $E10, G$2))</f>
        <v>iat</v>
      </c>
      <c r="H10" s="167" t="str" cm="1">
        <f t="array" ref="H10" xml:space="preserve"> IF($D10="", "",  INDEX(十五音韻母清單!$B$6:$K$105, $E10, H$2))</f>
        <v>ㄧㄚㆵ</v>
      </c>
      <c r="I10" s="167" t="str" cm="1">
        <f t="array" ref="I10" xml:space="preserve"> IF($D10="", "", INDEX(十五音韻母清單!$B$6:$K$105, $E10, I$2))</f>
        <v>堅</v>
      </c>
      <c r="J10" s="167" t="str" cm="1">
        <f t="array" ref="J10" xml:space="preserve"> IF($D10="", "",  INDEX(十五音韻母清單!$B$6:$K$105, $E10, J$2))</f>
        <v>入聲</v>
      </c>
      <c r="L10" t="str">
        <f t="shared" si="0"/>
        <v>.replace('ㄧㆤㄉ', 'iat') \</v>
      </c>
    </row>
    <row r="11" spans="2:12">
      <c r="B11" s="164" cm="1">
        <f t="array" ref="B11" xml:space="preserve"> ROW() - ROW($5:$5)</f>
        <v>6</v>
      </c>
      <c r="C11" s="165" t="s">
        <v>3357</v>
      </c>
      <c r="D11" s="166" t="s">
        <v>3358</v>
      </c>
      <c r="E11" s="167">
        <f xml:space="preserve"> IF($D11="", "", MATCH(D11, 十五音韻母清單!$H$6:$H$105,0))</f>
        <v>18</v>
      </c>
      <c r="F11" s="167" cm="1">
        <f t="array" ref="F11" xml:space="preserve"> IF($D11="", "", INDEX(十五音韻母清單!$B$6:$K$105, $E11, F$2))</f>
        <v>9</v>
      </c>
      <c r="G11" s="170" t="str" cm="1">
        <f t="array" ref="G11" xml:space="preserve"> IF($D11="", "",  INDEX(十五音韻母清單!$B$6:$K$105, $E11, G$2))</f>
        <v>ik</v>
      </c>
      <c r="H11" s="167" t="str" cm="1">
        <f t="array" ref="H11" xml:space="preserve"> IF($D11="", "",  INDEX(十五音韻母清單!$B$6:$K$105, $E11, H$2))</f>
        <v>ㄧㆻ</v>
      </c>
      <c r="I11" s="167" t="str" cm="1">
        <f t="array" ref="I11" xml:space="preserve"> IF($D11="", "", INDEX(十五音韻母清單!$B$6:$K$105, $E11, I$2))</f>
        <v>經</v>
      </c>
      <c r="J11" s="167" t="str" cm="1">
        <f t="array" ref="J11" xml:space="preserve"> IF($D11="", "",  INDEX(十五音韻母清單!$B$6:$K$105, $E11, J$2))</f>
        <v>入聲</v>
      </c>
      <c r="L11" t="str">
        <f t="shared" si="0"/>
        <v>.replace('ㄧㆤㄍ', 'ek') \</v>
      </c>
    </row>
    <row r="12" spans="2:12">
      <c r="B12" s="164" cm="1">
        <f t="array" ref="B12" xml:space="preserve"> ROW() - ROW($5:$5)</f>
        <v>7</v>
      </c>
      <c r="C12" s="165" t="s">
        <v>3359</v>
      </c>
      <c r="D12" s="166" t="s">
        <v>3360</v>
      </c>
      <c r="E12" s="167">
        <f xml:space="preserve"> IF($D12="", "", MATCH(D12, 十五音韻母清單!$H$6:$H$105,0))</f>
        <v>17</v>
      </c>
      <c r="F12" s="167" cm="1">
        <f t="array" ref="F12" xml:space="preserve"> IF($D12="", "", INDEX(十五音韻母清單!$B$6:$K$105, $E12, F$2))</f>
        <v>9</v>
      </c>
      <c r="G12" s="170" t="str" cm="1">
        <f t="array" ref="G12" xml:space="preserve"> IF($D12="", "",  INDEX(十五音韻母清單!$B$6:$K$105, $E12, G$2))</f>
        <v>ing</v>
      </c>
      <c r="H12" s="167" t="str" cm="1">
        <f t="array" ref="H12" xml:space="preserve"> IF($D12="", "",  INDEX(十五音韻母清單!$B$6:$K$105, $E12, H$2))</f>
        <v>ㄧㄥ</v>
      </c>
      <c r="I12" s="167" t="str" cm="1">
        <f t="array" ref="I12" xml:space="preserve"> IF($D12="", "", INDEX(十五音韻母清單!$B$6:$K$105, $E12, I$2))</f>
        <v>經</v>
      </c>
      <c r="J12" s="167" t="str" cm="1">
        <f t="array" ref="J12" xml:space="preserve"> IF($D12="", "",  INDEX(十五音韻母清單!$B$6:$K$105, $E12, J$2))</f>
        <v>舒聲</v>
      </c>
      <c r="L12" t="str">
        <f t="shared" si="0"/>
        <v>.replace('ㄧㆤㄥ', 'eng') \</v>
      </c>
    </row>
    <row r="13" spans="2:12">
      <c r="B13" s="164" cm="1">
        <f t="array" ref="B13" xml:space="preserve"> ROW() - ROW($5:$5)</f>
        <v>8</v>
      </c>
      <c r="C13" s="165" t="s">
        <v>848</v>
      </c>
      <c r="D13" s="166" t="s">
        <v>315</v>
      </c>
      <c r="E13" s="167">
        <f xml:space="preserve"> IF($D13="", "", MATCH(D13, 十五音韻母清單!$H$6:$H$105,0))</f>
        <v>39</v>
      </c>
      <c r="F13" s="167" cm="1">
        <f t="array" ref="F13" xml:space="preserve"> IF($D13="", "", INDEX(十五音韻母清單!$B$6:$K$105, $E13, F$2))</f>
        <v>20</v>
      </c>
      <c r="G13" s="170" t="str" cm="1">
        <f t="array" ref="G13" xml:space="preserve"> IF($D13="", "",  INDEX(十五音韻母清單!$B$6:$K$105, $E13, G$2))</f>
        <v>ua</v>
      </c>
      <c r="H13" s="167" t="str" cm="1">
        <f t="array" ref="H13" xml:space="preserve"> IF($D13="", "",  INDEX(十五音韻母清單!$B$6:$K$105, $E13, H$2))</f>
        <v>ㄨㄚ</v>
      </c>
      <c r="I13" s="167" t="str" cm="1">
        <f t="array" ref="I13" xml:space="preserve"> IF($D13="", "", INDEX(十五音韻母清單!$B$6:$K$105, $E13, I$2))</f>
        <v>瓜</v>
      </c>
      <c r="J13" s="167" t="str" cm="1">
        <f t="array" ref="J13" xml:space="preserve"> IF($D13="", "",  INDEX(十五音韻母清單!$B$6:$K$105, $E13, J$2))</f>
        <v>舒聲</v>
      </c>
      <c r="L13" t="str">
        <f t="shared" si="0"/>
        <v>.replace('ㄨㄚ', 'oa') \</v>
      </c>
    </row>
    <row r="14" spans="2:12">
      <c r="B14" s="164" cm="1">
        <f t="array" ref="B14" xml:space="preserve"> ROW() - ROW($5:$5)</f>
        <v>9</v>
      </c>
      <c r="C14" s="165" t="s">
        <v>3361</v>
      </c>
      <c r="D14" s="166" t="s">
        <v>322</v>
      </c>
      <c r="E14" s="167">
        <f xml:space="preserve"> IF($D14="", "", MATCH(D14, 十五音韻母清單!$H$6:$H$105,0))</f>
        <v>20</v>
      </c>
      <c r="F14" s="167" cm="1">
        <f t="array" ref="F14" xml:space="preserve"> IF($D14="", "", INDEX(十五音韻母清單!$B$6:$K$105, $E14, F$2))</f>
        <v>10</v>
      </c>
      <c r="G14" s="170" t="str" cm="1">
        <f t="array" ref="G14" xml:space="preserve"> IF($D14="", "",  INDEX(十五音韻母清單!$B$6:$K$105, $E14, G$2))</f>
        <v>uat</v>
      </c>
      <c r="H14" s="167" t="str" cm="1">
        <f t="array" ref="H14" xml:space="preserve"> IF($D14="", "",  INDEX(十五音韻母清單!$B$6:$K$105, $E14, H$2))</f>
        <v>ㄨㄚㆵ</v>
      </c>
      <c r="I14" s="167" t="str" cm="1">
        <f t="array" ref="I14" xml:space="preserve"> IF($D14="", "", INDEX(十五音韻母清單!$B$6:$K$105, $E14, I$2))</f>
        <v>觀</v>
      </c>
      <c r="J14" s="167" t="str" cm="1">
        <f t="array" ref="J14" xml:space="preserve"> IF($D14="", "",  INDEX(十五音韻母清單!$B$6:$K$105, $E14, J$2))</f>
        <v>入聲</v>
      </c>
      <c r="L14" t="str">
        <f t="shared" si="0"/>
        <v>.replace('ㄨㄚㄉ', 'oat') \</v>
      </c>
    </row>
    <row r="15" spans="2:12">
      <c r="B15" s="164" cm="1">
        <f t="array" ref="B15" xml:space="preserve"> ROW() - ROW($5:$5)</f>
        <v>10</v>
      </c>
      <c r="C15" s="165" t="s">
        <v>886</v>
      </c>
      <c r="D15" s="166" t="s">
        <v>3362</v>
      </c>
      <c r="E15" s="167">
        <f xml:space="preserve"> IF($D15="", "", MATCH(D15, 十五音韻母清單!$H$6:$H$105,0))</f>
        <v>49</v>
      </c>
      <c r="F15" s="167" cm="1">
        <f t="array" ref="F15" xml:space="preserve"> IF($D15="", "", INDEX(十五音韻母清單!$B$6:$K$105, $E15, F$2))</f>
        <v>25</v>
      </c>
      <c r="G15" s="170" t="str" cm="1">
        <f t="array" ref="G15" xml:space="preserve"> IF($D15="", "",  INDEX(十五音韻母清單!$B$6:$K$105, $E15, G$2))</f>
        <v>ue</v>
      </c>
      <c r="H15" s="167" t="str" cm="1">
        <f t="array" ref="H15" xml:space="preserve"> IF($D15="", "",  INDEX(十五音韻母清單!$B$6:$K$105, $E15, H$2))</f>
        <v>ㄨㆤ</v>
      </c>
      <c r="I15" s="167" t="str" cm="1">
        <f t="array" ref="I15" xml:space="preserve"> IF($D15="", "", INDEX(十五音韻母清單!$B$6:$K$105, $E15, I$2))</f>
        <v>檜</v>
      </c>
      <c r="J15" s="167" t="str" cm="1">
        <f t="array" ref="J15" xml:space="preserve"> IF($D15="", "",  INDEX(十五音韻母清單!$B$6:$K$105, $E15, J$2))</f>
        <v>舒聲</v>
      </c>
      <c r="L15" t="str">
        <f t="shared" si="0"/>
        <v>.replace('ㄨㆤ', 'oe') \</v>
      </c>
    </row>
    <row r="16" spans="2:12">
      <c r="B16" s="164" cm="1">
        <f t="array" ref="B16" xml:space="preserve"> ROW() - ROW($5:$5)</f>
        <v>11</v>
      </c>
      <c r="C16" s="165" t="s">
        <v>776</v>
      </c>
      <c r="D16" s="166" t="s">
        <v>320</v>
      </c>
      <c r="E16" s="167">
        <f xml:space="preserve"> IF($D16="", "", MATCH(D16, 十五音韻母清單!$H$6:$H$105,0))</f>
        <v>19</v>
      </c>
      <c r="F16" s="167" cm="1">
        <f t="array" ref="F16" xml:space="preserve"> IF($D16="", "", INDEX(十五音韻母清單!$B$6:$K$105, $E16, F$2))</f>
        <v>10</v>
      </c>
      <c r="G16" s="170" t="str" cm="1">
        <f t="array" ref="G16" xml:space="preserve"> IF($D16="", "",  INDEX(十五音韻母清單!$B$6:$K$105, $E16, G$2))</f>
        <v>uan</v>
      </c>
      <c r="H16" s="167" t="str" cm="1">
        <f t="array" ref="H16" xml:space="preserve"> IF($D16="", "",  INDEX(十五音韻母清單!$B$6:$K$105, $E16, H$2))</f>
        <v>ㄨㄢ</v>
      </c>
      <c r="I16" s="167" t="str" cm="1">
        <f t="array" ref="I16" xml:space="preserve"> IF($D16="", "", INDEX(十五音韻母清單!$B$6:$K$105, $E16, I$2))</f>
        <v>觀</v>
      </c>
      <c r="J16" s="167" t="str" cm="1">
        <f t="array" ref="J16" xml:space="preserve"> IF($D16="", "",  INDEX(十五音韻母清單!$B$6:$K$105, $E16, J$2))</f>
        <v>舒聲</v>
      </c>
      <c r="L16" t="str">
        <f t="shared" si="0"/>
        <v>.replace('ㄨㄢ', 'oan') \</v>
      </c>
    </row>
    <row r="17" spans="2:10">
      <c r="B17" s="164" cm="1">
        <f t="array" ref="B17" xml:space="preserve"> ROW() - ROW($5:$5)</f>
        <v>12</v>
      </c>
      <c r="C17" s="165"/>
      <c r="D17" s="166"/>
      <c r="E17" s="167" t="str">
        <f xml:space="preserve"> IF($D17="", "", MATCH(D17, 十五音韻母清單!$H$6:$H$105,0))</f>
        <v/>
      </c>
      <c r="F17" s="167" t="str" cm="1">
        <f t="array" ref="F17" xml:space="preserve"> IF($D17="", "", INDEX(十五音韻母清單!$B$6:$K$105, $E17, F$2))</f>
        <v/>
      </c>
      <c r="G17" s="170" t="str" cm="1">
        <f t="array" ref="G17" xml:space="preserve"> IF($D17="", "",  INDEX(十五音韻母清單!$B$6:$K$105, $E17, G$2))</f>
        <v/>
      </c>
      <c r="H17" s="167" t="str" cm="1">
        <f t="array" ref="H17" xml:space="preserve"> IF($D17="", "",  INDEX(十五音韻母清單!$B$6:$K$105, $E17, H$2))</f>
        <v/>
      </c>
      <c r="I17" s="167" t="str" cm="1">
        <f t="array" ref="I17" xml:space="preserve"> IF($D17="", "", INDEX(十五音韻母清單!$B$6:$K$105, $E17, I$2))</f>
        <v/>
      </c>
      <c r="J17" s="167" t="str" cm="1">
        <f t="array" ref="J17" xml:space="preserve"> IF($D17="", "",  INDEX(十五音韻母清單!$B$6:$K$105, $E17, J$2))</f>
        <v/>
      </c>
    </row>
    <row r="18" spans="2:10">
      <c r="B18" s="164" cm="1">
        <f t="array" ref="B18" xml:space="preserve"> ROW() - ROW($5:$5)</f>
        <v>13</v>
      </c>
      <c r="C18" s="165"/>
      <c r="D18" s="166"/>
      <c r="E18" s="167" t="str">
        <f xml:space="preserve"> IF($D18="", "", MATCH(D18, 十五音韻母清單!$H$6:$H$105,0))</f>
        <v/>
      </c>
      <c r="F18" s="167" t="str" cm="1">
        <f t="array" ref="F18" xml:space="preserve"> IF($D18="", "", INDEX(十五音韻母清單!$B$6:$K$105, $E18, F$2))</f>
        <v/>
      </c>
      <c r="G18" s="170" t="str" cm="1">
        <f t="array" ref="G18" xml:space="preserve"> IF($D18="", "",  INDEX(十五音韻母清單!$B$6:$K$105, $E18, G$2))</f>
        <v/>
      </c>
      <c r="H18" s="167" t="str" cm="1">
        <f t="array" ref="H18" xml:space="preserve"> IF($D18="", "",  INDEX(十五音韻母清單!$B$6:$K$105, $E18, H$2))</f>
        <v/>
      </c>
      <c r="I18" s="167" t="str" cm="1">
        <f t="array" ref="I18" xml:space="preserve"> IF($D18="", "", INDEX(十五音韻母清單!$B$6:$K$105, $E18, I$2))</f>
        <v/>
      </c>
      <c r="J18" s="167" t="str" cm="1">
        <f t="array" ref="J18" xml:space="preserve"> IF($D18="", "",  INDEX(十五音韻母清單!$B$6:$K$105, $E18, J$2))</f>
        <v/>
      </c>
    </row>
    <row r="19" spans="2:10">
      <c r="B19" s="164" cm="1">
        <f t="array" ref="B19" xml:space="preserve"> ROW() - ROW($5:$5)</f>
        <v>14</v>
      </c>
      <c r="C19" s="165"/>
      <c r="D19" s="166"/>
      <c r="E19" s="167" t="str">
        <f xml:space="preserve"> IF($D19="", "", MATCH(D19, 十五音韻母清單!$H$6:$H$105,0))</f>
        <v/>
      </c>
      <c r="F19" s="167" t="str" cm="1">
        <f t="array" ref="F19" xml:space="preserve"> IF($D19="", "", INDEX(十五音韻母清單!$B$6:$K$105, $E19, F$2))</f>
        <v/>
      </c>
      <c r="G19" s="170" t="str" cm="1">
        <f t="array" ref="G19" xml:space="preserve"> IF($D19="", "",  INDEX(十五音韻母清單!$B$6:$K$105, $E19, G$2))</f>
        <v/>
      </c>
      <c r="H19" s="167" t="str" cm="1">
        <f t="array" ref="H19" xml:space="preserve"> IF($D19="", "",  INDEX(十五音韻母清單!$B$6:$K$105, $E19, H$2))</f>
        <v/>
      </c>
      <c r="I19" s="167" t="str" cm="1">
        <f t="array" ref="I19" xml:space="preserve"> IF($D19="", "", INDEX(十五音韻母清單!$B$6:$K$105, $E19, I$2))</f>
        <v/>
      </c>
      <c r="J19" s="167" t="str" cm="1">
        <f t="array" ref="J19" xml:space="preserve"> IF($D19="", "",  INDEX(十五音韻母清單!$B$6:$K$105, $E19, J$2))</f>
        <v/>
      </c>
    </row>
    <row r="20" spans="2:10">
      <c r="B20" s="164" cm="1">
        <f t="array" ref="B20" xml:space="preserve"> ROW() - ROW($5:$5)</f>
        <v>15</v>
      </c>
      <c r="C20" s="165"/>
      <c r="D20" s="166"/>
      <c r="E20" s="167" t="str">
        <f xml:space="preserve"> IF($D20="", "", MATCH(D20, 十五音韻母清單!$H$6:$H$105,0))</f>
        <v/>
      </c>
      <c r="F20" s="167" t="str" cm="1">
        <f t="array" ref="F20" xml:space="preserve"> IF($D20="", "", INDEX(十五音韻母清單!$B$6:$K$105, $E20, F$2))</f>
        <v/>
      </c>
      <c r="G20" s="170" t="str" cm="1">
        <f t="array" ref="G20" xml:space="preserve"> IF($D20="", "",  INDEX(十五音韻母清單!$B$6:$K$105, $E20, G$2))</f>
        <v/>
      </c>
      <c r="H20" s="167" t="str" cm="1">
        <f t="array" ref="H20" xml:space="preserve"> IF($D20="", "",  INDEX(十五音韻母清單!$B$6:$K$105, $E20, H$2))</f>
        <v/>
      </c>
      <c r="I20" s="167" t="str" cm="1">
        <f t="array" ref="I20" xml:space="preserve"> IF($D20="", "", INDEX(十五音韻母清單!$B$6:$K$105, $E20, I$2))</f>
        <v/>
      </c>
      <c r="J20" s="167" t="str" cm="1">
        <f t="array" ref="J20" xml:space="preserve"> IF($D20="", "",  INDEX(十五音韻母清單!$B$6:$K$105, $E20, J$2))</f>
        <v/>
      </c>
    </row>
    <row r="21" spans="2:10">
      <c r="B21" s="164" cm="1">
        <f t="array" ref="B21" xml:space="preserve"> ROW() - ROW($5:$5)</f>
        <v>16</v>
      </c>
      <c r="C21" s="165"/>
      <c r="D21" s="166"/>
      <c r="E21" s="167" t="str">
        <f xml:space="preserve"> IF($D21="", "", MATCH(D21, 十五音韻母清單!$H$6:$H$105,0))</f>
        <v/>
      </c>
      <c r="F21" s="167" t="str" cm="1">
        <f t="array" ref="F21" xml:space="preserve"> IF($D21="", "", INDEX(十五音韻母清單!$B$6:$K$105, $E21, F$2))</f>
        <v/>
      </c>
      <c r="G21" s="170" t="str" cm="1">
        <f t="array" ref="G21" xml:space="preserve"> IF($D21="", "",  INDEX(十五音韻母清單!$B$6:$K$105, $E21, G$2))</f>
        <v/>
      </c>
      <c r="H21" s="167" t="str" cm="1">
        <f t="array" ref="H21" xml:space="preserve"> IF($D21="", "",  INDEX(十五音韻母清單!$B$6:$K$105, $E21, H$2))</f>
        <v/>
      </c>
      <c r="I21" s="167" t="str" cm="1">
        <f t="array" ref="I21" xml:space="preserve"> IF($D21="", "", INDEX(十五音韻母清單!$B$6:$K$105, $E21, I$2))</f>
        <v/>
      </c>
      <c r="J21" s="167" t="str" cm="1">
        <f t="array" ref="J21" xml:space="preserve"> IF($D21="", "",  INDEX(十五音韻母清單!$B$6:$K$105, $E21, J$2))</f>
        <v/>
      </c>
    </row>
    <row r="22" spans="2:10">
      <c r="B22" s="164" cm="1">
        <f t="array" ref="B22" xml:space="preserve"> ROW() - ROW($5:$5)</f>
        <v>17</v>
      </c>
      <c r="C22" s="165"/>
      <c r="D22" s="166"/>
      <c r="E22" s="167" t="str">
        <f xml:space="preserve"> IF($D22="", "", MATCH(D22, 十五音韻母清單!$H$6:$H$105,0))</f>
        <v/>
      </c>
      <c r="F22" s="167" t="str" cm="1">
        <f t="array" ref="F22" xml:space="preserve"> IF($D22="", "", INDEX(十五音韻母清單!$B$6:$K$105, $E22, F$2))</f>
        <v/>
      </c>
      <c r="G22" s="170" t="str" cm="1">
        <f t="array" ref="G22" xml:space="preserve"> IF($D22="", "",  INDEX(十五音韻母清單!$B$6:$K$105, $E22, G$2))</f>
        <v/>
      </c>
      <c r="H22" s="167" t="str" cm="1">
        <f t="array" ref="H22" xml:space="preserve"> IF($D22="", "",  INDEX(十五音韻母清單!$B$6:$K$105, $E22, H$2))</f>
        <v/>
      </c>
      <c r="I22" s="167" t="str" cm="1">
        <f t="array" ref="I22" xml:space="preserve"> IF($D22="", "", INDEX(十五音韻母清單!$B$6:$K$105, $E22, I$2))</f>
        <v/>
      </c>
      <c r="J22" s="167" t="str" cm="1">
        <f t="array" ref="J22" xml:space="preserve"> IF($D22="", "",  INDEX(十五音韻母清單!$B$6:$K$105, $E22, J$2))</f>
        <v/>
      </c>
    </row>
    <row r="23" spans="2:10">
      <c r="B23" s="164" cm="1">
        <f t="array" ref="B23" xml:space="preserve"> ROW() - ROW($5:$5)</f>
        <v>18</v>
      </c>
      <c r="C23" s="165"/>
      <c r="D23" s="166"/>
      <c r="E23" s="167" t="str">
        <f xml:space="preserve"> IF($D23="", "", MATCH(D23, 十五音韻母清單!$H$6:$H$105,0))</f>
        <v/>
      </c>
      <c r="F23" s="167" t="str" cm="1">
        <f t="array" ref="F23" xml:space="preserve"> IF($D23="", "", INDEX(十五音韻母清單!$B$6:$K$105, $E23, F$2))</f>
        <v/>
      </c>
      <c r="G23" s="170" t="str" cm="1">
        <f t="array" ref="G23" xml:space="preserve"> IF($D23="", "",  INDEX(十五音韻母清單!$B$6:$K$105, $E23, G$2))</f>
        <v/>
      </c>
      <c r="H23" s="167" t="str" cm="1">
        <f t="array" ref="H23" xml:space="preserve"> IF($D23="", "",  INDEX(十五音韻母清單!$B$6:$K$105, $E23, H$2))</f>
        <v/>
      </c>
      <c r="I23" s="167" t="str" cm="1">
        <f t="array" ref="I23" xml:space="preserve"> IF($D23="", "", INDEX(十五音韻母清單!$B$6:$K$105, $E23, I$2))</f>
        <v/>
      </c>
      <c r="J23" s="167" t="str" cm="1">
        <f t="array" ref="J23" xml:space="preserve"> IF($D23="", "",  INDEX(十五音韻母清單!$B$6:$K$105, $E23, J$2))</f>
        <v/>
      </c>
    </row>
    <row r="24" spans="2:10">
      <c r="B24" s="164" cm="1">
        <f t="array" ref="B24" xml:space="preserve"> ROW() - ROW($5:$5)</f>
        <v>19</v>
      </c>
      <c r="C24" s="165"/>
      <c r="D24" s="166"/>
      <c r="E24" s="167" t="str">
        <f xml:space="preserve"> IF($D24="", "", MATCH(D24, 十五音韻母清單!$H$6:$H$105,0))</f>
        <v/>
      </c>
      <c r="F24" s="167" t="str" cm="1">
        <f t="array" ref="F24" xml:space="preserve"> IF($D24="", "", INDEX(十五音韻母清單!$B$6:$K$105, $E24, F$2))</f>
        <v/>
      </c>
      <c r="G24" s="170" t="str" cm="1">
        <f t="array" ref="G24" xml:space="preserve"> IF($D24="", "",  INDEX(十五音韻母清單!$B$6:$K$105, $E24, G$2))</f>
        <v/>
      </c>
      <c r="H24" s="167" t="str" cm="1">
        <f t="array" ref="H24" xml:space="preserve"> IF($D24="", "",  INDEX(十五音韻母清單!$B$6:$K$105, $E24, H$2))</f>
        <v/>
      </c>
      <c r="I24" s="167" t="str" cm="1">
        <f t="array" ref="I24" xml:space="preserve"> IF($D24="", "", INDEX(十五音韻母清單!$B$6:$K$105, $E24, I$2))</f>
        <v/>
      </c>
      <c r="J24" s="167" t="str" cm="1">
        <f t="array" ref="J24" xml:space="preserve"> IF($D24="", "",  INDEX(十五音韻母清單!$B$6:$K$105, $E24, J$2))</f>
        <v/>
      </c>
    </row>
    <row r="25" spans="2:10">
      <c r="B25" s="164" cm="1">
        <f t="array" ref="B25" xml:space="preserve"> ROW() - ROW($5:$5)</f>
        <v>20</v>
      </c>
      <c r="C25" s="165"/>
      <c r="D25" s="166"/>
      <c r="E25" s="167" t="str">
        <f xml:space="preserve"> IF($D25="", "", MATCH(D25, 十五音韻母清單!$H$6:$H$105,0))</f>
        <v/>
      </c>
      <c r="F25" s="167" t="str" cm="1">
        <f t="array" ref="F25" xml:space="preserve"> IF($D25="", "", INDEX(十五音韻母清單!$B$6:$K$105, $E25, F$2))</f>
        <v/>
      </c>
      <c r="G25" s="170" t="str" cm="1">
        <f t="array" ref="G25" xml:space="preserve"> IF($D25="", "",  INDEX(十五音韻母清單!$B$6:$K$105, $E25, G$2))</f>
        <v/>
      </c>
      <c r="H25" s="167" t="str" cm="1">
        <f t="array" ref="H25" xml:space="preserve"> IF($D25="", "",  INDEX(十五音韻母清單!$B$6:$K$105, $E25, H$2))</f>
        <v/>
      </c>
      <c r="I25" s="167" t="str" cm="1">
        <f t="array" ref="I25" xml:space="preserve"> IF($D25="", "", INDEX(十五音韻母清單!$B$6:$K$105, $E25, I$2))</f>
        <v/>
      </c>
      <c r="J25" s="167" t="str" cm="1">
        <f t="array" ref="J25" xml:space="preserve"> IF($D25="", "",  INDEX(十五音韻母清單!$B$6:$K$105, $E25, J$2))</f>
        <v/>
      </c>
    </row>
    <row r="26" spans="2:10">
      <c r="B26" s="164" cm="1">
        <f t="array" ref="B26" xml:space="preserve"> ROW() - ROW($5:$5)</f>
        <v>21</v>
      </c>
      <c r="C26" s="165"/>
      <c r="D26" s="166"/>
      <c r="E26" s="167" t="str">
        <f xml:space="preserve"> IF($D26="", "", MATCH(D26, 十五音韻母清單!$H$6:$H$105,0))</f>
        <v/>
      </c>
      <c r="F26" s="167" t="str" cm="1">
        <f t="array" ref="F26" xml:space="preserve"> IF($D26="", "", INDEX(十五音韻母清單!$B$6:$K$105, $E26, F$2))</f>
        <v/>
      </c>
      <c r="G26" s="170" t="str" cm="1">
        <f t="array" ref="G26" xml:space="preserve"> IF($D26="", "",  INDEX(十五音韻母清單!$B$6:$K$105, $E26, G$2))</f>
        <v/>
      </c>
      <c r="H26" s="167" t="str" cm="1">
        <f t="array" ref="H26" xml:space="preserve"> IF($D26="", "",  INDEX(十五音韻母清單!$B$6:$K$105, $E26, H$2))</f>
        <v/>
      </c>
      <c r="I26" s="167" t="str" cm="1">
        <f t="array" ref="I26" xml:space="preserve"> IF($D26="", "", INDEX(十五音韻母清單!$B$6:$K$105, $E26, I$2))</f>
        <v/>
      </c>
      <c r="J26" s="167" t="str" cm="1">
        <f t="array" ref="J26" xml:space="preserve"> IF($D26="", "",  INDEX(十五音韻母清單!$B$6:$K$105, $E26, J$2))</f>
        <v/>
      </c>
    </row>
    <row r="27" spans="2:10">
      <c r="E27" s="20" t="str">
        <f xml:space="preserve"> IF($D27="", "", MATCH(D27, 十五音韻母清單!$H$6:$H$105,0))</f>
        <v/>
      </c>
      <c r="F27" s="20" t="str" cm="1">
        <f t="array" ref="F27" xml:space="preserve"> IF($D27="", "", INDEX(十五音韻母清單!$B$6:$K$105, $E27, F$2))</f>
        <v/>
      </c>
      <c r="G27" s="22" t="str" cm="1">
        <f t="array" ref="G27" xml:space="preserve"> IF($D27="", "",  INDEX(十五音韻母清單!$B$6:$K$105, $E27, G$2))</f>
        <v/>
      </c>
      <c r="H27" s="20" t="str" cm="1">
        <f t="array" ref="H27" xml:space="preserve"> IF($D27="", "",  INDEX(十五音韻母清單!$B$6:$K$105, $E27, H$2))</f>
        <v/>
      </c>
      <c r="I27" s="20" t="str" cm="1">
        <f t="array" ref="I27" xml:space="preserve"> IF($D27="", "", INDEX(十五音韻母清單!$B$6:$K$105, $E27, I$2))</f>
        <v/>
      </c>
      <c r="J27" s="20" t="str" cm="1">
        <f t="array" ref="J27" xml:space="preserve"> IF($D27="", "",  INDEX(十五音韻母清單!$B$6:$K$105, $E27, J$2))</f>
        <v/>
      </c>
    </row>
    <row r="28" spans="2:10">
      <c r="E28" s="20" t="str">
        <f xml:space="preserve"> IF($D28="", "", MATCH(D28, 十五音韻母清單!$H$6:$H$105,0))</f>
        <v/>
      </c>
      <c r="F28" s="20" t="str" cm="1">
        <f t="array" ref="F28" xml:space="preserve"> IF($D28="", "", INDEX(十五音韻母清單!$B$6:$K$105, $E28, F$2))</f>
        <v/>
      </c>
      <c r="G28" s="22" t="str" cm="1">
        <f t="array" ref="G28" xml:space="preserve"> IF($D28="", "",  INDEX(十五音韻母清單!$B$6:$K$105, $E28, G$2))</f>
        <v/>
      </c>
      <c r="H28" s="20" t="str" cm="1">
        <f t="array" ref="H28" xml:space="preserve"> IF($D28="", "",  INDEX(十五音韻母清單!$B$6:$K$105, $E28, H$2))</f>
        <v/>
      </c>
      <c r="I28" s="20" t="str" cm="1">
        <f t="array" ref="I28" xml:space="preserve"> IF($D28="", "", INDEX(十五音韻母清單!$B$6:$K$105, $E28, I$2))</f>
        <v/>
      </c>
      <c r="J28" s="20" t="str" cm="1">
        <f t="array" ref="J28" xml:space="preserve"> IF($D28="", "",  INDEX(十五音韻母清單!$B$6:$K$105, $E28, J$2))</f>
        <v/>
      </c>
    </row>
    <row r="29" spans="2:10">
      <c r="E29" s="20" t="str">
        <f xml:space="preserve"> IF($D29="", "", MATCH(D29, 十五音韻母清單!$H$6:$H$105,0))</f>
        <v/>
      </c>
      <c r="F29" s="20" t="str" cm="1">
        <f t="array" ref="F29" xml:space="preserve"> IF($D29="", "", INDEX(十五音韻母清單!$B$6:$K$105, $E29, F$2))</f>
        <v/>
      </c>
      <c r="G29" s="22" t="str" cm="1">
        <f t="array" ref="G29" xml:space="preserve"> IF($D29="", "",  INDEX(十五音韻母清單!$B$6:$K$105, $E29, G$2))</f>
        <v/>
      </c>
      <c r="H29" s="20" t="str" cm="1">
        <f t="array" ref="H29" xml:space="preserve"> IF($D29="", "",  INDEX(十五音韻母清單!$B$6:$K$105, $E29, H$2))</f>
        <v/>
      </c>
      <c r="I29" s="20" t="str" cm="1">
        <f t="array" ref="I29" xml:space="preserve"> IF($D29="", "", INDEX(十五音韻母清單!$B$6:$K$105, $E29, I$2))</f>
        <v/>
      </c>
      <c r="J29" s="20" t="str" cm="1">
        <f t="array" ref="J29" xml:space="preserve"> IF($D29="", "",  INDEX(十五音韻母清單!$B$6:$K$105, $E29, J$2))</f>
        <v/>
      </c>
    </row>
  </sheetData>
  <sortState xmlns:xlrd2="http://schemas.microsoft.com/office/spreadsheetml/2017/richdata2" ref="B6:J29">
    <sortCondition ref="C16:C29" customList="ㄚ,ㆤ,ㄧ,ㆦ,ㄛ,ㄨ,ㄝ,ㄜ,ㆨ,ㄞ,ㄠ,ㆩ,ㆥ,ㆪ,ㆧ,ㆫ,ㆬ,ㆭ,ㆮ,ㆯ,ㆰ,ㄢ,ㄤ,ㆱ,ㆲ,ㄣ,ㄥ"/>
  </sortState>
  <phoneticPr fontId="1" type="noConversion"/>
  <conditionalFormatting sqref="B6:J26">
    <cfRule type="expression" dxfId="8" priority="1" stopIfTrue="1">
      <formula>$J6="入聲"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EB59-F0FB-B640-94EF-E1F358438FF6}">
  <sheetPr codeName="工作表11"/>
  <dimension ref="A1:M79"/>
  <sheetViews>
    <sheetView workbookViewId="0"/>
  </sheetViews>
  <sheetFormatPr defaultColWidth="10.7265625" defaultRowHeight="25.5" outlineLevelRow="1" outlineLevelCol="1"/>
  <cols>
    <col min="1" max="1" width="2.7265625" style="95" customWidth="1" outlineLevel="1"/>
    <col min="2" max="2" width="10.7265625" style="23" customWidth="1" outlineLevel="1"/>
    <col min="3" max="4" width="12.08984375" style="6" customWidth="1" outlineLevel="1"/>
    <col min="5" max="5" width="2.7265625" style="95" customWidth="1"/>
    <col min="6" max="6" width="7.81640625" style="6" bestFit="1" customWidth="1"/>
    <col min="7" max="7" width="12.08984375" style="23" customWidth="1"/>
    <col min="8" max="8" width="10.7265625" style="23"/>
    <col min="9" max="9" width="12.08984375" style="6" customWidth="1"/>
    <col min="10" max="13" width="10.7265625" style="23"/>
    <col min="14" max="16384" width="10.7265625" style="95"/>
  </cols>
  <sheetData>
    <row r="1" spans="2:13" outlineLevel="1">
      <c r="B1" s="101" cm="1">
        <f t="array" ref="B1">COLUMN()-COLUMN(($A:$A))</f>
        <v>1</v>
      </c>
      <c r="C1" s="101" cm="1">
        <f t="array" ref="C1">COLUMN()-COLUMN(($A:$A))</f>
        <v>2</v>
      </c>
      <c r="D1" s="101" cm="1">
        <f t="array" ref="D1">COLUMN()-COLUMN(($A:$A))</f>
        <v>3</v>
      </c>
      <c r="F1" s="101" cm="1">
        <f t="array" ref="F1">COLUMN()-COLUMN(($E:$E))</f>
        <v>1</v>
      </c>
      <c r="G1" s="101" cm="1">
        <f t="array" ref="G1">COLUMN()-COLUMN(($E:$E))</f>
        <v>2</v>
      </c>
      <c r="H1" s="101" cm="1">
        <f t="array" ref="H1">COLUMN()-COLUMN(($E:$E))</f>
        <v>3</v>
      </c>
      <c r="I1" s="101" cm="1">
        <f t="array" ref="I1">COLUMN()-COLUMN(($E:$E))</f>
        <v>4</v>
      </c>
      <c r="J1" s="101" cm="1">
        <f t="array" ref="J1">COLUMN()-COLUMN(($E:$E))</f>
        <v>5</v>
      </c>
      <c r="K1" s="101" cm="1">
        <f t="array" ref="K1">COLUMN()-COLUMN(($E:$E))</f>
        <v>6</v>
      </c>
      <c r="L1" s="101" cm="1">
        <f t="array" ref="L1">COLUMN()-COLUMN(($E:$E))</f>
        <v>7</v>
      </c>
      <c r="M1" s="101" cm="1">
        <f t="array" ref="M1">COLUMN()-COLUMN(($E:$E))</f>
        <v>8</v>
      </c>
    </row>
    <row r="2" spans="2:13" s="6" customFormat="1" ht="30" customHeight="1" outlineLevel="1">
      <c r="D2" s="102">
        <v>2</v>
      </c>
      <c r="G2" s="102">
        <v>5</v>
      </c>
      <c r="H2" s="102">
        <v>6</v>
      </c>
      <c r="I2" s="102">
        <v>3</v>
      </c>
      <c r="J2" s="102">
        <v>7</v>
      </c>
      <c r="K2" s="102">
        <v>8</v>
      </c>
      <c r="L2" s="102">
        <v>9</v>
      </c>
      <c r="M2" s="102">
        <v>10</v>
      </c>
    </row>
    <row r="3" spans="2:13">
      <c r="G3" s="85"/>
      <c r="H3" s="85"/>
      <c r="J3" s="56"/>
      <c r="K3" s="56"/>
      <c r="L3" s="56"/>
      <c r="M3" s="56"/>
    </row>
    <row r="4" spans="2:13" s="6" customFormat="1">
      <c r="B4" s="86" t="s">
        <v>288</v>
      </c>
      <c r="C4" s="86" t="s">
        <v>3363</v>
      </c>
      <c r="D4" s="86" t="s">
        <v>286</v>
      </c>
      <c r="F4" s="86" t="s">
        <v>287</v>
      </c>
      <c r="G4" s="86" t="s">
        <v>288</v>
      </c>
      <c r="H4" s="86" t="s">
        <v>289</v>
      </c>
      <c r="I4" s="86" t="s">
        <v>1658</v>
      </c>
      <c r="J4" s="86" t="s">
        <v>1115</v>
      </c>
      <c r="K4" s="86" t="s">
        <v>1116</v>
      </c>
      <c r="L4" s="86" t="s">
        <v>1117</v>
      </c>
      <c r="M4" s="86" t="s">
        <v>1118</v>
      </c>
    </row>
    <row r="5" spans="2:13" ht="29.25">
      <c r="B5" s="21" t="s">
        <v>139</v>
      </c>
      <c r="C5" s="20">
        <f xml:space="preserve"> MATCH(B5, 十五音韻母清單!$I$6:$I$105,0)</f>
        <v>55</v>
      </c>
      <c r="D5" s="20" cm="1">
        <f t="array" ref="D5" xml:space="preserve"> INDEX(十五音韻母清單!$B$6:$K$105, $C5, D$2)</f>
        <v>28</v>
      </c>
      <c r="F5" s="20">
        <v>1</v>
      </c>
      <c r="G5" s="22" t="str" cm="1">
        <f t="array" ref="G5" xml:space="preserve"> INDEX(十五音韻母清單!$B$6:$K$105, $C5, G$2)</f>
        <v>a</v>
      </c>
      <c r="H5" s="22" t="str" cm="1">
        <f t="array" ref="H5" xml:space="preserve"> INDEX(十五音韻母清單!$B$6:$K$105, '韻母碼 (台羅)'!$C5,'韻母碼 (台羅)'!H$2)</f>
        <v>a</v>
      </c>
      <c r="I5" s="20" t="str" cm="1">
        <f t="array" ref="I5" xml:space="preserve"> INDEX(十五音韻母清單!$B$6:$K$105, $C5, I$2)</f>
        <v>膠</v>
      </c>
      <c r="J5" s="22" t="str" cm="1">
        <f t="array" ref="J5" xml:space="preserve"> INDEX(十五音韻母清單!$B$6:$K$105, '韻母碼 (台羅)'!$C5,'韻母碼 (台羅)'!J$2)</f>
        <v>a</v>
      </c>
      <c r="K5" s="22" t="str" cm="1">
        <f t="array" ref="K5" xml:space="preserve"> INDEX(十五音韻母清單!$B$6:$K$105, '韻母碼 (台羅)'!$C5,'韻母碼 (台羅)'!K$2)</f>
        <v>a</v>
      </c>
      <c r="L5" s="22" t="str" cm="1">
        <f t="array" ref="L5" xml:space="preserve"> INDEX(十五音韻母清單!$B$6:$K$105, '韻母碼 (台羅)'!$C5,'韻母碼 (台羅)'!L$2)</f>
        <v>a</v>
      </c>
      <c r="M5" s="22" t="str" cm="1">
        <f t="array" ref="M5" xml:space="preserve"> INDEX(十五音韻母清單!$B$6:$K$105, '韻母碼 (台羅)'!$C5,'韻母碼 (台羅)'!M$2)</f>
        <v>ㄚ</v>
      </c>
    </row>
    <row r="6" spans="2:13" ht="29.25">
      <c r="B6" s="21" t="s">
        <v>140</v>
      </c>
      <c r="C6" s="20">
        <f xml:space="preserve"> MATCH(B6, 十五音韻母清單!$I$6:$I$105,0)</f>
        <v>56</v>
      </c>
      <c r="D6" s="20" cm="1">
        <f t="array" ref="D6" xml:space="preserve"> INDEX(十五音韻母清單!$B$6:$K$105, $C6, D$2)</f>
        <v>28</v>
      </c>
      <c r="F6" s="20">
        <v>2</v>
      </c>
      <c r="G6" s="22" t="str" cm="1">
        <f t="array" ref="G6" xml:space="preserve"> INDEX(十五音韻母清單!$B$6:$K$105, $C6, G$2)</f>
        <v>ah</v>
      </c>
      <c r="H6" s="22" t="str" cm="1">
        <f t="array" ref="H6" xml:space="preserve"> INDEX(十五音韻母清單!$B$6:$K$105, '韻母碼 (台羅)'!$C6,'韻母碼 (台羅)'!H$2)</f>
        <v>a?</v>
      </c>
      <c r="I6" s="20" t="str" cm="1">
        <f t="array" ref="I6" xml:space="preserve"> INDEX(十五音韻母清單!$B$6:$K$105, $C6, I$2)</f>
        <v>膠</v>
      </c>
      <c r="J6" s="22" t="str" cm="1">
        <f t="array" ref="J6" xml:space="preserve"> INDEX(十五音韻母清單!$B$6:$K$105, '韻母碼 (台羅)'!$C6,'韻母碼 (台羅)'!J$2)</f>
        <v>ah</v>
      </c>
      <c r="K6" s="22" t="str" cm="1">
        <f t="array" ref="K6" xml:space="preserve"> INDEX(十五音韻母清單!$B$6:$K$105, '韻母碼 (台羅)'!$C6,'韻母碼 (台羅)'!K$2)</f>
        <v>ah</v>
      </c>
      <c r="L6" s="22" t="str" cm="1">
        <f t="array" ref="L6" xml:space="preserve"> INDEX(十五音韻母清單!$B$6:$K$105, '韻母碼 (台羅)'!$C6,'韻母碼 (台羅)'!L$2)</f>
        <v>ah</v>
      </c>
      <c r="M6" s="22" t="str" cm="1">
        <f t="array" ref="M6" xml:space="preserve"> INDEX(十五音韻母清單!$B$6:$K$105, '韻母碼 (台羅)'!$C6,'韻母碼 (台羅)'!M$2)</f>
        <v>ㄚㆷ</v>
      </c>
    </row>
    <row r="7" spans="2:13" ht="29.25">
      <c r="B7" s="21" t="s">
        <v>151</v>
      </c>
      <c r="C7" s="20">
        <f xml:space="preserve"> MATCH(B7, 十五音韻母清單!$I$6:$I$105,0)</f>
        <v>31</v>
      </c>
      <c r="D7" s="20" cm="1">
        <f t="array" ref="D7" xml:space="preserve"> INDEX(十五音韻母清單!$B$6:$K$105, $C7, D$2)</f>
        <v>16</v>
      </c>
      <c r="F7" s="20">
        <v>3</v>
      </c>
      <c r="G7" s="22" t="str" cm="1">
        <f t="array" ref="G7" xml:space="preserve"> INDEX(十五音韻母清單!$B$6:$K$105, $C7, G$2)</f>
        <v>ai</v>
      </c>
      <c r="H7" s="22" t="str" cm="1">
        <f t="array" ref="H7" xml:space="preserve"> INDEX(十五音韻母清單!$B$6:$K$105, '韻母碼 (台羅)'!$C7,'韻母碼 (台羅)'!H$2)</f>
        <v>ai</v>
      </c>
      <c r="I7" s="20" t="str" cm="1">
        <f t="array" ref="I7" xml:space="preserve"> INDEX(十五音韻母清單!$B$6:$K$105, $C7, I$2)</f>
        <v>皆</v>
      </c>
      <c r="J7" s="22" t="str" cm="1">
        <f t="array" ref="J7" xml:space="preserve"> INDEX(十五音韻母清單!$B$6:$K$105, '韻母碼 (台羅)'!$C7,'韻母碼 (台羅)'!J$2)</f>
        <v>ai</v>
      </c>
      <c r="K7" s="22" t="str" cm="1">
        <f t="array" ref="K7" xml:space="preserve"> INDEX(十五音韻母清單!$B$6:$K$105, '韻母碼 (台羅)'!$C7,'韻母碼 (台羅)'!K$2)</f>
        <v>ai</v>
      </c>
      <c r="L7" s="22" t="str" cm="1">
        <f t="array" ref="L7" xml:space="preserve"> INDEX(十五音韻母清單!$B$6:$K$105, '韻母碼 (台羅)'!$C7,'韻母碼 (台羅)'!L$2)</f>
        <v>ai</v>
      </c>
      <c r="M7" s="22" t="str" cm="1">
        <f t="array" ref="M7" xml:space="preserve"> INDEX(十五音韻母清單!$B$6:$K$105, '韻母碼 (台羅)'!$C7,'韻母碼 (台羅)'!M$2)</f>
        <v>ㄞ</v>
      </c>
    </row>
    <row r="8" spans="2:13" ht="29.25">
      <c r="B8" s="21" t="s">
        <v>157</v>
      </c>
      <c r="C8" s="20">
        <f xml:space="preserve"> MATCH(B8, 十五音韻母清單!$I$6:$I$105,0)</f>
        <v>79</v>
      </c>
      <c r="D8" s="20" cm="1">
        <f t="array" ref="D8" xml:space="preserve"> INDEX(十五音韻母清單!$B$6:$K$105, $C8, D$2)</f>
        <v>40</v>
      </c>
      <c r="F8" s="20">
        <v>4</v>
      </c>
      <c r="G8" s="22" t="str" cm="1">
        <f t="array" ref="G8" xml:space="preserve"> INDEX(十五音韻母清單!$B$6:$K$105, $C8, G$2)</f>
        <v>ainn</v>
      </c>
      <c r="H8" s="22" t="str" cm="1">
        <f t="array" ref="H8" xml:space="preserve"> INDEX(十五音韻母清單!$B$6:$K$105, '韻母碼 (台羅)'!$C8,'韻母碼 (台羅)'!H$2)</f>
        <v>aĩ</v>
      </c>
      <c r="I8" s="20" t="str" cm="1">
        <f t="array" ref="I8" xml:space="preserve"> INDEX(十五音韻母清單!$B$6:$K$105, $C8, I$2)</f>
        <v>閒</v>
      </c>
      <c r="J8" s="22" t="str" cm="1">
        <f t="array" ref="J8" xml:space="preserve"> INDEX(十五音韻母清單!$B$6:$K$105, '韻母碼 (台羅)'!$C8,'韻母碼 (台羅)'!J$2)</f>
        <v>aiⁿ</v>
      </c>
      <c r="K8" s="22" t="str" cm="1">
        <f t="array" ref="K8" xml:space="preserve"> INDEX(十五音韻母清單!$B$6:$K$105, '韻母碼 (台羅)'!$C8,'韻母碼 (台羅)'!K$2)</f>
        <v>ainn</v>
      </c>
      <c r="L8" s="22" t="str" cm="1">
        <f t="array" ref="L8" xml:space="preserve"> INDEX(十五音韻母清單!$B$6:$K$105, '韻母碼 (台羅)'!$C8,'韻母碼 (台羅)'!L$2)</f>
        <v>nai</v>
      </c>
      <c r="M8" s="22" t="str" cm="1">
        <f t="array" ref="M8" xml:space="preserve"> INDEX(十五音韻母清單!$B$6:$K$105, '韻母碼 (台羅)'!$C8,'韻母碼 (台羅)'!M$2)</f>
        <v>ㆮ</v>
      </c>
    </row>
    <row r="9" spans="2:13" ht="29.25">
      <c r="B9" s="21" t="s">
        <v>173</v>
      </c>
      <c r="C9" s="20">
        <f xml:space="preserve"> MATCH(B9, 十五音韻母清單!$I$6:$I$105,0)</f>
        <v>42</v>
      </c>
      <c r="D9" s="20" cm="1">
        <f t="array" ref="D9" xml:space="preserve"> INDEX(十五音韻母清單!$B$6:$K$105, $C9, D$2)</f>
        <v>21</v>
      </c>
      <c r="F9" s="20">
        <v>5</v>
      </c>
      <c r="G9" s="22" t="str" cm="1">
        <f t="array" ref="G9" xml:space="preserve"> INDEX(十五音韻母清單!$B$6:$K$105, $C9, G$2)</f>
        <v>ak</v>
      </c>
      <c r="H9" s="22" t="str" cm="1">
        <f t="array" ref="H9" xml:space="preserve"> INDEX(十五音韻母清單!$B$6:$K$105, '韻母碼 (台羅)'!$C9,'韻母碼 (台羅)'!H$2)</f>
        <v>ak̚</v>
      </c>
      <c r="I9" s="20" t="str" cm="1">
        <f t="array" ref="I9" xml:space="preserve"> INDEX(十五音韻母清單!$B$6:$K$105, $C9, I$2)</f>
        <v>江</v>
      </c>
      <c r="J9" s="22" t="str" cm="1">
        <f t="array" ref="J9" xml:space="preserve"> INDEX(十五音韻母清單!$B$6:$K$105, '韻母碼 (台羅)'!$C9,'韻母碼 (台羅)'!J$2)</f>
        <v>ak</v>
      </c>
      <c r="K9" s="22" t="str" cm="1">
        <f t="array" ref="K9" xml:space="preserve"> INDEX(十五音韻母清單!$B$6:$K$105, '韻母碼 (台羅)'!$C9,'韻母碼 (台羅)'!K$2)</f>
        <v>ak</v>
      </c>
      <c r="L9" s="22" t="str" cm="1">
        <f t="array" ref="L9" xml:space="preserve"> INDEX(十五音韻母清單!$B$6:$K$105, '韻母碼 (台羅)'!$C9,'韻母碼 (台羅)'!L$2)</f>
        <v>ak</v>
      </c>
      <c r="M9" s="22" t="str" cm="1">
        <f t="array" ref="M9" xml:space="preserve"> INDEX(十五音韻母清單!$B$6:$K$105, '韻母碼 (台羅)'!$C9,'韻母碼 (台羅)'!M$2)</f>
        <v>ㄚㆻ</v>
      </c>
    </row>
    <row r="10" spans="2:13" ht="29.25">
      <c r="B10" s="21" t="s">
        <v>163</v>
      </c>
      <c r="C10" s="20">
        <f xml:space="preserve"> MATCH(B10, 十五音韻母清單!$I$6:$I$105,0)</f>
        <v>37</v>
      </c>
      <c r="D10" s="20" cm="1">
        <f t="array" ref="D10" xml:space="preserve"> INDEX(十五音韻母清單!$B$6:$K$105, $C10, D$2)</f>
        <v>19</v>
      </c>
      <c r="F10" s="20">
        <v>6</v>
      </c>
      <c r="G10" s="22" t="str" cm="1">
        <f t="array" ref="G10" xml:space="preserve"> INDEX(十五音韻母清單!$B$6:$K$105, $C10, G$2)</f>
        <v>am</v>
      </c>
      <c r="H10" s="22" t="str" cm="1">
        <f t="array" ref="H10" xml:space="preserve"> INDEX(十五音韻母清單!$B$6:$K$105, '韻母碼 (台羅)'!$C10,'韻母碼 (台羅)'!H$2)</f>
        <v>am</v>
      </c>
      <c r="I10" s="20" t="str" cm="1">
        <f t="array" ref="I10" xml:space="preserve"> INDEX(十五音韻母清單!$B$6:$K$105, $C10, I$2)</f>
        <v>甘</v>
      </c>
      <c r="J10" s="22" t="str" cm="1">
        <f t="array" ref="J10" xml:space="preserve"> INDEX(十五音韻母清單!$B$6:$K$105, '韻母碼 (台羅)'!$C10,'韻母碼 (台羅)'!J$2)</f>
        <v>am</v>
      </c>
      <c r="K10" s="22" t="str" cm="1">
        <f t="array" ref="K10" xml:space="preserve"> INDEX(十五音韻母清單!$B$6:$K$105, '韻母碼 (台羅)'!$C10,'韻母碼 (台羅)'!K$2)</f>
        <v>am</v>
      </c>
      <c r="L10" s="22" t="str" cm="1">
        <f t="array" ref="L10" xml:space="preserve"> INDEX(十五音韻母清單!$B$6:$K$105, '韻母碼 (台羅)'!$C10,'韻母碼 (台羅)'!L$2)</f>
        <v>am</v>
      </c>
      <c r="M10" s="22" t="str" cm="1">
        <f t="array" ref="M10" xml:space="preserve"> INDEX(十五音韻母清單!$B$6:$K$105, '韻母碼 (台羅)'!$C10,'韻母碼 (台羅)'!M$2)</f>
        <v>ㆰ</v>
      </c>
    </row>
    <row r="11" spans="2:13" ht="29.25">
      <c r="B11" s="21" t="s">
        <v>166</v>
      </c>
      <c r="C11" s="20">
        <f xml:space="preserve"> MATCH(B11, 十五音韻母清單!$I$6:$I$105,0)</f>
        <v>11</v>
      </c>
      <c r="D11" s="20" cm="1">
        <f t="array" ref="D11" xml:space="preserve"> INDEX(十五音韻母清單!$B$6:$K$105, $C11, D$2)</f>
        <v>6</v>
      </c>
      <c r="F11" s="20">
        <v>7</v>
      </c>
      <c r="G11" s="22" t="str" cm="1">
        <f t="array" ref="G11" xml:space="preserve"> INDEX(十五音韻母清單!$B$6:$K$105, $C11, G$2)</f>
        <v>an</v>
      </c>
      <c r="H11" s="22" t="str" cm="1">
        <f t="array" ref="H11" xml:space="preserve"> INDEX(十五音韻母清單!$B$6:$K$105, '韻母碼 (台羅)'!$C11,'韻母碼 (台羅)'!H$2)</f>
        <v>an</v>
      </c>
      <c r="I11" s="20" t="str" cm="1">
        <f t="array" ref="I11" xml:space="preserve"> INDEX(十五音韻母清單!$B$6:$K$105, $C11, I$2)</f>
        <v>干</v>
      </c>
      <c r="J11" s="22" t="str" cm="1">
        <f t="array" ref="J11" xml:space="preserve"> INDEX(十五音韻母清單!$B$6:$K$105, '韻母碼 (台羅)'!$C11,'韻母碼 (台羅)'!J$2)</f>
        <v>an</v>
      </c>
      <c r="K11" s="22" t="str" cm="1">
        <f t="array" ref="K11" xml:space="preserve"> INDEX(十五音韻母清單!$B$6:$K$105, '韻母碼 (台羅)'!$C11,'韻母碼 (台羅)'!K$2)</f>
        <v>an</v>
      </c>
      <c r="L11" s="22" t="str" cm="1">
        <f t="array" ref="L11" xml:space="preserve"> INDEX(十五音韻母清單!$B$6:$K$105, '韻母碼 (台羅)'!$C11,'韻母碼 (台羅)'!L$2)</f>
        <v>an</v>
      </c>
      <c r="M11" s="22" t="str" cm="1">
        <f t="array" ref="M11" xml:space="preserve"> INDEX(十五音韻母清單!$B$6:$K$105, '韻母碼 (台羅)'!$C11,'韻母碼 (台羅)'!M$2)</f>
        <v>ㄢ</v>
      </c>
    </row>
    <row r="12" spans="2:13" ht="29.25">
      <c r="B12" s="21" t="s">
        <v>172</v>
      </c>
      <c r="C12" s="20">
        <f xml:space="preserve"> MATCH(B12, 十五音韻母清單!$I$6:$I$105,0)</f>
        <v>41</v>
      </c>
      <c r="D12" s="20" cm="1">
        <f t="array" ref="D12" xml:space="preserve"> INDEX(十五音韻母清單!$B$6:$K$105, $C12, D$2)</f>
        <v>21</v>
      </c>
      <c r="F12" s="20">
        <v>8</v>
      </c>
      <c r="G12" s="22" t="str" cm="1">
        <f t="array" ref="G12" xml:space="preserve"> INDEX(十五音韻母清單!$B$6:$K$105, $C12, G$2)</f>
        <v>ang</v>
      </c>
      <c r="H12" s="22" t="str" cm="1">
        <f t="array" ref="H12" xml:space="preserve"> INDEX(十五音韻母清單!$B$6:$K$105, '韻母碼 (台羅)'!$C12,'韻母碼 (台羅)'!H$2)</f>
        <v>aŋ</v>
      </c>
      <c r="I12" s="20" t="str" cm="1">
        <f t="array" ref="I12" xml:space="preserve"> INDEX(十五音韻母清單!$B$6:$K$105, $C12, I$2)</f>
        <v>江</v>
      </c>
      <c r="J12" s="22" t="str" cm="1">
        <f t="array" ref="J12" xml:space="preserve"> INDEX(十五音韻母清單!$B$6:$K$105, '韻母碼 (台羅)'!$C12,'韻母碼 (台羅)'!J$2)</f>
        <v>ang</v>
      </c>
      <c r="K12" s="22" t="str" cm="1">
        <f t="array" ref="K12" xml:space="preserve"> INDEX(十五音韻母清單!$B$6:$K$105, '韻母碼 (台羅)'!$C12,'韻母碼 (台羅)'!K$2)</f>
        <v>ang</v>
      </c>
      <c r="L12" s="22" t="str" cm="1">
        <f t="array" ref="L12" xml:space="preserve"> INDEX(十五音韻母清單!$B$6:$K$105, '韻母碼 (台羅)'!$C12,'韻母碼 (台羅)'!L$2)</f>
        <v>ang</v>
      </c>
      <c r="M12" s="22" t="str" cm="1">
        <f t="array" ref="M12" xml:space="preserve"> INDEX(十五音韻母清單!$B$6:$K$105, '韻母碼 (台羅)'!$C12,'韻母碼 (台羅)'!M$2)</f>
        <v>ㄤ</v>
      </c>
    </row>
    <row r="13" spans="2:13" ht="29.25">
      <c r="B13" s="21" t="s">
        <v>145</v>
      </c>
      <c r="C13" s="20">
        <f xml:space="preserve"> MATCH(B13, 十五音韻母清單!$I$6:$I$105,0)</f>
        <v>51</v>
      </c>
      <c r="D13" s="20" cm="1">
        <f t="array" ref="D13" xml:space="preserve"> INDEX(十五音韻母清單!$B$6:$K$105, $C13, D$2)</f>
        <v>26</v>
      </c>
      <c r="F13" s="20">
        <v>9</v>
      </c>
      <c r="G13" s="22" t="str" cm="1">
        <f t="array" ref="G13" xml:space="preserve"> INDEX(十五音韻母清單!$B$6:$K$105, $C13, G$2)</f>
        <v>ann</v>
      </c>
      <c r="H13" s="22" t="str" cm="1">
        <f t="array" ref="H13" xml:space="preserve"> INDEX(十五音韻母清單!$B$6:$K$105, '韻母碼 (台羅)'!$C13,'韻母碼 (台羅)'!H$2)</f>
        <v>ã</v>
      </c>
      <c r="I13" s="20" t="str" cm="1">
        <f t="array" ref="I13" xml:space="preserve"> INDEX(十五音韻母清單!$B$6:$K$105, $C13, I$2)</f>
        <v>監</v>
      </c>
      <c r="J13" s="22" t="str" cm="1">
        <f t="array" ref="J13" xml:space="preserve"> INDEX(十五音韻母清單!$B$6:$K$105, '韻母碼 (台羅)'!$C13,'韻母碼 (台羅)'!J$2)</f>
        <v>aⁿ</v>
      </c>
      <c r="K13" s="22" t="str" cm="1">
        <f t="array" ref="K13" xml:space="preserve"> INDEX(十五音韻母清單!$B$6:$K$105, '韻母碼 (台羅)'!$C13,'韻母碼 (台羅)'!K$2)</f>
        <v>ann</v>
      </c>
      <c r="L13" s="22" t="str" cm="1">
        <f t="array" ref="L13" xml:space="preserve"> INDEX(十五音韻母清單!$B$6:$K$105, '韻母碼 (台羅)'!$C13,'韻母碼 (台羅)'!L$2)</f>
        <v>na</v>
      </c>
      <c r="M13" s="22" t="str" cm="1">
        <f t="array" ref="M13" xml:space="preserve"> INDEX(十五音韻母清單!$B$6:$K$105, '韻母碼 (台羅)'!$C13,'韻母碼 (台羅)'!M$2)</f>
        <v>ㆩ</v>
      </c>
    </row>
    <row r="14" spans="2:13" ht="29.25">
      <c r="B14" s="21" t="s">
        <v>146</v>
      </c>
      <c r="C14" s="20">
        <f xml:space="preserve"> MATCH(B14, 十五音韻母清單!$I$6:$I$105,0)</f>
        <v>52</v>
      </c>
      <c r="D14" s="20" cm="1">
        <f t="array" ref="D14" xml:space="preserve"> INDEX(十五音韻母清單!$B$6:$K$105, $C14, D$2)</f>
        <v>26</v>
      </c>
      <c r="F14" s="20">
        <v>10</v>
      </c>
      <c r="G14" s="22" t="str" cm="1">
        <f t="array" ref="G14" xml:space="preserve"> INDEX(十五音韻母清單!$B$6:$K$105, $C14, G$2)</f>
        <v>annh</v>
      </c>
      <c r="H14" s="22" t="str" cm="1">
        <f t="array" ref="H14" xml:space="preserve"> INDEX(十五音韻母清單!$B$6:$K$105, '韻母碼 (台羅)'!$C14,'韻母碼 (台羅)'!H$2)</f>
        <v>ã?</v>
      </c>
      <c r="I14" s="20" t="str" cm="1">
        <f t="array" ref="I14" xml:space="preserve"> INDEX(十五音韻母清單!$B$6:$K$105, $C14, I$2)</f>
        <v>監</v>
      </c>
      <c r="J14" s="22" t="str" cm="1">
        <f t="array" ref="J14" xml:space="preserve"> INDEX(十五音韻母清單!$B$6:$K$105, '韻母碼 (台羅)'!$C14,'韻母碼 (台羅)'!J$2)</f>
        <v>ahⁿ</v>
      </c>
      <c r="K14" s="22" t="str" cm="1">
        <f t="array" ref="K14" xml:space="preserve"> INDEX(十五音韻母清單!$B$6:$K$105, '韻母碼 (台羅)'!$C14,'韻母碼 (台羅)'!K$2)</f>
        <v>annh</v>
      </c>
      <c r="L14" s="22" t="str" cm="1">
        <f t="array" ref="L14" xml:space="preserve"> INDEX(十五音韻母清單!$B$6:$K$105, '韻母碼 (台羅)'!$C14,'韻母碼 (台羅)'!L$2)</f>
        <v>nah</v>
      </c>
      <c r="M14" s="22" t="str" cm="1">
        <f t="array" ref="M14" xml:space="preserve"> INDEX(十五音韻母清單!$B$6:$K$105, '韻母碼 (台羅)'!$C14,'韻母碼 (台羅)'!M$2)</f>
        <v>ㆩㆷ</v>
      </c>
    </row>
    <row r="15" spans="2:13" ht="29.25">
      <c r="B15" s="21" t="s">
        <v>164</v>
      </c>
      <c r="C15" s="20">
        <f xml:space="preserve"> MATCH(B15, 十五音韻母清單!$I$6:$I$105,0)</f>
        <v>12</v>
      </c>
      <c r="D15" s="20" cm="1">
        <f t="array" ref="D15" xml:space="preserve"> INDEX(十五音韻母清單!$B$6:$K$105, $C15, D$2)</f>
        <v>6</v>
      </c>
      <c r="F15" s="20">
        <v>11</v>
      </c>
      <c r="G15" s="22" t="str" cm="1">
        <f t="array" ref="G15" xml:space="preserve"> INDEX(十五音韻母清單!$B$6:$K$105, $C15, G$2)</f>
        <v>at</v>
      </c>
      <c r="H15" s="22" t="str" cm="1">
        <f t="array" ref="H15" xml:space="preserve"> INDEX(十五音韻母清單!$B$6:$K$105, '韻母碼 (台羅)'!$C15,'韻母碼 (台羅)'!H$2)</f>
        <v>at̚</v>
      </c>
      <c r="I15" s="20" t="str" cm="1">
        <f t="array" ref="I15" xml:space="preserve"> INDEX(十五音韻母清單!$B$6:$K$105, $C15, I$2)</f>
        <v>干</v>
      </c>
      <c r="J15" s="22" t="str" cm="1">
        <f t="array" ref="J15" xml:space="preserve"> INDEX(十五音韻母清單!$B$6:$K$105, '韻母碼 (台羅)'!$C15,'韻母碼 (台羅)'!J$2)</f>
        <v>at</v>
      </c>
      <c r="K15" s="22" t="str" cm="1">
        <f t="array" ref="K15" xml:space="preserve"> INDEX(十五音韻母清單!$B$6:$K$105, '韻母碼 (台羅)'!$C15,'韻母碼 (台羅)'!K$2)</f>
        <v>ap</v>
      </c>
      <c r="L15" s="22" t="str" cm="1">
        <f t="array" ref="L15" xml:space="preserve"> INDEX(十五音韻母清單!$B$6:$K$105, '韻母碼 (台羅)'!$C15,'韻母碼 (台羅)'!L$2)</f>
        <v>at</v>
      </c>
      <c r="M15" s="22" t="str" cm="1">
        <f t="array" ref="M15" xml:space="preserve"> INDEX(十五音韻母清單!$B$6:$K$105, '韻母碼 (台羅)'!$C15,'韻母碼 (台羅)'!M$2)</f>
        <v>ㄚㆵ</v>
      </c>
    </row>
    <row r="16" spans="2:13" ht="29.25">
      <c r="B16" s="21" t="s">
        <v>167</v>
      </c>
      <c r="C16" s="20" t="e">
        <f xml:space="preserve"> MATCH(B16, 十五音韻母清單!$I$6:$I$105,0)</f>
        <v>#N/A</v>
      </c>
      <c r="D16" s="20" t="e" cm="1">
        <f t="array" ref="D16" xml:space="preserve"> INDEX(十五音韻母清單!$B$6:$K$105, $C16, D$2)</f>
        <v>#N/A</v>
      </c>
      <c r="F16" s="20">
        <v>12</v>
      </c>
      <c r="G16" s="22" t="e" cm="1">
        <f t="array" ref="G16" xml:space="preserve"> INDEX(十五音韻母清單!$B$6:$K$105, $C16, G$2)</f>
        <v>#N/A</v>
      </c>
      <c r="H16" s="22" t="e" cm="1">
        <f t="array" ref="H16" xml:space="preserve"> INDEX(十五音韻母清單!$B$6:$K$105, '韻母碼 (台羅)'!$C16,'韻母碼 (台羅)'!H$2)</f>
        <v>#N/A</v>
      </c>
      <c r="I16" s="20" t="e" cm="1">
        <f t="array" ref="I16" xml:space="preserve"> INDEX(十五音韻母清單!$B$6:$K$105, $C16, I$2)</f>
        <v>#N/A</v>
      </c>
      <c r="J16" s="22" t="e" cm="1">
        <f t="array" ref="J16" xml:space="preserve"> INDEX(十五音韻母清單!$B$6:$K$105, '韻母碼 (台羅)'!$C16,'韻母碼 (台羅)'!J$2)</f>
        <v>#N/A</v>
      </c>
      <c r="K16" s="22" t="e" cm="1">
        <f t="array" ref="K16" xml:space="preserve"> INDEX(十五音韻母清單!$B$6:$K$105, '韻母碼 (台羅)'!$C16,'韻母碼 (台羅)'!K$2)</f>
        <v>#N/A</v>
      </c>
      <c r="L16" s="22" t="e" cm="1">
        <f t="array" ref="L16" xml:space="preserve"> INDEX(十五音韻母清單!$B$6:$K$105, '韻母碼 (台羅)'!$C16,'韻母碼 (台羅)'!L$2)</f>
        <v>#N/A</v>
      </c>
      <c r="M16" s="22" t="e" cm="1">
        <f t="array" ref="M16" xml:space="preserve"> INDEX(十五音韻母清單!$B$6:$K$105, '韻母碼 (台羅)'!$C16,'韻母碼 (台羅)'!M$2)</f>
        <v>#N/A</v>
      </c>
    </row>
    <row r="17" spans="2:13" ht="29.25">
      <c r="B17" s="21" t="s">
        <v>178</v>
      </c>
      <c r="C17" s="20">
        <f xml:space="preserve"> MATCH(B17, 十五音韻母清單!$I$6:$I$105,0)</f>
        <v>45</v>
      </c>
      <c r="D17" s="20" cm="1">
        <f t="array" ref="D17" xml:space="preserve"> INDEX(十五音韻母清單!$B$6:$K$105, $C17, D$2)</f>
        <v>23</v>
      </c>
      <c r="F17" s="20">
        <v>13</v>
      </c>
      <c r="G17" s="22" t="str" cm="1">
        <f t="array" ref="G17" xml:space="preserve"> INDEX(十五音韻母清單!$B$6:$K$105, $C17, G$2)</f>
        <v>au</v>
      </c>
      <c r="H17" s="22" t="str" cm="1">
        <f t="array" ref="H17" xml:space="preserve"> INDEX(十五音韻母清單!$B$6:$K$105, '韻母碼 (台羅)'!$C17,'韻母碼 (台羅)'!H$2)</f>
        <v>au</v>
      </c>
      <c r="I17" s="20" t="str" cm="1">
        <f t="array" ref="I17" xml:space="preserve"> INDEX(十五音韻母清單!$B$6:$K$105, $C17, I$2)</f>
        <v>交</v>
      </c>
      <c r="J17" s="22" t="str" cm="1">
        <f t="array" ref="J17" xml:space="preserve"> INDEX(十五音韻母清單!$B$6:$K$105, '韻母碼 (台羅)'!$C17,'韻母碼 (台羅)'!J$2)</f>
        <v>au</v>
      </c>
      <c r="K17" s="22" t="str" cm="1">
        <f t="array" ref="K17" xml:space="preserve"> INDEX(十五音韻母清單!$B$6:$K$105, '韻母碼 (台羅)'!$C17,'韻母碼 (台羅)'!K$2)</f>
        <v>au</v>
      </c>
      <c r="L17" s="22" t="str" cm="1">
        <f t="array" ref="L17" xml:space="preserve"> INDEX(十五音韻母清單!$B$6:$K$105, '韻母碼 (台羅)'!$C17,'韻母碼 (台羅)'!L$2)</f>
        <v>ao</v>
      </c>
      <c r="M17" s="22" t="str" cm="1">
        <f t="array" ref="M17" xml:space="preserve"> INDEX(十五音韻母清單!$B$6:$K$105, '韻母碼 (台羅)'!$C17,'韻母碼 (台羅)'!M$2)</f>
        <v>ㄠ</v>
      </c>
    </row>
    <row r="18" spans="2:13" ht="29.25">
      <c r="B18" s="21" t="s">
        <v>179</v>
      </c>
      <c r="C18" s="20">
        <f xml:space="preserve"> MATCH(B18, 十五音韻母清單!$I$6:$I$105,0)</f>
        <v>46</v>
      </c>
      <c r="D18" s="20" cm="1">
        <f t="array" ref="D18" xml:space="preserve"> INDEX(十五音韻母清單!$B$6:$K$105, $C18, D$2)</f>
        <v>23</v>
      </c>
      <c r="F18" s="20">
        <v>14</v>
      </c>
      <c r="G18" s="22" t="str" cm="1">
        <f t="array" ref="G18" xml:space="preserve"> INDEX(十五音韻母清單!$B$6:$K$105, $C18, G$2)</f>
        <v>auh</v>
      </c>
      <c r="H18" s="22" t="str" cm="1">
        <f t="array" ref="H18" xml:space="preserve"> INDEX(十五音韻母清單!$B$6:$K$105, '韻母碼 (台羅)'!$C18,'韻母碼 (台羅)'!H$2)</f>
        <v>au?</v>
      </c>
      <c r="I18" s="20" t="str" cm="1">
        <f t="array" ref="I18" xml:space="preserve"> INDEX(十五音韻母清單!$B$6:$K$105, $C18, I$2)</f>
        <v>交</v>
      </c>
      <c r="J18" s="22" t="str" cm="1">
        <f t="array" ref="J18" xml:space="preserve"> INDEX(十五音韻母清單!$B$6:$K$105, '韻母碼 (台羅)'!$C18,'韻母碼 (台羅)'!J$2)</f>
        <v>auh</v>
      </c>
      <c r="K18" s="22" t="str" cm="1">
        <f t="array" ref="K18" xml:space="preserve"> INDEX(十五音韻母清單!$B$6:$K$105, '韻母碼 (台羅)'!$C18,'韻母碼 (台羅)'!K$2)</f>
        <v>auh</v>
      </c>
      <c r="L18" s="22" t="str" cm="1">
        <f t="array" ref="L18" xml:space="preserve"> INDEX(十五音韻母清單!$B$6:$K$105, '韻母碼 (台羅)'!$C18,'韻母碼 (台羅)'!L$2)</f>
        <v>aoh</v>
      </c>
      <c r="M18" s="22" t="str" cm="1">
        <f t="array" ref="M18" xml:space="preserve"> INDEX(十五音韻母清單!$B$6:$K$105, '韻母碼 (台羅)'!$C18,'韻母碼 (台羅)'!M$2)</f>
        <v>ㄠㆷ</v>
      </c>
    </row>
    <row r="19" spans="2:13" ht="29.25">
      <c r="B19" s="21" t="s">
        <v>160</v>
      </c>
      <c r="C19" s="20">
        <f xml:space="preserve"> MATCH(B19, 十五音韻母清單!$I$6:$I$105,0)</f>
        <v>77</v>
      </c>
      <c r="D19" s="20" cm="1">
        <f t="array" ref="D19" xml:space="preserve"> INDEX(十五音韻母清單!$B$6:$K$105, $C19, D$2)</f>
        <v>39</v>
      </c>
      <c r="F19" s="20">
        <v>15</v>
      </c>
      <c r="G19" s="22" t="str" cm="1">
        <f t="array" ref="G19" xml:space="preserve"> INDEX(十五音韻母清單!$B$6:$K$105, $C19, G$2)</f>
        <v>e</v>
      </c>
      <c r="H19" s="22" t="str" cm="1">
        <f t="array" ref="H19" xml:space="preserve"> INDEX(十五音韻母清單!$B$6:$K$105, '韻母碼 (台羅)'!$C19,'韻母碼 (台羅)'!H$2)</f>
        <v>e</v>
      </c>
      <c r="I19" s="20" t="str" cm="1">
        <f t="array" ref="I19" xml:space="preserve"> INDEX(十五音韻母清單!$B$6:$K$105, $C19, I$2)</f>
        <v>伽</v>
      </c>
      <c r="J19" s="22" t="str" cm="1">
        <f t="array" ref="J19" xml:space="preserve"> INDEX(十五音韻母清單!$B$6:$K$105, '韻母碼 (台羅)'!$C19,'韻母碼 (台羅)'!J$2)</f>
        <v>e</v>
      </c>
      <c r="K19" s="22" t="str" cm="1">
        <f t="array" ref="K19" xml:space="preserve"> INDEX(十五音韻母清單!$B$6:$K$105, '韻母碼 (台羅)'!$C19,'韻母碼 (台羅)'!K$2)</f>
        <v>e</v>
      </c>
      <c r="L19" s="22" t="str" cm="1">
        <f t="array" ref="L19" xml:space="preserve"> INDEX(十五音韻母清單!$B$6:$K$105, '韻母碼 (台羅)'!$C19,'韻母碼 (台羅)'!L$2)</f>
        <v>e</v>
      </c>
      <c r="M19" s="22" t="str" cm="1">
        <f t="array" ref="M19" xml:space="preserve"> INDEX(十五音韻母清單!$B$6:$K$105, '韻母碼 (台羅)'!$C19,'韻母碼 (台羅)'!M$2)</f>
        <v>ㆤ</v>
      </c>
    </row>
    <row r="20" spans="2:13" ht="29.25">
      <c r="B20" s="21" t="s">
        <v>161</v>
      </c>
      <c r="C20" s="20">
        <f xml:space="preserve"> MATCH(B20, 十五音韻母清單!$I$6:$I$105,0)</f>
        <v>10</v>
      </c>
      <c r="D20" s="20" cm="1">
        <f t="array" ref="D20" xml:space="preserve"> INDEX(十五音韻母清單!$B$6:$K$105, $C20, D$2)</f>
        <v>5</v>
      </c>
      <c r="F20" s="20">
        <v>16</v>
      </c>
      <c r="G20" s="22" t="str" cm="1">
        <f t="array" ref="G20" xml:space="preserve"> INDEX(十五音韻母清單!$B$6:$K$105, $C20, G$2)</f>
        <v>eeh</v>
      </c>
      <c r="H20" s="22" t="str" cm="1">
        <f t="array" ref="H20" xml:space="preserve"> INDEX(十五音韻母清單!$B$6:$K$105, '韻母碼 (台羅)'!$C20,'韻母碼 (台羅)'!H$2)</f>
        <v>ɛ?</v>
      </c>
      <c r="I20" s="20" t="str" cm="1">
        <f t="array" ref="I20" xml:space="preserve"> INDEX(十五音韻母清單!$B$6:$K$105, $C20, I$2)</f>
        <v>嘉</v>
      </c>
      <c r="J20" s="22" t="str" cm="1">
        <f t="array" ref="J20" xml:space="preserve"> INDEX(十五音韻母清單!$B$6:$K$105, '韻母碼 (台羅)'!$C20,'韻母碼 (台羅)'!J$2)</f>
        <v>eeh</v>
      </c>
      <c r="K20" s="22" t="str" cm="1">
        <f t="array" ref="K20" xml:space="preserve"> INDEX(十五音韻母清單!$B$6:$K$105, '韻母碼 (台羅)'!$C20,'韻母碼 (台羅)'!K$2)</f>
        <v>eh</v>
      </c>
      <c r="L20" s="22" t="str" cm="1">
        <f t="array" ref="L20" xml:space="preserve"> INDEX(十五音韻母清單!$B$6:$K$105, '韻母碼 (台羅)'!$C20,'韻母碼 (台羅)'!L$2)</f>
        <v>eh</v>
      </c>
      <c r="M20" s="22" t="str" cm="1">
        <f t="array" ref="M20" xml:space="preserve"> INDEX(十五音韻母清單!$B$6:$K$105, '韻母碼 (台羅)'!$C20,'韻母碼 (台羅)'!M$2)</f>
        <v>ㄝㆷ</v>
      </c>
    </row>
    <row r="21" spans="2:13" ht="29.25">
      <c r="B21" s="21" t="s">
        <v>194</v>
      </c>
      <c r="C21" s="20">
        <f xml:space="preserve"> MATCH(B21, 十五音韻母清單!$I$6:$I$105,0)</f>
        <v>61</v>
      </c>
      <c r="D21" s="20" cm="1">
        <f t="array" ref="D21" xml:space="preserve"> INDEX(十五音韻母清單!$B$6:$K$105, $C21, D$2)</f>
        <v>31</v>
      </c>
      <c r="F21" s="20">
        <v>17</v>
      </c>
      <c r="G21" s="22" t="str" cm="1">
        <f t="array" ref="G21" xml:space="preserve"> INDEX(十五音韻母清單!$B$6:$K$105, $C21, G$2)</f>
        <v>enn</v>
      </c>
      <c r="H21" s="22" t="str" cm="1">
        <f t="array" ref="H21" xml:space="preserve"> INDEX(十五音韻母清單!$B$6:$K$105, '韻母碼 (台羅)'!$C21,'韻母碼 (台羅)'!H$2)</f>
        <v>ɛ̃</v>
      </c>
      <c r="I21" s="20" t="str" cm="1">
        <f t="array" ref="I21" xml:space="preserve"> INDEX(十五音韻母清單!$B$6:$K$105, $C21, I$2)</f>
        <v>更</v>
      </c>
      <c r="J21" s="22" t="str" cm="1">
        <f t="array" ref="J21" xml:space="preserve"> INDEX(十五音韻母清單!$B$6:$K$105, '韻母碼 (台羅)'!$C21,'韻母碼 (台羅)'!J$2)</f>
        <v>eⁿ</v>
      </c>
      <c r="K21" s="22" t="str" cm="1">
        <f t="array" ref="K21" xml:space="preserve"> INDEX(十五音韻母清單!$B$6:$K$105, '韻母碼 (台羅)'!$C21,'韻母碼 (台羅)'!K$2)</f>
        <v>enn</v>
      </c>
      <c r="L21" s="22" t="str" cm="1">
        <f t="array" ref="L21" xml:space="preserve"> INDEX(十五音韻母清單!$B$6:$K$105, '韻母碼 (台羅)'!$C21,'韻母碼 (台羅)'!L$2)</f>
        <v>ne</v>
      </c>
      <c r="M21" s="22" t="str" cm="1">
        <f t="array" ref="M21" xml:space="preserve"> INDEX(十五音韻母清單!$B$6:$K$105, '韻母碼 (台羅)'!$C21,'韻母碼 (台羅)'!M$2)</f>
        <v>ㆥ</v>
      </c>
    </row>
    <row r="22" spans="2:13" ht="29.25">
      <c r="B22" s="21" t="s">
        <v>195</v>
      </c>
      <c r="C22" s="20">
        <f xml:space="preserve"> MATCH(B22, 十五音韻母清單!$I$6:$I$105,0)</f>
        <v>62</v>
      </c>
      <c r="D22" s="20" cm="1">
        <f t="array" ref="D22" xml:space="preserve"> INDEX(十五音韻母清單!$B$6:$K$105, $C22, D$2)</f>
        <v>31</v>
      </c>
      <c r="F22" s="20">
        <v>18</v>
      </c>
      <c r="G22" s="22" t="str" cm="1">
        <f t="array" ref="G22" xml:space="preserve"> INDEX(十五音韻母清單!$B$6:$K$105, $C22, G$2)</f>
        <v>ennh</v>
      </c>
      <c r="H22" s="22" t="str" cm="1">
        <f t="array" ref="H22" xml:space="preserve"> INDEX(十五音韻母清單!$B$6:$K$105, '韻母碼 (台羅)'!$C22,'韻母碼 (台羅)'!H$2)</f>
        <v>ɛ̃?</v>
      </c>
      <c r="I22" s="20" t="str" cm="1">
        <f t="array" ref="I22" xml:space="preserve"> INDEX(十五音韻母清單!$B$6:$K$105, $C22, I$2)</f>
        <v>更</v>
      </c>
      <c r="J22" s="22" t="str" cm="1">
        <f t="array" ref="J22" xml:space="preserve"> INDEX(十五音韻母清單!$B$6:$K$105, '韻母碼 (台羅)'!$C22,'韻母碼 (台羅)'!J$2)</f>
        <v>ehⁿ</v>
      </c>
      <c r="K22" s="22" t="str" cm="1">
        <f t="array" ref="K22" xml:space="preserve"> INDEX(十五音韻母清單!$B$6:$K$105, '韻母碼 (台羅)'!$C22,'韻母碼 (台羅)'!K$2)</f>
        <v>ennh</v>
      </c>
      <c r="L22" s="22" t="str" cm="1">
        <f t="array" ref="L22" xml:space="preserve"> INDEX(十五音韻母清單!$B$6:$K$105, '韻母碼 (台羅)'!$C22,'韻母碼 (台羅)'!L$2)</f>
        <v>neh</v>
      </c>
      <c r="M22" s="22" t="str" cm="1">
        <f t="array" ref="M22" xml:space="preserve"> INDEX(十五音韻母清單!$B$6:$K$105, '韻母碼 (台羅)'!$C22,'韻母碼 (台羅)'!M$2)</f>
        <v>ㆥㆷ</v>
      </c>
    </row>
    <row r="23" spans="2:13" ht="29.25">
      <c r="B23" s="21" t="s">
        <v>200</v>
      </c>
      <c r="C23" s="20">
        <f xml:space="preserve"> MATCH(B23, 十五音韻母清單!$I$6:$I$105,0)</f>
        <v>57</v>
      </c>
      <c r="D23" s="20" cm="1">
        <f t="array" ref="D23" xml:space="preserve"> INDEX(十五音韻母清單!$B$6:$K$105, $C23, D$2)</f>
        <v>29</v>
      </c>
      <c r="F23" s="20">
        <v>19</v>
      </c>
      <c r="G23" s="22" t="str" cm="1">
        <f t="array" ref="G23" xml:space="preserve"> INDEX(十五音韻母清單!$B$6:$K$105, $C23, G$2)</f>
        <v>i</v>
      </c>
      <c r="H23" s="22" t="str" cm="1">
        <f t="array" ref="H23" xml:space="preserve"> INDEX(十五音韻母清單!$B$6:$K$105, '韻母碼 (台羅)'!$C23,'韻母碼 (台羅)'!H$2)</f>
        <v>i</v>
      </c>
      <c r="I23" s="20" t="str" cm="1">
        <f t="array" ref="I23" xml:space="preserve"> INDEX(十五音韻母清單!$B$6:$K$105, $C23, I$2)</f>
        <v>居</v>
      </c>
      <c r="J23" s="22" t="str" cm="1">
        <f t="array" ref="J23" xml:space="preserve"> INDEX(十五音韻母清單!$B$6:$K$105, '韻母碼 (台羅)'!$C23,'韻母碼 (台羅)'!J$2)</f>
        <v>i</v>
      </c>
      <c r="K23" s="22" t="str" cm="1">
        <f t="array" ref="K23" xml:space="preserve"> INDEX(十五音韻母清單!$B$6:$K$105, '韻母碼 (台羅)'!$C23,'韻母碼 (台羅)'!K$2)</f>
        <v>i</v>
      </c>
      <c r="L23" s="22" t="str" cm="1">
        <f t="array" ref="L23" xml:space="preserve"> INDEX(十五音韻母清單!$B$6:$K$105, '韻母碼 (台羅)'!$C23,'韻母碼 (台羅)'!L$2)</f>
        <v>i</v>
      </c>
      <c r="M23" s="22" t="str" cm="1">
        <f t="array" ref="M23" xml:space="preserve"> INDEX(十五音韻母清單!$B$6:$K$105, '韻母碼 (台羅)'!$C23,'韻母碼 (台羅)'!M$2)</f>
        <v>ㄧ</v>
      </c>
    </row>
    <row r="24" spans="2:13" ht="29.25">
      <c r="B24" s="21" t="s">
        <v>212</v>
      </c>
      <c r="C24" s="20">
        <f xml:space="preserve"> MATCH(B24, 十五音韻母清單!$I$6:$I$105,0)</f>
        <v>47</v>
      </c>
      <c r="D24" s="20" cm="1">
        <f t="array" ref="D24" xml:space="preserve"> INDEX(十五音韻母清單!$B$6:$K$105, $C24, D$2)</f>
        <v>24</v>
      </c>
      <c r="F24" s="20">
        <v>20</v>
      </c>
      <c r="G24" s="22" t="str" cm="1">
        <f t="array" ref="G24" xml:space="preserve"> INDEX(十五音韻母清單!$B$6:$K$105, $C24, G$2)</f>
        <v>ia</v>
      </c>
      <c r="H24" s="22" t="str" cm="1">
        <f t="array" ref="H24" xml:space="preserve"> INDEX(十五音韻母清單!$B$6:$K$105, '韻母碼 (台羅)'!$C24,'韻母碼 (台羅)'!H$2)</f>
        <v>ia</v>
      </c>
      <c r="I24" s="20" t="str" cm="1">
        <f t="array" ref="I24" xml:space="preserve"> INDEX(十五音韻母清單!$B$6:$K$105, $C24, I$2)</f>
        <v>迦</v>
      </c>
      <c r="J24" s="22" t="str" cm="1">
        <f t="array" ref="J24" xml:space="preserve"> INDEX(十五音韻母清單!$B$6:$K$105, '韻母碼 (台羅)'!$C24,'韻母碼 (台羅)'!J$2)</f>
        <v>ia</v>
      </c>
      <c r="K24" s="22" t="str" cm="1">
        <f t="array" ref="K24" xml:space="preserve"> INDEX(十五音韻母清單!$B$6:$K$105, '韻母碼 (台羅)'!$C24,'韻母碼 (台羅)'!K$2)</f>
        <v>ia</v>
      </c>
      <c r="L24" s="22" t="str" cm="1">
        <f t="array" ref="L24" xml:space="preserve"> INDEX(十五音韻母清單!$B$6:$K$105, '韻母碼 (台羅)'!$C24,'韻母碼 (台羅)'!L$2)</f>
        <v>ia</v>
      </c>
      <c r="M24" s="22" t="str" cm="1">
        <f t="array" ref="M24" xml:space="preserve"> INDEX(十五音韻母清單!$B$6:$K$105, '韻母碼 (台羅)'!$C24,'韻母碼 (台羅)'!M$2)</f>
        <v>ㄧㄚ</v>
      </c>
    </row>
    <row r="25" spans="2:13" ht="29.25">
      <c r="B25" s="21" t="s">
        <v>213</v>
      </c>
      <c r="C25" s="20">
        <f xml:space="preserve"> MATCH(B25, 十五音韻母清單!$I$6:$I$105,0)</f>
        <v>48</v>
      </c>
      <c r="D25" s="20" cm="1">
        <f t="array" ref="D25" xml:space="preserve"> INDEX(十五音韻母清單!$B$6:$K$105, $C25, D$2)</f>
        <v>24</v>
      </c>
      <c r="F25" s="20">
        <v>21</v>
      </c>
      <c r="G25" s="22" t="str" cm="1">
        <f t="array" ref="G25" xml:space="preserve"> INDEX(十五音韻母清單!$B$6:$K$105, $C25, G$2)</f>
        <v>iah</v>
      </c>
      <c r="H25" s="22" t="str" cm="1">
        <f t="array" ref="H25" xml:space="preserve"> INDEX(十五音韻母清單!$B$6:$K$105, '韻母碼 (台羅)'!$C25,'韻母碼 (台羅)'!H$2)</f>
        <v>ia?</v>
      </c>
      <c r="I25" s="20" t="str" cm="1">
        <f t="array" ref="I25" xml:space="preserve"> INDEX(十五音韻母清單!$B$6:$K$105, $C25, I$2)</f>
        <v>迦</v>
      </c>
      <c r="J25" s="22" t="str" cm="1">
        <f t="array" ref="J25" xml:space="preserve"> INDEX(十五音韻母清單!$B$6:$K$105, '韻母碼 (台羅)'!$C25,'韻母碼 (台羅)'!J$2)</f>
        <v>iah</v>
      </c>
      <c r="K25" s="22" t="str" cm="1">
        <f t="array" ref="K25" xml:space="preserve"> INDEX(十五音韻母清單!$B$6:$K$105, '韻母碼 (台羅)'!$C25,'韻母碼 (台羅)'!K$2)</f>
        <v>iah</v>
      </c>
      <c r="L25" s="22" t="str" cm="1">
        <f t="array" ref="L25" xml:space="preserve"> INDEX(十五音韻母清單!$B$6:$K$105, '韻母碼 (台羅)'!$C25,'韻母碼 (台羅)'!L$2)</f>
        <v>iah</v>
      </c>
      <c r="M25" s="22" t="str" cm="1">
        <f t="array" ref="M25" xml:space="preserve"> INDEX(十五音韻母清單!$B$6:$K$105, '韻母碼 (台羅)'!$C25,'韻母碼 (台羅)'!M$2)</f>
        <v>ㄧㄚㆷ</v>
      </c>
    </row>
    <row r="26" spans="2:13" ht="29.25">
      <c r="B26" s="21" t="s">
        <v>228</v>
      </c>
      <c r="C26" s="20">
        <f xml:space="preserve"> MATCH(B26, 十五音韻母清單!$I$6:$I$105,0)</f>
        <v>36</v>
      </c>
      <c r="D26" s="20" cm="1">
        <f t="array" ref="D26" xml:space="preserve"> INDEX(十五音韻母清單!$B$6:$K$105, $C26, D$2)</f>
        <v>18</v>
      </c>
      <c r="F26" s="20">
        <v>22</v>
      </c>
      <c r="G26" s="22" t="str" cm="1">
        <f t="array" ref="G26" xml:space="preserve"> INDEX(十五音韻母清單!$B$6:$K$105, $C26, G$2)</f>
        <v>iak</v>
      </c>
      <c r="H26" s="22" t="str" cm="1">
        <f t="array" ref="H26" xml:space="preserve"> INDEX(十五音韻母清單!$B$6:$K$105, '韻母碼 (台羅)'!$C26,'韻母碼 (台羅)'!H$2)</f>
        <v>iak̚</v>
      </c>
      <c r="I26" s="20" t="str" cm="1">
        <f t="array" ref="I26" xml:space="preserve"> INDEX(十五音韻母清單!$B$6:$K$105, $C26, I$2)</f>
        <v>姜</v>
      </c>
      <c r="J26" s="22" t="str" cm="1">
        <f t="array" ref="J26" xml:space="preserve"> INDEX(十五音韻母清單!$B$6:$K$105, '韻母碼 (台羅)'!$C26,'韻母碼 (台羅)'!J$2)</f>
        <v>iak</v>
      </c>
      <c r="K26" s="22" t="str" cm="1">
        <f t="array" ref="K26" xml:space="preserve"> INDEX(十五音韻母清單!$B$6:$K$105, '韻母碼 (台羅)'!$C26,'韻母碼 (台羅)'!K$2)</f>
        <v>iak</v>
      </c>
      <c r="L26" s="22" t="str" cm="1">
        <f t="array" ref="L26" xml:space="preserve"> INDEX(十五音韻母清單!$B$6:$K$105, '韻母碼 (台羅)'!$C26,'韻母碼 (台羅)'!L$2)</f>
        <v>iak</v>
      </c>
      <c r="M26" s="22" t="str" cm="1">
        <f t="array" ref="M26" xml:space="preserve"> INDEX(十五音韻母清單!$B$6:$K$105, '韻母碼 (台羅)'!$C26,'韻母碼 (台羅)'!M$2)</f>
        <v>ㄧㄚㆻ</v>
      </c>
    </row>
    <row r="27" spans="2:13" ht="29.25">
      <c r="B27" s="21" t="s">
        <v>221</v>
      </c>
      <c r="C27" s="20">
        <f xml:space="preserve"> MATCH(B27, 十五音韻母清單!$I$6:$I$105,0)</f>
        <v>43</v>
      </c>
      <c r="D27" s="20" cm="1">
        <f t="array" ref="D27" xml:space="preserve"> INDEX(十五音韻母清單!$B$6:$K$105, $C27, D$2)</f>
        <v>22</v>
      </c>
      <c r="F27" s="20">
        <v>23</v>
      </c>
      <c r="G27" s="22" t="str" cm="1">
        <f t="array" ref="G27" xml:space="preserve"> INDEX(十五音韻母清單!$B$6:$K$105, $C27, G$2)</f>
        <v>iam</v>
      </c>
      <c r="H27" s="22" t="str" cm="1">
        <f t="array" ref="H27" xml:space="preserve"> INDEX(十五音韻母清單!$B$6:$K$105, '韻母碼 (台羅)'!$C27,'韻母碼 (台羅)'!H$2)</f>
        <v>iam</v>
      </c>
      <c r="I27" s="20" t="str" cm="1">
        <f t="array" ref="I27" xml:space="preserve"> INDEX(十五音韻母清單!$B$6:$K$105, $C27, I$2)</f>
        <v>兼</v>
      </c>
      <c r="J27" s="22" t="str" cm="1">
        <f t="array" ref="J27" xml:space="preserve"> INDEX(十五音韻母清單!$B$6:$K$105, '韻母碼 (台羅)'!$C27,'韻母碼 (台羅)'!J$2)</f>
        <v>iam</v>
      </c>
      <c r="K27" s="22" t="str" cm="1">
        <f t="array" ref="K27" xml:space="preserve"> INDEX(十五音韻母清單!$B$6:$K$105, '韻母碼 (台羅)'!$C27,'韻母碼 (台羅)'!K$2)</f>
        <v>iam</v>
      </c>
      <c r="L27" s="22" t="str" cm="1">
        <f t="array" ref="L27" xml:space="preserve"> INDEX(十五音韻母清單!$B$6:$K$105, '韻母碼 (台羅)'!$C27,'韻母碼 (台羅)'!L$2)</f>
        <v>iam</v>
      </c>
      <c r="M27" s="22" t="str" cm="1">
        <f t="array" ref="M27" xml:space="preserve"> INDEX(十五音韻母清單!$B$6:$K$105, '韻母碼 (台羅)'!$C27,'韻母碼 (台羅)'!M$2)</f>
        <v>ㄧㆰ</v>
      </c>
    </row>
    <row r="28" spans="2:13" ht="29.25">
      <c r="B28" s="21" t="s">
        <v>142</v>
      </c>
      <c r="C28" s="20">
        <f xml:space="preserve"> MATCH(B28, 十五音韻母清單!$I$6:$I$105,0)</f>
        <v>3</v>
      </c>
      <c r="D28" s="20" cm="1">
        <f t="array" ref="D28" xml:space="preserve"> INDEX(十五音韻母清單!$B$6:$K$105, $C28, D$2)</f>
        <v>2</v>
      </c>
      <c r="F28" s="20">
        <v>24</v>
      </c>
      <c r="G28" s="22" t="str" cm="1">
        <f t="array" ref="G28" xml:space="preserve"> INDEX(十五音韻母清單!$B$6:$K$105, $C28, G$2)</f>
        <v>ian</v>
      </c>
      <c r="H28" s="22" t="str" cm="1">
        <f t="array" ref="H28" xml:space="preserve"> INDEX(十五音韻母清單!$B$6:$K$105, '韻母碼 (台羅)'!$C28,'韻母碼 (台羅)'!H$2)</f>
        <v>ian</v>
      </c>
      <c r="I28" s="20" t="str" cm="1">
        <f t="array" ref="I28" xml:space="preserve"> INDEX(十五音韻母清單!$B$6:$K$105, $C28, I$2)</f>
        <v>堅</v>
      </c>
      <c r="J28" s="22" t="str" cm="1">
        <f t="array" ref="J28" xml:space="preserve"> INDEX(十五音韻母清單!$B$6:$K$105, '韻母碼 (台羅)'!$C28,'韻母碼 (台羅)'!J$2)</f>
        <v>ian</v>
      </c>
      <c r="K28" s="22" t="str" cm="1">
        <f t="array" ref="K28" xml:space="preserve"> INDEX(十五音韻母清單!$B$6:$K$105, '韻母碼 (台羅)'!$C28,'韻母碼 (台羅)'!K$2)</f>
        <v>ian</v>
      </c>
      <c r="L28" s="22" t="str" cm="1">
        <f t="array" ref="L28" xml:space="preserve"> INDEX(十五音韻母清單!$B$6:$K$105, '韻母碼 (台羅)'!$C28,'韻母碼 (台羅)'!L$2)</f>
        <v>ian</v>
      </c>
      <c r="M28" s="22" t="str" cm="1">
        <f t="array" ref="M28" xml:space="preserve"> INDEX(十五音韻母清單!$B$6:$K$105, '韻母碼 (台羅)'!$C28,'韻母碼 (台羅)'!M$2)</f>
        <v>ㄧㄢ</v>
      </c>
    </row>
    <row r="29" spans="2:13" ht="29.25">
      <c r="B29" s="21" t="s">
        <v>227</v>
      </c>
      <c r="C29" s="20">
        <f xml:space="preserve"> MATCH(B29, 十五音韻母清單!$I$6:$I$105,0)</f>
        <v>35</v>
      </c>
      <c r="D29" s="20" cm="1">
        <f t="array" ref="D29" xml:space="preserve"> INDEX(十五音韻母清單!$B$6:$K$105, $C29, D$2)</f>
        <v>18</v>
      </c>
      <c r="F29" s="20">
        <v>25</v>
      </c>
      <c r="G29" s="22" t="str" cm="1">
        <f t="array" ref="G29" xml:space="preserve"> INDEX(十五音韻母清單!$B$6:$K$105, $C29, G$2)</f>
        <v>iang</v>
      </c>
      <c r="H29" s="22" t="str" cm="1">
        <f t="array" ref="H29" xml:space="preserve"> INDEX(十五音韻母清單!$B$6:$K$105, '韻母碼 (台羅)'!$C29,'韻母碼 (台羅)'!H$2)</f>
        <v>iaŋ</v>
      </c>
      <c r="I29" s="20" t="str" cm="1">
        <f t="array" ref="I29" xml:space="preserve"> INDEX(十五音韻母清單!$B$6:$K$105, $C29, I$2)</f>
        <v>姜</v>
      </c>
      <c r="J29" s="22" t="str" cm="1">
        <f t="array" ref="J29" xml:space="preserve"> INDEX(十五音韻母清單!$B$6:$K$105, '韻母碼 (台羅)'!$C29,'韻母碼 (台羅)'!J$2)</f>
        <v>iang</v>
      </c>
      <c r="K29" s="22" t="str" cm="1">
        <f t="array" ref="K29" xml:space="preserve"> INDEX(十五音韻母清單!$B$6:$K$105, '韻母碼 (台羅)'!$C29,'韻母碼 (台羅)'!K$2)</f>
        <v>iang</v>
      </c>
      <c r="L29" s="22" t="str" cm="1">
        <f t="array" ref="L29" xml:space="preserve"> INDEX(十五音韻母清單!$B$6:$K$105, '韻母碼 (台羅)'!$C29,'韻母碼 (台羅)'!L$2)</f>
        <v>iang</v>
      </c>
      <c r="M29" s="22" t="str" cm="1">
        <f t="array" ref="M29" xml:space="preserve"> INDEX(十五音韻母清單!$B$6:$K$105, '韻母碼 (台羅)'!$C29,'韻母碼 (台羅)'!M$2)</f>
        <v>ㄧㄤ</v>
      </c>
    </row>
    <row r="30" spans="2:13" ht="29.25">
      <c r="B30" s="98" t="s">
        <v>218</v>
      </c>
      <c r="C30" s="99">
        <f xml:space="preserve"> MATCH(B30, 十五音韻母清單!$I$6:$I$105,0)</f>
        <v>71</v>
      </c>
      <c r="D30" s="99" cm="1">
        <f t="array" ref="D30" xml:space="preserve"> INDEX(十五音韻母清單!$B$6:$K$105, $C30, D$2)</f>
        <v>36</v>
      </c>
      <c r="F30" s="20">
        <v>26</v>
      </c>
      <c r="G30" s="100" t="str" cm="1">
        <f t="array" ref="G30" xml:space="preserve"> INDEX(十五音韻母清單!$B$6:$K$105, $C30, G$2)</f>
        <v>iann</v>
      </c>
      <c r="H30" s="100" t="str" cm="1">
        <f t="array" ref="H30" xml:space="preserve"> INDEX(十五音韻母清單!$B$6:$K$105, '韻母碼 (台羅)'!$C30,'韻母碼 (台羅)'!H$2)</f>
        <v>iã</v>
      </c>
      <c r="I30" s="99" t="str" cm="1">
        <f t="array" ref="I30" xml:space="preserve"> INDEX(十五音韻母清單!$B$6:$K$105, $C30, I$2)</f>
        <v>驚</v>
      </c>
      <c r="J30" s="100" t="str" cm="1">
        <f t="array" ref="J30" xml:space="preserve"> INDEX(十五音韻母清單!$B$6:$K$105, '韻母碼 (台羅)'!$C30,'韻母碼 (台羅)'!J$2)</f>
        <v>iaⁿ</v>
      </c>
      <c r="K30" s="100" t="str" cm="1">
        <f t="array" ref="K30" xml:space="preserve"> INDEX(十五音韻母清單!$B$6:$K$105, '韻母碼 (台羅)'!$C30,'韻母碼 (台羅)'!K$2)</f>
        <v>iann</v>
      </c>
      <c r="L30" s="100" t="str" cm="1">
        <f t="array" ref="L30" xml:space="preserve"> INDEX(十五音韻母清單!$B$6:$K$105, '韻母碼 (台羅)'!$C30,'韻母碼 (台羅)'!L$2)</f>
        <v>nia</v>
      </c>
      <c r="M30" s="100" t="str" cm="1">
        <f t="array" ref="M30" xml:space="preserve"> INDEX(十五音韻母清單!$B$6:$K$105, '韻母碼 (台羅)'!$C30,'韻母碼 (台羅)'!M$2)</f>
        <v>ㄧㆩ</v>
      </c>
    </row>
    <row r="31" spans="2:13" ht="29.25">
      <c r="B31" s="98" t="s">
        <v>219</v>
      </c>
      <c r="C31" s="99">
        <f xml:space="preserve"> MATCH(B31, 十五音韻母清單!$I$6:$I$105,0)</f>
        <v>72</v>
      </c>
      <c r="D31" s="99" cm="1">
        <f t="array" ref="D31" xml:space="preserve"> INDEX(十五音韻母清單!$B$6:$K$105, $C31, D$2)</f>
        <v>36</v>
      </c>
      <c r="F31" s="20">
        <v>27</v>
      </c>
      <c r="G31" s="100" t="str" cm="1">
        <f t="array" ref="G31" xml:space="preserve"> INDEX(十五音韻母清單!$B$6:$K$105, $C31, G$2)</f>
        <v>iannh</v>
      </c>
      <c r="H31" s="100" t="str" cm="1">
        <f t="array" ref="H31" xml:space="preserve"> INDEX(十五音韻母清單!$B$6:$K$105, '韻母碼 (台羅)'!$C31,'韻母碼 (台羅)'!H$2)</f>
        <v>iã?</v>
      </c>
      <c r="I31" s="99" t="str" cm="1">
        <f t="array" ref="I31" xml:space="preserve"> INDEX(十五音韻母清單!$B$6:$K$105, $C31, I$2)</f>
        <v>驚</v>
      </c>
      <c r="J31" s="100" t="str" cm="1">
        <f t="array" ref="J31" xml:space="preserve"> INDEX(十五音韻母清單!$B$6:$K$105, '韻母碼 (台羅)'!$C31,'韻母碼 (台羅)'!J$2)</f>
        <v>iahⁿ</v>
      </c>
      <c r="K31" s="100" t="str" cm="1">
        <f t="array" ref="K31" xml:space="preserve"> INDEX(十五音韻母清單!$B$6:$K$105, '韻母碼 (台羅)'!$C31,'韻母碼 (台羅)'!K$2)</f>
        <v>iannh</v>
      </c>
      <c r="L31" s="100" t="str" cm="1">
        <f t="array" ref="L31" xml:space="preserve"> INDEX(十五音韻母清單!$B$6:$K$105, '韻母碼 (台羅)'!$C31,'韻母碼 (台羅)'!L$2)</f>
        <v>niah</v>
      </c>
      <c r="M31" s="100" t="str" cm="1">
        <f t="array" ref="M31" xml:space="preserve"> INDEX(十五音韻母清單!$B$6:$K$105, '韻母碼 (台羅)'!$C31,'韻母碼 (台羅)'!M$2)</f>
        <v>ㄧㆩㆷ</v>
      </c>
    </row>
    <row r="32" spans="2:13" ht="29.25">
      <c r="B32" s="21" t="s">
        <v>222</v>
      </c>
      <c r="C32" s="20">
        <f xml:space="preserve"> MATCH(B32, 十五音韻母清單!$I$6:$I$105,0)</f>
        <v>44</v>
      </c>
      <c r="D32" s="20" cm="1">
        <f t="array" ref="D32" xml:space="preserve"> INDEX(十五音韻母清單!$B$6:$K$105, $C32, D$2)</f>
        <v>22</v>
      </c>
      <c r="F32" s="20">
        <v>28</v>
      </c>
      <c r="G32" s="22" t="str" cm="1">
        <f t="array" ref="G32" xml:space="preserve"> INDEX(十五音韻母清單!$B$6:$K$105, $C32, G$2)</f>
        <v>iap</v>
      </c>
      <c r="H32" s="22" t="str" cm="1">
        <f t="array" ref="H32" xml:space="preserve"> INDEX(十五音韻母清單!$B$6:$K$105, '韻母碼 (台羅)'!$C32,'韻母碼 (台羅)'!H$2)</f>
        <v>iap̚</v>
      </c>
      <c r="I32" s="20" t="str" cm="1">
        <f t="array" ref="I32" xml:space="preserve"> INDEX(十五音韻母清單!$B$6:$K$105, $C32, I$2)</f>
        <v>兼</v>
      </c>
      <c r="J32" s="22" t="str" cm="1">
        <f t="array" ref="J32" xml:space="preserve"> INDEX(十五音韻母清單!$B$6:$K$105, '韻母碼 (台羅)'!$C32,'韻母碼 (台羅)'!J$2)</f>
        <v>iap</v>
      </c>
      <c r="K32" s="22" t="str" cm="1">
        <f t="array" ref="K32" xml:space="preserve"> INDEX(十五音韻母清單!$B$6:$K$105, '韻母碼 (台羅)'!$C32,'韻母碼 (台羅)'!K$2)</f>
        <v>iap</v>
      </c>
      <c r="L32" s="22" t="str" cm="1">
        <f t="array" ref="L32" xml:space="preserve"> INDEX(十五音韻母清單!$B$6:$K$105, '韻母碼 (台羅)'!$C32,'韻母碼 (台羅)'!L$2)</f>
        <v>iap</v>
      </c>
      <c r="M32" s="22" t="str" cm="1">
        <f t="array" ref="M32" xml:space="preserve"> INDEX(十五音韻母清單!$B$6:$K$105, '韻母碼 (台羅)'!$C32,'韻母碼 (台羅)'!M$2)</f>
        <v>ㄧㄚㆴ</v>
      </c>
    </row>
    <row r="33" spans="2:13" ht="29.25">
      <c r="B33" s="21" t="s">
        <v>143</v>
      </c>
      <c r="C33" s="20">
        <f xml:space="preserve"> MATCH(B33, 十五音韻母清單!$I$6:$I$105,0)</f>
        <v>4</v>
      </c>
      <c r="D33" s="20" cm="1">
        <f t="array" ref="D33" xml:space="preserve"> INDEX(十五音韻母清單!$B$6:$K$105, $C33, D$2)</f>
        <v>2</v>
      </c>
      <c r="F33" s="20">
        <v>29</v>
      </c>
      <c r="G33" s="22" t="str" cm="1">
        <f t="array" ref="G33" xml:space="preserve"> INDEX(十五音韻母清單!$B$6:$K$105, $C33, G$2)</f>
        <v>iat</v>
      </c>
      <c r="H33" s="22" t="str" cm="1">
        <f t="array" ref="H33" xml:space="preserve"> INDEX(十五音韻母清單!$B$6:$K$105, '韻母碼 (台羅)'!$C33,'韻母碼 (台羅)'!H$2)</f>
        <v>iat̚</v>
      </c>
      <c r="I33" s="20" t="str" cm="1">
        <f t="array" ref="I33" xml:space="preserve"> INDEX(十五音韻母清單!$B$6:$K$105, $C33, I$2)</f>
        <v>堅</v>
      </c>
      <c r="J33" s="22" t="str" cm="1">
        <f t="array" ref="J33" xml:space="preserve"> INDEX(十五音韻母清單!$B$6:$K$105, '韻母碼 (台羅)'!$C33,'韻母碼 (台羅)'!J$2)</f>
        <v>iat</v>
      </c>
      <c r="K33" s="22" t="str" cm="1">
        <f t="array" ref="K33" xml:space="preserve"> INDEX(十五音韻母清單!$B$6:$K$105, '韻母碼 (台羅)'!$C33,'韻母碼 (台羅)'!K$2)</f>
        <v>iat</v>
      </c>
      <c r="L33" s="22" t="str" cm="1">
        <f t="array" ref="L33" xml:space="preserve"> INDEX(十五音韻母清單!$B$6:$K$105, '韻母碼 (台羅)'!$C33,'韻母碼 (台羅)'!L$2)</f>
        <v>iat</v>
      </c>
      <c r="M33" s="22" t="str" cm="1">
        <f t="array" ref="M33" xml:space="preserve"> INDEX(十五音韻母清單!$B$6:$K$105, '韻母碼 (台羅)'!$C33,'韻母碼 (台羅)'!M$2)</f>
        <v>ㄧㄚㆵ</v>
      </c>
    </row>
    <row r="34" spans="2:13" ht="29.25">
      <c r="B34" s="21" t="s">
        <v>197</v>
      </c>
      <c r="C34" s="20">
        <f xml:space="preserve"> MATCH(B34, 十五音韻母清單!$I$6:$I$105,0)</f>
        <v>23</v>
      </c>
      <c r="D34" s="20" cm="1">
        <f t="array" ref="D34" xml:space="preserve"> INDEX(十五音韻母清單!$B$6:$K$105, $C34, D$2)</f>
        <v>12</v>
      </c>
      <c r="F34" s="20">
        <v>30</v>
      </c>
      <c r="G34" s="22" t="str" cm="1">
        <f t="array" ref="G34" xml:space="preserve"> INDEX(十五音韻母清單!$B$6:$K$105, $C34, G$2)</f>
        <v>iau</v>
      </c>
      <c r="H34" s="22" t="str" cm="1">
        <f t="array" ref="H34" xml:space="preserve"> INDEX(十五音韻母清單!$B$6:$K$105, '韻母碼 (台羅)'!$C34,'韻母碼 (台羅)'!H$2)</f>
        <v>iau</v>
      </c>
      <c r="I34" s="20" t="str" cm="1">
        <f t="array" ref="I34" xml:space="preserve"> INDEX(十五音韻母清單!$B$6:$K$105, $C34, I$2)</f>
        <v>嬌</v>
      </c>
      <c r="J34" s="22" t="str" cm="1">
        <f t="array" ref="J34" xml:space="preserve"> INDEX(十五音韻母清單!$B$6:$K$105, '韻母碼 (台羅)'!$C34,'韻母碼 (台羅)'!J$2)</f>
        <v>iau</v>
      </c>
      <c r="K34" s="22" t="str" cm="1">
        <f t="array" ref="K34" xml:space="preserve"> INDEX(十五音韻母清單!$B$6:$K$105, '韻母碼 (台羅)'!$C34,'韻母碼 (台羅)'!K$2)</f>
        <v>iau</v>
      </c>
      <c r="L34" s="22" t="str" cm="1">
        <f t="array" ref="L34" xml:space="preserve"> INDEX(十五音韻母清單!$B$6:$K$105, '韻母碼 (台羅)'!$C34,'韻母碼 (台羅)'!L$2)</f>
        <v>iao</v>
      </c>
      <c r="M34" s="22" t="str" cm="1">
        <f t="array" ref="M34" xml:space="preserve"> INDEX(十五音韻母清單!$B$6:$K$105, '韻母碼 (台羅)'!$C34,'韻母碼 (台羅)'!M$2)</f>
        <v>ㄧㄠ</v>
      </c>
    </row>
    <row r="35" spans="2:13" ht="29.25">
      <c r="B35" s="21" t="s">
        <v>198</v>
      </c>
      <c r="C35" s="20">
        <f xml:space="preserve"> MATCH(B35, 十五音韻母清單!$I$6:$I$105,0)</f>
        <v>24</v>
      </c>
      <c r="D35" s="20" cm="1">
        <f t="array" ref="D35" xml:space="preserve"> INDEX(十五音韻母清單!$B$6:$K$105, $C35, D$2)</f>
        <v>12</v>
      </c>
      <c r="F35" s="20">
        <v>31</v>
      </c>
      <c r="G35" s="22" t="str" cm="1">
        <f t="array" ref="G35" xml:space="preserve"> INDEX(十五音韻母清單!$B$6:$K$105, $C35, G$2)</f>
        <v>iauh</v>
      </c>
      <c r="H35" s="22" t="str" cm="1">
        <f t="array" ref="H35" xml:space="preserve"> INDEX(十五音韻母清單!$B$6:$K$105, '韻母碼 (台羅)'!$C35,'韻母碼 (台羅)'!H$2)</f>
        <v>iau?</v>
      </c>
      <c r="I35" s="20" t="str" cm="1">
        <f t="array" ref="I35" xml:space="preserve"> INDEX(十五音韻母清單!$B$6:$K$105, $C35, I$2)</f>
        <v>嬌</v>
      </c>
      <c r="J35" s="22" t="str" cm="1">
        <f t="array" ref="J35" xml:space="preserve"> INDEX(十五音韻母清單!$B$6:$K$105, '韻母碼 (台羅)'!$C35,'韻母碼 (台羅)'!J$2)</f>
        <v>iauh</v>
      </c>
      <c r="K35" s="22" t="str" cm="1">
        <f t="array" ref="K35" xml:space="preserve"> INDEX(十五音韻母清單!$B$6:$K$105, '韻母碼 (台羅)'!$C35,'韻母碼 (台羅)'!K$2)</f>
        <v>iauh</v>
      </c>
      <c r="L35" s="22" t="str" cm="1">
        <f t="array" ref="L35" xml:space="preserve"> INDEX(十五音韻母清單!$B$6:$K$105, '韻母碼 (台羅)'!$C35,'韻母碼 (台羅)'!L$2)</f>
        <v>iaoh</v>
      </c>
      <c r="M35" s="22" t="str" cm="1">
        <f t="array" ref="M35" xml:space="preserve"> INDEX(十五音韻母清單!$B$6:$K$105, '韻母碼 (台羅)'!$C35,'韻母碼 (台羅)'!M$2)</f>
        <v>ㄧㄠㆷ</v>
      </c>
    </row>
    <row r="36" spans="2:13" ht="29.25">
      <c r="B36" s="21" t="s">
        <v>233</v>
      </c>
      <c r="C36" s="20">
        <f xml:space="preserve"> MATCH(B36, 十五音韻母清單!$I$6:$I$105,0)</f>
        <v>91</v>
      </c>
      <c r="D36" s="20" cm="1">
        <f t="array" ref="D36" xml:space="preserve"> INDEX(十五音韻母清單!$B$6:$K$105, $C36, D$2)</f>
        <v>46</v>
      </c>
      <c r="F36" s="20">
        <v>32</v>
      </c>
      <c r="G36" s="22" t="str" cm="1">
        <f t="array" ref="G36" xml:space="preserve"> INDEX(十五音韻母清單!$B$6:$K$105, $C36, G$2)</f>
        <v>iaunn</v>
      </c>
      <c r="H36" s="22" t="str" cm="1">
        <f t="array" ref="H36" xml:space="preserve"> INDEX(十五音韻母清單!$B$6:$K$105, '韻母碼 (台羅)'!$C36,'韻母碼 (台羅)'!H$2)</f>
        <v>iãu</v>
      </c>
      <c r="I36" s="20" t="str" cm="1">
        <f t="array" ref="I36" xml:space="preserve"> INDEX(十五音韻母清單!$B$6:$K$105, $C36, I$2)</f>
        <v>嘄</v>
      </c>
      <c r="J36" s="22" t="str" cm="1">
        <f t="array" ref="J36" xml:space="preserve"> INDEX(十五音韻母清單!$B$6:$K$105, '韻母碼 (台羅)'!$C36,'韻母碼 (台羅)'!J$2)</f>
        <v>iauⁿ</v>
      </c>
      <c r="K36" s="22" t="str" cm="1">
        <f t="array" ref="K36" xml:space="preserve"> INDEX(十五音韻母清單!$B$6:$K$105, '韻母碼 (台羅)'!$C36,'韻母碼 (台羅)'!K$2)</f>
        <v>iaunn</v>
      </c>
      <c r="L36" s="22" t="str" cm="1">
        <f t="array" ref="L36" xml:space="preserve"> INDEX(十五音韻母清單!$B$6:$K$105, '韻母碼 (台羅)'!$C36,'韻母碼 (台羅)'!L$2)</f>
        <v>niao</v>
      </c>
      <c r="M36" s="22" t="str" cm="1">
        <f t="array" ref="M36" xml:space="preserve"> INDEX(十五音韻母清單!$B$6:$K$105, '韻母碼 (台羅)'!$C36,'韻母碼 (台羅)'!M$2)</f>
        <v>ㄧㆯ</v>
      </c>
    </row>
    <row r="37" spans="2:13" ht="29.25">
      <c r="B37" s="21" t="s">
        <v>201</v>
      </c>
      <c r="C37" s="20">
        <f xml:space="preserve"> MATCH(B37, 十五音韻母清單!$I$6:$I$105,0)</f>
        <v>58</v>
      </c>
      <c r="D37" s="20" cm="1">
        <f t="array" ref="D37" xml:space="preserve"> INDEX(十五音韻母清單!$B$6:$K$105, $C37, D$2)</f>
        <v>29</v>
      </c>
      <c r="F37" s="20">
        <v>33</v>
      </c>
      <c r="G37" s="22" t="str" cm="1">
        <f t="array" ref="G37" xml:space="preserve"> INDEX(十五音韻母清單!$B$6:$K$105, $C37, G$2)</f>
        <v>ih</v>
      </c>
      <c r="H37" s="22" t="str" cm="1">
        <f t="array" ref="H37" xml:space="preserve"> INDEX(十五音韻母清單!$B$6:$K$105, '韻母碼 (台羅)'!$C37,'韻母碼 (台羅)'!H$2)</f>
        <v>i?</v>
      </c>
      <c r="I37" s="20" t="str" cm="1">
        <f t="array" ref="I37" xml:space="preserve"> INDEX(十五音韻母清單!$B$6:$K$105, $C37, I$2)</f>
        <v>居</v>
      </c>
      <c r="J37" s="22" t="str" cm="1">
        <f t="array" ref="J37" xml:space="preserve"> INDEX(十五音韻母清單!$B$6:$K$105, '韻母碼 (台羅)'!$C37,'韻母碼 (台羅)'!J$2)</f>
        <v>ih</v>
      </c>
      <c r="K37" s="22" t="str" cm="1">
        <f t="array" ref="K37" xml:space="preserve"> INDEX(十五音韻母清單!$B$6:$K$105, '韻母碼 (台羅)'!$C37,'韻母碼 (台羅)'!K$2)</f>
        <v>ih</v>
      </c>
      <c r="L37" s="22" t="str" cm="1">
        <f t="array" ref="L37" xml:space="preserve"> INDEX(十五音韻母清單!$B$6:$K$105, '韻母碼 (台羅)'!$C37,'韻母碼 (台羅)'!L$2)</f>
        <v>ih</v>
      </c>
      <c r="M37" s="22" t="str" cm="1">
        <f t="array" ref="M37" xml:space="preserve"> INDEX(十五音韻母清單!$B$6:$K$105, '韻母碼 (台羅)'!$C37,'韻母碼 (台羅)'!M$2)</f>
        <v>ㄧㆷ</v>
      </c>
    </row>
    <row r="38" spans="2:13" ht="29.25">
      <c r="B38" s="21" t="s">
        <v>182</v>
      </c>
      <c r="C38" s="20">
        <f xml:space="preserve"> MATCH(B38, 十五音韻母清單!$I$6:$I$105,0)</f>
        <v>18</v>
      </c>
      <c r="D38" s="20" cm="1">
        <f t="array" ref="D38" xml:space="preserve"> INDEX(十五音韻母清單!$B$6:$K$105, $C38, D$2)</f>
        <v>9</v>
      </c>
      <c r="F38" s="20">
        <v>34</v>
      </c>
      <c r="G38" s="22" t="str" cm="1">
        <f t="array" ref="G38" xml:space="preserve"> INDEX(十五音韻母清單!$B$6:$K$105, $C38, G$2)</f>
        <v>ik</v>
      </c>
      <c r="H38" s="22" t="str" cm="1">
        <f t="array" ref="H38" xml:space="preserve"> INDEX(十五音韻母清單!$B$6:$K$105, '韻母碼 (台羅)'!$C38,'韻母碼 (台羅)'!H$2)</f>
        <v>ik̚</v>
      </c>
      <c r="I38" s="20" t="str" cm="1">
        <f t="array" ref="I38" xml:space="preserve"> INDEX(十五音韻母清單!$B$6:$K$105, $C38, I$2)</f>
        <v>經</v>
      </c>
      <c r="J38" s="22" t="str" cm="1">
        <f t="array" ref="J38" xml:space="preserve"> INDEX(十五音韻母清單!$B$6:$K$105, '韻母碼 (台羅)'!$C38,'韻母碼 (台羅)'!J$2)</f>
        <v>ek</v>
      </c>
      <c r="K38" s="22" t="str" cm="1">
        <f t="array" ref="K38" xml:space="preserve"> INDEX(十五音韻母清單!$B$6:$K$105, '韻母碼 (台羅)'!$C38,'韻母碼 (台羅)'!K$2)</f>
        <v>ik</v>
      </c>
      <c r="L38" s="22" t="str" cm="1">
        <f t="array" ref="L38" xml:space="preserve"> INDEX(十五音韻母清單!$B$6:$K$105, '韻母碼 (台羅)'!$C38,'韻母碼 (台羅)'!L$2)</f>
        <v>ik</v>
      </c>
      <c r="M38" s="22" t="str" cm="1">
        <f t="array" ref="M38" xml:space="preserve"> INDEX(十五音韻母清單!$B$6:$K$105, '韻母碼 (台羅)'!$C38,'韻母碼 (台羅)'!M$2)</f>
        <v>ㄧㆻ</v>
      </c>
    </row>
    <row r="39" spans="2:13" ht="29.25">
      <c r="B39" s="21" t="s">
        <v>148</v>
      </c>
      <c r="C39" s="20">
        <f xml:space="preserve"> MATCH(B39, 十五音韻母清單!$I$6:$I$105,0)</f>
        <v>5</v>
      </c>
      <c r="D39" s="20" cm="1">
        <f t="array" ref="D39" xml:space="preserve"> INDEX(十五音韻母清單!$B$6:$K$105, $C39, D$2)</f>
        <v>3</v>
      </c>
      <c r="F39" s="20">
        <v>35</v>
      </c>
      <c r="G39" s="22" t="str" cm="1">
        <f t="array" ref="G39" xml:space="preserve"> INDEX(十五音韻母清單!$B$6:$K$105, $C39, G$2)</f>
        <v>im</v>
      </c>
      <c r="H39" s="22" t="str" cm="1">
        <f t="array" ref="H39" xml:space="preserve"> INDEX(十五音韻母清單!$B$6:$K$105, '韻母碼 (台羅)'!$C39,'韻母碼 (台羅)'!H$2)</f>
        <v>im</v>
      </c>
      <c r="I39" s="20" t="str" cm="1">
        <f t="array" ref="I39" xml:space="preserve"> INDEX(十五音韻母清單!$B$6:$K$105, $C39, I$2)</f>
        <v>金</v>
      </c>
      <c r="J39" s="22" t="str" cm="1">
        <f t="array" ref="J39" xml:space="preserve"> INDEX(十五音韻母清單!$B$6:$K$105, '韻母碼 (台羅)'!$C39,'韻母碼 (台羅)'!J$2)</f>
        <v>im</v>
      </c>
      <c r="K39" s="22" t="str" cm="1">
        <f t="array" ref="K39" xml:space="preserve"> INDEX(十五音韻母清單!$B$6:$K$105, '韻母碼 (台羅)'!$C39,'韻母碼 (台羅)'!K$2)</f>
        <v>im</v>
      </c>
      <c r="L39" s="22" t="str" cm="1">
        <f t="array" ref="L39" xml:space="preserve"> INDEX(十五音韻母清單!$B$6:$K$105, '韻母碼 (台羅)'!$C39,'韻母碼 (台羅)'!L$2)</f>
        <v>im</v>
      </c>
      <c r="M39" s="22" t="str" cm="1">
        <f t="array" ref="M39" xml:space="preserve"> INDEX(十五音韻母清單!$B$6:$K$105, '韻母碼 (台羅)'!$C39,'韻母碼 (台羅)'!M$2)</f>
        <v>ㄧㆬ</v>
      </c>
    </row>
    <row r="40" spans="2:13" ht="29.25">
      <c r="B40" s="21" t="s">
        <v>224</v>
      </c>
      <c r="C40" s="20">
        <f xml:space="preserve"> MATCH(B40, 十五音韻母清單!$I$6:$I$105,0)</f>
        <v>33</v>
      </c>
      <c r="D40" s="20" cm="1">
        <f t="array" ref="D40" xml:space="preserve"> INDEX(十五音韻母清單!$B$6:$K$105, $C40, D$2)</f>
        <v>17</v>
      </c>
      <c r="F40" s="20">
        <v>36</v>
      </c>
      <c r="G40" s="22" t="str" cm="1">
        <f t="array" ref="G40" xml:space="preserve"> INDEX(十五音韻母清單!$B$6:$K$105, $C40, G$2)</f>
        <v>in</v>
      </c>
      <c r="H40" s="22" t="str" cm="1">
        <f t="array" ref="H40" xml:space="preserve"> INDEX(十五音韻母清單!$B$6:$K$105, '韻母碼 (台羅)'!$C40,'韻母碼 (台羅)'!H$2)</f>
        <v>in</v>
      </c>
      <c r="I40" s="20" t="str" cm="1">
        <f t="array" ref="I40" xml:space="preserve"> INDEX(十五音韻母清單!$B$6:$K$105, $C40, I$2)</f>
        <v>巾</v>
      </c>
      <c r="J40" s="22" t="str" cm="1">
        <f t="array" ref="J40" xml:space="preserve"> INDEX(十五音韻母清單!$B$6:$K$105, '韻母碼 (台羅)'!$C40,'韻母碼 (台羅)'!J$2)</f>
        <v>in</v>
      </c>
      <c r="K40" s="22" t="str" cm="1">
        <f t="array" ref="K40" xml:space="preserve"> INDEX(十五音韻母清單!$B$6:$K$105, '韻母碼 (台羅)'!$C40,'韻母碼 (台羅)'!K$2)</f>
        <v>in</v>
      </c>
      <c r="L40" s="22" t="str" cm="1">
        <f t="array" ref="L40" xml:space="preserve"> INDEX(十五音韻母清單!$B$6:$K$105, '韻母碼 (台羅)'!$C40,'韻母碼 (台羅)'!L$2)</f>
        <v>in</v>
      </c>
      <c r="M40" s="22" t="str" cm="1">
        <f t="array" ref="M40" xml:space="preserve"> INDEX(十五音韻母清單!$B$6:$K$105, '韻母碼 (台羅)'!$C40,'韻母碼 (台羅)'!M$2)</f>
        <v>ㄧㄣ</v>
      </c>
    </row>
    <row r="41" spans="2:13" ht="29.25">
      <c r="B41" s="21" t="s">
        <v>181</v>
      </c>
      <c r="C41" s="20">
        <f xml:space="preserve"> MATCH(B41, 十五音韻母清單!$I$6:$I$105,0)</f>
        <v>17</v>
      </c>
      <c r="D41" s="20" cm="1">
        <f t="array" ref="D41" xml:space="preserve"> INDEX(十五音韻母清單!$B$6:$K$105, $C41, D$2)</f>
        <v>9</v>
      </c>
      <c r="F41" s="20">
        <v>37</v>
      </c>
      <c r="G41" s="22" t="str" cm="1">
        <f t="array" ref="G41" xml:space="preserve"> INDEX(十五音韻母清單!$B$6:$K$105, $C41, G$2)</f>
        <v>ing</v>
      </c>
      <c r="H41" s="22" t="str" cm="1">
        <f t="array" ref="H41" xml:space="preserve"> INDEX(十五音韻母清單!$B$6:$K$105, '韻母碼 (台羅)'!$C41,'韻母碼 (台羅)'!H$2)</f>
        <v>ɪŋ</v>
      </c>
      <c r="I41" s="20" t="str" cm="1">
        <f t="array" ref="I41" xml:space="preserve"> INDEX(十五音韻母清單!$B$6:$K$105, $C41, I$2)</f>
        <v>經</v>
      </c>
      <c r="J41" s="22" t="str" cm="1">
        <f t="array" ref="J41" xml:space="preserve"> INDEX(十五音韻母清單!$B$6:$K$105, '韻母碼 (台羅)'!$C41,'韻母碼 (台羅)'!J$2)</f>
        <v>eng</v>
      </c>
      <c r="K41" s="22" t="str" cm="1">
        <f t="array" ref="K41" xml:space="preserve"> INDEX(十五音韻母清單!$B$6:$K$105, '韻母碼 (台羅)'!$C41,'韻母碼 (台羅)'!K$2)</f>
        <v>ing</v>
      </c>
      <c r="L41" s="22" t="str" cm="1">
        <f t="array" ref="L41" xml:space="preserve"> INDEX(十五音韻母清單!$B$6:$K$105, '韻母碼 (台羅)'!$C41,'韻母碼 (台羅)'!L$2)</f>
        <v>ing</v>
      </c>
      <c r="M41" s="22" t="str" cm="1">
        <f t="array" ref="M41" xml:space="preserve"> INDEX(十五音韻母清單!$B$6:$K$105, '韻母碼 (台羅)'!$C41,'韻母碼 (台羅)'!M$2)</f>
        <v>ㄧㄥ</v>
      </c>
    </row>
    <row r="42" spans="2:13" ht="29.25">
      <c r="B42" s="21" t="s">
        <v>204</v>
      </c>
      <c r="C42" s="20">
        <f xml:space="preserve"> MATCH(B42, 十五音韻母清單!$I$6:$I$105,0)</f>
        <v>67</v>
      </c>
      <c r="D42" s="20" cm="1">
        <f t="array" ref="D42" xml:space="preserve"> INDEX(十五音韻母清單!$B$6:$K$105, $C42, D$2)</f>
        <v>34</v>
      </c>
      <c r="F42" s="20">
        <v>38</v>
      </c>
      <c r="G42" s="22" t="str" cm="1">
        <f t="array" ref="G42" xml:space="preserve"> INDEX(十五音韻母清單!$B$6:$K$105, $C42, G$2)</f>
        <v>inn</v>
      </c>
      <c r="H42" s="22" t="str" cm="1">
        <f t="array" ref="H42" xml:space="preserve"> INDEX(十五音韻母清單!$B$6:$K$105, '韻母碼 (台羅)'!$C42,'韻母碼 (台羅)'!H$2)</f>
        <v>ĩ</v>
      </c>
      <c r="I42" s="20" t="str" cm="1">
        <f t="array" ref="I42" xml:space="preserve"> INDEX(十五音韻母清單!$B$6:$K$105, $C42, I$2)</f>
        <v>梔</v>
      </c>
      <c r="J42" s="22" t="str" cm="1">
        <f t="array" ref="J42" xml:space="preserve"> INDEX(十五音韻母清單!$B$6:$K$105, '韻母碼 (台羅)'!$C42,'韻母碼 (台羅)'!J$2)</f>
        <v>iⁿ</v>
      </c>
      <c r="K42" s="22" t="str" cm="1">
        <f t="array" ref="K42" xml:space="preserve"> INDEX(十五音韻母清單!$B$6:$K$105, '韻母碼 (台羅)'!$C42,'韻母碼 (台羅)'!K$2)</f>
        <v>inn</v>
      </c>
      <c r="L42" s="22" t="str" cm="1">
        <f t="array" ref="L42" xml:space="preserve"> INDEX(十五音韻母清單!$B$6:$K$105, '韻母碼 (台羅)'!$C42,'韻母碼 (台羅)'!L$2)</f>
        <v>ni</v>
      </c>
      <c r="M42" s="22" t="str" cm="1">
        <f t="array" ref="M42" xml:space="preserve"> INDEX(十五音韻母清單!$B$6:$K$105, '韻母碼 (台羅)'!$C42,'韻母碼 (台羅)'!M$2)</f>
        <v>ㆪ</v>
      </c>
    </row>
    <row r="43" spans="2:13" ht="29.25">
      <c r="B43" s="21" t="s">
        <v>236</v>
      </c>
      <c r="C43" s="20">
        <f xml:space="preserve"> MATCH(B43, 十五音韻母清單!$I$6:$I$105,0)</f>
        <v>65</v>
      </c>
      <c r="D43" s="20" cm="1">
        <f t="array" ref="D43" xml:space="preserve"> INDEX(十五音韻母清單!$B$6:$K$105, $C43, D$2)</f>
        <v>33</v>
      </c>
      <c r="F43" s="20">
        <v>39</v>
      </c>
      <c r="G43" s="22" t="str" cm="1">
        <f t="array" ref="G43" xml:space="preserve"> INDEX(十五音韻母清單!$B$6:$K$105, $C43, G$2)</f>
        <v>io</v>
      </c>
      <c r="H43" s="22" t="str" cm="1">
        <f t="array" ref="H43" xml:space="preserve"> INDEX(十五音韻母清單!$B$6:$K$105, '韻母碼 (台羅)'!$C43,'韻母碼 (台羅)'!H$2)</f>
        <v>io</v>
      </c>
      <c r="I43" s="20" t="str" cm="1">
        <f t="array" ref="I43" xml:space="preserve"> INDEX(十五音韻母清單!$B$6:$K$105, $C43, I$2)</f>
        <v>茄</v>
      </c>
      <c r="J43" s="22" t="str" cm="1">
        <f t="array" ref="J43" xml:space="preserve"> INDEX(十五音韻母清單!$B$6:$K$105, '韻母碼 (台羅)'!$C43,'韻母碼 (台羅)'!J$2)</f>
        <v>io</v>
      </c>
      <c r="K43" s="22" t="str" cm="1">
        <f t="array" ref="K43" xml:space="preserve"> INDEX(十五音韻母清單!$B$6:$K$105, '韻母碼 (台羅)'!$C43,'韻母碼 (台羅)'!K$2)</f>
        <v>io</v>
      </c>
      <c r="L43" s="22" t="str" cm="1">
        <f t="array" ref="L43" xml:space="preserve"> INDEX(十五音韻母清單!$B$6:$K$105, '韻母碼 (台羅)'!$C43,'韻母碼 (台羅)'!L$2)</f>
        <v>io</v>
      </c>
      <c r="M43" s="22" t="str" cm="1">
        <f t="array" ref="M43" xml:space="preserve"> INDEX(十五音韻母清單!$B$6:$K$105, '韻母碼 (台羅)'!$C43,'韻母碼 (台羅)'!M$2)</f>
        <v>ㄧㄜ</v>
      </c>
    </row>
    <row r="44" spans="2:13" ht="29.25">
      <c r="B44" s="21" t="s">
        <v>237</v>
      </c>
      <c r="C44" s="20">
        <f xml:space="preserve"> MATCH(B44, 十五音韻母清單!$I$6:$I$105,0)</f>
        <v>66</v>
      </c>
      <c r="D44" s="20" cm="1">
        <f t="array" ref="D44" xml:space="preserve"> INDEX(十五音韻母清單!$B$6:$K$105, $C44, D$2)</f>
        <v>33</v>
      </c>
      <c r="F44" s="20">
        <v>40</v>
      </c>
      <c r="G44" s="22" t="str" cm="1">
        <f t="array" ref="G44" xml:space="preserve"> INDEX(十五音韻母清單!$B$6:$K$105, $C44, G$2)</f>
        <v>ioh</v>
      </c>
      <c r="H44" s="22" t="str" cm="1">
        <f t="array" ref="H44" xml:space="preserve"> INDEX(十五音韻母清單!$B$6:$K$105, '韻母碼 (台羅)'!$C44,'韻母碼 (台羅)'!H$2)</f>
        <v>io?</v>
      </c>
      <c r="I44" s="20" t="str" cm="1">
        <f t="array" ref="I44" xml:space="preserve"> INDEX(十五音韻母清單!$B$6:$K$105, $C44, I$2)</f>
        <v>茄</v>
      </c>
      <c r="J44" s="22" t="str" cm="1">
        <f t="array" ref="J44" xml:space="preserve"> INDEX(十五音韻母清單!$B$6:$K$105, '韻母碼 (台羅)'!$C44,'韻母碼 (台羅)'!J$2)</f>
        <v>ioh</v>
      </c>
      <c r="K44" s="22" t="str" cm="1">
        <f t="array" ref="K44" xml:space="preserve"> INDEX(十五音韻母清單!$B$6:$K$105, '韻母碼 (台羅)'!$C44,'韻母碼 (台羅)'!K$2)</f>
        <v>ioh</v>
      </c>
      <c r="L44" s="22" t="str" cm="1">
        <f t="array" ref="L44" xml:space="preserve"> INDEX(十五音韻母清單!$B$6:$K$105, '韻母碼 (台羅)'!$C44,'韻母碼 (台羅)'!L$2)</f>
        <v>ioh</v>
      </c>
      <c r="M44" s="22" t="str" cm="1">
        <f t="array" ref="M44" xml:space="preserve"> INDEX(十五音韻母清單!$B$6:$K$105, '韻母碼 (台羅)'!$C44,'韻母碼 (台羅)'!M$2)</f>
        <v>ㄧㄜㆷ</v>
      </c>
    </row>
    <row r="45" spans="2:13" ht="29.25">
      <c r="B45" s="21" t="s">
        <v>210</v>
      </c>
      <c r="C45" s="20">
        <f xml:space="preserve"> MATCH(B45, 十五音韻母清單!$I$6:$I$105,0)</f>
        <v>28</v>
      </c>
      <c r="D45" s="20" cm="1">
        <f t="array" ref="D45" xml:space="preserve"> INDEX(十五音韻母清單!$B$6:$K$105, $C45, D$2)</f>
        <v>14</v>
      </c>
      <c r="F45" s="20">
        <v>41</v>
      </c>
      <c r="G45" s="22" t="str" cm="1">
        <f t="array" ref="G45" xml:space="preserve"> INDEX(十五音韻母清單!$B$6:$K$105, $C45, G$2)</f>
        <v>iok</v>
      </c>
      <c r="H45" s="22" t="str" cm="1">
        <f t="array" ref="H45" xml:space="preserve"> INDEX(十五音韻母清單!$B$6:$K$105, '韻母碼 (台羅)'!$C45,'韻母碼 (台羅)'!H$2)</f>
        <v>iɔk̚</v>
      </c>
      <c r="I45" s="20" t="str" cm="1">
        <f t="array" ref="I45" xml:space="preserve"> INDEX(十五音韻母清單!$B$6:$K$105, $C45, I$2)</f>
        <v>恭</v>
      </c>
      <c r="J45" s="22" t="str" cm="1">
        <f t="array" ref="J45" xml:space="preserve"> INDEX(十五音韻母清單!$B$6:$K$105, '韻母碼 (台羅)'!$C45,'韻母碼 (台羅)'!J$2)</f>
        <v>iok</v>
      </c>
      <c r="K45" s="22" t="str" cm="1">
        <f t="array" ref="K45" xml:space="preserve"> INDEX(十五音韻母清單!$B$6:$K$105, '韻母碼 (台羅)'!$C45,'韻母碼 (台羅)'!K$2)</f>
        <v>iok</v>
      </c>
      <c r="L45" s="22" t="str" cm="1">
        <f t="array" ref="L45" xml:space="preserve"> INDEX(十五音韻母清單!$B$6:$K$105, '韻母碼 (台羅)'!$C45,'韻母碼 (台羅)'!L$2)</f>
        <v>iok</v>
      </c>
      <c r="M45" s="22" t="str" cm="1">
        <f t="array" ref="M45" xml:space="preserve"> INDEX(十五音韻母清單!$B$6:$K$105, '韻母碼 (台羅)'!$C45,'韻母碼 (台羅)'!M$2)</f>
        <v>ㄧㆦㆻ</v>
      </c>
    </row>
    <row r="46" spans="2:13" ht="29.25">
      <c r="B46" s="21" t="s">
        <v>209</v>
      </c>
      <c r="C46" s="20">
        <f xml:space="preserve"> MATCH(B46, 十五音韻母清單!$I$6:$I$105,0)</f>
        <v>27</v>
      </c>
      <c r="D46" s="20" cm="1">
        <f t="array" ref="D46" xml:space="preserve"> INDEX(十五音韻母清單!$B$6:$K$105, $C46, D$2)</f>
        <v>14</v>
      </c>
      <c r="F46" s="20">
        <v>42</v>
      </c>
      <c r="G46" s="22" t="str" cm="1">
        <f t="array" ref="G46" xml:space="preserve"> INDEX(十五音韻母清單!$B$6:$K$105, $C46, G$2)</f>
        <v>iong</v>
      </c>
      <c r="H46" s="22" t="str" cm="1">
        <f t="array" ref="H46" xml:space="preserve"> INDEX(十五音韻母清單!$B$6:$K$105, '韻母碼 (台羅)'!$C46,'韻母碼 (台羅)'!H$2)</f>
        <v>iɔŋ</v>
      </c>
      <c r="I46" s="20" t="str" cm="1">
        <f t="array" ref="I46" xml:space="preserve"> INDEX(十五音韻母清單!$B$6:$K$105, $C46, I$2)</f>
        <v>恭</v>
      </c>
      <c r="J46" s="22" t="str" cm="1">
        <f t="array" ref="J46" xml:space="preserve"> INDEX(十五音韻母清單!$B$6:$K$105, '韻母碼 (台羅)'!$C46,'韻母碼 (台羅)'!J$2)</f>
        <v>iong</v>
      </c>
      <c r="K46" s="22" t="str" cm="1">
        <f t="array" ref="K46" xml:space="preserve"> INDEX(十五音韻母清單!$B$6:$K$105, '韻母碼 (台羅)'!$C46,'韻母碼 (台羅)'!K$2)</f>
        <v>iong</v>
      </c>
      <c r="L46" s="22" t="str" cm="1">
        <f t="array" ref="L46" xml:space="preserve"> INDEX(十五音韻母清單!$B$6:$K$105, '韻母碼 (台羅)'!$C46,'韻母碼 (台羅)'!L$2)</f>
        <v>iong</v>
      </c>
      <c r="M46" s="22" t="str" cm="1">
        <f t="array" ref="M46" xml:space="preserve"> INDEX(十五音韻母清單!$B$6:$K$105, '韻母碼 (台羅)'!$C46,'韻母碼 (台羅)'!M$2)</f>
        <v>ㄧㆲ</v>
      </c>
    </row>
    <row r="47" spans="2:13" ht="29.25">
      <c r="B47" s="21" t="s">
        <v>149</v>
      </c>
      <c r="C47" s="20">
        <f xml:space="preserve"> MATCH(B47, 十五音韻母清單!$I$6:$I$105,0)</f>
        <v>6</v>
      </c>
      <c r="D47" s="20" cm="1">
        <f t="array" ref="D47" xml:space="preserve"> INDEX(十五音韻母清單!$B$6:$K$105, $C47, D$2)</f>
        <v>3</v>
      </c>
      <c r="F47" s="20">
        <v>43</v>
      </c>
      <c r="G47" s="22" t="str" cm="1">
        <f t="array" ref="G47" xml:space="preserve"> INDEX(十五音韻母清單!$B$6:$K$105, $C47, G$2)</f>
        <v>ip</v>
      </c>
      <c r="H47" s="22" t="str" cm="1">
        <f t="array" ref="H47" xml:space="preserve"> INDEX(十五音韻母清單!$B$6:$K$105, '韻母碼 (台羅)'!$C47,'韻母碼 (台羅)'!H$2)</f>
        <v>ip̚</v>
      </c>
      <c r="I47" s="20" t="str" cm="1">
        <f t="array" ref="I47" xml:space="preserve"> INDEX(十五音韻母清單!$B$6:$K$105, $C47, I$2)</f>
        <v>金</v>
      </c>
      <c r="J47" s="22" t="str" cm="1">
        <f t="array" ref="J47" xml:space="preserve"> INDEX(十五音韻母清單!$B$6:$K$105, '韻母碼 (台羅)'!$C47,'韻母碼 (台羅)'!J$2)</f>
        <v>ip</v>
      </c>
      <c r="K47" s="22" t="str" cm="1">
        <f t="array" ref="K47" xml:space="preserve"> INDEX(十五音韻母清單!$B$6:$K$105, '韻母碼 (台羅)'!$C47,'韻母碼 (台羅)'!K$2)</f>
        <v>ip</v>
      </c>
      <c r="L47" s="22" t="str" cm="1">
        <f t="array" ref="L47" xml:space="preserve"> INDEX(十五音韻母清單!$B$6:$K$105, '韻母碼 (台羅)'!$C47,'韻母碼 (台羅)'!L$2)</f>
        <v>ip</v>
      </c>
      <c r="M47" s="22" t="str" cm="1">
        <f t="array" ref="M47" xml:space="preserve"> INDEX(十五音韻母清單!$B$6:$K$105, '韻母碼 (台羅)'!$C47,'韻母碼 (台羅)'!M$2)</f>
        <v>ㄧㆴ</v>
      </c>
    </row>
    <row r="48" spans="2:13" ht="29.25">
      <c r="B48" s="21" t="s">
        <v>225</v>
      </c>
      <c r="C48" s="20">
        <f xml:space="preserve"> MATCH(B48, 十五音韻母清單!$I$6:$I$105,0)</f>
        <v>34</v>
      </c>
      <c r="D48" s="20" cm="1">
        <f t="array" ref="D48" xml:space="preserve"> INDEX(十五音韻母清單!$B$6:$K$105, $C48, D$2)</f>
        <v>17</v>
      </c>
      <c r="F48" s="20">
        <v>44</v>
      </c>
      <c r="G48" s="22" t="str" cm="1">
        <f t="array" ref="G48" xml:space="preserve"> INDEX(十五音韻母清單!$B$6:$K$105, $C48, G$2)</f>
        <v>it</v>
      </c>
      <c r="H48" s="22" t="str" cm="1">
        <f t="array" ref="H48" xml:space="preserve"> INDEX(十五音韻母清單!$B$6:$K$105, '韻母碼 (台羅)'!$C48,'韻母碼 (台羅)'!H$2)</f>
        <v>it̚</v>
      </c>
      <c r="I48" s="20" t="str" cm="1">
        <f t="array" ref="I48" xml:space="preserve"> INDEX(十五音韻母清單!$B$6:$K$105, $C48, I$2)</f>
        <v>巾</v>
      </c>
      <c r="J48" s="22" t="str" cm="1">
        <f t="array" ref="J48" xml:space="preserve"> INDEX(十五音韻母清單!$B$6:$K$105, '韻母碼 (台羅)'!$C48,'韻母碼 (台羅)'!J$2)</f>
        <v>it</v>
      </c>
      <c r="K48" s="22" t="str" cm="1">
        <f t="array" ref="K48" xml:space="preserve"> INDEX(十五音韻母清單!$B$6:$K$105, '韻母碼 (台羅)'!$C48,'韻母碼 (台羅)'!K$2)</f>
        <v>it</v>
      </c>
      <c r="L48" s="22" t="str" cm="1">
        <f t="array" ref="L48" xml:space="preserve"> INDEX(十五音韻母清單!$B$6:$K$105, '韻母碼 (台羅)'!$C48,'韻母碼 (台羅)'!L$2)</f>
        <v>it</v>
      </c>
      <c r="M48" s="22" t="str" cm="1">
        <f t="array" ref="M48" xml:space="preserve"> INDEX(十五音韻母清單!$B$6:$K$105, '韻母碼 (台羅)'!$C48,'韻母碼 (台羅)'!M$2)</f>
        <v>ㄧㆵ</v>
      </c>
    </row>
    <row r="49" spans="2:13" ht="29.25">
      <c r="B49" s="21" t="s">
        <v>242</v>
      </c>
      <c r="C49" s="20">
        <f xml:space="preserve"> MATCH(B49, 十五音韻母清單!$I$6:$I$105,0)</f>
        <v>59</v>
      </c>
      <c r="D49" s="20" cm="1">
        <f t="array" ref="D49" xml:space="preserve"> INDEX(十五音韻母清單!$B$6:$K$105, $C49, D$2)</f>
        <v>30</v>
      </c>
      <c r="F49" s="20">
        <v>45</v>
      </c>
      <c r="G49" s="22" t="str" cm="1">
        <f t="array" ref="G49" xml:space="preserve"> INDEX(十五音韻母清單!$B$6:$K$105, $C49, G$2)</f>
        <v>iu</v>
      </c>
      <c r="H49" s="22" t="str" cm="1">
        <f t="array" ref="H49" xml:space="preserve"> INDEX(十五音韻母清單!$B$6:$K$105, '韻母碼 (台羅)'!$C49,'韻母碼 (台羅)'!H$2)</f>
        <v>iu</v>
      </c>
      <c r="I49" s="20" t="str" cm="1">
        <f t="array" ref="I49" xml:space="preserve"> INDEX(十五音韻母清單!$B$6:$K$105, $C49, I$2)</f>
        <v>丩</v>
      </c>
      <c r="J49" s="22" t="str" cm="1">
        <f t="array" ref="J49" xml:space="preserve"> INDEX(十五音韻母清單!$B$6:$K$105, '韻母碼 (台羅)'!$C49,'韻母碼 (台羅)'!J$2)</f>
        <v>iu</v>
      </c>
      <c r="K49" s="22" t="str" cm="1">
        <f t="array" ref="K49" xml:space="preserve"> INDEX(十五音韻母清單!$B$6:$K$105, '韻母碼 (台羅)'!$C49,'韻母碼 (台羅)'!K$2)</f>
        <v>iu</v>
      </c>
      <c r="L49" s="22" t="str" cm="1">
        <f t="array" ref="L49" xml:space="preserve"> INDEX(十五音韻母清單!$B$6:$K$105, '韻母碼 (台羅)'!$C49,'韻母碼 (台羅)'!L$2)</f>
        <v>iu</v>
      </c>
      <c r="M49" s="22" t="str" cm="1">
        <f t="array" ref="M49" xml:space="preserve"> INDEX(十五音韻母清單!$B$6:$K$105, '韻母碼 (台羅)'!$C49,'韻母碼 (台羅)'!M$2)</f>
        <v>ㄧㄨ</v>
      </c>
    </row>
    <row r="50" spans="2:13" ht="29.25">
      <c r="B50" s="21" t="s">
        <v>248</v>
      </c>
      <c r="C50" s="20">
        <f xml:space="preserve"> MATCH(B50, 十五音韻母清單!$I$6:$I$105,0)</f>
        <v>99</v>
      </c>
      <c r="D50" s="20" cm="1">
        <f t="array" ref="D50" xml:space="preserve"> INDEX(十五音韻母清單!$B$6:$K$105, $C50, D$2)</f>
        <v>50</v>
      </c>
      <c r="F50" s="20">
        <v>46</v>
      </c>
      <c r="G50" s="22" t="str" cm="1">
        <f t="array" ref="G50" xml:space="preserve"> INDEX(十五音韻母清單!$B$6:$K$105, $C50, G$2)</f>
        <v>iunn</v>
      </c>
      <c r="H50" s="22" t="str" cm="1">
        <f t="array" ref="H50" xml:space="preserve"> INDEX(十五音韻母清單!$B$6:$K$105, '韻母碼 (台羅)'!$C50,'韻母碼 (台羅)'!H$2)</f>
        <v>iũ</v>
      </c>
      <c r="I50" s="20" t="str" cm="1">
        <f t="array" ref="I50" xml:space="preserve"> INDEX(十五音韻母清單!$B$6:$K$105, $C50, I$2)</f>
        <v>牛</v>
      </c>
      <c r="J50" s="22" t="str" cm="1">
        <f t="array" ref="J50" xml:space="preserve"> INDEX(十五音韻母清單!$B$6:$K$105, '韻母碼 (台羅)'!$C50,'韻母碼 (台羅)'!J$2)</f>
        <v>iuⁿ</v>
      </c>
      <c r="K50" s="22" t="str" cm="1">
        <f t="array" ref="K50" xml:space="preserve"> INDEX(十五音韻母清單!$B$6:$K$105, '韻母碼 (台羅)'!$C50,'韻母碼 (台羅)'!K$2)</f>
        <v>iunn</v>
      </c>
      <c r="L50" s="22" t="str" cm="1">
        <f t="array" ref="L50" xml:space="preserve"> INDEX(十五音韻母清單!$B$6:$K$105, '韻母碼 (台羅)'!$C50,'韻母碼 (台羅)'!L$2)</f>
        <v>niu</v>
      </c>
      <c r="M50" s="22" t="str" cm="1">
        <f t="array" ref="M50" xml:space="preserve"> INDEX(十五音韻母清單!$B$6:$K$105, '韻母碼 (台羅)'!$C50,'韻母碼 (台羅)'!M$2)</f>
        <v>ㄧㆫ</v>
      </c>
    </row>
    <row r="51" spans="2:13" ht="29.25">
      <c r="B51" s="98" t="s">
        <v>249</v>
      </c>
      <c r="C51" s="99">
        <f xml:space="preserve"> MATCH(B51, 十五音韻母清單!$I$6:$I$105,0)</f>
        <v>100</v>
      </c>
      <c r="D51" s="99" cm="1">
        <f t="array" ref="D51" xml:space="preserve"> INDEX(十五音韻母清單!$B$6:$K$105, $C51, D$2)</f>
        <v>50</v>
      </c>
      <c r="F51" s="20">
        <v>47</v>
      </c>
      <c r="G51" s="100" t="str" cm="1">
        <f t="array" ref="G51" xml:space="preserve"> INDEX(十五音韻母清單!$B$6:$K$105, $C51, G$2)</f>
        <v>iunnh</v>
      </c>
      <c r="H51" s="100" t="str" cm="1">
        <f t="array" ref="H51" xml:space="preserve"> INDEX(十五音韻母清單!$B$6:$K$105, '韻母碼 (台羅)'!$C51,'韻母碼 (台羅)'!H$2)</f>
        <v>iũh</v>
      </c>
      <c r="I51" s="99" t="str" cm="1">
        <f t="array" ref="I51" xml:space="preserve"> INDEX(十五音韻母清單!$B$6:$K$105, $C51, I$2)</f>
        <v>牛</v>
      </c>
      <c r="J51" s="100" t="str" cm="1">
        <f t="array" ref="J51" xml:space="preserve"> INDEX(十五音韻母清單!$B$6:$K$105, '韻母碼 (台羅)'!$C51,'韻母碼 (台羅)'!J$2)</f>
        <v>iuhⁿ</v>
      </c>
      <c r="K51" s="100" t="str" cm="1">
        <f t="array" ref="K51" xml:space="preserve"> INDEX(十五音韻母清單!$B$6:$K$105, '韻母碼 (台羅)'!$C51,'韻母碼 (台羅)'!K$2)</f>
        <v>iunnh</v>
      </c>
      <c r="L51" s="100" t="str" cm="1">
        <f t="array" ref="L51" xml:space="preserve"> INDEX(十五音韻母清單!$B$6:$K$105, '韻母碼 (台羅)'!$C51,'韻母碼 (台羅)'!L$2)</f>
        <v>niuh</v>
      </c>
      <c r="M51" s="100" t="str" cm="1">
        <f t="array" ref="M51" xml:space="preserve"> INDEX(十五音韻母清單!$B$6:$K$105, '韻母碼 (台羅)'!$C51,'韻母碼 (台羅)'!M$2)</f>
        <v>ㄧㆫㆷ</v>
      </c>
    </row>
    <row r="52" spans="2:13" ht="29.25">
      <c r="B52" s="21" t="s">
        <v>27</v>
      </c>
      <c r="C52" s="20">
        <f xml:space="preserve"> MATCH(B52, 十五音韻母清單!$I$6:$I$105,0)</f>
        <v>83</v>
      </c>
      <c r="D52" s="20" cm="1">
        <f t="array" ref="D52" xml:space="preserve"> INDEX(十五音韻母清單!$B$6:$K$105, $C52, D$2)</f>
        <v>42</v>
      </c>
      <c r="F52" s="20">
        <v>48</v>
      </c>
      <c r="G52" s="22" t="str" cm="1">
        <f t="array" ref="G52" xml:space="preserve"> INDEX(十五音韻母清單!$B$6:$K$105, $C52, G$2)</f>
        <v>m</v>
      </c>
      <c r="H52" s="22" t="str" cm="1">
        <f t="array" ref="H52" xml:space="preserve"> INDEX(十五音韻母清單!$B$6:$K$105, '韻母碼 (台羅)'!$C52,'韻母碼 (台羅)'!H$2)</f>
        <v>m</v>
      </c>
      <c r="I52" s="20" t="str" cm="1">
        <f t="array" ref="I52" xml:space="preserve"> INDEX(十五音韻母清單!$B$6:$K$105, $C52, I$2)</f>
        <v>姆</v>
      </c>
      <c r="J52" s="22" t="str" cm="1">
        <f t="array" ref="J52" xml:space="preserve"> INDEX(十五音韻母清單!$B$6:$K$105, '韻母碼 (台羅)'!$C52,'韻母碼 (台羅)'!J$2)</f>
        <v>m</v>
      </c>
      <c r="K52" s="22" t="str" cm="1">
        <f t="array" ref="K52" xml:space="preserve"> INDEX(十五音韻母清單!$B$6:$K$105, '韻母碼 (台羅)'!$C52,'韻母碼 (台羅)'!K$2)</f>
        <v>m</v>
      </c>
      <c r="L52" s="22" t="str" cm="1">
        <f t="array" ref="L52" xml:space="preserve"> INDEX(十五音韻母清單!$B$6:$K$105, '韻母碼 (台羅)'!$C52,'韻母碼 (台羅)'!L$2)</f>
        <v>m</v>
      </c>
      <c r="M52" s="22" t="str" cm="1">
        <f t="array" ref="M52" xml:space="preserve"> INDEX(十五音韻母清單!$B$6:$K$105, '韻母碼 (台羅)'!$C52,'韻母碼 (台羅)'!M$2)</f>
        <v>ㆬ</v>
      </c>
    </row>
    <row r="53" spans="2:13" ht="29.25">
      <c r="B53" s="98" t="s">
        <v>252</v>
      </c>
      <c r="C53" s="99">
        <f xml:space="preserve"> MATCH(B53, 十五音韻母清單!$I$6:$I$105,0)</f>
        <v>84</v>
      </c>
      <c r="D53" s="99" cm="1">
        <f t="array" ref="D53" xml:space="preserve"> INDEX(十五音韻母清單!$B$6:$K$105, $C53, D$2)</f>
        <v>42</v>
      </c>
      <c r="F53" s="20">
        <v>49</v>
      </c>
      <c r="G53" s="100" t="str" cm="1">
        <f t="array" ref="G53" xml:space="preserve"> INDEX(十五音韻母清單!$B$6:$K$105, $C53, G$2)</f>
        <v>mh</v>
      </c>
      <c r="H53" s="100" t="str" cm="1">
        <f t="array" ref="H53" xml:space="preserve"> INDEX(十五音韻母清單!$B$6:$K$105, '韻母碼 (台羅)'!$C53,'韻母碼 (台羅)'!H$2)</f>
        <v>mh</v>
      </c>
      <c r="I53" s="99" t="str" cm="1">
        <f t="array" ref="I53" xml:space="preserve"> INDEX(十五音韻母清單!$B$6:$K$105, $C53, I$2)</f>
        <v>姆</v>
      </c>
      <c r="J53" s="100" t="str" cm="1">
        <f t="array" ref="J53" xml:space="preserve"> INDEX(十五音韻母清單!$B$6:$K$105, '韻母碼 (台羅)'!$C53,'韻母碼 (台羅)'!J$2)</f>
        <v>mh</v>
      </c>
      <c r="K53" s="100" t="str" cm="1">
        <f t="array" ref="K53" xml:space="preserve"> INDEX(十五音韻母清單!$B$6:$K$105, '韻母碼 (台羅)'!$C53,'韻母碼 (台羅)'!K$2)</f>
        <v>mh</v>
      </c>
      <c r="L53" s="100" t="str" cm="1">
        <f t="array" ref="L53" xml:space="preserve"> INDEX(十五音韻母清單!$B$6:$K$105, '韻母碼 (台羅)'!$C53,'韻母碼 (台羅)'!L$2)</f>
        <v>mh</v>
      </c>
      <c r="M53" s="100" t="str" cm="1">
        <f t="array" ref="M53" xml:space="preserve"> INDEX(十五音韻母清單!$B$6:$K$105, '韻母碼 (台羅)'!$C53,'韻母碼 (台羅)'!M$2)</f>
        <v>ㆬㆷ</v>
      </c>
    </row>
    <row r="54" spans="2:13" ht="29.25">
      <c r="B54" s="21" t="s">
        <v>48</v>
      </c>
      <c r="C54" s="20">
        <f xml:space="preserve"> MATCH(B54, 十五音韻母清單!$I$6:$I$105,0)</f>
        <v>75</v>
      </c>
      <c r="D54" s="20" cm="1">
        <f t="array" ref="D54" xml:space="preserve"> INDEX(十五音韻母清單!$B$6:$K$105, $C54, D$2)</f>
        <v>38</v>
      </c>
      <c r="F54" s="20">
        <v>50</v>
      </c>
      <c r="G54" s="22" t="str" cm="1">
        <f t="array" ref="G54" xml:space="preserve"> INDEX(十五音韻母清單!$B$6:$K$105, $C54, G$2)</f>
        <v>ng</v>
      </c>
      <c r="H54" s="22" t="str" cm="1">
        <f t="array" ref="H54" xml:space="preserve"> INDEX(十五音韻母清單!$B$6:$K$105, '韻母碼 (台羅)'!$C54,'韻母碼 (台羅)'!H$2)</f>
        <v>ŋ</v>
      </c>
      <c r="I54" s="20" t="str" cm="1">
        <f t="array" ref="I54" xml:space="preserve"> INDEX(十五音韻母清單!$B$6:$K$105, $C54, I$2)</f>
        <v>鋼</v>
      </c>
      <c r="J54" s="22" t="str" cm="1">
        <f t="array" ref="J54" xml:space="preserve"> INDEX(十五音韻母清單!$B$6:$K$105, '韻母碼 (台羅)'!$C54,'韻母碼 (台羅)'!J$2)</f>
        <v>ng</v>
      </c>
      <c r="K54" s="22" t="str" cm="1">
        <f t="array" ref="K54" xml:space="preserve"> INDEX(十五音韻母清單!$B$6:$K$105, '韻母碼 (台羅)'!$C54,'韻母碼 (台羅)'!K$2)</f>
        <v>ng</v>
      </c>
      <c r="L54" s="22" t="str" cm="1">
        <f t="array" ref="L54" xml:space="preserve"> INDEX(十五音韻母清單!$B$6:$K$105, '韻母碼 (台羅)'!$C54,'韻母碼 (台羅)'!L$2)</f>
        <v>ng</v>
      </c>
      <c r="M54" s="22" t="str" cm="1">
        <f t="array" ref="M54" xml:space="preserve"> INDEX(十五音韻母清單!$B$6:$K$105, '韻母碼 (台羅)'!$C54,'韻母碼 (台羅)'!M$2)</f>
        <v>ㆭ</v>
      </c>
    </row>
    <row r="55" spans="2:13" ht="29.25">
      <c r="B55" s="98" t="s">
        <v>254</v>
      </c>
      <c r="C55" s="99">
        <f xml:space="preserve"> MATCH(B55, 十五音韻母清單!$I$6:$I$105,0)</f>
        <v>76</v>
      </c>
      <c r="D55" s="99" cm="1">
        <f t="array" ref="D55" xml:space="preserve"> INDEX(十五音韻母清單!$B$6:$K$105, $C55, D$2)</f>
        <v>38</v>
      </c>
      <c r="F55" s="20">
        <v>51</v>
      </c>
      <c r="G55" s="100" t="str" cm="1">
        <f t="array" ref="G55" xml:space="preserve"> INDEX(十五音韻母清單!$B$6:$K$105, $C55, G$2)</f>
        <v>ngh</v>
      </c>
      <c r="H55" s="100" t="str" cm="1">
        <f t="array" ref="H55" xml:space="preserve"> INDEX(十五音韻母清單!$B$6:$K$105, '韻母碼 (台羅)'!$C55,'韻母碼 (台羅)'!H$2)</f>
        <v>ŋ?</v>
      </c>
      <c r="I55" s="99" t="str" cm="1">
        <f t="array" ref="I55" xml:space="preserve"> INDEX(十五音韻母清單!$B$6:$K$105, $C55, I$2)</f>
        <v>鋼</v>
      </c>
      <c r="J55" s="100" t="str" cm="1">
        <f t="array" ref="J55" xml:space="preserve"> INDEX(十五音韻母清單!$B$6:$K$105, '韻母碼 (台羅)'!$C55,'韻母碼 (台羅)'!J$2)</f>
        <v>ngh</v>
      </c>
      <c r="K55" s="100" t="str" cm="1">
        <f t="array" ref="K55" xml:space="preserve"> INDEX(十五音韻母清單!$B$6:$K$105, '韻母碼 (台羅)'!$C55,'韻母碼 (台羅)'!K$2)</f>
        <v>ngh</v>
      </c>
      <c r="L55" s="100" t="str" cm="1">
        <f t="array" ref="L55" xml:space="preserve"> INDEX(十五音韻母清單!$B$6:$K$105, '韻母碼 (台羅)'!$C55,'韻母碼 (台羅)'!L$2)</f>
        <v>ngh</v>
      </c>
      <c r="M55" s="100" t="str" cm="1">
        <f t="array" ref="M55" xml:space="preserve"> INDEX(十五音韻母清單!$B$6:$K$105, '韻母碼 (台羅)'!$C55,'韻母碼 (台羅)'!M$2)</f>
        <v>ㆭㆷ</v>
      </c>
    </row>
    <row r="56" spans="2:13" ht="29.25">
      <c r="B56" s="21" t="s">
        <v>215</v>
      </c>
      <c r="C56" s="20">
        <f xml:space="preserve"> MATCH(B56, 十五音韻母清單!$I$6:$I$105,0)</f>
        <v>29</v>
      </c>
      <c r="D56" s="20" cm="1">
        <f t="array" ref="D56" xml:space="preserve"> INDEX(十五音韻母清單!$B$6:$K$105, $C56, D$2)</f>
        <v>15</v>
      </c>
      <c r="F56" s="20">
        <v>52</v>
      </c>
      <c r="G56" s="22" t="str" cm="1">
        <f t="array" ref="G56" xml:space="preserve"> INDEX(十五音韻母清單!$B$6:$K$105, $C56, G$2)</f>
        <v>o</v>
      </c>
      <c r="H56" s="22" t="str" cm="1">
        <f t="array" ref="H56" xml:space="preserve"> INDEX(十五音韻母清單!$B$6:$K$105, '韻母碼 (台羅)'!$C56,'韻母碼 (台羅)'!H$2)</f>
        <v>o</v>
      </c>
      <c r="I56" s="20" t="str" cm="1">
        <f t="array" ref="I56" xml:space="preserve"> INDEX(十五音韻母清單!$B$6:$K$105, $C56, I$2)</f>
        <v>高</v>
      </c>
      <c r="J56" s="22" t="str" cm="1">
        <f t="array" ref="J56" xml:space="preserve"> INDEX(十五音韻母清單!$B$6:$K$105, '韻母碼 (台羅)'!$C56,'韻母碼 (台羅)'!J$2)</f>
        <v>o</v>
      </c>
      <c r="K56" s="22" t="str" cm="1">
        <f t="array" ref="K56" xml:space="preserve"> INDEX(十五音韻母清單!$B$6:$K$105, '韻母碼 (台羅)'!$C56,'韻母碼 (台羅)'!K$2)</f>
        <v>o</v>
      </c>
      <c r="L56" s="22" t="str" cm="1">
        <f t="array" ref="L56" xml:space="preserve"> INDEX(十五音韻母清單!$B$6:$K$105, '韻母碼 (台羅)'!$C56,'韻母碼 (台羅)'!L$2)</f>
        <v>o</v>
      </c>
      <c r="M56" s="22" t="str" cm="1">
        <f t="array" ref="M56" xml:space="preserve"> INDEX(十五音韻母清單!$B$6:$K$105, '韻母碼 (台羅)'!$C56,'韻母碼 (台羅)'!M$2)</f>
        <v>ㄜ</v>
      </c>
    </row>
    <row r="57" spans="2:13" ht="29.25">
      <c r="B57" s="21" t="s">
        <v>216</v>
      </c>
      <c r="C57" s="20">
        <f xml:space="preserve"> MATCH(B57, 十五音韻母清單!$I$6:$I$105,0)</f>
        <v>30</v>
      </c>
      <c r="D57" s="20" cm="1">
        <f t="array" ref="D57" xml:space="preserve"> INDEX(十五音韻母清單!$B$6:$K$105, $C57, D$2)</f>
        <v>15</v>
      </c>
      <c r="F57" s="20">
        <v>53</v>
      </c>
      <c r="G57" s="22" t="str" cm="1">
        <f t="array" ref="G57" xml:space="preserve"> INDEX(十五音韻母清單!$B$6:$K$105, $C57, G$2)</f>
        <v>oh</v>
      </c>
      <c r="H57" s="22" t="str" cm="1">
        <f t="array" ref="H57" xml:space="preserve"> INDEX(十五音韻母清單!$B$6:$K$105, '韻母碼 (台羅)'!$C57,'韻母碼 (台羅)'!H$2)</f>
        <v>o?</v>
      </c>
      <c r="I57" s="20" t="str" cm="1">
        <f t="array" ref="I57" xml:space="preserve"> INDEX(十五音韻母清單!$B$6:$K$105, $C57, I$2)</f>
        <v>高</v>
      </c>
      <c r="J57" s="22" t="str" cm="1">
        <f t="array" ref="J57" xml:space="preserve"> INDEX(十五音韻母清單!$B$6:$K$105, '韻母碼 (台羅)'!$C57,'韻母碼 (台羅)'!J$2)</f>
        <v>oh</v>
      </c>
      <c r="K57" s="22" t="str" cm="1">
        <f t="array" ref="K57" xml:space="preserve"> INDEX(十五音韻母清單!$B$6:$K$105, '韻母碼 (台羅)'!$C57,'韻母碼 (台羅)'!K$2)</f>
        <v>oh</v>
      </c>
      <c r="L57" s="22" t="str" cm="1">
        <f t="array" ref="L57" xml:space="preserve"> INDEX(十五音韻母清單!$B$6:$K$105, '韻母碼 (台羅)'!$C57,'韻母碼 (台羅)'!L$2)</f>
        <v>oh</v>
      </c>
      <c r="M57" s="22" t="str" cm="1">
        <f t="array" ref="M57" xml:space="preserve"> INDEX(十五音韻母清單!$B$6:$K$105, '韻母碼 (台羅)'!$C57,'韻母碼 (台羅)'!M$2)</f>
        <v>ㄜㆷ</v>
      </c>
    </row>
    <row r="58" spans="2:13" ht="29.25">
      <c r="B58" s="21" t="s">
        <v>170</v>
      </c>
      <c r="C58" s="20">
        <f xml:space="preserve"> MATCH(B58, 十五音韻母清單!$I$6:$I$105,0)</f>
        <v>14</v>
      </c>
      <c r="D58" s="20" cm="1">
        <f t="array" ref="D58" xml:space="preserve"> INDEX(十五音韻母清單!$B$6:$K$105, $C58, D$2)</f>
        <v>7</v>
      </c>
      <c r="F58" s="20">
        <v>54</v>
      </c>
      <c r="G58" s="22" t="str" cm="1">
        <f t="array" ref="G58" xml:space="preserve"> INDEX(十五音韻母清單!$B$6:$K$105, $C58, G$2)</f>
        <v>ok</v>
      </c>
      <c r="H58" s="22" t="str" cm="1">
        <f t="array" ref="H58" xml:space="preserve"> INDEX(十五音韻母清單!$B$6:$K$105, '韻母碼 (台羅)'!$C58,'韻母碼 (台羅)'!H$2)</f>
        <v>ɔk̚</v>
      </c>
      <c r="I58" s="20" t="str" cm="1">
        <f t="array" ref="I58" xml:space="preserve"> INDEX(十五音韻母清單!$B$6:$K$105, $C58, I$2)</f>
        <v>公</v>
      </c>
      <c r="J58" s="22" t="str" cm="1">
        <f t="array" ref="J58" xml:space="preserve"> INDEX(十五音韻母清單!$B$6:$K$105, '韻母碼 (台羅)'!$C58,'韻母碼 (台羅)'!J$2)</f>
        <v>ok</v>
      </c>
      <c r="K58" s="22" t="str" cm="1">
        <f t="array" ref="K58" xml:space="preserve"> INDEX(十五音韻母清單!$B$6:$K$105, '韻母碼 (台羅)'!$C58,'韻母碼 (台羅)'!K$2)</f>
        <v>ok</v>
      </c>
      <c r="L58" s="22" t="str" cm="1">
        <f t="array" ref="L58" xml:space="preserve"> INDEX(十五音韻母清單!$B$6:$K$105, '韻母碼 (台羅)'!$C58,'韻母碼 (台羅)'!L$2)</f>
        <v>ok</v>
      </c>
      <c r="M58" s="22" t="str" cm="1">
        <f t="array" ref="M58" xml:space="preserve"> INDEX(十五音韻母清單!$B$6:$K$105, '韻母碼 (台羅)'!$C58,'韻母碼 (台羅)'!M$2)</f>
        <v>ㆦㆻ</v>
      </c>
    </row>
    <row r="59" spans="2:13" ht="29.25">
      <c r="B59" s="21" t="s">
        <v>262</v>
      </c>
      <c r="C59" s="20">
        <f xml:space="preserve"> MATCH(B59, 十五音韻母清單!$I$6:$I$105,0)</f>
        <v>93</v>
      </c>
      <c r="D59" s="20" cm="1">
        <f t="array" ref="D59" xml:space="preserve"> INDEX(十五音韻母清單!$B$6:$K$105, $C59, D$2)</f>
        <v>47</v>
      </c>
      <c r="F59" s="20">
        <v>55</v>
      </c>
      <c r="G59" s="22" t="str" cm="1">
        <f t="array" ref="G59" xml:space="preserve"> INDEX(十五音韻母清單!$B$6:$K$105, $C59, G$2)</f>
        <v>om</v>
      </c>
      <c r="H59" s="22" t="str" cm="1">
        <f t="array" ref="H59" xml:space="preserve"> INDEX(十五音韻母清單!$B$6:$K$105, '韻母碼 (台羅)'!$C59,'韻母碼 (台羅)'!H$2)</f>
        <v>ɔm</v>
      </c>
      <c r="I59" s="20" t="str" cm="1">
        <f t="array" ref="I59" xml:space="preserve"> INDEX(十五音韻母清單!$B$6:$K$105, $C59, I$2)</f>
        <v>箴</v>
      </c>
      <c r="J59" s="22" t="str" cm="1">
        <f t="array" ref="J59" xml:space="preserve"> INDEX(十五音韻母清單!$B$6:$K$105, '韻母碼 (台羅)'!$C59,'韻母碼 (台羅)'!J$2)</f>
        <v>om</v>
      </c>
      <c r="K59" s="22" t="str" cm="1">
        <f t="array" ref="K59" xml:space="preserve"> INDEX(十五音韻母清單!$B$6:$K$105, '韻母碼 (台羅)'!$C59,'韻母碼 (台羅)'!K$2)</f>
        <v>om</v>
      </c>
      <c r="L59" s="22" t="str" cm="1">
        <f t="array" ref="L59" xml:space="preserve"> INDEX(十五音韻母清單!$B$6:$K$105, '韻母碼 (台羅)'!$C59,'韻母碼 (台羅)'!L$2)</f>
        <v>om</v>
      </c>
      <c r="M59" s="22" t="str" cm="1">
        <f t="array" ref="M59" xml:space="preserve"> INDEX(十五音韻母清單!$B$6:$K$105, '韻母碼 (台羅)'!$C59,'韻母碼 (台羅)'!M$2)</f>
        <v>ㆱ</v>
      </c>
    </row>
    <row r="60" spans="2:13" ht="29.25">
      <c r="B60" s="21" t="s">
        <v>169</v>
      </c>
      <c r="C60" s="20">
        <f xml:space="preserve"> MATCH(B60, 十五音韻母清單!$I$6:$I$105,0)</f>
        <v>13</v>
      </c>
      <c r="D60" s="20" cm="1">
        <f t="array" ref="D60" xml:space="preserve"> INDEX(十五音韻母清單!$B$6:$K$105, $C60, D$2)</f>
        <v>7</v>
      </c>
      <c r="F60" s="20">
        <v>56</v>
      </c>
      <c r="G60" s="22" t="str" cm="1">
        <f t="array" ref="G60" xml:space="preserve"> INDEX(十五音韻母清單!$B$6:$K$105, $C60, G$2)</f>
        <v>ong</v>
      </c>
      <c r="H60" s="22" t="str" cm="1">
        <f t="array" ref="H60" xml:space="preserve"> INDEX(十五音韻母清單!$B$6:$K$105, '韻母碼 (台羅)'!$C60,'韻母碼 (台羅)'!H$2)</f>
        <v>ɔŋ</v>
      </c>
      <c r="I60" s="20" t="str" cm="1">
        <f t="array" ref="I60" xml:space="preserve"> INDEX(十五音韻母清單!$B$6:$K$105, $C60, I$2)</f>
        <v>公</v>
      </c>
      <c r="J60" s="22" t="str" cm="1">
        <f t="array" ref="J60" xml:space="preserve"> INDEX(十五音韻母清單!$B$6:$K$105, '韻母碼 (台羅)'!$C60,'韻母碼 (台羅)'!J$2)</f>
        <v>ong</v>
      </c>
      <c r="K60" s="22" t="str" cm="1">
        <f t="array" ref="K60" xml:space="preserve"> INDEX(十五音韻母清單!$B$6:$K$105, '韻母碼 (台羅)'!$C60,'韻母碼 (台羅)'!K$2)</f>
        <v>ong</v>
      </c>
      <c r="L60" s="22" t="str" cm="1">
        <f t="array" ref="L60" xml:space="preserve"> INDEX(十五音韻母清單!$B$6:$K$105, '韻母碼 (台羅)'!$C60,'韻母碼 (台羅)'!L$2)</f>
        <v>ong</v>
      </c>
      <c r="M60" s="22" t="str" cm="1">
        <f t="array" ref="M60" xml:space="preserve"> INDEX(十五音韻母清單!$B$6:$K$105, '韻母碼 (台羅)'!$C60,'韻母碼 (台羅)'!M$2)</f>
        <v>ㆲ</v>
      </c>
    </row>
    <row r="61" spans="2:13" ht="29.25">
      <c r="B61" s="21" t="s">
        <v>258</v>
      </c>
      <c r="C61" s="20">
        <f xml:space="preserve"> MATCH(B61, 十五音韻母清單!$I$6:$I$105,0)</f>
        <v>81</v>
      </c>
      <c r="D61" s="20" cm="1">
        <f t="array" ref="D61" xml:space="preserve"> INDEX(十五音韻母清單!$B$6:$K$105, $C61, D$2)</f>
        <v>41</v>
      </c>
      <c r="F61" s="20">
        <v>57</v>
      </c>
      <c r="G61" s="22" t="str" cm="1">
        <f t="array" ref="G61" xml:space="preserve"> INDEX(十五音韻母清單!$B$6:$K$105, $C61, G$2)</f>
        <v>oonn</v>
      </c>
      <c r="H61" s="22" t="str" cm="1">
        <f t="array" ref="H61" xml:space="preserve"> INDEX(十五音韻母清單!$B$6:$K$105, '韻母碼 (台羅)'!$C61,'韻母碼 (台羅)'!H$2)</f>
        <v>õu</v>
      </c>
      <c r="I61" s="20" t="str" cm="1">
        <f t="array" ref="I61" xml:space="preserve"> INDEX(十五音韻母清單!$B$6:$K$105, $C61, I$2)</f>
        <v>姑</v>
      </c>
      <c r="J61" s="22" t="str" cm="1">
        <f t="array" ref="J61" xml:space="preserve"> INDEX(十五音韻母清單!$B$6:$K$105, '韻母碼 (台羅)'!$C61,'韻母碼 (台羅)'!J$2)</f>
        <v>oⁿ</v>
      </c>
      <c r="K61" s="22" t="str" cm="1">
        <f t="array" ref="K61" xml:space="preserve"> INDEX(十五音韻母清單!$B$6:$K$105, '韻母碼 (台羅)'!$C61,'韻母碼 (台羅)'!K$2)</f>
        <v>onn</v>
      </c>
      <c r="L61" s="22" t="str" cm="1">
        <f t="array" ref="L61" xml:space="preserve"> INDEX(十五音韻母清單!$B$6:$K$105, '韻母碼 (台羅)'!$C61,'韻母碼 (台羅)'!L$2)</f>
        <v>noo</v>
      </c>
      <c r="M61" s="22" t="str" cm="1">
        <f t="array" ref="M61" xml:space="preserve"> INDEX(十五音韻母清單!$B$6:$K$105, '韻母碼 (台羅)'!$C61,'韻母碼 (台羅)'!M$2)</f>
        <v>ㆧ</v>
      </c>
    </row>
    <row r="62" spans="2:13" ht="29.25">
      <c r="B62" s="21" t="s">
        <v>259</v>
      </c>
      <c r="C62" s="20">
        <f xml:space="preserve"> MATCH(B62, 十五音韻母清單!$I$6:$I$105,0)</f>
        <v>82</v>
      </c>
      <c r="D62" s="20" cm="1">
        <f t="array" ref="D62" xml:space="preserve"> INDEX(十五音韻母清單!$B$6:$K$105, $C62, D$2)</f>
        <v>41</v>
      </c>
      <c r="F62" s="20">
        <v>58</v>
      </c>
      <c r="G62" s="22" t="str" cm="1">
        <f t="array" ref="G62" xml:space="preserve"> INDEX(十五音韻母清單!$B$6:$K$105, $C62, G$2)</f>
        <v>oonnh</v>
      </c>
      <c r="H62" s="22" t="str" cm="1">
        <f t="array" ref="H62" xml:space="preserve"> INDEX(十五音韻母清單!$B$6:$K$105, '韻母碼 (台羅)'!$C62,'韻母碼 (台羅)'!H$2)</f>
        <v>õu?</v>
      </c>
      <c r="I62" s="20" t="str" cm="1">
        <f t="array" ref="I62" xml:space="preserve"> INDEX(十五音韻母清單!$B$6:$K$105, $C62, I$2)</f>
        <v>姑</v>
      </c>
      <c r="J62" s="22" t="str" cm="1">
        <f t="array" ref="J62" xml:space="preserve"> INDEX(十五音韻母清單!$B$6:$K$105, '韻母碼 (台羅)'!$C62,'韻母碼 (台羅)'!J$2)</f>
        <v>ohⁿ</v>
      </c>
      <c r="K62" s="22" t="str" cm="1">
        <f t="array" ref="K62" xml:space="preserve"> INDEX(十五音韻母清單!$B$6:$K$105, '韻母碼 (台羅)'!$C62,'韻母碼 (台羅)'!K$2)</f>
        <v>onnh</v>
      </c>
      <c r="L62" s="22" t="str" cm="1">
        <f t="array" ref="L62" xml:space="preserve"> INDEX(十五音韻母清單!$B$6:$K$105, '韻母碼 (台羅)'!$C62,'韻母碼 (台羅)'!L$2)</f>
        <v>nooh</v>
      </c>
      <c r="M62" s="22" t="str" cm="1">
        <f t="array" ref="M62" xml:space="preserve"> INDEX(十五音韻母清單!$B$6:$K$105, '韻母碼 (台羅)'!$C62,'韻母碼 (台羅)'!M$2)</f>
        <v>ㆧㆷ</v>
      </c>
    </row>
    <row r="63" spans="2:13" ht="29.25">
      <c r="B63" s="21" t="s">
        <v>191</v>
      </c>
      <c r="C63" s="20">
        <f xml:space="preserve"> MATCH(B63, 十五音韻母清單!$I$6:$I$105,0)</f>
        <v>21</v>
      </c>
      <c r="D63" s="20" cm="1">
        <f t="array" ref="D63" xml:space="preserve"> INDEX(十五音韻母清單!$B$6:$K$105, $C63, D$2)</f>
        <v>11</v>
      </c>
      <c r="F63" s="20">
        <v>59</v>
      </c>
      <c r="G63" s="22" t="str" cm="1">
        <f t="array" ref="G63" xml:space="preserve"> INDEX(十五音韻母清單!$B$6:$K$105, $C63, G$2)</f>
        <v>oo</v>
      </c>
      <c r="H63" s="22" t="str" cm="1">
        <f t="array" ref="H63" xml:space="preserve"> INDEX(十五音韻母清單!$B$6:$K$105, '韻母碼 (台羅)'!$C63,'韻母碼 (台羅)'!H$2)</f>
        <v>ou</v>
      </c>
      <c r="I63" s="20" t="str" cm="1">
        <f t="array" ref="I63" xml:space="preserve"> INDEX(十五音韻母清單!$B$6:$K$105, $C63, I$2)</f>
        <v>沽</v>
      </c>
      <c r="J63" s="22" t="str" cm="1">
        <f t="array" ref="J63" xml:space="preserve"> INDEX(十五音韻母清單!$B$6:$K$105, '韻母碼 (台羅)'!$C63,'韻母碼 (台羅)'!J$2)</f>
        <v>o͘</v>
      </c>
      <c r="K63" s="22" t="str" cm="1">
        <f t="array" ref="K63" xml:space="preserve"> INDEX(十五音韻母清單!$B$6:$K$105, '韻母碼 (台羅)'!$C63,'韻母碼 (台羅)'!K$2)</f>
        <v>oo</v>
      </c>
      <c r="L63" s="22" t="str" cm="1">
        <f t="array" ref="L63" xml:space="preserve"> INDEX(十五音韻母清單!$B$6:$K$105, '韻母碼 (台羅)'!$C63,'韻母碼 (台羅)'!L$2)</f>
        <v>oo</v>
      </c>
      <c r="M63" s="22" t="str" cm="1">
        <f t="array" ref="M63" xml:space="preserve"> INDEX(十五音韻母清單!$B$6:$K$105, '韻母碼 (台羅)'!$C63,'韻母碼 (台羅)'!M$2)</f>
        <v>ㆦ</v>
      </c>
    </row>
    <row r="64" spans="2:13" ht="29.25">
      <c r="B64" s="98" t="s">
        <v>192</v>
      </c>
      <c r="C64" s="99">
        <f xml:space="preserve"> MATCH(B64, 十五音韻母清單!$I$6:$I$105,0)</f>
        <v>22</v>
      </c>
      <c r="D64" s="99" cm="1">
        <f t="array" ref="D64" xml:space="preserve"> INDEX(十五音韻母清單!$B$6:$K$105, $C64, D$2)</f>
        <v>11</v>
      </c>
      <c r="F64" s="20">
        <v>60</v>
      </c>
      <c r="G64" s="100" t="str" cm="1">
        <f t="array" ref="G64" xml:space="preserve"> INDEX(十五音韻母清單!$B$6:$K$105, $C64, G$2)</f>
        <v>ooh</v>
      </c>
      <c r="H64" s="100" t="str" cm="1">
        <f t="array" ref="H64" xml:space="preserve"> INDEX(十五音韻母清單!$B$6:$K$105, '韻母碼 (台羅)'!$C64,'韻母碼 (台羅)'!H$2)</f>
        <v>ou?</v>
      </c>
      <c r="I64" s="99" t="str" cm="1">
        <f t="array" ref="I64" xml:space="preserve"> INDEX(十五音韻母清單!$B$6:$K$105, $C64, I$2)</f>
        <v>沽</v>
      </c>
      <c r="J64" s="100" t="str" cm="1">
        <f t="array" ref="J64" xml:space="preserve"> INDEX(十五音韻母清單!$B$6:$K$105, '韻母碼 (台羅)'!$C64,'韻母碼 (台羅)'!J$2)</f>
        <v>o͘h</v>
      </c>
      <c r="K64" s="100" t="str" cm="1">
        <f t="array" ref="K64" xml:space="preserve"> INDEX(十五音韻母清單!$B$6:$K$105, '韻母碼 (台羅)'!$C64,'韻母碼 (台羅)'!K$2)</f>
        <v>ooh</v>
      </c>
      <c r="L64" s="100" t="str" cm="1">
        <f t="array" ref="L64" xml:space="preserve"> INDEX(十五音韻母清單!$B$6:$K$105, '韻母碼 (台羅)'!$C64,'韻母碼 (台羅)'!L$2)</f>
        <v>ooh</v>
      </c>
      <c r="M64" s="100" t="str" cm="1">
        <f t="array" ref="M64" xml:space="preserve"> INDEX(十五音韻母清單!$B$6:$K$105, '韻母碼 (台羅)'!$C64,'韻母碼 (台羅)'!M$2)</f>
        <v>ㆦㆷ</v>
      </c>
    </row>
    <row r="65" spans="2:13" ht="29.25">
      <c r="B65" s="21" t="s">
        <v>245</v>
      </c>
      <c r="C65" s="20">
        <f xml:space="preserve"> MATCH(B65, 十五音韻母清單!$I$6:$I$105,0)</f>
        <v>53</v>
      </c>
      <c r="D65" s="20" cm="1">
        <f t="array" ref="D65" xml:space="preserve"> INDEX(十五音韻母清單!$B$6:$K$105, $C65, D$2)</f>
        <v>27</v>
      </c>
      <c r="F65" s="20">
        <v>61</v>
      </c>
      <c r="G65" s="22" t="str" cm="1">
        <f t="array" ref="G65" xml:space="preserve"> INDEX(十五音韻母清單!$B$6:$K$105, $C65, G$2)</f>
        <v>u</v>
      </c>
      <c r="H65" s="22" t="str" cm="1">
        <f t="array" ref="H65" xml:space="preserve"> INDEX(十五音韻母清單!$B$6:$K$105, '韻母碼 (台羅)'!$C65,'韻母碼 (台羅)'!H$2)</f>
        <v>u</v>
      </c>
      <c r="I65" s="20" t="str" cm="1">
        <f t="array" ref="I65" xml:space="preserve"> INDEX(十五音韻母清單!$B$6:$K$105, $C65, I$2)</f>
        <v>艍</v>
      </c>
      <c r="J65" s="22" t="str" cm="1">
        <f t="array" ref="J65" xml:space="preserve"> INDEX(十五音韻母清單!$B$6:$K$105, '韻母碼 (台羅)'!$C65,'韻母碼 (台羅)'!J$2)</f>
        <v>u</v>
      </c>
      <c r="K65" s="22" t="str" cm="1">
        <f t="array" ref="K65" xml:space="preserve"> INDEX(十五音韻母清單!$B$6:$K$105, '韻母碼 (台羅)'!$C65,'韻母碼 (台羅)'!K$2)</f>
        <v>u</v>
      </c>
      <c r="L65" s="22" t="str" cm="1">
        <f t="array" ref="L65" xml:space="preserve"> INDEX(十五音韻母清單!$B$6:$K$105, '韻母碼 (台羅)'!$C65,'韻母碼 (台羅)'!L$2)</f>
        <v>u</v>
      </c>
      <c r="M65" s="22" t="str" cm="1">
        <f t="array" ref="M65" xml:space="preserve"> INDEX(十五音韻母清單!$B$6:$K$105, '韻母碼 (台羅)'!$C65,'韻母碼 (台羅)'!M$2)</f>
        <v>ㄨ</v>
      </c>
    </row>
    <row r="66" spans="2:13" ht="29.25">
      <c r="B66" s="21" t="s">
        <v>230</v>
      </c>
      <c r="C66" s="20">
        <f xml:space="preserve"> MATCH(B66, 十五音韻母清單!$I$6:$I$105,0)</f>
        <v>39</v>
      </c>
      <c r="D66" s="20" cm="1">
        <f t="array" ref="D66" xml:space="preserve"> INDEX(十五音韻母清單!$B$6:$K$105, $C66, D$2)</f>
        <v>20</v>
      </c>
      <c r="F66" s="20">
        <v>62</v>
      </c>
      <c r="G66" s="22" t="str" cm="1">
        <f t="array" ref="G66" xml:space="preserve"> INDEX(十五音韻母清單!$B$6:$K$105, $C66, G$2)</f>
        <v>ua</v>
      </c>
      <c r="H66" s="22" t="str" cm="1">
        <f t="array" ref="H66" xml:space="preserve"> INDEX(十五音韻母清單!$B$6:$K$105, '韻母碼 (台羅)'!$C66,'韻母碼 (台羅)'!H$2)</f>
        <v>ua</v>
      </c>
      <c r="I66" s="20" t="str" cm="1">
        <f t="array" ref="I66" xml:space="preserve"> INDEX(十五音韻母清單!$B$6:$K$105, $C66, I$2)</f>
        <v>瓜</v>
      </c>
      <c r="J66" s="22" t="str" cm="1">
        <f t="array" ref="J66" xml:space="preserve"> INDEX(十五音韻母清單!$B$6:$K$105, '韻母碼 (台羅)'!$C66,'韻母碼 (台羅)'!J$2)</f>
        <v>oa</v>
      </c>
      <c r="K66" s="22" t="str" cm="1">
        <f t="array" ref="K66" xml:space="preserve"> INDEX(十五音韻母清單!$B$6:$K$105, '韻母碼 (台羅)'!$C66,'韻母碼 (台羅)'!K$2)</f>
        <v>ua</v>
      </c>
      <c r="L66" s="22" t="str" cm="1">
        <f t="array" ref="L66" xml:space="preserve"> INDEX(十五音韻母清單!$B$6:$K$105, '韻母碼 (台羅)'!$C66,'韻母碼 (台羅)'!L$2)</f>
        <v>ua</v>
      </c>
      <c r="M66" s="22" t="str" cm="1">
        <f t="array" ref="M66" xml:space="preserve"> INDEX(十五音韻母清單!$B$6:$K$105, '韻母碼 (台羅)'!$C66,'韻母碼 (台羅)'!M$2)</f>
        <v>ㄨㄚ</v>
      </c>
    </row>
    <row r="67" spans="2:13" ht="29.25">
      <c r="B67" s="21" t="s">
        <v>231</v>
      </c>
      <c r="C67" s="20">
        <f xml:space="preserve"> MATCH(B67, 十五音韻母清單!$I$6:$I$105,0)</f>
        <v>40</v>
      </c>
      <c r="D67" s="20" cm="1">
        <f t="array" ref="D67" xml:space="preserve"> INDEX(十五音韻母清單!$B$6:$K$105, $C67, D$2)</f>
        <v>20</v>
      </c>
      <c r="F67" s="20">
        <v>63</v>
      </c>
      <c r="G67" s="22" t="str" cm="1">
        <f t="array" ref="G67" xml:space="preserve"> INDEX(十五音韻母清單!$B$6:$K$105, $C67, G$2)</f>
        <v>uah</v>
      </c>
      <c r="H67" s="22" t="str" cm="1">
        <f t="array" ref="H67" xml:space="preserve"> INDEX(十五音韻母清單!$B$6:$K$105, '韻母碼 (台羅)'!$C67,'韻母碼 (台羅)'!H$2)</f>
        <v>ua?</v>
      </c>
      <c r="I67" s="20" t="str" cm="1">
        <f t="array" ref="I67" xml:space="preserve"> INDEX(十五音韻母清單!$B$6:$K$105, $C67, I$2)</f>
        <v>瓜</v>
      </c>
      <c r="J67" s="22" t="str" cm="1">
        <f t="array" ref="J67" xml:space="preserve"> INDEX(十五音韻母清單!$B$6:$K$105, '韻母碼 (台羅)'!$C67,'韻母碼 (台羅)'!J$2)</f>
        <v>oah</v>
      </c>
      <c r="K67" s="22" t="str" cm="1">
        <f t="array" ref="K67" xml:space="preserve"> INDEX(十五音韻母清單!$B$6:$K$105, '韻母碼 (台羅)'!$C67,'韻母碼 (台羅)'!K$2)</f>
        <v>uah</v>
      </c>
      <c r="L67" s="22" t="str" cm="1">
        <f t="array" ref="L67" xml:space="preserve"> INDEX(十五音韻母清單!$B$6:$K$105, '韻母碼 (台羅)'!$C67,'韻母碼 (台羅)'!L$2)</f>
        <v>uah</v>
      </c>
      <c r="M67" s="22" t="str" cm="1">
        <f t="array" ref="M67" xml:space="preserve"> INDEX(十五音韻母清單!$B$6:$K$105, '韻母碼 (台羅)'!$C67,'韻母碼 (台羅)'!M$2)</f>
        <v>ㄨㄚㆷ</v>
      </c>
    </row>
    <row r="68" spans="2:13" ht="29.25">
      <c r="B68" s="21" t="s">
        <v>175</v>
      </c>
      <c r="C68" s="20">
        <f xml:space="preserve"> MATCH(B68, 十五音韻母清單!$I$6:$I$105,0)</f>
        <v>15</v>
      </c>
      <c r="D68" s="20" cm="1">
        <f t="array" ref="D68" xml:space="preserve"> INDEX(十五音韻母清單!$B$6:$K$105, $C68, D$2)</f>
        <v>8</v>
      </c>
      <c r="F68" s="20">
        <v>64</v>
      </c>
      <c r="G68" s="22" t="str" cm="1">
        <f t="array" ref="G68" xml:space="preserve"> INDEX(十五音韻母清單!$B$6:$K$105, $C68, G$2)</f>
        <v>uai</v>
      </c>
      <c r="H68" s="22" t="str" cm="1">
        <f t="array" ref="H68" xml:space="preserve"> INDEX(十五音韻母清單!$B$6:$K$105, '韻母碼 (台羅)'!$C68,'韻母碼 (台羅)'!H$2)</f>
        <v>uai</v>
      </c>
      <c r="I68" s="20" t="str" cm="1">
        <f t="array" ref="I68" xml:space="preserve"> INDEX(十五音韻母清單!$B$6:$K$105, $C68, I$2)</f>
        <v>乖</v>
      </c>
      <c r="J68" s="22" t="str" cm="1">
        <f t="array" ref="J68" xml:space="preserve"> INDEX(十五音韻母清單!$B$6:$K$105, '韻母碼 (台羅)'!$C68,'韻母碼 (台羅)'!J$2)</f>
        <v>oai</v>
      </c>
      <c r="K68" s="22" t="str" cm="1">
        <f t="array" ref="K68" xml:space="preserve"> INDEX(十五音韻母清單!$B$6:$K$105, '韻母碼 (台羅)'!$C68,'韻母碼 (台羅)'!K$2)</f>
        <v>uai</v>
      </c>
      <c r="L68" s="22" t="str" cm="1">
        <f t="array" ref="L68" xml:space="preserve"> INDEX(十五音韻母清單!$B$6:$K$105, '韻母碼 (台羅)'!$C68,'韻母碼 (台羅)'!L$2)</f>
        <v>uai</v>
      </c>
      <c r="M68" s="22" t="str" cm="1">
        <f t="array" ref="M68" xml:space="preserve"> INDEX(十五音韻母清單!$B$6:$K$105, '韻母碼 (台羅)'!$C68,'韻母碼 (台羅)'!M$2)</f>
        <v>ㄨㄞ</v>
      </c>
    </row>
    <row r="69" spans="2:13" ht="29.25">
      <c r="B69" s="21" t="s">
        <v>273</v>
      </c>
      <c r="C69" s="20">
        <f xml:space="preserve"> MATCH(B69, 十五音韻母清單!$I$6:$I$105,0)</f>
        <v>87</v>
      </c>
      <c r="D69" s="20" cm="1">
        <f t="array" ref="D69" xml:space="preserve"> INDEX(十五音韻母清單!$B$6:$K$105, $C69, D$2)</f>
        <v>44</v>
      </c>
      <c r="F69" s="20">
        <v>65</v>
      </c>
      <c r="G69" s="22" t="str" cm="1">
        <f t="array" ref="G69" xml:space="preserve"> INDEX(十五音韻母清單!$B$6:$K$105, $C69, G$2)</f>
        <v>uainn</v>
      </c>
      <c r="H69" s="22" t="str" cm="1">
        <f t="array" ref="H69" xml:space="preserve"> INDEX(十五音韻母清單!$B$6:$K$105, '韻母碼 (台羅)'!$C69,'韻母碼 (台羅)'!H$2)</f>
        <v>uãi</v>
      </c>
      <c r="I69" s="20" t="str" cm="1">
        <f t="array" ref="I69" xml:space="preserve"> INDEX(十五音韻母清單!$B$6:$K$105, $C69, I$2)</f>
        <v>閂</v>
      </c>
      <c r="J69" s="22" t="str" cm="1">
        <f t="array" ref="J69" xml:space="preserve"> INDEX(十五音韻母清單!$B$6:$K$105, '韻母碼 (台羅)'!$C69,'韻母碼 (台羅)'!J$2)</f>
        <v>oaiⁿ</v>
      </c>
      <c r="K69" s="22" t="str" cm="1">
        <f t="array" ref="K69" xml:space="preserve"> INDEX(十五音韻母清單!$B$6:$K$105, '韻母碼 (台羅)'!$C69,'韻母碼 (台羅)'!K$2)</f>
        <v>uainn</v>
      </c>
      <c r="L69" s="22" t="str" cm="1">
        <f t="array" ref="L69" xml:space="preserve"> INDEX(十五音韻母清單!$B$6:$K$105, '韻母碼 (台羅)'!$C69,'韻母碼 (台羅)'!L$2)</f>
        <v>nuai</v>
      </c>
      <c r="M69" s="22" t="str" cm="1">
        <f t="array" ref="M69" xml:space="preserve"> INDEX(十五音韻母清單!$B$6:$K$105, '韻母碼 (台羅)'!$C69,'韻母碼 (台羅)'!M$2)</f>
        <v>ㄨㆮ</v>
      </c>
    </row>
    <row r="70" spans="2:13" ht="29.25">
      <c r="B70" s="21" t="s">
        <v>187</v>
      </c>
      <c r="C70" s="20">
        <f xml:space="preserve"> MATCH(B70, 十五音韻母清單!$I$6:$I$105,0)</f>
        <v>19</v>
      </c>
      <c r="D70" s="20" cm="1">
        <f t="array" ref="D70" xml:space="preserve"> INDEX(十五音韻母清單!$B$6:$K$105, $C70, D$2)</f>
        <v>10</v>
      </c>
      <c r="F70" s="20">
        <v>66</v>
      </c>
      <c r="G70" s="22" t="str" cm="1">
        <f t="array" ref="G70" xml:space="preserve"> INDEX(十五音韻母清單!$B$6:$K$105, $C70, G$2)</f>
        <v>uan</v>
      </c>
      <c r="H70" s="22" t="str" cm="1">
        <f t="array" ref="H70" xml:space="preserve"> INDEX(十五音韻母清單!$B$6:$K$105, '韻母碼 (台羅)'!$C70,'韻母碼 (台羅)'!H$2)</f>
        <v>uan</v>
      </c>
      <c r="I70" s="20" t="str" cm="1">
        <f t="array" ref="I70" xml:space="preserve"> INDEX(十五音韻母清單!$B$6:$K$105, $C70, I$2)</f>
        <v>觀</v>
      </c>
      <c r="J70" s="22" t="str" cm="1">
        <f t="array" ref="J70" xml:space="preserve"> INDEX(十五音韻母清單!$B$6:$K$105, '韻母碼 (台羅)'!$C70,'韻母碼 (台羅)'!J$2)</f>
        <v>oan</v>
      </c>
      <c r="K70" s="22" t="str" cm="1">
        <f t="array" ref="K70" xml:space="preserve"> INDEX(十五音韻母清單!$B$6:$K$105, '韻母碼 (台羅)'!$C70,'韻母碼 (台羅)'!K$2)</f>
        <v>uan</v>
      </c>
      <c r="L70" s="22" t="str" cm="1">
        <f t="array" ref="L70" xml:space="preserve"> INDEX(十五音韻母清單!$B$6:$K$105, '韻母碼 (台羅)'!$C70,'韻母碼 (台羅)'!L$2)</f>
        <v>uan</v>
      </c>
      <c r="M70" s="22" t="str" cm="1">
        <f t="array" ref="M70" xml:space="preserve"> INDEX(十五音韻母清單!$B$6:$K$105, '韻母碼 (台羅)'!$C70,'韻母碼 (台羅)'!M$2)</f>
        <v>ㄨㄢ</v>
      </c>
    </row>
    <row r="71" spans="2:13" ht="29.25">
      <c r="B71" s="21" t="s">
        <v>270</v>
      </c>
      <c r="C71" s="20">
        <f xml:space="preserve"> MATCH(B71, 十五音韻母清單!$I$6:$I$105,0)</f>
        <v>85</v>
      </c>
      <c r="D71" s="20" cm="1">
        <f t="array" ref="D71" xml:space="preserve"> INDEX(十五音韻母清單!$B$6:$K$105, $C71, D$2)</f>
        <v>43</v>
      </c>
      <c r="F71" s="20">
        <v>67</v>
      </c>
      <c r="G71" s="22" t="str" cm="1">
        <f t="array" ref="G71" xml:space="preserve"> INDEX(十五音韻母清單!$B$6:$K$105, $C71, G$2)</f>
        <v>uang</v>
      </c>
      <c r="H71" s="22" t="str" cm="1">
        <f t="array" ref="H71" xml:space="preserve"> INDEX(十五音韻母清單!$B$6:$K$105, '韻母碼 (台羅)'!$C71,'韻母碼 (台羅)'!H$2)</f>
        <v>uaŋ</v>
      </c>
      <c r="I71" s="20" t="str" cm="1">
        <f t="array" ref="I71" xml:space="preserve"> INDEX(十五音韻母清單!$B$6:$K$105, $C71, I$2)</f>
        <v>光</v>
      </c>
      <c r="J71" s="22" t="str" cm="1">
        <f t="array" ref="J71" xml:space="preserve"> INDEX(十五音韻母清單!$B$6:$K$105, '韻母碼 (台羅)'!$C71,'韻母碼 (台羅)'!J$2)</f>
        <v>oang</v>
      </c>
      <c r="K71" s="22" t="str" cm="1">
        <f t="array" ref="K71" xml:space="preserve"> INDEX(十五音韻母清單!$B$6:$K$105, '韻母碼 (台羅)'!$C71,'韻母碼 (台羅)'!K$2)</f>
        <v>uang</v>
      </c>
      <c r="L71" s="22" t="str" cm="1">
        <f t="array" ref="L71" xml:space="preserve"> INDEX(十五音韻母清單!$B$6:$K$105, '韻母碼 (台羅)'!$C71,'韻母碼 (台羅)'!L$2)</f>
        <v>uang</v>
      </c>
      <c r="M71" s="22" t="str" cm="1">
        <f t="array" ref="M71" xml:space="preserve"> INDEX(十五音韻母清單!$B$6:$K$105, '韻母碼 (台羅)'!$C71,'韻母碼 (台羅)'!M$2)</f>
        <v>ㄨㄤ</v>
      </c>
    </row>
    <row r="72" spans="2:13" ht="29.25">
      <c r="B72" s="21" t="s">
        <v>265</v>
      </c>
      <c r="C72" s="20">
        <f xml:space="preserve"> MATCH(B72, 十五音韻母清單!$I$6:$I$105,0)</f>
        <v>73</v>
      </c>
      <c r="D72" s="20" cm="1">
        <f t="array" ref="D72" xml:space="preserve"> INDEX(十五音韻母清單!$B$6:$K$105, $C72, D$2)</f>
        <v>37</v>
      </c>
      <c r="F72" s="20">
        <v>68</v>
      </c>
      <c r="G72" s="22" t="str" cm="1">
        <f t="array" ref="G72" xml:space="preserve"> INDEX(十五音韻母清單!$B$6:$K$105, $C72, G$2)</f>
        <v>uann</v>
      </c>
      <c r="H72" s="22" t="str" cm="1">
        <f t="array" ref="H72" xml:space="preserve"> INDEX(十五音韻母清單!$B$6:$K$105, '韻母碼 (台羅)'!$C72,'韻母碼 (台羅)'!H$2)</f>
        <v>uã</v>
      </c>
      <c r="I72" s="20" t="str" cm="1">
        <f t="array" ref="I72" xml:space="preserve"> INDEX(十五音韻母清單!$B$6:$K$105, $C72, I$2)</f>
        <v>官</v>
      </c>
      <c r="J72" s="22" t="str" cm="1">
        <f t="array" ref="J72" xml:space="preserve"> INDEX(十五音韻母清單!$B$6:$K$105, '韻母碼 (台羅)'!$C72,'韻母碼 (台羅)'!J$2)</f>
        <v>oaⁿ</v>
      </c>
      <c r="K72" s="22" t="str" cm="1">
        <f t="array" ref="K72" xml:space="preserve"> INDEX(十五音韻母清單!$B$6:$K$105, '韻母碼 (台羅)'!$C72,'韻母碼 (台羅)'!K$2)</f>
        <v>uann</v>
      </c>
      <c r="L72" s="22" t="str" cm="1">
        <f t="array" ref="L72" xml:space="preserve"> INDEX(十五音韻母清單!$B$6:$K$105, '韻母碼 (台羅)'!$C72,'韻母碼 (台羅)'!L$2)</f>
        <v>nua</v>
      </c>
      <c r="M72" s="22" t="str" cm="1">
        <f t="array" ref="M72" xml:space="preserve"> INDEX(十五音韻母清單!$B$6:$K$105, '韻母碼 (台羅)'!$C72,'韻母碼 (台羅)'!M$2)</f>
        <v>ㄨㆩ</v>
      </c>
    </row>
    <row r="73" spans="2:13" ht="29.25">
      <c r="B73" s="21" t="s">
        <v>188</v>
      </c>
      <c r="C73" s="20">
        <f xml:space="preserve"> MATCH(B73, 十五音韻母清單!$I$6:$I$105,0)</f>
        <v>20</v>
      </c>
      <c r="D73" s="20" cm="1">
        <f t="array" ref="D73" xml:space="preserve"> INDEX(十五音韻母清單!$B$6:$K$105, $C73, D$2)</f>
        <v>10</v>
      </c>
      <c r="F73" s="20">
        <v>69</v>
      </c>
      <c r="G73" s="22" t="str" cm="1">
        <f t="array" ref="G73" xml:space="preserve"> INDEX(十五音韻母清單!$B$6:$K$105, $C73, G$2)</f>
        <v>uat</v>
      </c>
      <c r="H73" s="22" t="str" cm="1">
        <f t="array" ref="H73" xml:space="preserve"> INDEX(十五音韻母清單!$B$6:$K$105, '韻母碼 (台羅)'!$C73,'韻母碼 (台羅)'!H$2)</f>
        <v>uat̚</v>
      </c>
      <c r="I73" s="20" t="str" cm="1">
        <f t="array" ref="I73" xml:space="preserve"> INDEX(十五音韻母清單!$B$6:$K$105, $C73, I$2)</f>
        <v>觀</v>
      </c>
      <c r="J73" s="22" t="str" cm="1">
        <f t="array" ref="J73" xml:space="preserve"> INDEX(十五音韻母清單!$B$6:$K$105, '韻母碼 (台羅)'!$C73,'韻母碼 (台羅)'!J$2)</f>
        <v>oat</v>
      </c>
      <c r="K73" s="22" t="str" cm="1">
        <f t="array" ref="K73" xml:space="preserve"> INDEX(十五音韻母清單!$B$6:$K$105, '韻母碼 (台羅)'!$C73,'韻母碼 (台羅)'!K$2)</f>
        <v>uat</v>
      </c>
      <c r="L73" s="22" t="str" cm="1">
        <f t="array" ref="L73" xml:space="preserve"> INDEX(十五音韻母清單!$B$6:$K$105, '韻母碼 (台羅)'!$C73,'韻母碼 (台羅)'!L$2)</f>
        <v>uat</v>
      </c>
      <c r="M73" s="22" t="str" cm="1">
        <f t="array" ref="M73" xml:space="preserve"> INDEX(十五音韻母清單!$B$6:$K$105, '韻母碼 (台羅)'!$C73,'韻母碼 (台羅)'!M$2)</f>
        <v>ㄨㄚㆵ</v>
      </c>
    </row>
    <row r="74" spans="2:13" ht="29.25">
      <c r="B74" s="21" t="s">
        <v>239</v>
      </c>
      <c r="C74" s="20">
        <f xml:space="preserve"> MATCH(B74, 十五音韻母清單!$I$6:$I$105,0)</f>
        <v>49</v>
      </c>
      <c r="D74" s="20" cm="1">
        <f t="array" ref="D74" xml:space="preserve"> INDEX(十五音韻母清單!$B$6:$K$105, $C74, D$2)</f>
        <v>25</v>
      </c>
      <c r="F74" s="20">
        <v>70</v>
      </c>
      <c r="G74" s="22" t="str" cm="1">
        <f t="array" ref="G74" xml:space="preserve"> INDEX(十五音韻母清單!$B$6:$K$105, $C74, G$2)</f>
        <v>ue</v>
      </c>
      <c r="H74" s="22" t="str" cm="1">
        <f t="array" ref="H74" xml:space="preserve"> INDEX(十五音韻母清單!$B$6:$K$105, '韻母碼 (台羅)'!$C74,'韻母碼 (台羅)'!H$2)</f>
        <v>ue</v>
      </c>
      <c r="I74" s="20" t="str" cm="1">
        <f t="array" ref="I74" xml:space="preserve"> INDEX(十五音韻母清單!$B$6:$K$105, $C74, I$2)</f>
        <v>檜</v>
      </c>
      <c r="J74" s="22" t="str" cm="1">
        <f t="array" ref="J74" xml:space="preserve"> INDEX(十五音韻母清單!$B$6:$K$105, '韻母碼 (台羅)'!$C74,'韻母碼 (台羅)'!J$2)</f>
        <v>oe</v>
      </c>
      <c r="K74" s="22" t="str" cm="1">
        <f t="array" ref="K74" xml:space="preserve"> INDEX(十五音韻母清單!$B$6:$K$105, '韻母碼 (台羅)'!$C74,'韻母碼 (台羅)'!K$2)</f>
        <v>ue</v>
      </c>
      <c r="L74" s="22" t="str" cm="1">
        <f t="array" ref="L74" xml:space="preserve"> INDEX(十五音韻母清單!$B$6:$K$105, '韻母碼 (台羅)'!$C74,'韻母碼 (台羅)'!L$2)</f>
        <v>ue</v>
      </c>
      <c r="M74" s="22" t="str" cm="1">
        <f t="array" ref="M74" xml:space="preserve"> INDEX(十五音韻母清單!$B$6:$K$105, '韻母碼 (台羅)'!$C74,'韻母碼 (台羅)'!M$2)</f>
        <v>ㄨㆤ</v>
      </c>
    </row>
    <row r="75" spans="2:13" ht="29.25">
      <c r="B75" s="21" t="s">
        <v>240</v>
      </c>
      <c r="C75" s="20">
        <f xml:space="preserve"> MATCH(B75, 十五音韻母清單!$I$6:$I$105,0)</f>
        <v>50</v>
      </c>
      <c r="D75" s="20" cm="1">
        <f t="array" ref="D75" xml:space="preserve"> INDEX(十五音韻母清單!$B$6:$K$105, $C75, D$2)</f>
        <v>25</v>
      </c>
      <c r="F75" s="20">
        <v>71</v>
      </c>
      <c r="G75" s="22" t="str" cm="1">
        <f t="array" ref="G75" xml:space="preserve"> INDEX(十五音韻母清單!$B$6:$K$105, $C75, G$2)</f>
        <v>ueh</v>
      </c>
      <c r="H75" s="22" t="str" cm="1">
        <f t="array" ref="H75" xml:space="preserve"> INDEX(十五音韻母清單!$B$6:$K$105, '韻母碼 (台羅)'!$C75,'韻母碼 (台羅)'!H$2)</f>
        <v>ue?</v>
      </c>
      <c r="I75" s="20" t="str" cm="1">
        <f t="array" ref="I75" xml:space="preserve"> INDEX(十五音韻母清單!$B$6:$K$105, $C75, I$2)</f>
        <v>檜</v>
      </c>
      <c r="J75" s="22" t="str" cm="1">
        <f t="array" ref="J75" xml:space="preserve"> INDEX(十五音韻母清單!$B$6:$K$105, '韻母碼 (台羅)'!$C75,'韻母碼 (台羅)'!J$2)</f>
        <v>oeh</v>
      </c>
      <c r="K75" s="22" t="str" cm="1">
        <f t="array" ref="K75" xml:space="preserve"> INDEX(十五音韻母清單!$B$6:$K$105, '韻母碼 (台羅)'!$C75,'韻母碼 (台羅)'!K$2)</f>
        <v>ueh</v>
      </c>
      <c r="L75" s="22" t="str" cm="1">
        <f t="array" ref="L75" xml:space="preserve"> INDEX(十五音韻母清單!$B$6:$K$105, '韻母碼 (台羅)'!$C75,'韻母碼 (台羅)'!L$2)</f>
        <v>ueh</v>
      </c>
      <c r="M75" s="22" t="str" cm="1">
        <f t="array" ref="M75" xml:space="preserve"> INDEX(十五音韻母清單!$B$6:$K$105, '韻母碼 (台羅)'!$C75,'韻母碼 (台羅)'!M$2)</f>
        <v>ㄨㆤㆷ</v>
      </c>
    </row>
    <row r="76" spans="2:13" ht="29.25">
      <c r="B76" s="21" t="s">
        <v>246</v>
      </c>
      <c r="C76" s="20">
        <f xml:space="preserve"> MATCH(B76, 十五音韻母清單!$I$6:$I$105,0)</f>
        <v>54</v>
      </c>
      <c r="D76" s="20" cm="1">
        <f t="array" ref="D76" xml:space="preserve"> INDEX(十五音韻母清單!$B$6:$K$105, $C76, D$2)</f>
        <v>27</v>
      </c>
      <c r="F76" s="20">
        <v>72</v>
      </c>
      <c r="G76" s="22" t="str" cm="1">
        <f t="array" ref="G76" xml:space="preserve"> INDEX(十五音韻母清單!$B$6:$K$105, $C76, G$2)</f>
        <v>uh</v>
      </c>
      <c r="H76" s="22" t="str" cm="1">
        <f t="array" ref="H76" xml:space="preserve"> INDEX(十五音韻母清單!$B$6:$K$105, '韻母碼 (台羅)'!$C76,'韻母碼 (台羅)'!H$2)</f>
        <v>u?</v>
      </c>
      <c r="I76" s="20" t="str" cm="1">
        <f t="array" ref="I76" xml:space="preserve"> INDEX(十五音韻母清單!$B$6:$K$105, $C76, I$2)</f>
        <v>艍</v>
      </c>
      <c r="J76" s="22" t="str" cm="1">
        <f t="array" ref="J76" xml:space="preserve"> INDEX(十五音韻母清單!$B$6:$K$105, '韻母碼 (台羅)'!$C76,'韻母碼 (台羅)'!J$2)</f>
        <v>uh</v>
      </c>
      <c r="K76" s="22" t="str" cm="1">
        <f t="array" ref="K76" xml:space="preserve"> INDEX(十五音韻母清單!$B$6:$K$105, '韻母碼 (台羅)'!$C76,'韻母碼 (台羅)'!K$2)</f>
        <v>uh</v>
      </c>
      <c r="L76" s="22" t="str" cm="1">
        <f t="array" ref="L76" xml:space="preserve"> INDEX(十五音韻母清單!$B$6:$K$105, '韻母碼 (台羅)'!$C76,'韻母碼 (台羅)'!L$2)</f>
        <v>uh</v>
      </c>
      <c r="M76" s="22" t="str" cm="1">
        <f t="array" ref="M76" xml:space="preserve"> INDEX(十五音韻母清單!$B$6:$K$105, '韻母碼 (台羅)'!$C76,'韻母碼 (台羅)'!M$2)</f>
        <v>ㄨㆷ</v>
      </c>
    </row>
    <row r="77" spans="2:13" ht="29.25">
      <c r="B77" s="21" t="s">
        <v>154</v>
      </c>
      <c r="C77" s="20">
        <f xml:space="preserve"> MATCH(B77, 十五音韻母清單!$I$6:$I$105,0)</f>
        <v>7</v>
      </c>
      <c r="D77" s="20" cm="1">
        <f t="array" ref="D77" xml:space="preserve"> INDEX(十五音韻母清單!$B$6:$K$105, $C77, D$2)</f>
        <v>4</v>
      </c>
      <c r="F77" s="20">
        <v>73</v>
      </c>
      <c r="G77" s="22" t="str" cm="1">
        <f t="array" ref="G77" xml:space="preserve"> INDEX(十五音韻母清單!$B$6:$K$105, $C77, G$2)</f>
        <v>ui</v>
      </c>
      <c r="H77" s="22" t="str" cm="1">
        <f t="array" ref="H77" xml:space="preserve"> INDEX(十五音韻母清單!$B$6:$K$105, '韻母碼 (台羅)'!$C77,'韻母碼 (台羅)'!H$2)</f>
        <v>ui</v>
      </c>
      <c r="I77" s="20" t="str" cm="1">
        <f t="array" ref="I77" xml:space="preserve"> INDEX(十五音韻母清單!$B$6:$K$105, $C77, I$2)</f>
        <v>規</v>
      </c>
      <c r="J77" s="22" t="str" cm="1">
        <f t="array" ref="J77" xml:space="preserve"> INDEX(十五音韻母清單!$B$6:$K$105, '韻母碼 (台羅)'!$C77,'韻母碼 (台羅)'!J$2)</f>
        <v>ui</v>
      </c>
      <c r="K77" s="22" t="str" cm="1">
        <f t="array" ref="K77" xml:space="preserve"> INDEX(十五音韻母清單!$B$6:$K$105, '韻母碼 (台羅)'!$C77,'韻母碼 (台羅)'!K$2)</f>
        <v>ui</v>
      </c>
      <c r="L77" s="22" t="str" cm="1">
        <f t="array" ref="L77" xml:space="preserve"> INDEX(十五音韻母清單!$B$6:$K$105, '韻母碼 (台羅)'!$C77,'韻母碼 (台羅)'!L$2)</f>
        <v>ui</v>
      </c>
      <c r="M77" s="22" t="str" cm="1">
        <f t="array" ref="M77" xml:space="preserve"> INDEX(十五音韻母清單!$B$6:$K$105, '韻母碼 (台羅)'!$C77,'韻母碼 (台羅)'!M$2)</f>
        <v>ㄨㄧ</v>
      </c>
    </row>
    <row r="78" spans="2:13" ht="29.25">
      <c r="B78" s="21" t="s">
        <v>136</v>
      </c>
      <c r="C78" s="20">
        <f xml:space="preserve"> MATCH(B78, 十五音韻母清單!$I$6:$I$105,0)</f>
        <v>1</v>
      </c>
      <c r="D78" s="20" cm="1">
        <f t="array" ref="D78" xml:space="preserve"> INDEX(十五音韻母清單!$B$6:$K$105, $C78, D$2)</f>
        <v>1</v>
      </c>
      <c r="F78" s="20">
        <v>74</v>
      </c>
      <c r="G78" s="22" t="str" cm="1">
        <f t="array" ref="G78" xml:space="preserve"> INDEX(十五音韻母清單!$B$6:$K$105, $C78, G$2)</f>
        <v>un</v>
      </c>
      <c r="H78" s="22" t="str" cm="1">
        <f t="array" ref="H78" xml:space="preserve"> INDEX(十五音韻母清單!$B$6:$K$105, '韻母碼 (台羅)'!$C78,'韻母碼 (台羅)'!H$2)</f>
        <v>un</v>
      </c>
      <c r="I78" s="20" t="str" cm="1">
        <f t="array" ref="I78" xml:space="preserve"> INDEX(十五音韻母清單!$B$6:$K$105, $C78, I$2)</f>
        <v>君</v>
      </c>
      <c r="J78" s="22" t="str" cm="1">
        <f t="array" ref="J78" xml:space="preserve"> INDEX(十五音韻母清單!$B$6:$K$105, '韻母碼 (台羅)'!$C78,'韻母碼 (台羅)'!J$2)</f>
        <v>un</v>
      </c>
      <c r="K78" s="22" t="str" cm="1">
        <f t="array" ref="K78" xml:space="preserve"> INDEX(十五音韻母清單!$B$6:$K$105, '韻母碼 (台羅)'!$C78,'韻母碼 (台羅)'!K$2)</f>
        <v>un</v>
      </c>
      <c r="L78" s="22" t="str" cm="1">
        <f t="array" ref="L78" xml:space="preserve"> INDEX(十五音韻母清單!$B$6:$K$105, '韻母碼 (台羅)'!$C78,'韻母碼 (台羅)'!L$2)</f>
        <v>un</v>
      </c>
      <c r="M78" s="22" t="str" cm="1">
        <f t="array" ref="M78" xml:space="preserve"> INDEX(十五音韻母清單!$B$6:$K$105, '韻母碼 (台羅)'!$C78,'韻母碼 (台羅)'!M$2)</f>
        <v>ㄨㄣ</v>
      </c>
    </row>
    <row r="79" spans="2:13" ht="29.25">
      <c r="B79" s="21" t="s">
        <v>137</v>
      </c>
      <c r="C79" s="20">
        <f xml:space="preserve"> MATCH(B79, 十五音韻母清單!$I$6:$I$105,0)</f>
        <v>2</v>
      </c>
      <c r="D79" s="20" cm="1">
        <f t="array" ref="D79" xml:space="preserve"> INDEX(十五音韻母清單!$B$6:$K$105, $C79, D$2)</f>
        <v>1</v>
      </c>
      <c r="F79" s="20">
        <v>75</v>
      </c>
      <c r="G79" s="22" t="str" cm="1">
        <f t="array" ref="G79" xml:space="preserve"> INDEX(十五音韻母清單!$B$6:$K$105, $C79, G$2)</f>
        <v>ut</v>
      </c>
      <c r="H79" s="22" t="str" cm="1">
        <f t="array" ref="H79" xml:space="preserve"> INDEX(十五音韻母清單!$B$6:$K$105, '韻母碼 (台羅)'!$C79,'韻母碼 (台羅)'!H$2)</f>
        <v>ut̚</v>
      </c>
      <c r="I79" s="20" t="str" cm="1">
        <f t="array" ref="I79" xml:space="preserve"> INDEX(十五音韻母清單!$B$6:$K$105, $C79, I$2)</f>
        <v>君</v>
      </c>
      <c r="J79" s="22" t="str" cm="1">
        <f t="array" ref="J79" xml:space="preserve"> INDEX(十五音韻母清單!$B$6:$K$105, '韻母碼 (台羅)'!$C79,'韻母碼 (台羅)'!J$2)</f>
        <v>ut</v>
      </c>
      <c r="K79" s="22" t="str" cm="1">
        <f t="array" ref="K79" xml:space="preserve"> INDEX(十五音韻母清單!$B$6:$K$105, '韻母碼 (台羅)'!$C79,'韻母碼 (台羅)'!K$2)</f>
        <v>ut</v>
      </c>
      <c r="L79" s="22" t="str" cm="1">
        <f t="array" ref="L79" xml:space="preserve"> INDEX(十五音韻母清單!$B$6:$K$105, '韻母碼 (台羅)'!$C79,'韻母碼 (台羅)'!L$2)</f>
        <v>ut</v>
      </c>
      <c r="M79" s="22" t="str" cm="1">
        <f t="array" ref="M79" xml:space="preserve"> INDEX(十五音韻母清單!$B$6:$K$105, '韻母碼 (台羅)'!$C79,'韻母碼 (台羅)'!M$2)</f>
        <v>ㄨㆵ</v>
      </c>
    </row>
  </sheetData>
  <autoFilter ref="F4:M79" xr:uid="{739BAB2F-E711-E743-B828-2C308E0CB861}"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C84C-49F9-0B4D-AAAF-4867409EE4F9}">
  <sheetPr codeName="工作表17">
    <tabColor rgb="FF00B0F0"/>
  </sheetPr>
  <dimension ref="B1:AG58"/>
  <sheetViews>
    <sheetView workbookViewId="0"/>
  </sheetViews>
  <sheetFormatPr defaultColWidth="10.7265625" defaultRowHeight="30" outlineLevelRow="1" outlineLevelCol="2"/>
  <cols>
    <col min="1" max="1" width="3.08984375" style="56" customWidth="1"/>
    <col min="2" max="2" width="4.453125" style="67" customWidth="1"/>
    <col min="3" max="3" width="13" style="56" customWidth="1"/>
    <col min="4" max="5" width="10.7265625" style="56"/>
    <col min="6" max="6" width="9.81640625" style="56" customWidth="1"/>
    <col min="7" max="7" width="9.81640625" style="56" customWidth="1" outlineLevel="1"/>
    <col min="8" max="9" width="9.81640625" style="56" customWidth="1" outlineLevel="2"/>
    <col min="10" max="13" width="9.81640625" style="64" customWidth="1" outlineLevel="1"/>
    <col min="14" max="14" width="4.453125" style="55" customWidth="1"/>
    <col min="15" max="15" width="10.7265625" style="56"/>
    <col min="16" max="16" width="9.26953125" style="221" customWidth="1"/>
    <col min="17" max="18" width="9.26953125" style="219" hidden="1" customWidth="1" outlineLevel="1"/>
    <col min="19" max="19" width="4.81640625" style="55" customWidth="1" collapsed="1"/>
    <col min="20" max="20" width="9.26953125" style="203" customWidth="1"/>
    <col min="21" max="21" width="9.26953125" style="204" customWidth="1"/>
    <col min="22" max="23" width="9.26953125" style="204" hidden="1" customWidth="1" outlineLevel="2"/>
    <col min="24" max="24" width="17.81640625" style="205" hidden="1" customWidth="1" outlineLevel="1" collapsed="1"/>
    <col min="25" max="27" width="17.81640625" style="205" hidden="1" customWidth="1" outlineLevel="1"/>
    <col min="28" max="28" width="5.26953125" style="56" customWidth="1" collapsed="1"/>
    <col min="29" max="29" width="4.453125" style="67" customWidth="1"/>
    <col min="30" max="30" width="13" style="258" customWidth="1"/>
    <col min="31" max="33" width="10.453125" style="56" customWidth="1"/>
    <col min="34" max="16384" width="10.7265625" style="56"/>
  </cols>
  <sheetData>
    <row r="1" spans="2:33" outlineLevel="1"/>
    <row r="2" spans="2:33" outlineLevel="1">
      <c r="B2" s="52"/>
      <c r="C2" s="52"/>
      <c r="D2" s="52"/>
      <c r="E2" s="52"/>
      <c r="F2" s="213">
        <v>3</v>
      </c>
      <c r="G2" s="213">
        <v>4</v>
      </c>
      <c r="H2" s="213">
        <v>5</v>
      </c>
      <c r="I2" s="213">
        <v>6</v>
      </c>
      <c r="J2" s="213">
        <v>9</v>
      </c>
      <c r="K2" s="213">
        <v>10</v>
      </c>
      <c r="L2" s="213">
        <v>13</v>
      </c>
      <c r="M2" s="213">
        <v>14</v>
      </c>
      <c r="O2" s="52"/>
      <c r="AC2" s="52"/>
      <c r="AD2" s="259"/>
      <c r="AE2" s="52"/>
    </row>
    <row r="3" spans="2:33">
      <c r="B3" s="52"/>
      <c r="C3" s="52"/>
      <c r="D3" s="52"/>
      <c r="E3" s="52"/>
      <c r="F3" s="52"/>
      <c r="G3" s="52"/>
      <c r="H3" s="53"/>
      <c r="I3" s="53"/>
      <c r="J3" s="54"/>
      <c r="K3" s="54"/>
      <c r="L3" s="54"/>
      <c r="M3" s="54"/>
      <c r="O3" s="52"/>
      <c r="AC3" s="52"/>
      <c r="AD3" s="259"/>
      <c r="AE3" s="52"/>
    </row>
    <row r="4" spans="2:33" ht="60.75">
      <c r="B4" s="210" t="s">
        <v>133</v>
      </c>
      <c r="C4" s="210" t="s">
        <v>3364</v>
      </c>
      <c r="D4" s="210" t="s">
        <v>3365</v>
      </c>
      <c r="E4" s="228" t="s">
        <v>3366</v>
      </c>
      <c r="F4" s="229" t="s">
        <v>3367</v>
      </c>
      <c r="G4" s="229" t="s">
        <v>3368</v>
      </c>
      <c r="H4" s="211" t="s">
        <v>1377</v>
      </c>
      <c r="I4" s="211" t="s">
        <v>1378</v>
      </c>
      <c r="J4" s="212" t="s">
        <v>1381</v>
      </c>
      <c r="K4" s="212" t="s">
        <v>1382</v>
      </c>
      <c r="L4" s="212" t="s">
        <v>3369</v>
      </c>
      <c r="M4" s="212" t="s">
        <v>3370</v>
      </c>
      <c r="O4" s="210" t="s">
        <v>3371</v>
      </c>
      <c r="P4" s="211" t="s">
        <v>3372</v>
      </c>
      <c r="Q4" s="210" t="s">
        <v>3373</v>
      </c>
      <c r="R4" s="210" t="s">
        <v>3374</v>
      </c>
      <c r="T4" s="210" t="s">
        <v>3375</v>
      </c>
      <c r="U4" s="211" t="s">
        <v>3372</v>
      </c>
      <c r="V4" s="210" t="s">
        <v>3373</v>
      </c>
      <c r="W4" s="210" t="s">
        <v>3374</v>
      </c>
      <c r="AC4" s="210" t="str">
        <f>B4</f>
        <v>序次</v>
      </c>
      <c r="AD4" s="261" t="str">
        <f xml:space="preserve"> C4</f>
        <v>彙集雅俗通</v>
      </c>
      <c r="AE4" s="210" t="s">
        <v>1115</v>
      </c>
      <c r="AF4" s="210" t="str">
        <f>D4</f>
        <v>彙音寶鑑</v>
      </c>
      <c r="AG4" s="210" t="str">
        <f>E4</f>
        <v>台語拼音</v>
      </c>
    </row>
    <row r="5" spans="2:33">
      <c r="B5" s="214">
        <v>1</v>
      </c>
      <c r="C5" s="215" t="s">
        <v>135</v>
      </c>
      <c r="D5" s="215"/>
      <c r="E5" s="215"/>
      <c r="F5" s="218" t="str" cm="1">
        <f t="array" ref="F5" xml:space="preserve"> INDEX('十五音-韻母'!$B$5:$O$54, $B5, F$2)</f>
        <v>un</v>
      </c>
      <c r="G5" s="218" t="str" cm="1">
        <f t="array" ref="G5" xml:space="preserve"> INDEX('十五音-韻母'!$B$5:$O$54, $B5, G$2)</f>
        <v>ut</v>
      </c>
      <c r="H5" s="218" t="str" cm="1">
        <f t="array" ref="H5" xml:space="preserve"> INDEX('十五音-韻母'!$B$5:$O$54, $B5, H$2)</f>
        <v>un</v>
      </c>
      <c r="I5" s="218" t="str" cm="1">
        <f t="array" ref="I5" xml:space="preserve"> INDEX('十五音-韻母'!$B$5:$O$54, $B5, I$2)</f>
        <v>ut̚</v>
      </c>
      <c r="J5" s="218" t="str" cm="1">
        <f t="array" ref="J5" xml:space="preserve"> INDEX('十五音-韻母'!$B$5:$O$54, $B5, J$2)</f>
        <v>un</v>
      </c>
      <c r="K5" s="218" t="str" cm="1">
        <f t="array" ref="K5" xml:space="preserve"> INDEX('十五音-韻母'!$B$5:$O$54, $B5, K$2)</f>
        <v>ut</v>
      </c>
      <c r="L5" s="218" t="str" cm="1">
        <f t="array" ref="L5" xml:space="preserve"> INDEX('十五音-韻母'!$B$5:$O$54, $B5, L$2)</f>
        <v>ㄨㄣ</v>
      </c>
      <c r="M5" s="218" t="str" cm="1">
        <f t="array" ref="M5" xml:space="preserve"> INDEX('十五音-韻母'!$B$5:$O$54, $B5, M$2)</f>
        <v>ㄨㆵ</v>
      </c>
      <c r="O5" s="223" t="s">
        <v>135</v>
      </c>
      <c r="P5" s="224" t="s">
        <v>136</v>
      </c>
      <c r="Q5" s="225">
        <f xml:space="preserve"> IFERROR(MATCH(P5, $F$5:$F$54, 0), "")</f>
        <v>1</v>
      </c>
      <c r="R5" s="225">
        <f xml:space="preserve"> IFERROR(Q5-$B5, 0)</f>
        <v>0</v>
      </c>
      <c r="T5" s="223" t="s">
        <v>135</v>
      </c>
      <c r="U5" s="224" t="s">
        <v>136</v>
      </c>
      <c r="V5" s="225">
        <f xml:space="preserve"> MATCH(U5, $F$5:$F$54, 0)</f>
        <v>1</v>
      </c>
      <c r="W5" s="225">
        <f>V5-$B5</f>
        <v>0</v>
      </c>
      <c r="X5" s="255"/>
      <c r="Y5" s="255"/>
      <c r="Z5" s="255"/>
      <c r="AA5" s="255"/>
      <c r="AC5" s="214">
        <f t="shared" ref="AC5:AC54" si="0">B5</f>
        <v>1</v>
      </c>
      <c r="AD5" s="223" t="str">
        <f>C5</f>
        <v>君</v>
      </c>
      <c r="AE5" s="257" t="str">
        <f xml:space="preserve"> F5</f>
        <v>un</v>
      </c>
      <c r="AF5" s="257">
        <f xml:space="preserve"> IFERROR( MATCH($F5, $P$5:$P$49,0), "無對映")</f>
        <v>1</v>
      </c>
      <c r="AG5" s="257">
        <f xml:space="preserve"> IFERROR( MATCH($F5, $U$5:$U$48,0), "無對映")</f>
        <v>1</v>
      </c>
    </row>
    <row r="6" spans="2:33">
      <c r="B6" s="214">
        <v>2</v>
      </c>
      <c r="C6" s="215" t="s">
        <v>141</v>
      </c>
      <c r="D6" s="215"/>
      <c r="E6" s="215"/>
      <c r="F6" s="218" t="str" cm="1">
        <f t="array" ref="F6" xml:space="preserve"> INDEX('十五音-韻母'!$B$5:$O$54, $B6, F$2)</f>
        <v>ian</v>
      </c>
      <c r="G6" s="218" t="str" cm="1">
        <f t="array" ref="G6" xml:space="preserve"> INDEX('十五音-韻母'!$B$5:$O$54, $B6, G$2)</f>
        <v>iat</v>
      </c>
      <c r="H6" s="218" t="str" cm="1">
        <f t="array" ref="H6" xml:space="preserve"> INDEX('十五音-韻母'!$B$5:$O$54, $B6, H$2)</f>
        <v>ian</v>
      </c>
      <c r="I6" s="218" t="str" cm="1">
        <f t="array" ref="I6" xml:space="preserve"> INDEX('十五音-韻母'!$B$5:$O$54, $B6, I$2)</f>
        <v>iat̚</v>
      </c>
      <c r="J6" s="218" t="str" cm="1">
        <f t="array" ref="J6" xml:space="preserve"> INDEX('十五音-韻母'!$B$5:$O$54, $B6, J$2)</f>
        <v>ian</v>
      </c>
      <c r="K6" s="218" t="str" cm="1">
        <f t="array" ref="K6" xml:space="preserve"> INDEX('十五音-韻母'!$B$5:$O$54, $B6, K$2)</f>
        <v>iat</v>
      </c>
      <c r="L6" s="218" t="str" cm="1">
        <f t="array" ref="L6" xml:space="preserve"> INDEX('十五音-韻母'!$B$5:$O$54, $B6, L$2)</f>
        <v>ㄧㄢ</v>
      </c>
      <c r="M6" s="218" t="str" cm="1">
        <f t="array" ref="M6" xml:space="preserve"> INDEX('十五音-韻母'!$B$5:$O$54, $B6, M$2)</f>
        <v>ㄧㄚㆵ</v>
      </c>
      <c r="O6" s="223" t="s">
        <v>141</v>
      </c>
      <c r="P6" s="224" t="s">
        <v>142</v>
      </c>
      <c r="Q6" s="225">
        <f t="shared" ref="Q6:Q54" si="1" xml:space="preserve"> IFERROR(MATCH(P6, $F$5:$F$54, 0), "")</f>
        <v>2</v>
      </c>
      <c r="R6" s="225">
        <f t="shared" ref="R6:R54" si="2" xml:space="preserve"> IFERROR(Q6-$B6, 0)</f>
        <v>0</v>
      </c>
      <c r="T6" s="223" t="s">
        <v>141</v>
      </c>
      <c r="U6" s="224" t="s">
        <v>142</v>
      </c>
      <c r="V6" s="225">
        <f t="shared" ref="V6:V54" si="3" xml:space="preserve"> MATCH(U6, $F$5:$F$54, 0)</f>
        <v>2</v>
      </c>
      <c r="W6" s="225">
        <f t="shared" ref="W6:W54" si="4">V6-$B6</f>
        <v>0</v>
      </c>
      <c r="X6" s="255"/>
      <c r="Y6" s="255"/>
      <c r="Z6" s="255"/>
      <c r="AA6" s="255"/>
      <c r="AC6" s="214">
        <f t="shared" si="0"/>
        <v>2</v>
      </c>
      <c r="AD6" s="223" t="str">
        <f t="shared" ref="AD6:AD54" si="5">C6</f>
        <v>堅</v>
      </c>
      <c r="AE6" s="257" t="str">
        <f t="shared" ref="AE6:AE54" si="6" xml:space="preserve"> F6</f>
        <v>ian</v>
      </c>
      <c r="AF6" s="257">
        <f t="shared" ref="AF6:AF54" si="7" xml:space="preserve"> IFERROR( MATCH($F6, $P$5:$P$49,0), "無對映")</f>
        <v>2</v>
      </c>
      <c r="AG6" s="257">
        <f t="shared" ref="AG6:AG54" si="8" xml:space="preserve"> IFERROR( MATCH($F6, $U$5:$U$48,0), "無對映")</f>
        <v>2</v>
      </c>
    </row>
    <row r="7" spans="2:33">
      <c r="B7" s="214">
        <v>3</v>
      </c>
      <c r="C7" s="215" t="s">
        <v>147</v>
      </c>
      <c r="D7" s="215"/>
      <c r="E7" s="215"/>
      <c r="F7" s="218" t="str" cm="1">
        <f t="array" ref="F7" xml:space="preserve"> INDEX('十五音-韻母'!$B$5:$O$54, $B7, F$2)</f>
        <v>im</v>
      </c>
      <c r="G7" s="218" t="str" cm="1">
        <f t="array" ref="G7" xml:space="preserve"> INDEX('十五音-韻母'!$B$5:$O$54, $B7, G$2)</f>
        <v>ip</v>
      </c>
      <c r="H7" s="218" t="str" cm="1">
        <f t="array" ref="H7" xml:space="preserve"> INDEX('十五音-韻母'!$B$5:$O$54, $B7, H$2)</f>
        <v>im</v>
      </c>
      <c r="I7" s="218" t="str" cm="1">
        <f t="array" ref="I7" xml:space="preserve"> INDEX('十五音-韻母'!$B$5:$O$54, $B7, I$2)</f>
        <v>ip̚</v>
      </c>
      <c r="J7" s="218" t="str" cm="1">
        <f t="array" ref="J7" xml:space="preserve"> INDEX('十五音-韻母'!$B$5:$O$54, $B7, J$2)</f>
        <v>im</v>
      </c>
      <c r="K7" s="218" t="str" cm="1">
        <f t="array" ref="K7" xml:space="preserve"> INDEX('十五音-韻母'!$B$5:$O$54, $B7, K$2)</f>
        <v>ip</v>
      </c>
      <c r="L7" s="218" t="str" cm="1">
        <f t="array" ref="L7" xml:space="preserve"> INDEX('十五音-韻母'!$B$5:$O$54, $B7, L$2)</f>
        <v>ㄧㆬ</v>
      </c>
      <c r="M7" s="218" t="str" cm="1">
        <f t="array" ref="M7" xml:space="preserve"> INDEX('十五音-韻母'!$B$5:$O$54, $B7, M$2)</f>
        <v>ㄧㆴ</v>
      </c>
      <c r="O7" s="223" t="s">
        <v>147</v>
      </c>
      <c r="P7" s="224" t="s">
        <v>148</v>
      </c>
      <c r="Q7" s="225">
        <f t="shared" si="1"/>
        <v>3</v>
      </c>
      <c r="R7" s="225">
        <f t="shared" si="2"/>
        <v>0</v>
      </c>
      <c r="T7" s="223" t="s">
        <v>147</v>
      </c>
      <c r="U7" s="224" t="s">
        <v>148</v>
      </c>
      <c r="V7" s="225">
        <f t="shared" si="3"/>
        <v>3</v>
      </c>
      <c r="W7" s="225">
        <f t="shared" si="4"/>
        <v>0</v>
      </c>
      <c r="X7" s="255"/>
      <c r="Y7" s="255"/>
      <c r="Z7" s="255"/>
      <c r="AA7" s="255"/>
      <c r="AC7" s="214">
        <f t="shared" si="0"/>
        <v>3</v>
      </c>
      <c r="AD7" s="223" t="str">
        <f t="shared" si="5"/>
        <v>金</v>
      </c>
      <c r="AE7" s="257" t="str">
        <f t="shared" si="6"/>
        <v>im</v>
      </c>
      <c r="AF7" s="257">
        <f t="shared" si="7"/>
        <v>3</v>
      </c>
      <c r="AG7" s="257">
        <f t="shared" si="8"/>
        <v>3</v>
      </c>
    </row>
    <row r="8" spans="2:33">
      <c r="B8" s="214">
        <v>4</v>
      </c>
      <c r="C8" s="216" t="s">
        <v>153</v>
      </c>
      <c r="D8" s="216"/>
      <c r="E8" s="216"/>
      <c r="F8" s="218" t="str" cm="1">
        <f t="array" ref="F8" xml:space="preserve"> INDEX('十五音-韻母'!$B$5:$O$54, $B8, F$2)</f>
        <v>ui</v>
      </c>
      <c r="G8" s="218" t="str" cm="1">
        <f t="array" ref="G8" xml:space="preserve"> INDEX('十五音-韻母'!$B$5:$O$54, $B8, G$2)</f>
        <v>uih</v>
      </c>
      <c r="H8" s="218" t="str" cm="1">
        <f t="array" ref="H8" xml:space="preserve"> INDEX('十五音-韻母'!$B$5:$O$54, $B8, H$2)</f>
        <v>ui</v>
      </c>
      <c r="I8" s="218" t="str" cm="1">
        <f t="array" ref="I8" xml:space="preserve"> INDEX('十五音-韻母'!$B$5:$O$54, $B8, I$2)</f>
        <v>ui?</v>
      </c>
      <c r="J8" s="218" t="str" cm="1">
        <f t="array" ref="J8" xml:space="preserve"> INDEX('十五音-韻母'!$B$5:$O$54, $B8, J$2)</f>
        <v>ui</v>
      </c>
      <c r="K8" s="218" t="str" cm="1">
        <f t="array" ref="K8" xml:space="preserve"> INDEX('十五音-韻母'!$B$5:$O$54, $B8, K$2)</f>
        <v>uih</v>
      </c>
      <c r="L8" s="218" t="str" cm="1">
        <f t="array" ref="L8" xml:space="preserve"> INDEX('十五音-韻母'!$B$5:$O$54, $B8, L$2)</f>
        <v>ㄨㄧ</v>
      </c>
      <c r="M8" s="218" t="str" cm="1">
        <f t="array" ref="M8" xml:space="preserve"> INDEX('十五音-韻母'!$B$5:$O$54, $B8, M$2)</f>
        <v>ㄨㄧㆷ</v>
      </c>
      <c r="O8" s="223" t="s">
        <v>153</v>
      </c>
      <c r="P8" s="224" t="s">
        <v>154</v>
      </c>
      <c r="Q8" s="225">
        <f t="shared" si="1"/>
        <v>4</v>
      </c>
      <c r="R8" s="225">
        <f t="shared" si="2"/>
        <v>0</v>
      </c>
      <c r="T8" s="223" t="s">
        <v>1330</v>
      </c>
      <c r="U8" s="224" t="s">
        <v>154</v>
      </c>
      <c r="V8" s="225">
        <f t="shared" si="3"/>
        <v>4</v>
      </c>
      <c r="W8" s="225">
        <f t="shared" si="4"/>
        <v>0</v>
      </c>
      <c r="X8" s="255"/>
      <c r="Y8" s="255"/>
      <c r="Z8" s="255"/>
      <c r="AA8" s="255"/>
      <c r="AC8" s="214">
        <f t="shared" si="0"/>
        <v>4</v>
      </c>
      <c r="AD8" s="223" t="str">
        <f t="shared" si="5"/>
        <v>規</v>
      </c>
      <c r="AE8" s="257" t="str">
        <f t="shared" si="6"/>
        <v>ui</v>
      </c>
      <c r="AF8" s="257">
        <f t="shared" si="7"/>
        <v>4</v>
      </c>
      <c r="AG8" s="257">
        <f t="shared" si="8"/>
        <v>4</v>
      </c>
    </row>
    <row r="9" spans="2:33">
      <c r="B9" s="214">
        <v>5</v>
      </c>
      <c r="C9" s="217" t="s">
        <v>159</v>
      </c>
      <c r="D9" s="217"/>
      <c r="E9" s="217" t="s">
        <v>1390</v>
      </c>
      <c r="F9" s="218" t="str" cm="1">
        <f t="array" ref="F9" xml:space="preserve"> INDEX('十五音-韻母'!$B$5:$O$54, $B9, F$2)</f>
        <v>ee</v>
      </c>
      <c r="G9" s="218" t="str" cm="1">
        <f t="array" ref="G9" xml:space="preserve"> INDEX('十五音-韻母'!$B$5:$O$54, $B9, G$2)</f>
        <v>eeh</v>
      </c>
      <c r="H9" s="218" t="str" cm="1">
        <f t="array" ref="H9" xml:space="preserve"> INDEX('十五音-韻母'!$B$5:$O$54, $B9, H$2)</f>
        <v>ɛ</v>
      </c>
      <c r="I9" s="218" t="str" cm="1">
        <f t="array" ref="I9" xml:space="preserve"> INDEX('十五音-韻母'!$B$5:$O$54, $B9, I$2)</f>
        <v>ɛ?</v>
      </c>
      <c r="J9" s="218" t="str" cm="1">
        <f t="array" ref="J9" xml:space="preserve"> INDEX('十五音-韻母'!$B$5:$O$54, $B9, J$2)</f>
        <v>ee</v>
      </c>
      <c r="K9" s="218" t="str" cm="1">
        <f t="array" ref="K9" xml:space="preserve"> INDEX('十五音-韻母'!$B$5:$O$54, $B9, K$2)</f>
        <v>eh</v>
      </c>
      <c r="L9" s="218" t="str" cm="1">
        <f t="array" ref="L9" xml:space="preserve"> INDEX('十五音-韻母'!$B$5:$O$54, $B9, L$2)</f>
        <v>ㄝ</v>
      </c>
      <c r="M9" s="218" t="str" cm="1">
        <f t="array" ref="M9" xml:space="preserve"> INDEX('十五音-韻母'!$B$5:$O$54, $B9, M$2)</f>
        <v>ㄝㆷ</v>
      </c>
      <c r="O9" s="223" t="s">
        <v>159</v>
      </c>
      <c r="P9" s="224" t="s">
        <v>739</v>
      </c>
      <c r="Q9" s="225">
        <f t="shared" si="1"/>
        <v>39</v>
      </c>
      <c r="R9" s="225">
        <f t="shared" si="2"/>
        <v>34</v>
      </c>
      <c r="T9" s="223" t="s">
        <v>1331</v>
      </c>
      <c r="U9" s="224" t="s">
        <v>739</v>
      </c>
      <c r="V9" s="225">
        <f t="shared" si="3"/>
        <v>39</v>
      </c>
      <c r="W9" s="225">
        <f t="shared" si="4"/>
        <v>34</v>
      </c>
      <c r="X9" s="255"/>
      <c r="Y9" s="255"/>
      <c r="Z9" s="255"/>
      <c r="AA9" s="255"/>
      <c r="AC9" s="214">
        <f t="shared" si="0"/>
        <v>5</v>
      </c>
      <c r="AD9" s="223" t="str">
        <f t="shared" si="5"/>
        <v>嘉</v>
      </c>
      <c r="AE9" s="257" t="str">
        <f t="shared" si="6"/>
        <v>ee</v>
      </c>
      <c r="AF9" s="257" t="str">
        <f t="shared" si="7"/>
        <v>無對映</v>
      </c>
      <c r="AG9" s="257" t="str">
        <f t="shared" si="8"/>
        <v>無對映</v>
      </c>
    </row>
    <row r="10" spans="2:33">
      <c r="B10" s="214">
        <v>6</v>
      </c>
      <c r="C10" s="215" t="s">
        <v>165</v>
      </c>
      <c r="D10" s="215"/>
      <c r="E10" s="215"/>
      <c r="F10" s="218" t="str" cm="1">
        <f t="array" ref="F10" xml:space="preserve"> INDEX('十五音-韻母'!$B$5:$O$54, $B10, F$2)</f>
        <v>an</v>
      </c>
      <c r="G10" s="218" t="str" cm="1">
        <f t="array" ref="G10" xml:space="preserve"> INDEX('十五音-韻母'!$B$5:$O$54, $B10, G$2)</f>
        <v>at</v>
      </c>
      <c r="H10" s="218" t="str" cm="1">
        <f t="array" ref="H10" xml:space="preserve"> INDEX('十五音-韻母'!$B$5:$O$54, $B10, H$2)</f>
        <v>an</v>
      </c>
      <c r="I10" s="218" t="str" cm="1">
        <f t="array" ref="I10" xml:space="preserve"> INDEX('十五音-韻母'!$B$5:$O$54, $B10, I$2)</f>
        <v>at̚</v>
      </c>
      <c r="J10" s="218" t="str" cm="1">
        <f t="array" ref="J10" xml:space="preserve"> INDEX('十五音-韻母'!$B$5:$O$54, $B10, J$2)</f>
        <v>an</v>
      </c>
      <c r="K10" s="218" t="str" cm="1">
        <f t="array" ref="K10" xml:space="preserve"> INDEX('十五音-韻母'!$B$5:$O$54, $B10, K$2)</f>
        <v>ap</v>
      </c>
      <c r="L10" s="218" t="str" cm="1">
        <f t="array" ref="L10" xml:space="preserve"> INDEX('十五音-韻母'!$B$5:$O$54, $B10, L$2)</f>
        <v>ㄢ</v>
      </c>
      <c r="M10" s="218" t="str" cm="1">
        <f t="array" ref="M10" xml:space="preserve"> INDEX('十五音-韻母'!$B$5:$O$54, $B10, M$2)</f>
        <v>ㄚㆵ</v>
      </c>
      <c r="O10" s="223" t="s">
        <v>165</v>
      </c>
      <c r="P10" s="224" t="s">
        <v>166</v>
      </c>
      <c r="Q10" s="225">
        <f t="shared" si="1"/>
        <v>6</v>
      </c>
      <c r="R10" s="225">
        <f t="shared" si="2"/>
        <v>0</v>
      </c>
      <c r="T10" s="223" t="s">
        <v>165</v>
      </c>
      <c r="U10" s="224" t="s">
        <v>166</v>
      </c>
      <c r="V10" s="225">
        <f t="shared" si="3"/>
        <v>6</v>
      </c>
      <c r="W10" s="225">
        <f t="shared" si="4"/>
        <v>0</v>
      </c>
      <c r="X10" s="255"/>
      <c r="Y10" s="255"/>
      <c r="Z10" s="255"/>
      <c r="AA10" s="255"/>
      <c r="AC10" s="214">
        <f t="shared" si="0"/>
        <v>6</v>
      </c>
      <c r="AD10" s="223" t="str">
        <f t="shared" si="5"/>
        <v>干</v>
      </c>
      <c r="AE10" s="257" t="str">
        <f t="shared" si="6"/>
        <v>an</v>
      </c>
      <c r="AF10" s="257">
        <f t="shared" si="7"/>
        <v>6</v>
      </c>
      <c r="AG10" s="257">
        <f t="shared" si="8"/>
        <v>6</v>
      </c>
    </row>
    <row r="11" spans="2:33">
      <c r="B11" s="214">
        <v>7</v>
      </c>
      <c r="C11" s="215" t="s">
        <v>168</v>
      </c>
      <c r="D11" s="215"/>
      <c r="E11" s="215"/>
      <c r="F11" s="218" t="str" cm="1">
        <f t="array" ref="F11" xml:space="preserve"> INDEX('十五音-韻母'!$B$5:$O$54, $B11, F$2)</f>
        <v>ong</v>
      </c>
      <c r="G11" s="218" t="str" cm="1">
        <f t="array" ref="G11" xml:space="preserve"> INDEX('十五音-韻母'!$B$5:$O$54, $B11, G$2)</f>
        <v>ok</v>
      </c>
      <c r="H11" s="218" t="str" cm="1">
        <f t="array" ref="H11" xml:space="preserve"> INDEX('十五音-韻母'!$B$5:$O$54, $B11, H$2)</f>
        <v>ɔŋ</v>
      </c>
      <c r="I11" s="218" t="str" cm="1">
        <f t="array" ref="I11" xml:space="preserve"> INDEX('十五音-韻母'!$B$5:$O$54, $B11, I$2)</f>
        <v>ɔk̚</v>
      </c>
      <c r="J11" s="218" t="str" cm="1">
        <f t="array" ref="J11" xml:space="preserve"> INDEX('十五音-韻母'!$B$5:$O$54, $B11, J$2)</f>
        <v>ong</v>
      </c>
      <c r="K11" s="218" t="str" cm="1">
        <f t="array" ref="K11" xml:space="preserve"> INDEX('十五音-韻母'!$B$5:$O$54, $B11, K$2)</f>
        <v>ok</v>
      </c>
      <c r="L11" s="218" t="str" cm="1">
        <f t="array" ref="L11" xml:space="preserve"> INDEX('十五音-韻母'!$B$5:$O$54, $B11, L$2)</f>
        <v>ㆲ</v>
      </c>
      <c r="M11" s="218" t="str" cm="1">
        <f t="array" ref="M11" xml:space="preserve"> INDEX('十五音-韻母'!$B$5:$O$54, $B11, M$2)</f>
        <v>ㆦㆻ</v>
      </c>
      <c r="O11" s="223" t="s">
        <v>168</v>
      </c>
      <c r="P11" s="224" t="s">
        <v>169</v>
      </c>
      <c r="Q11" s="225">
        <f t="shared" si="1"/>
        <v>7</v>
      </c>
      <c r="R11" s="225">
        <f t="shared" si="2"/>
        <v>0</v>
      </c>
      <c r="T11" s="223" t="s">
        <v>269</v>
      </c>
      <c r="U11" s="224" t="s">
        <v>169</v>
      </c>
      <c r="V11" s="225">
        <f t="shared" si="3"/>
        <v>7</v>
      </c>
      <c r="W11" s="225">
        <f t="shared" si="4"/>
        <v>0</v>
      </c>
      <c r="X11" s="255"/>
      <c r="Y11" s="255"/>
      <c r="Z11" s="255"/>
      <c r="AA11" s="255"/>
      <c r="AC11" s="214">
        <f t="shared" si="0"/>
        <v>7</v>
      </c>
      <c r="AD11" s="223" t="str">
        <f t="shared" si="5"/>
        <v>公</v>
      </c>
      <c r="AE11" s="257" t="str">
        <f t="shared" si="6"/>
        <v>ong</v>
      </c>
      <c r="AF11" s="257">
        <f t="shared" si="7"/>
        <v>7</v>
      </c>
      <c r="AG11" s="257">
        <f t="shared" si="8"/>
        <v>7</v>
      </c>
    </row>
    <row r="12" spans="2:33">
      <c r="B12" s="214">
        <v>8</v>
      </c>
      <c r="C12" s="215" t="s">
        <v>174</v>
      </c>
      <c r="D12" s="215"/>
      <c r="E12" s="215"/>
      <c r="F12" s="218" t="str" cm="1">
        <f t="array" ref="F12" xml:space="preserve"> INDEX('十五音-韻母'!$B$5:$O$54, $B12, F$2)</f>
        <v>uai</v>
      </c>
      <c r="G12" s="218" t="str" cm="1">
        <f t="array" ref="G12" xml:space="preserve"> INDEX('十五音-韻母'!$B$5:$O$54, $B12, G$2)</f>
        <v>uaih</v>
      </c>
      <c r="H12" s="218" t="str" cm="1">
        <f t="array" ref="H12" xml:space="preserve"> INDEX('十五音-韻母'!$B$5:$O$54, $B12, H$2)</f>
        <v>uai</v>
      </c>
      <c r="I12" s="218" t="str" cm="1">
        <f t="array" ref="I12" xml:space="preserve"> INDEX('十五音-韻母'!$B$5:$O$54, $B12, I$2)</f>
        <v>uai?</v>
      </c>
      <c r="J12" s="218" t="str" cm="1">
        <f t="array" ref="J12" xml:space="preserve"> INDEX('十五音-韻母'!$B$5:$O$54, $B12, J$2)</f>
        <v>uai</v>
      </c>
      <c r="K12" s="218" t="str" cm="1">
        <f t="array" ref="K12" xml:space="preserve"> INDEX('十五音-韻母'!$B$5:$O$54, $B12, K$2)</f>
        <v>uaih</v>
      </c>
      <c r="L12" s="218" t="str" cm="1">
        <f t="array" ref="L12" xml:space="preserve"> INDEX('十五音-韻母'!$B$5:$O$54, $B12, L$2)</f>
        <v>ㄨㄞ</v>
      </c>
      <c r="M12" s="218" t="str" cm="1">
        <f t="array" ref="M12" xml:space="preserve"> INDEX('十五音-韻母'!$B$5:$O$54, $B12, M$2)</f>
        <v>ㄨㄞㆷ</v>
      </c>
      <c r="O12" s="223" t="s">
        <v>174</v>
      </c>
      <c r="P12" s="224" t="s">
        <v>318</v>
      </c>
      <c r="Q12" s="225" t="str">
        <f t="shared" si="1"/>
        <v/>
      </c>
      <c r="R12" s="225">
        <f t="shared" si="2"/>
        <v>0</v>
      </c>
      <c r="T12" s="223" t="s">
        <v>174</v>
      </c>
      <c r="U12" s="224" t="s">
        <v>3376</v>
      </c>
      <c r="V12" s="225" t="e">
        <f t="shared" si="3"/>
        <v>#N/A</v>
      </c>
      <c r="W12" s="225" t="e">
        <f t="shared" si="4"/>
        <v>#N/A</v>
      </c>
      <c r="X12" s="255"/>
      <c r="Y12" s="255"/>
      <c r="Z12" s="255"/>
      <c r="AA12" s="255"/>
      <c r="AC12" s="214">
        <f t="shared" si="0"/>
        <v>8</v>
      </c>
      <c r="AD12" s="223" t="str">
        <f t="shared" si="5"/>
        <v>乖</v>
      </c>
      <c r="AE12" s="257" t="str">
        <f t="shared" si="6"/>
        <v>uai</v>
      </c>
      <c r="AF12" s="257" t="str">
        <f t="shared" si="7"/>
        <v>無對映</v>
      </c>
      <c r="AG12" s="257" t="str">
        <f t="shared" si="8"/>
        <v>無對映</v>
      </c>
    </row>
    <row r="13" spans="2:33">
      <c r="B13" s="214">
        <v>9</v>
      </c>
      <c r="C13" s="215" t="s">
        <v>180</v>
      </c>
      <c r="D13" s="215"/>
      <c r="E13" s="215"/>
      <c r="F13" s="218" t="str" cm="1">
        <f t="array" ref="F13" xml:space="preserve"> INDEX('十五音-韻母'!$B$5:$O$54, $B13, F$2)</f>
        <v>ing</v>
      </c>
      <c r="G13" s="218" t="str" cm="1">
        <f t="array" ref="G13" xml:space="preserve"> INDEX('十五音-韻母'!$B$5:$O$54, $B13, G$2)</f>
        <v>ik</v>
      </c>
      <c r="H13" s="218" t="str" cm="1">
        <f t="array" ref="H13" xml:space="preserve"> INDEX('十五音-韻母'!$B$5:$O$54, $B13, H$2)</f>
        <v>ɪŋ</v>
      </c>
      <c r="I13" s="218" t="str" cm="1">
        <f t="array" ref="I13" xml:space="preserve"> INDEX('十五音-韻母'!$B$5:$O$54, $B13, I$2)</f>
        <v>ik̚</v>
      </c>
      <c r="J13" s="218" t="str" cm="1">
        <f t="array" ref="J13" xml:space="preserve"> INDEX('十五音-韻母'!$B$5:$O$54, $B13, J$2)</f>
        <v>ing</v>
      </c>
      <c r="K13" s="218" t="str" cm="1">
        <f t="array" ref="K13" xml:space="preserve"> INDEX('十五音-韻母'!$B$5:$O$54, $B13, K$2)</f>
        <v>ik</v>
      </c>
      <c r="L13" s="218" t="str" cm="1">
        <f t="array" ref="L13" xml:space="preserve"> INDEX('十五音-韻母'!$B$5:$O$54, $B13, L$2)</f>
        <v>ㄧㄥ</v>
      </c>
      <c r="M13" s="218" t="str" cm="1">
        <f t="array" ref="M13" xml:space="preserve"> INDEX('十五音-韻母'!$B$5:$O$54, $B13, M$2)</f>
        <v>ㄧㆻ</v>
      </c>
      <c r="O13" s="223" t="s">
        <v>180</v>
      </c>
      <c r="P13" s="224" t="s">
        <v>305</v>
      </c>
      <c r="Q13" s="225" t="str">
        <f t="shared" si="1"/>
        <v/>
      </c>
      <c r="R13" s="225">
        <f t="shared" si="2"/>
        <v>0</v>
      </c>
      <c r="T13" s="223" t="s">
        <v>1319</v>
      </c>
      <c r="U13" s="224" t="s">
        <v>305</v>
      </c>
      <c r="V13" s="225" t="e">
        <f t="shared" si="3"/>
        <v>#N/A</v>
      </c>
      <c r="W13" s="225" t="e">
        <f t="shared" si="4"/>
        <v>#N/A</v>
      </c>
      <c r="X13" s="255"/>
      <c r="Y13" s="255"/>
      <c r="Z13" s="255"/>
      <c r="AA13" s="255"/>
      <c r="AC13" s="214">
        <f t="shared" si="0"/>
        <v>9</v>
      </c>
      <c r="AD13" s="223" t="str">
        <f t="shared" si="5"/>
        <v>經</v>
      </c>
      <c r="AE13" s="257" t="str">
        <f t="shared" si="6"/>
        <v>ing</v>
      </c>
      <c r="AF13" s="257" t="str">
        <f t="shared" si="7"/>
        <v>無對映</v>
      </c>
      <c r="AG13" s="257" t="str">
        <f t="shared" si="8"/>
        <v>無對映</v>
      </c>
    </row>
    <row r="14" spans="2:33">
      <c r="B14" s="214">
        <v>10</v>
      </c>
      <c r="C14" s="215" t="s">
        <v>186</v>
      </c>
      <c r="D14" s="215"/>
      <c r="E14" s="215"/>
      <c r="F14" s="218" t="str" cm="1">
        <f t="array" ref="F14" xml:space="preserve"> INDEX('十五音-韻母'!$B$5:$O$54, $B14, F$2)</f>
        <v>uan</v>
      </c>
      <c r="G14" s="218" t="str" cm="1">
        <f t="array" ref="G14" xml:space="preserve"> INDEX('十五音-韻母'!$B$5:$O$54, $B14, G$2)</f>
        <v>uat</v>
      </c>
      <c r="H14" s="218" t="str" cm="1">
        <f t="array" ref="H14" xml:space="preserve"> INDEX('十五音-韻母'!$B$5:$O$54, $B14, H$2)</f>
        <v>uan</v>
      </c>
      <c r="I14" s="218" t="str" cm="1">
        <f t="array" ref="I14" xml:space="preserve"> INDEX('十五音-韻母'!$B$5:$O$54, $B14, I$2)</f>
        <v>uat̚</v>
      </c>
      <c r="J14" s="218" t="str" cm="1">
        <f t="array" ref="J14" xml:space="preserve"> INDEX('十五音-韻母'!$B$5:$O$54, $B14, J$2)</f>
        <v>uan</v>
      </c>
      <c r="K14" s="218" t="str" cm="1">
        <f t="array" ref="K14" xml:space="preserve"> INDEX('十五音-韻母'!$B$5:$O$54, $B14, K$2)</f>
        <v>uat</v>
      </c>
      <c r="L14" s="218" t="str" cm="1">
        <f t="array" ref="L14" xml:space="preserve"> INDEX('十五音-韻母'!$B$5:$O$54, $B14, L$2)</f>
        <v>ㄨㄢ</v>
      </c>
      <c r="M14" s="218" t="str" cm="1">
        <f t="array" ref="M14" xml:space="preserve"> INDEX('十五音-韻母'!$B$5:$O$54, $B14, M$2)</f>
        <v>ㄨㄚㆵ</v>
      </c>
      <c r="O14" s="223" t="s">
        <v>186</v>
      </c>
      <c r="P14" s="224" t="s">
        <v>320</v>
      </c>
      <c r="Q14" s="225" t="str">
        <f t="shared" si="1"/>
        <v/>
      </c>
      <c r="R14" s="225">
        <f t="shared" si="2"/>
        <v>0</v>
      </c>
      <c r="T14" s="223" t="s">
        <v>264</v>
      </c>
      <c r="U14" s="224" t="s">
        <v>320</v>
      </c>
      <c r="V14" s="225" t="e">
        <f t="shared" si="3"/>
        <v>#N/A</v>
      </c>
      <c r="W14" s="225" t="e">
        <f t="shared" si="4"/>
        <v>#N/A</v>
      </c>
      <c r="X14" s="255"/>
      <c r="Y14" s="255"/>
      <c r="Z14" s="255"/>
      <c r="AA14" s="255"/>
      <c r="AC14" s="214">
        <f t="shared" si="0"/>
        <v>10</v>
      </c>
      <c r="AD14" s="223" t="str">
        <f t="shared" si="5"/>
        <v>觀</v>
      </c>
      <c r="AE14" s="257" t="str">
        <f t="shared" si="6"/>
        <v>uan</v>
      </c>
      <c r="AF14" s="257" t="str">
        <f t="shared" si="7"/>
        <v>無對映</v>
      </c>
      <c r="AG14" s="257" t="str">
        <f t="shared" si="8"/>
        <v>無對映</v>
      </c>
    </row>
    <row r="15" spans="2:33">
      <c r="B15" s="214">
        <v>11</v>
      </c>
      <c r="C15" s="215" t="s">
        <v>190</v>
      </c>
      <c r="D15" s="215"/>
      <c r="E15" s="215"/>
      <c r="F15" s="218" t="str" cm="1">
        <f t="array" ref="F15" xml:space="preserve"> INDEX('十五音-韻母'!$B$5:$O$54, $B15, F$2)</f>
        <v>oo</v>
      </c>
      <c r="G15" s="218" t="str" cm="1">
        <f t="array" ref="G15" xml:space="preserve"> INDEX('十五音-韻母'!$B$5:$O$54, $B15, G$2)</f>
        <v>ooh</v>
      </c>
      <c r="H15" s="218" t="str" cm="1">
        <f t="array" ref="H15" xml:space="preserve"> INDEX('十五音-韻母'!$B$5:$O$54, $B15, H$2)</f>
        <v>ou</v>
      </c>
      <c r="I15" s="218" t="str" cm="1">
        <f t="array" ref="I15" xml:space="preserve"> INDEX('十五音-韻母'!$B$5:$O$54, $B15, I$2)</f>
        <v>ou?</v>
      </c>
      <c r="J15" s="218" t="str" cm="1">
        <f t="array" ref="J15" xml:space="preserve"> INDEX('十五音-韻母'!$B$5:$O$54, $B15, J$2)</f>
        <v>oo</v>
      </c>
      <c r="K15" s="218" t="str" cm="1">
        <f t="array" ref="K15" xml:space="preserve"> INDEX('十五音-韻母'!$B$5:$O$54, $B15, K$2)</f>
        <v>ooh</v>
      </c>
      <c r="L15" s="218" t="str" cm="1">
        <f t="array" ref="L15" xml:space="preserve"> INDEX('十五音-韻母'!$B$5:$O$54, $B15, L$2)</f>
        <v>ㆦ</v>
      </c>
      <c r="M15" s="218" t="str" cm="1">
        <f t="array" ref="M15" xml:space="preserve"> INDEX('十五音-韻母'!$B$5:$O$54, $B15, M$2)</f>
        <v>ㆦㆷ</v>
      </c>
      <c r="O15" s="223" t="s">
        <v>190</v>
      </c>
      <c r="P15" s="224" t="s">
        <v>191</v>
      </c>
      <c r="Q15" s="225">
        <f t="shared" si="1"/>
        <v>11</v>
      </c>
      <c r="R15" s="225">
        <f t="shared" si="2"/>
        <v>0</v>
      </c>
      <c r="T15" s="223" t="s">
        <v>256</v>
      </c>
      <c r="U15" s="224" t="s">
        <v>191</v>
      </c>
      <c r="V15" s="225">
        <f t="shared" si="3"/>
        <v>11</v>
      </c>
      <c r="W15" s="225">
        <f t="shared" si="4"/>
        <v>0</v>
      </c>
      <c r="X15" s="255"/>
      <c r="Y15" s="255"/>
      <c r="Z15" s="255"/>
      <c r="AA15" s="255"/>
      <c r="AC15" s="214">
        <f t="shared" si="0"/>
        <v>11</v>
      </c>
      <c r="AD15" s="223" t="str">
        <f t="shared" si="5"/>
        <v>沽</v>
      </c>
      <c r="AE15" s="257" t="str">
        <f t="shared" si="6"/>
        <v>oo</v>
      </c>
      <c r="AF15" s="257">
        <f t="shared" si="7"/>
        <v>11</v>
      </c>
      <c r="AG15" s="257">
        <f t="shared" si="8"/>
        <v>11</v>
      </c>
    </row>
    <row r="16" spans="2:33">
      <c r="B16" s="214">
        <v>12</v>
      </c>
      <c r="C16" s="215" t="s">
        <v>196</v>
      </c>
      <c r="D16" s="227"/>
      <c r="E16" s="215"/>
      <c r="F16" s="218" t="str" cm="1">
        <f t="array" ref="F16" xml:space="preserve"> INDEX('十五音-韻母'!$B$5:$O$54, $B16, F$2)</f>
        <v>iau</v>
      </c>
      <c r="G16" s="218" t="str" cm="1">
        <f t="array" ref="G16" xml:space="preserve"> INDEX('十五音-韻母'!$B$5:$O$54, $B16, G$2)</f>
        <v>iauh</v>
      </c>
      <c r="H16" s="218" t="str" cm="1">
        <f t="array" ref="H16" xml:space="preserve"> INDEX('十五音-韻母'!$B$5:$O$54, $B16, H$2)</f>
        <v>iau</v>
      </c>
      <c r="I16" s="218" t="str" cm="1">
        <f t="array" ref="I16" xml:space="preserve"> INDEX('十五音-韻母'!$B$5:$O$54, $B16, I$2)</f>
        <v>iau?</v>
      </c>
      <c r="J16" s="218" t="str" cm="1">
        <f t="array" ref="J16" xml:space="preserve"> INDEX('十五音-韻母'!$B$5:$O$54, $B16, J$2)</f>
        <v>iau</v>
      </c>
      <c r="K16" s="218" t="str" cm="1">
        <f t="array" ref="K16" xml:space="preserve"> INDEX('十五音-韻母'!$B$5:$O$54, $B16, K$2)</f>
        <v>iauh</v>
      </c>
      <c r="L16" s="218" t="str" cm="1">
        <f t="array" ref="L16" xml:space="preserve"> INDEX('十五音-韻母'!$B$5:$O$54, $B16, L$2)</f>
        <v>ㄧㄠ</v>
      </c>
      <c r="M16" s="218" t="str" cm="1">
        <f t="array" ref="M16" xml:space="preserve"> INDEX('十五音-韻母'!$B$5:$O$54, $B16, M$2)</f>
        <v>ㄧㄠㆷ</v>
      </c>
      <c r="O16" s="223" t="s">
        <v>196</v>
      </c>
      <c r="P16" s="224" t="s">
        <v>197</v>
      </c>
      <c r="Q16" s="225">
        <f t="shared" si="1"/>
        <v>12</v>
      </c>
      <c r="R16" s="225">
        <f t="shared" si="2"/>
        <v>0</v>
      </c>
      <c r="T16" s="223" t="s">
        <v>196</v>
      </c>
      <c r="U16" s="224" t="s">
        <v>197</v>
      </c>
      <c r="V16" s="225">
        <f t="shared" si="3"/>
        <v>12</v>
      </c>
      <c r="W16" s="225">
        <f t="shared" si="4"/>
        <v>0</v>
      </c>
      <c r="X16" s="255"/>
      <c r="Y16" s="255"/>
      <c r="Z16" s="255"/>
      <c r="AA16" s="255"/>
      <c r="AC16" s="214">
        <f t="shared" si="0"/>
        <v>12</v>
      </c>
      <c r="AD16" s="223" t="str">
        <f t="shared" si="5"/>
        <v>嬌</v>
      </c>
      <c r="AE16" s="257" t="str">
        <f t="shared" si="6"/>
        <v>iau</v>
      </c>
      <c r="AF16" s="257">
        <f t="shared" si="7"/>
        <v>12</v>
      </c>
      <c r="AG16" s="257">
        <f t="shared" si="8"/>
        <v>12</v>
      </c>
    </row>
    <row r="17" spans="2:33">
      <c r="B17" s="214">
        <v>13</v>
      </c>
      <c r="C17" s="217" t="s">
        <v>206</v>
      </c>
      <c r="D17" s="217"/>
      <c r="E17" s="217"/>
      <c r="F17" s="218" t="str" cm="1">
        <f t="array" ref="F17" xml:space="preserve"> INDEX('十五音-韻母'!$B$5:$O$54, $B17, F$2)</f>
        <v>ei</v>
      </c>
      <c r="G17" s="218" t="str" cm="1">
        <f t="array" ref="G17" xml:space="preserve"> INDEX('十五音-韻母'!$B$5:$O$54, $B17, G$2)</f>
        <v>eih</v>
      </c>
      <c r="H17" s="218" t="str" cm="1">
        <f t="array" ref="H17" xml:space="preserve"> INDEX('十五音-韻母'!$B$5:$O$54, $B17, H$2)</f>
        <v>ei</v>
      </c>
      <c r="I17" s="218" t="str" cm="1">
        <f t="array" ref="I17" xml:space="preserve"> INDEX('十五音-韻母'!$B$5:$O$54, $B17, I$2)</f>
        <v>ei?</v>
      </c>
      <c r="J17" s="218" t="str" cm="1">
        <f t="array" ref="J17" xml:space="preserve"> INDEX('十五音-韻母'!$B$5:$O$54, $B17, J$2)</f>
        <v>ei</v>
      </c>
      <c r="K17" s="218" t="str" cm="1">
        <f t="array" ref="K17" xml:space="preserve"> INDEX('十五音-韻母'!$B$5:$O$54, $B17, K$2)</f>
        <v>eih</v>
      </c>
      <c r="L17" s="218" t="str" cm="1">
        <f t="array" ref="L17" xml:space="preserve"> INDEX('十五音-韻母'!$B$5:$O$54, $B17, L$2)</f>
        <v>ㄟ</v>
      </c>
      <c r="M17" s="218" t="str" cm="1">
        <f t="array" ref="M17" xml:space="preserve"> INDEX('十五音-韻母'!$B$5:$O$54, $B17, M$2)</f>
        <v>ㄟㆷ</v>
      </c>
      <c r="O17" s="223" t="s">
        <v>3377</v>
      </c>
      <c r="P17" s="224" t="s">
        <v>809</v>
      </c>
      <c r="Q17" s="225">
        <f t="shared" si="1"/>
        <v>34</v>
      </c>
      <c r="R17" s="225">
        <f t="shared" si="2"/>
        <v>21</v>
      </c>
      <c r="T17" s="223" t="s">
        <v>3378</v>
      </c>
      <c r="U17" s="224" t="s">
        <v>160</v>
      </c>
      <c r="V17" s="225">
        <f t="shared" si="3"/>
        <v>39</v>
      </c>
      <c r="W17" s="225">
        <f t="shared" si="4"/>
        <v>26</v>
      </c>
      <c r="X17" s="255"/>
      <c r="Y17" s="255"/>
      <c r="Z17" s="255"/>
      <c r="AA17" s="255"/>
      <c r="AC17" s="214">
        <f t="shared" si="0"/>
        <v>13</v>
      </c>
      <c r="AD17" s="223" t="str">
        <f t="shared" si="5"/>
        <v>稽</v>
      </c>
      <c r="AE17" s="257" t="str">
        <f t="shared" si="6"/>
        <v>ei</v>
      </c>
      <c r="AF17" s="257" t="str">
        <f t="shared" si="7"/>
        <v>無對映</v>
      </c>
      <c r="AG17" s="257" t="str">
        <f t="shared" si="8"/>
        <v>無對映</v>
      </c>
    </row>
    <row r="18" spans="2:33">
      <c r="B18" s="214">
        <v>14</v>
      </c>
      <c r="C18" s="215" t="s">
        <v>208</v>
      </c>
      <c r="D18" s="215"/>
      <c r="E18" s="215" t="s">
        <v>1404</v>
      </c>
      <c r="F18" s="218" t="str" cm="1">
        <f t="array" ref="F18" xml:space="preserve"> INDEX('十五音-韻母'!$B$5:$O$54, $B18, F$2)</f>
        <v>iong</v>
      </c>
      <c r="G18" s="218" t="str" cm="1">
        <f t="array" ref="G18" xml:space="preserve"> INDEX('十五音-韻母'!$B$5:$O$54, $B18, G$2)</f>
        <v>iok</v>
      </c>
      <c r="H18" s="218" t="str" cm="1">
        <f t="array" ref="H18" xml:space="preserve"> INDEX('十五音-韻母'!$B$5:$O$54, $B18, H$2)</f>
        <v>iɔŋ</v>
      </c>
      <c r="I18" s="218" t="str" cm="1">
        <f t="array" ref="I18" xml:space="preserve"> INDEX('十五音-韻母'!$B$5:$O$54, $B18, I$2)</f>
        <v>iɔk̚</v>
      </c>
      <c r="J18" s="218" t="str" cm="1">
        <f t="array" ref="J18" xml:space="preserve"> INDEX('十五音-韻母'!$B$5:$O$54, $B18, J$2)</f>
        <v>iong</v>
      </c>
      <c r="K18" s="218" t="str" cm="1">
        <f t="array" ref="K18" xml:space="preserve"> INDEX('十五音-韻母'!$B$5:$O$54, $B18, K$2)</f>
        <v>iok</v>
      </c>
      <c r="L18" s="218" t="str" cm="1">
        <f t="array" ref="L18" xml:space="preserve"> INDEX('十五音-韻母'!$B$5:$O$54, $B18, L$2)</f>
        <v>ㄧㆲ</v>
      </c>
      <c r="M18" s="218" t="str" cm="1">
        <f t="array" ref="M18" xml:space="preserve"> INDEX('十五音-韻母'!$B$5:$O$54, $B18, M$2)</f>
        <v>ㄧㆦㆻ</v>
      </c>
      <c r="O18" s="223" t="s">
        <v>208</v>
      </c>
      <c r="P18" s="224" t="s">
        <v>209</v>
      </c>
      <c r="Q18" s="225">
        <f t="shared" si="1"/>
        <v>14</v>
      </c>
      <c r="R18" s="225">
        <f t="shared" si="2"/>
        <v>0</v>
      </c>
      <c r="T18" s="223" t="s">
        <v>1332</v>
      </c>
      <c r="U18" s="224" t="s">
        <v>209</v>
      </c>
      <c r="V18" s="225">
        <f t="shared" si="3"/>
        <v>14</v>
      </c>
      <c r="W18" s="225">
        <f t="shared" si="4"/>
        <v>0</v>
      </c>
      <c r="X18" s="255"/>
      <c r="Y18" s="255"/>
      <c r="Z18" s="255"/>
      <c r="AA18" s="255"/>
      <c r="AC18" s="214">
        <f t="shared" si="0"/>
        <v>14</v>
      </c>
      <c r="AD18" s="223" t="str">
        <f t="shared" si="5"/>
        <v>恭</v>
      </c>
      <c r="AE18" s="257" t="str">
        <f t="shared" si="6"/>
        <v>iong</v>
      </c>
      <c r="AF18" s="257">
        <f t="shared" si="7"/>
        <v>14</v>
      </c>
      <c r="AG18" s="257">
        <f t="shared" si="8"/>
        <v>14</v>
      </c>
    </row>
    <row r="19" spans="2:33">
      <c r="B19" s="214">
        <v>15</v>
      </c>
      <c r="C19" s="215" t="s">
        <v>214</v>
      </c>
      <c r="D19" s="215"/>
      <c r="E19" s="215"/>
      <c r="F19" s="218" t="str" cm="1">
        <f t="array" ref="F19" xml:space="preserve"> INDEX('十五音-韻母'!$B$5:$O$54, $B19, F$2)</f>
        <v>o</v>
      </c>
      <c r="G19" s="218" t="str" cm="1">
        <f t="array" ref="G19" xml:space="preserve"> INDEX('十五音-韻母'!$B$5:$O$54, $B19, G$2)</f>
        <v>oh</v>
      </c>
      <c r="H19" s="218" t="str" cm="1">
        <f t="array" ref="H19" xml:space="preserve"> INDEX('十五音-韻母'!$B$5:$O$54, $B19, H$2)</f>
        <v>o</v>
      </c>
      <c r="I19" s="218" t="str" cm="1">
        <f t="array" ref="I19" xml:space="preserve"> INDEX('十五音-韻母'!$B$5:$O$54, $B19, I$2)</f>
        <v>o?</v>
      </c>
      <c r="J19" s="218" t="str" cm="1">
        <f t="array" ref="J19" xml:space="preserve"> INDEX('十五音-韻母'!$B$5:$O$54, $B19, J$2)</f>
        <v>o</v>
      </c>
      <c r="K19" s="218" t="str" cm="1">
        <f t="array" ref="K19" xml:space="preserve"> INDEX('十五音-韻母'!$B$5:$O$54, $B19, K$2)</f>
        <v>oh</v>
      </c>
      <c r="L19" s="218" t="str" cm="1">
        <f t="array" ref="L19" xml:space="preserve"> INDEX('十五音-韻母'!$B$5:$O$54, $B19, L$2)</f>
        <v>ㄜ</v>
      </c>
      <c r="M19" s="218" t="str" cm="1">
        <f t="array" ref="M19" xml:space="preserve"> INDEX('十五音-韻母'!$B$5:$O$54, $B19, M$2)</f>
        <v>ㄜㆷ</v>
      </c>
      <c r="O19" s="223" t="s">
        <v>214</v>
      </c>
      <c r="P19" s="224" t="s">
        <v>215</v>
      </c>
      <c r="Q19" s="225">
        <f t="shared" si="1"/>
        <v>15</v>
      </c>
      <c r="R19" s="225">
        <f t="shared" si="2"/>
        <v>0</v>
      </c>
      <c r="T19" s="223" t="s">
        <v>214</v>
      </c>
      <c r="U19" s="224" t="s">
        <v>215</v>
      </c>
      <c r="V19" s="225">
        <f t="shared" si="3"/>
        <v>15</v>
      </c>
      <c r="W19" s="225">
        <f t="shared" si="4"/>
        <v>0</v>
      </c>
      <c r="X19" s="255"/>
      <c r="Y19" s="255"/>
      <c r="Z19" s="255"/>
      <c r="AA19" s="255"/>
      <c r="AC19" s="214">
        <f t="shared" si="0"/>
        <v>15</v>
      </c>
      <c r="AD19" s="223" t="str">
        <f t="shared" si="5"/>
        <v>高</v>
      </c>
      <c r="AE19" s="257" t="str">
        <f t="shared" si="6"/>
        <v>o</v>
      </c>
      <c r="AF19" s="257">
        <f t="shared" si="7"/>
        <v>15</v>
      </c>
      <c r="AG19" s="257">
        <f t="shared" si="8"/>
        <v>15</v>
      </c>
    </row>
    <row r="20" spans="2:33">
      <c r="B20" s="214">
        <v>16</v>
      </c>
      <c r="C20" s="215" t="s">
        <v>150</v>
      </c>
      <c r="D20" s="215"/>
      <c r="E20" s="215"/>
      <c r="F20" s="218" t="str" cm="1">
        <f t="array" ref="F20" xml:space="preserve"> INDEX('十五音-韻母'!$B$5:$O$54, $B20, F$2)</f>
        <v>ai</v>
      </c>
      <c r="G20" s="218" t="str" cm="1">
        <f t="array" ref="G20" xml:space="preserve"> INDEX('十五音-韻母'!$B$5:$O$54, $B20, G$2)</f>
        <v>aih</v>
      </c>
      <c r="H20" s="218" t="str" cm="1">
        <f t="array" ref="H20" xml:space="preserve"> INDEX('十五音-韻母'!$B$5:$O$54, $B20, H$2)</f>
        <v>ai</v>
      </c>
      <c r="I20" s="218" t="str" cm="1">
        <f t="array" ref="I20" xml:space="preserve"> INDEX('十五音-韻母'!$B$5:$O$54, $B20, I$2)</f>
        <v>ai?</v>
      </c>
      <c r="J20" s="218" t="str" cm="1">
        <f t="array" ref="J20" xml:space="preserve"> INDEX('十五音-韻母'!$B$5:$O$54, $B20, J$2)</f>
        <v>ai</v>
      </c>
      <c r="K20" s="218" t="str" cm="1">
        <f t="array" ref="K20" xml:space="preserve"> INDEX('十五音-韻母'!$B$5:$O$54, $B20, K$2)</f>
        <v>aih</v>
      </c>
      <c r="L20" s="218" t="str" cm="1">
        <f t="array" ref="L20" xml:space="preserve"> INDEX('十五音-韻母'!$B$5:$O$54, $B20, L$2)</f>
        <v>ㄞ</v>
      </c>
      <c r="M20" s="218" t="str" cm="1">
        <f t="array" ref="M20" xml:space="preserve"> INDEX('十五音-韻母'!$B$5:$O$54, $B20, M$2)</f>
        <v>ㄞㆷ</v>
      </c>
      <c r="O20" s="223" t="s">
        <v>150</v>
      </c>
      <c r="P20" s="224" t="s">
        <v>151</v>
      </c>
      <c r="Q20" s="225">
        <f t="shared" si="1"/>
        <v>16</v>
      </c>
      <c r="R20" s="225">
        <f t="shared" si="2"/>
        <v>0</v>
      </c>
      <c r="T20" s="223" t="s">
        <v>150</v>
      </c>
      <c r="U20" s="224" t="s">
        <v>151</v>
      </c>
      <c r="V20" s="225">
        <f t="shared" si="3"/>
        <v>16</v>
      </c>
      <c r="W20" s="225">
        <f t="shared" si="4"/>
        <v>0</v>
      </c>
      <c r="X20" s="255"/>
      <c r="Y20" s="255"/>
      <c r="Z20" s="255"/>
      <c r="AA20" s="255"/>
      <c r="AC20" s="214">
        <f t="shared" si="0"/>
        <v>16</v>
      </c>
      <c r="AD20" s="223" t="str">
        <f t="shared" si="5"/>
        <v>皆</v>
      </c>
      <c r="AE20" s="257" t="str">
        <f t="shared" si="6"/>
        <v>ai</v>
      </c>
      <c r="AF20" s="257">
        <f t="shared" si="7"/>
        <v>16</v>
      </c>
      <c r="AG20" s="257">
        <f t="shared" si="8"/>
        <v>16</v>
      </c>
    </row>
    <row r="21" spans="2:33">
      <c r="B21" s="214">
        <v>17</v>
      </c>
      <c r="C21" s="215" t="s">
        <v>223</v>
      </c>
      <c r="D21" s="215"/>
      <c r="E21" s="215"/>
      <c r="F21" s="218" t="str" cm="1">
        <f t="array" ref="F21" xml:space="preserve"> INDEX('十五音-韻母'!$B$5:$O$54, $B21, F$2)</f>
        <v>in</v>
      </c>
      <c r="G21" s="218" t="str" cm="1">
        <f t="array" ref="G21" xml:space="preserve"> INDEX('十五音-韻母'!$B$5:$O$54, $B21, G$2)</f>
        <v>it</v>
      </c>
      <c r="H21" s="218" t="str" cm="1">
        <f t="array" ref="H21" xml:space="preserve"> INDEX('十五音-韻母'!$B$5:$O$54, $B21, H$2)</f>
        <v>in</v>
      </c>
      <c r="I21" s="218" t="str" cm="1">
        <f t="array" ref="I21" xml:space="preserve"> INDEX('十五音-韻母'!$B$5:$O$54, $B21, I$2)</f>
        <v>it̚</v>
      </c>
      <c r="J21" s="218" t="str" cm="1">
        <f t="array" ref="J21" xml:space="preserve"> INDEX('十五音-韻母'!$B$5:$O$54, $B21, J$2)</f>
        <v>in</v>
      </c>
      <c r="K21" s="218" t="str" cm="1">
        <f t="array" ref="K21" xml:space="preserve"> INDEX('十五音-韻母'!$B$5:$O$54, $B21, K$2)</f>
        <v>it</v>
      </c>
      <c r="L21" s="218" t="str" cm="1">
        <f t="array" ref="L21" xml:space="preserve"> INDEX('十五音-韻母'!$B$5:$O$54, $B21, L$2)</f>
        <v>ㄧㄣ</v>
      </c>
      <c r="M21" s="218" t="str" cm="1">
        <f t="array" ref="M21" xml:space="preserve"> INDEX('十五音-韻母'!$B$5:$O$54, $B21, M$2)</f>
        <v>ㄧㆵ</v>
      </c>
      <c r="O21" s="223" t="s">
        <v>223</v>
      </c>
      <c r="P21" s="224" t="s">
        <v>224</v>
      </c>
      <c r="Q21" s="225">
        <f t="shared" si="1"/>
        <v>17</v>
      </c>
      <c r="R21" s="225">
        <f t="shared" si="2"/>
        <v>0</v>
      </c>
      <c r="T21" s="223" t="s">
        <v>1333</v>
      </c>
      <c r="U21" s="224" t="s">
        <v>224</v>
      </c>
      <c r="V21" s="225">
        <f t="shared" si="3"/>
        <v>17</v>
      </c>
      <c r="W21" s="225">
        <f t="shared" si="4"/>
        <v>0</v>
      </c>
      <c r="X21" s="255"/>
      <c r="Y21" s="255"/>
      <c r="Z21" s="255"/>
      <c r="AA21" s="255"/>
      <c r="AC21" s="214">
        <f t="shared" si="0"/>
        <v>17</v>
      </c>
      <c r="AD21" s="223" t="str">
        <f t="shared" si="5"/>
        <v>巾</v>
      </c>
      <c r="AE21" s="257" t="str">
        <f t="shared" si="6"/>
        <v>in</v>
      </c>
      <c r="AF21" s="257">
        <f t="shared" si="7"/>
        <v>17</v>
      </c>
      <c r="AG21" s="257">
        <f t="shared" si="8"/>
        <v>17</v>
      </c>
    </row>
    <row r="22" spans="2:33">
      <c r="B22" s="214">
        <v>18</v>
      </c>
      <c r="C22" s="215" t="s">
        <v>226</v>
      </c>
      <c r="D22" s="215"/>
      <c r="E22" s="215"/>
      <c r="F22" s="218" t="str" cm="1">
        <f t="array" ref="F22" xml:space="preserve"> INDEX('十五音-韻母'!$B$5:$O$54, $B22, F$2)</f>
        <v>iang</v>
      </c>
      <c r="G22" s="218" t="str" cm="1">
        <f t="array" ref="G22" xml:space="preserve"> INDEX('十五音-韻母'!$B$5:$O$54, $B22, G$2)</f>
        <v>iak</v>
      </c>
      <c r="H22" s="218" t="str" cm="1">
        <f t="array" ref="H22" xml:space="preserve"> INDEX('十五音-韻母'!$B$5:$O$54, $B22, H$2)</f>
        <v>iaŋ</v>
      </c>
      <c r="I22" s="218" t="str" cm="1">
        <f t="array" ref="I22" xml:space="preserve"> INDEX('十五音-韻母'!$B$5:$O$54, $B22, I$2)</f>
        <v>iak̚</v>
      </c>
      <c r="J22" s="218" t="str" cm="1">
        <f t="array" ref="J22" xml:space="preserve"> INDEX('十五音-韻母'!$B$5:$O$54, $B22, J$2)</f>
        <v>iang</v>
      </c>
      <c r="K22" s="218" t="str" cm="1">
        <f t="array" ref="K22" xml:space="preserve"> INDEX('十五音-韻母'!$B$5:$O$54, $B22, K$2)</f>
        <v>iak</v>
      </c>
      <c r="L22" s="218" t="str" cm="1">
        <f t="array" ref="L22" xml:space="preserve"> INDEX('十五音-韻母'!$B$5:$O$54, $B22, L$2)</f>
        <v>ㄧㄤ</v>
      </c>
      <c r="M22" s="218" t="str" cm="1">
        <f t="array" ref="M22" xml:space="preserve"> INDEX('十五音-韻母'!$B$5:$O$54, $B22, M$2)</f>
        <v>ㄧㄚㆻ</v>
      </c>
      <c r="O22" s="223" t="s">
        <v>226</v>
      </c>
      <c r="P22" s="224" t="s">
        <v>227</v>
      </c>
      <c r="Q22" s="225">
        <f t="shared" si="1"/>
        <v>18</v>
      </c>
      <c r="R22" s="225">
        <f t="shared" si="2"/>
        <v>0</v>
      </c>
      <c r="T22" s="223" t="s">
        <v>226</v>
      </c>
      <c r="U22" s="224" t="s">
        <v>227</v>
      </c>
      <c r="V22" s="225">
        <f t="shared" si="3"/>
        <v>18</v>
      </c>
      <c r="W22" s="225">
        <f t="shared" si="4"/>
        <v>0</v>
      </c>
      <c r="X22" s="255"/>
      <c r="Y22" s="255"/>
      <c r="Z22" s="255"/>
      <c r="AA22" s="255"/>
      <c r="AC22" s="214">
        <f t="shared" si="0"/>
        <v>18</v>
      </c>
      <c r="AD22" s="223" t="str">
        <f t="shared" si="5"/>
        <v>姜</v>
      </c>
      <c r="AE22" s="257" t="str">
        <f t="shared" si="6"/>
        <v>iang</v>
      </c>
      <c r="AF22" s="257">
        <f t="shared" si="7"/>
        <v>18</v>
      </c>
      <c r="AG22" s="257">
        <f t="shared" si="8"/>
        <v>18</v>
      </c>
    </row>
    <row r="23" spans="2:33">
      <c r="B23" s="214">
        <v>19</v>
      </c>
      <c r="C23" s="215" t="s">
        <v>162</v>
      </c>
      <c r="D23" s="215"/>
      <c r="E23" s="215"/>
      <c r="F23" s="218" t="str" cm="1">
        <f t="array" ref="F23" xml:space="preserve"> INDEX('十五音-韻母'!$B$5:$O$54, $B23, F$2)</f>
        <v>am</v>
      </c>
      <c r="G23" s="218" t="str" cm="1">
        <f t="array" ref="G23" xml:space="preserve"> INDEX('十五音-韻母'!$B$5:$O$54, $B23, G$2)</f>
        <v>ap</v>
      </c>
      <c r="H23" s="218" t="str" cm="1">
        <f t="array" ref="H23" xml:space="preserve"> INDEX('十五音-韻母'!$B$5:$O$54, $B23, H$2)</f>
        <v>am</v>
      </c>
      <c r="I23" s="218" t="str" cm="1">
        <f t="array" ref="I23" xml:space="preserve"> INDEX('十五音-韻母'!$B$5:$O$54, $B23, I$2)</f>
        <v>ap̚</v>
      </c>
      <c r="J23" s="218" t="str" cm="1">
        <f t="array" ref="J23" xml:space="preserve"> INDEX('十五音-韻母'!$B$5:$O$54, $B23, J$2)</f>
        <v>am</v>
      </c>
      <c r="K23" s="218" t="str" cm="1">
        <f t="array" ref="K23" xml:space="preserve"> INDEX('十五音-韻母'!$B$5:$O$54, $B23, K$2)</f>
        <v>ap</v>
      </c>
      <c r="L23" s="218" t="str" cm="1">
        <f t="array" ref="L23" xml:space="preserve"> INDEX('十五音-韻母'!$B$5:$O$54, $B23, L$2)</f>
        <v>ㆰ</v>
      </c>
      <c r="M23" s="218" t="str" cm="1">
        <f t="array" ref="M23" xml:space="preserve"> INDEX('十五音-韻母'!$B$5:$O$54, $B23, M$2)</f>
        <v>ㄚㆴ</v>
      </c>
      <c r="O23" s="223" t="s">
        <v>162</v>
      </c>
      <c r="P23" s="224" t="s">
        <v>163</v>
      </c>
      <c r="Q23" s="225">
        <f t="shared" si="1"/>
        <v>19</v>
      </c>
      <c r="R23" s="225">
        <f t="shared" si="2"/>
        <v>0</v>
      </c>
      <c r="T23" s="223" t="s">
        <v>162</v>
      </c>
      <c r="U23" s="224" t="s">
        <v>163</v>
      </c>
      <c r="V23" s="225">
        <f t="shared" si="3"/>
        <v>19</v>
      </c>
      <c r="W23" s="225">
        <f t="shared" si="4"/>
        <v>0</v>
      </c>
      <c r="X23" s="255"/>
      <c r="Y23" s="255"/>
      <c r="Z23" s="255"/>
      <c r="AA23" s="255"/>
      <c r="AC23" s="214">
        <f t="shared" si="0"/>
        <v>19</v>
      </c>
      <c r="AD23" s="223" t="str">
        <f t="shared" si="5"/>
        <v>甘</v>
      </c>
      <c r="AE23" s="257" t="str">
        <f t="shared" si="6"/>
        <v>am</v>
      </c>
      <c r="AF23" s="257">
        <f t="shared" si="7"/>
        <v>19</v>
      </c>
      <c r="AG23" s="257">
        <f t="shared" si="8"/>
        <v>19</v>
      </c>
    </row>
    <row r="24" spans="2:33">
      <c r="B24" s="214">
        <v>20</v>
      </c>
      <c r="C24" s="215" t="s">
        <v>229</v>
      </c>
      <c r="D24" s="215"/>
      <c r="E24" s="215"/>
      <c r="F24" s="218" t="str" cm="1">
        <f t="array" ref="F24" xml:space="preserve"> INDEX('十五音-韻母'!$B$5:$O$54, $B24, F$2)</f>
        <v>ua</v>
      </c>
      <c r="G24" s="218" t="str" cm="1">
        <f t="array" ref="G24" xml:space="preserve"> INDEX('十五音-韻母'!$B$5:$O$54, $B24, G$2)</f>
        <v>uah</v>
      </c>
      <c r="H24" s="218" t="str" cm="1">
        <f t="array" ref="H24" xml:space="preserve"> INDEX('十五音-韻母'!$B$5:$O$54, $B24, H$2)</f>
        <v>ua</v>
      </c>
      <c r="I24" s="218" t="str" cm="1">
        <f t="array" ref="I24" xml:space="preserve"> INDEX('十五音-韻母'!$B$5:$O$54, $B24, I$2)</f>
        <v>ua?</v>
      </c>
      <c r="J24" s="218" t="str" cm="1">
        <f t="array" ref="J24" xml:space="preserve"> INDEX('十五音-韻母'!$B$5:$O$54, $B24, J$2)</f>
        <v>ua</v>
      </c>
      <c r="K24" s="218" t="str" cm="1">
        <f t="array" ref="K24" xml:space="preserve"> INDEX('十五音-韻母'!$B$5:$O$54, $B24, K$2)</f>
        <v>uah</v>
      </c>
      <c r="L24" s="218" t="str" cm="1">
        <f t="array" ref="L24" xml:space="preserve"> INDEX('十五音-韻母'!$B$5:$O$54, $B24, L$2)</f>
        <v>ㄨㄚ</v>
      </c>
      <c r="M24" s="218" t="str" cm="1">
        <f t="array" ref="M24" xml:space="preserve"> INDEX('十五音-韻母'!$B$5:$O$54, $B24, M$2)</f>
        <v>ㄨㄚㆷ</v>
      </c>
      <c r="O24" s="223" t="s">
        <v>229</v>
      </c>
      <c r="P24" s="224" t="s">
        <v>315</v>
      </c>
      <c r="Q24" s="225" t="str">
        <f t="shared" si="1"/>
        <v/>
      </c>
      <c r="R24" s="225">
        <f t="shared" si="2"/>
        <v>0</v>
      </c>
      <c r="T24" s="223" t="s">
        <v>229</v>
      </c>
      <c r="U24" s="224" t="s">
        <v>315</v>
      </c>
      <c r="V24" s="225" t="e">
        <f t="shared" si="3"/>
        <v>#N/A</v>
      </c>
      <c r="W24" s="225" t="e">
        <f t="shared" si="4"/>
        <v>#N/A</v>
      </c>
      <c r="X24" s="255"/>
      <c r="Y24" s="255"/>
      <c r="Z24" s="255"/>
      <c r="AA24" s="255"/>
      <c r="AC24" s="214">
        <f t="shared" si="0"/>
        <v>20</v>
      </c>
      <c r="AD24" s="223" t="str">
        <f t="shared" si="5"/>
        <v>瓜</v>
      </c>
      <c r="AE24" s="257" t="str">
        <f t="shared" si="6"/>
        <v>ua</v>
      </c>
      <c r="AF24" s="257" t="str">
        <f t="shared" si="7"/>
        <v>無對映</v>
      </c>
      <c r="AG24" s="257" t="str">
        <f t="shared" si="8"/>
        <v>無對映</v>
      </c>
    </row>
    <row r="25" spans="2:33">
      <c r="B25" s="214">
        <v>21</v>
      </c>
      <c r="C25" s="215" t="s">
        <v>171</v>
      </c>
      <c r="D25" s="215"/>
      <c r="E25" s="215"/>
      <c r="F25" s="218" t="str" cm="1">
        <f t="array" ref="F25" xml:space="preserve"> INDEX('十五音-韻母'!$B$5:$O$54, $B25, F$2)</f>
        <v>ang</v>
      </c>
      <c r="G25" s="218" t="str" cm="1">
        <f t="array" ref="G25" xml:space="preserve"> INDEX('十五音-韻母'!$B$5:$O$54, $B25, G$2)</f>
        <v>ak</v>
      </c>
      <c r="H25" s="218" t="str" cm="1">
        <f t="array" ref="H25" xml:space="preserve"> INDEX('十五音-韻母'!$B$5:$O$54, $B25, H$2)</f>
        <v>aŋ</v>
      </c>
      <c r="I25" s="218" t="str" cm="1">
        <f t="array" ref="I25" xml:space="preserve"> INDEX('十五音-韻母'!$B$5:$O$54, $B25, I$2)</f>
        <v>ak̚</v>
      </c>
      <c r="J25" s="218" t="str" cm="1">
        <f t="array" ref="J25" xml:space="preserve"> INDEX('十五音-韻母'!$B$5:$O$54, $B25, J$2)</f>
        <v>ang</v>
      </c>
      <c r="K25" s="218" t="str" cm="1">
        <f t="array" ref="K25" xml:space="preserve"> INDEX('十五音-韻母'!$B$5:$O$54, $B25, K$2)</f>
        <v>ak</v>
      </c>
      <c r="L25" s="218" t="str" cm="1">
        <f t="array" ref="L25" xml:space="preserve"> INDEX('十五音-韻母'!$B$5:$O$54, $B25, L$2)</f>
        <v>ㄤ</v>
      </c>
      <c r="M25" s="218" t="str" cm="1">
        <f t="array" ref="M25" xml:space="preserve"> INDEX('十五音-韻母'!$B$5:$O$54, $B25, M$2)</f>
        <v>ㄚㆻ</v>
      </c>
      <c r="O25" s="223" t="s">
        <v>171</v>
      </c>
      <c r="P25" s="224" t="s">
        <v>172</v>
      </c>
      <c r="Q25" s="225">
        <f t="shared" si="1"/>
        <v>21</v>
      </c>
      <c r="R25" s="225">
        <f t="shared" si="2"/>
        <v>0</v>
      </c>
      <c r="T25" s="223" t="s">
        <v>171</v>
      </c>
      <c r="U25" s="224" t="s">
        <v>172</v>
      </c>
      <c r="V25" s="225">
        <f t="shared" si="3"/>
        <v>21</v>
      </c>
      <c r="W25" s="225">
        <f t="shared" si="4"/>
        <v>0</v>
      </c>
      <c r="X25" s="255"/>
      <c r="Y25" s="255"/>
      <c r="Z25" s="255"/>
      <c r="AA25" s="255"/>
      <c r="AC25" s="214">
        <f t="shared" si="0"/>
        <v>21</v>
      </c>
      <c r="AD25" s="223" t="str">
        <f t="shared" si="5"/>
        <v>江</v>
      </c>
      <c r="AE25" s="257" t="str">
        <f t="shared" si="6"/>
        <v>ang</v>
      </c>
      <c r="AF25" s="257">
        <f t="shared" si="7"/>
        <v>21</v>
      </c>
      <c r="AG25" s="257">
        <f t="shared" si="8"/>
        <v>21</v>
      </c>
    </row>
    <row r="26" spans="2:33">
      <c r="B26" s="214">
        <v>22</v>
      </c>
      <c r="C26" s="215" t="s">
        <v>220</v>
      </c>
      <c r="D26" s="215"/>
      <c r="E26" s="215"/>
      <c r="F26" s="218" t="str" cm="1">
        <f t="array" ref="F26" xml:space="preserve"> INDEX('十五音-韻母'!$B$5:$O$54, $B26, F$2)</f>
        <v>iam</v>
      </c>
      <c r="G26" s="218" t="str" cm="1">
        <f t="array" ref="G26" xml:space="preserve"> INDEX('十五音-韻母'!$B$5:$O$54, $B26, G$2)</f>
        <v>iap</v>
      </c>
      <c r="H26" s="218" t="str" cm="1">
        <f t="array" ref="H26" xml:space="preserve"> INDEX('十五音-韻母'!$B$5:$O$54, $B26, H$2)</f>
        <v>iam</v>
      </c>
      <c r="I26" s="218" t="str" cm="1">
        <f t="array" ref="I26" xml:space="preserve"> INDEX('十五音-韻母'!$B$5:$O$54, $B26, I$2)</f>
        <v>iap̚</v>
      </c>
      <c r="J26" s="218" t="str" cm="1">
        <f t="array" ref="J26" xml:space="preserve"> INDEX('十五音-韻母'!$B$5:$O$54, $B26, J$2)</f>
        <v>iam</v>
      </c>
      <c r="K26" s="218" t="str" cm="1">
        <f t="array" ref="K26" xml:space="preserve"> INDEX('十五音-韻母'!$B$5:$O$54, $B26, K$2)</f>
        <v>iap</v>
      </c>
      <c r="L26" s="218" t="str" cm="1">
        <f t="array" ref="L26" xml:space="preserve"> INDEX('十五音-韻母'!$B$5:$O$54, $B26, L$2)</f>
        <v>ㄧㆰ</v>
      </c>
      <c r="M26" s="218" t="str" cm="1">
        <f t="array" ref="M26" xml:space="preserve"> INDEX('十五音-韻母'!$B$5:$O$54, $B26, M$2)</f>
        <v>ㄧㄚㆴ</v>
      </c>
      <c r="O26" s="223" t="s">
        <v>220</v>
      </c>
      <c r="P26" s="224" t="s">
        <v>221</v>
      </c>
      <c r="Q26" s="225">
        <f t="shared" si="1"/>
        <v>22</v>
      </c>
      <c r="R26" s="225">
        <f t="shared" si="2"/>
        <v>0</v>
      </c>
      <c r="T26" s="223" t="s">
        <v>220</v>
      </c>
      <c r="U26" s="224" t="s">
        <v>221</v>
      </c>
      <c r="V26" s="225">
        <f t="shared" si="3"/>
        <v>22</v>
      </c>
      <c r="W26" s="225">
        <f t="shared" si="4"/>
        <v>0</v>
      </c>
      <c r="X26" s="255"/>
      <c r="Y26" s="255"/>
      <c r="Z26" s="255"/>
      <c r="AA26" s="255"/>
      <c r="AC26" s="214">
        <f t="shared" si="0"/>
        <v>22</v>
      </c>
      <c r="AD26" s="223" t="str">
        <f t="shared" si="5"/>
        <v>兼</v>
      </c>
      <c r="AE26" s="257" t="str">
        <f t="shared" si="6"/>
        <v>iam</v>
      </c>
      <c r="AF26" s="257">
        <f t="shared" si="7"/>
        <v>22</v>
      </c>
      <c r="AG26" s="257">
        <f t="shared" si="8"/>
        <v>22</v>
      </c>
    </row>
    <row r="27" spans="2:33">
      <c r="B27" s="214">
        <v>23</v>
      </c>
      <c r="C27" s="215" t="s">
        <v>177</v>
      </c>
      <c r="D27" s="215"/>
      <c r="E27" s="215"/>
      <c r="F27" s="218" t="str" cm="1">
        <f t="array" ref="F27" xml:space="preserve"> INDEX('十五音-韻母'!$B$5:$O$54, $B27, F$2)</f>
        <v>au</v>
      </c>
      <c r="G27" s="218" t="str" cm="1">
        <f t="array" ref="G27" xml:space="preserve"> INDEX('十五音-韻母'!$B$5:$O$54, $B27, G$2)</f>
        <v>auh</v>
      </c>
      <c r="H27" s="218" t="str" cm="1">
        <f t="array" ref="H27" xml:space="preserve"> INDEX('十五音-韻母'!$B$5:$O$54, $B27, H$2)</f>
        <v>au</v>
      </c>
      <c r="I27" s="218" t="str" cm="1">
        <f t="array" ref="I27" xml:space="preserve"> INDEX('十五音-韻母'!$B$5:$O$54, $B27, I$2)</f>
        <v>au?</v>
      </c>
      <c r="J27" s="218" t="str" cm="1">
        <f t="array" ref="J27" xml:space="preserve"> INDEX('十五音-韻母'!$B$5:$O$54, $B27, J$2)</f>
        <v>au</v>
      </c>
      <c r="K27" s="218" t="str" cm="1">
        <f t="array" ref="K27" xml:space="preserve"> INDEX('十五音-韻母'!$B$5:$O$54, $B27, K$2)</f>
        <v>auh</v>
      </c>
      <c r="L27" s="218" t="str" cm="1">
        <f t="array" ref="L27" xml:space="preserve"> INDEX('十五音-韻母'!$B$5:$O$54, $B27, L$2)</f>
        <v>ㄠ</v>
      </c>
      <c r="M27" s="218" t="str" cm="1">
        <f t="array" ref="M27" xml:space="preserve"> INDEX('十五音-韻母'!$B$5:$O$54, $B27, M$2)</f>
        <v>ㄠㆷ</v>
      </c>
      <c r="O27" s="223" t="s">
        <v>177</v>
      </c>
      <c r="P27" s="224" t="s">
        <v>178</v>
      </c>
      <c r="Q27" s="225">
        <f t="shared" si="1"/>
        <v>23</v>
      </c>
      <c r="R27" s="225">
        <f t="shared" si="2"/>
        <v>0</v>
      </c>
      <c r="T27" s="223" t="s">
        <v>177</v>
      </c>
      <c r="U27" s="224" t="s">
        <v>178</v>
      </c>
      <c r="V27" s="225">
        <f t="shared" si="3"/>
        <v>23</v>
      </c>
      <c r="W27" s="225">
        <f t="shared" si="4"/>
        <v>0</v>
      </c>
      <c r="X27" s="255"/>
      <c r="Y27" s="255"/>
      <c r="Z27" s="255"/>
      <c r="AA27" s="255"/>
      <c r="AC27" s="214">
        <f t="shared" si="0"/>
        <v>23</v>
      </c>
      <c r="AD27" s="223" t="str">
        <f t="shared" si="5"/>
        <v>交</v>
      </c>
      <c r="AE27" s="257" t="str">
        <f t="shared" si="6"/>
        <v>au</v>
      </c>
      <c r="AF27" s="257">
        <f t="shared" si="7"/>
        <v>23</v>
      </c>
      <c r="AG27" s="257">
        <f t="shared" si="8"/>
        <v>23</v>
      </c>
    </row>
    <row r="28" spans="2:33">
      <c r="B28" s="214">
        <v>24</v>
      </c>
      <c r="C28" s="215" t="s">
        <v>211</v>
      </c>
      <c r="D28" s="215"/>
      <c r="E28" s="215"/>
      <c r="F28" s="218" t="str" cm="1">
        <f t="array" ref="F28" xml:space="preserve"> INDEX('十五音-韻母'!$B$5:$O$54, $B28, F$2)</f>
        <v>ia</v>
      </c>
      <c r="G28" s="218" t="str" cm="1">
        <f t="array" ref="G28" xml:space="preserve"> INDEX('十五音-韻母'!$B$5:$O$54, $B28, G$2)</f>
        <v>iah</v>
      </c>
      <c r="H28" s="218" t="str" cm="1">
        <f t="array" ref="H28" xml:space="preserve"> INDEX('十五音-韻母'!$B$5:$O$54, $B28, H$2)</f>
        <v>ia</v>
      </c>
      <c r="I28" s="218" t="str" cm="1">
        <f t="array" ref="I28" xml:space="preserve"> INDEX('十五音-韻母'!$B$5:$O$54, $B28, I$2)</f>
        <v>ia?</v>
      </c>
      <c r="J28" s="218" t="str" cm="1">
        <f t="array" ref="J28" xml:space="preserve"> INDEX('十五音-韻母'!$B$5:$O$54, $B28, J$2)</f>
        <v>ia</v>
      </c>
      <c r="K28" s="218" t="str" cm="1">
        <f t="array" ref="K28" xml:space="preserve"> INDEX('十五音-韻母'!$B$5:$O$54, $B28, K$2)</f>
        <v>iah</v>
      </c>
      <c r="L28" s="218" t="str" cm="1">
        <f t="array" ref="L28" xml:space="preserve"> INDEX('十五音-韻母'!$B$5:$O$54, $B28, L$2)</f>
        <v>ㄧㄚ</v>
      </c>
      <c r="M28" s="218" t="str" cm="1">
        <f t="array" ref="M28" xml:space="preserve"> INDEX('十五音-韻母'!$B$5:$O$54, $B28, M$2)</f>
        <v>ㄧㄚㆷ</v>
      </c>
      <c r="O28" s="223" t="s">
        <v>211</v>
      </c>
      <c r="P28" s="224" t="s">
        <v>212</v>
      </c>
      <c r="Q28" s="225">
        <f t="shared" si="1"/>
        <v>24</v>
      </c>
      <c r="R28" s="225">
        <f t="shared" si="2"/>
        <v>0</v>
      </c>
      <c r="T28" s="223" t="s">
        <v>189</v>
      </c>
      <c r="U28" s="224" t="s">
        <v>212</v>
      </c>
      <c r="V28" s="225">
        <f t="shared" si="3"/>
        <v>24</v>
      </c>
      <c r="W28" s="225">
        <f t="shared" si="4"/>
        <v>0</v>
      </c>
      <c r="X28" s="255"/>
      <c r="Y28" s="255"/>
      <c r="Z28" s="255"/>
      <c r="AA28" s="255"/>
      <c r="AC28" s="214">
        <f t="shared" si="0"/>
        <v>24</v>
      </c>
      <c r="AD28" s="223" t="str">
        <f t="shared" si="5"/>
        <v>迦</v>
      </c>
      <c r="AE28" s="257" t="str">
        <f t="shared" si="6"/>
        <v>ia</v>
      </c>
      <c r="AF28" s="257">
        <f t="shared" si="7"/>
        <v>24</v>
      </c>
      <c r="AG28" s="257">
        <f t="shared" si="8"/>
        <v>24</v>
      </c>
    </row>
    <row r="29" spans="2:33">
      <c r="B29" s="214">
        <v>25</v>
      </c>
      <c r="C29" s="215" t="s">
        <v>238</v>
      </c>
      <c r="D29" s="215"/>
      <c r="E29" s="215"/>
      <c r="F29" s="218" t="str" cm="1">
        <f t="array" ref="F29" xml:space="preserve"> INDEX('十五音-韻母'!$B$5:$O$54, $B29, F$2)</f>
        <v>ue</v>
      </c>
      <c r="G29" s="218" t="str" cm="1">
        <f t="array" ref="G29" xml:space="preserve"> INDEX('十五音-韻母'!$B$5:$O$54, $B29, G$2)</f>
        <v>ueh</v>
      </c>
      <c r="H29" s="218" t="str" cm="1">
        <f t="array" ref="H29" xml:space="preserve"> INDEX('十五音-韻母'!$B$5:$O$54, $B29, H$2)</f>
        <v>ue</v>
      </c>
      <c r="I29" s="218" t="str" cm="1">
        <f t="array" ref="I29" xml:space="preserve"> INDEX('十五音-韻母'!$B$5:$O$54, $B29, I$2)</f>
        <v>ue?</v>
      </c>
      <c r="J29" s="218" t="str" cm="1">
        <f t="array" ref="J29" xml:space="preserve"> INDEX('十五音-韻母'!$B$5:$O$54, $B29, J$2)</f>
        <v>ue</v>
      </c>
      <c r="K29" s="218" t="str" cm="1">
        <f t="array" ref="K29" xml:space="preserve"> INDEX('十五音-韻母'!$B$5:$O$54, $B29, K$2)</f>
        <v>ueh</v>
      </c>
      <c r="L29" s="218" t="str" cm="1">
        <f t="array" ref="L29" xml:space="preserve"> INDEX('十五音-韻母'!$B$5:$O$54, $B29, L$2)</f>
        <v>ㄨㆤ</v>
      </c>
      <c r="M29" s="218" t="str" cm="1">
        <f t="array" ref="M29" xml:space="preserve"> INDEX('十五音-韻母'!$B$5:$O$54, $B29, M$2)</f>
        <v>ㄨㆤㆷ</v>
      </c>
      <c r="O29" s="223" t="s">
        <v>238</v>
      </c>
      <c r="P29" s="224" t="s">
        <v>323</v>
      </c>
      <c r="Q29" s="225" t="str">
        <f t="shared" si="1"/>
        <v/>
      </c>
      <c r="R29" s="225">
        <f t="shared" si="2"/>
        <v>0</v>
      </c>
      <c r="T29" s="223" t="s">
        <v>238</v>
      </c>
      <c r="U29" s="224" t="s">
        <v>323</v>
      </c>
      <c r="V29" s="225" t="e">
        <f t="shared" si="3"/>
        <v>#N/A</v>
      </c>
      <c r="W29" s="225" t="e">
        <f t="shared" si="4"/>
        <v>#N/A</v>
      </c>
      <c r="X29" s="255"/>
      <c r="Y29" s="255"/>
      <c r="Z29" s="255"/>
      <c r="AA29" s="255"/>
      <c r="AC29" s="214">
        <f t="shared" si="0"/>
        <v>25</v>
      </c>
      <c r="AD29" s="223" t="str">
        <f t="shared" si="5"/>
        <v>檜</v>
      </c>
      <c r="AE29" s="257" t="str">
        <f t="shared" si="6"/>
        <v>ue</v>
      </c>
      <c r="AF29" s="257" t="str">
        <f t="shared" si="7"/>
        <v>無對映</v>
      </c>
      <c r="AG29" s="257" t="str">
        <f t="shared" si="8"/>
        <v>無對映</v>
      </c>
    </row>
    <row r="30" spans="2:33">
      <c r="B30" s="214">
        <v>26</v>
      </c>
      <c r="C30" s="215" t="s">
        <v>144</v>
      </c>
      <c r="D30" s="215"/>
      <c r="E30" s="215"/>
      <c r="F30" s="218" t="str" cm="1">
        <f t="array" ref="F30" xml:space="preserve"> INDEX('十五音-韻母'!$B$5:$O$54, $B30, F$2)</f>
        <v>ann</v>
      </c>
      <c r="G30" s="218" t="str" cm="1">
        <f t="array" ref="G30" xml:space="preserve"> INDEX('十五音-韻母'!$B$5:$O$54, $B30, G$2)</f>
        <v>annh</v>
      </c>
      <c r="H30" s="218" t="str" cm="1">
        <f t="array" ref="H30" xml:space="preserve"> INDEX('十五音-韻母'!$B$5:$O$54, $B30, H$2)</f>
        <v>ã</v>
      </c>
      <c r="I30" s="218" t="str" cm="1">
        <f t="array" ref="I30" xml:space="preserve"> INDEX('十五音-韻母'!$B$5:$O$54, $B30, I$2)</f>
        <v>ã?</v>
      </c>
      <c r="J30" s="218" t="str" cm="1">
        <f t="array" ref="J30" xml:space="preserve"> INDEX('十五音-韻母'!$B$5:$O$54, $B30, J$2)</f>
        <v>ann</v>
      </c>
      <c r="K30" s="218" t="str" cm="1">
        <f t="array" ref="K30" xml:space="preserve"> INDEX('十五音-韻母'!$B$5:$O$54, $B30, K$2)</f>
        <v>annh</v>
      </c>
      <c r="L30" s="218" t="str" cm="1">
        <f t="array" ref="L30" xml:space="preserve"> INDEX('十五音-韻母'!$B$5:$O$54, $B30, L$2)</f>
        <v>ㆩ</v>
      </c>
      <c r="M30" s="218" t="str" cm="1">
        <f t="array" ref="M30" xml:space="preserve"> INDEX('十五音-韻母'!$B$5:$O$54, $B30, M$2)</f>
        <v>ㆩㆷ</v>
      </c>
      <c r="O30" s="223" t="s">
        <v>144</v>
      </c>
      <c r="P30" s="224" t="s">
        <v>145</v>
      </c>
      <c r="Q30" s="225">
        <f t="shared" si="1"/>
        <v>26</v>
      </c>
      <c r="R30" s="225">
        <f t="shared" si="2"/>
        <v>0</v>
      </c>
      <c r="T30" s="223" t="s">
        <v>1334</v>
      </c>
      <c r="U30" s="224" t="s">
        <v>139</v>
      </c>
      <c r="V30" s="225">
        <f t="shared" si="3"/>
        <v>28</v>
      </c>
      <c r="W30" s="225">
        <f t="shared" si="4"/>
        <v>2</v>
      </c>
      <c r="X30" s="255"/>
      <c r="Y30" s="255"/>
      <c r="Z30" s="255"/>
      <c r="AA30" s="255"/>
      <c r="AC30" s="214">
        <f t="shared" si="0"/>
        <v>26</v>
      </c>
      <c r="AD30" s="223" t="str">
        <f t="shared" si="5"/>
        <v>監</v>
      </c>
      <c r="AE30" s="257" t="str">
        <f t="shared" si="6"/>
        <v>ann</v>
      </c>
      <c r="AF30" s="257">
        <f t="shared" si="7"/>
        <v>26</v>
      </c>
      <c r="AG30" s="257">
        <f t="shared" si="8"/>
        <v>39</v>
      </c>
    </row>
    <row r="31" spans="2:33">
      <c r="B31" s="214">
        <v>27</v>
      </c>
      <c r="C31" s="215" t="s">
        <v>275</v>
      </c>
      <c r="D31" s="215"/>
      <c r="E31" s="215"/>
      <c r="F31" s="218" t="str" cm="1">
        <f t="array" ref="F31" xml:space="preserve"> INDEX('十五音-韻母'!$B$5:$O$54, $B31, F$2)</f>
        <v>u</v>
      </c>
      <c r="G31" s="218" t="str" cm="1">
        <f t="array" ref="G31" xml:space="preserve"> INDEX('十五音-韻母'!$B$5:$O$54, $B31, G$2)</f>
        <v>uh</v>
      </c>
      <c r="H31" s="218" t="str" cm="1">
        <f t="array" ref="H31" xml:space="preserve"> INDEX('十五音-韻母'!$B$5:$O$54, $B31, H$2)</f>
        <v>u</v>
      </c>
      <c r="I31" s="218" t="str" cm="1">
        <f t="array" ref="I31" xml:space="preserve"> INDEX('十五音-韻母'!$B$5:$O$54, $B31, I$2)</f>
        <v>u?</v>
      </c>
      <c r="J31" s="218" t="str" cm="1">
        <f t="array" ref="J31" xml:space="preserve"> INDEX('十五音-韻母'!$B$5:$O$54, $B31, J$2)</f>
        <v>u</v>
      </c>
      <c r="K31" s="218" t="str" cm="1">
        <f t="array" ref="K31" xml:space="preserve"> INDEX('十五音-韻母'!$B$5:$O$54, $B31, K$2)</f>
        <v>uh</v>
      </c>
      <c r="L31" s="218" t="str" cm="1">
        <f t="array" ref="L31" xml:space="preserve"> INDEX('十五音-韻母'!$B$5:$O$54, $B31, L$2)</f>
        <v>ㄨ</v>
      </c>
      <c r="M31" s="218" t="str" cm="1">
        <f t="array" ref="M31" xml:space="preserve"> INDEX('十五音-韻母'!$B$5:$O$54, $B31, M$2)</f>
        <v>ㄨㆷ</v>
      </c>
      <c r="O31" s="223" t="s">
        <v>3379</v>
      </c>
      <c r="P31" s="224" t="s">
        <v>245</v>
      </c>
      <c r="Q31" s="225">
        <f t="shared" si="1"/>
        <v>27</v>
      </c>
      <c r="R31" s="225">
        <f t="shared" si="2"/>
        <v>0</v>
      </c>
      <c r="T31" s="223" t="s">
        <v>3379</v>
      </c>
      <c r="U31" s="224" t="s">
        <v>245</v>
      </c>
      <c r="V31" s="225">
        <f t="shared" si="3"/>
        <v>27</v>
      </c>
      <c r="W31" s="225">
        <f t="shared" si="4"/>
        <v>0</v>
      </c>
      <c r="X31" s="255"/>
      <c r="Y31" s="255"/>
      <c r="Z31" s="255"/>
      <c r="AA31" s="255"/>
      <c r="AC31" s="214">
        <f t="shared" si="0"/>
        <v>27</v>
      </c>
      <c r="AD31" s="223" t="str">
        <f t="shared" si="5"/>
        <v>艍</v>
      </c>
      <c r="AE31" s="257" t="str">
        <f t="shared" si="6"/>
        <v>u</v>
      </c>
      <c r="AF31" s="257">
        <f t="shared" si="7"/>
        <v>27</v>
      </c>
      <c r="AG31" s="257">
        <f t="shared" si="8"/>
        <v>27</v>
      </c>
    </row>
    <row r="32" spans="2:33">
      <c r="B32" s="214">
        <v>28</v>
      </c>
      <c r="C32" s="215" t="s">
        <v>138</v>
      </c>
      <c r="D32" s="215"/>
      <c r="E32" s="215" t="s">
        <v>1410</v>
      </c>
      <c r="F32" s="218" t="str" cm="1">
        <f t="array" ref="F32" xml:space="preserve"> INDEX('十五音-韻母'!$B$5:$O$54, $B32, F$2)</f>
        <v>a</v>
      </c>
      <c r="G32" s="218" t="str" cm="1">
        <f t="array" ref="G32" xml:space="preserve"> INDEX('十五音-韻母'!$B$5:$O$54, $B32, G$2)</f>
        <v>ah</v>
      </c>
      <c r="H32" s="218" t="str" cm="1">
        <f t="array" ref="H32" xml:space="preserve"> INDEX('十五音-韻母'!$B$5:$O$54, $B32, H$2)</f>
        <v>a</v>
      </c>
      <c r="I32" s="218" t="str" cm="1">
        <f t="array" ref="I32" xml:space="preserve"> INDEX('十五音-韻母'!$B$5:$O$54, $B32, I$2)</f>
        <v>a?</v>
      </c>
      <c r="J32" s="218" t="str" cm="1">
        <f t="array" ref="J32" xml:space="preserve"> INDEX('十五音-韻母'!$B$5:$O$54, $B32, J$2)</f>
        <v>a</v>
      </c>
      <c r="K32" s="218" t="str" cm="1">
        <f t="array" ref="K32" xml:space="preserve"> INDEX('十五音-韻母'!$B$5:$O$54, $B32, K$2)</f>
        <v>ah</v>
      </c>
      <c r="L32" s="218" t="str" cm="1">
        <f t="array" ref="L32" xml:space="preserve"> INDEX('十五音-韻母'!$B$5:$O$54, $B32, L$2)</f>
        <v>ㄚ</v>
      </c>
      <c r="M32" s="218" t="str" cm="1">
        <f t="array" ref="M32" xml:space="preserve"> INDEX('十五音-韻母'!$B$5:$O$54, $B32, M$2)</f>
        <v>ㄚㆷ</v>
      </c>
      <c r="O32" s="223" t="s">
        <v>138</v>
      </c>
      <c r="P32" s="224" t="s">
        <v>139</v>
      </c>
      <c r="Q32" s="225">
        <f t="shared" si="1"/>
        <v>28</v>
      </c>
      <c r="R32" s="225">
        <f t="shared" si="2"/>
        <v>0</v>
      </c>
      <c r="T32" s="223" t="s">
        <v>261</v>
      </c>
      <c r="U32" s="224" t="s">
        <v>262</v>
      </c>
      <c r="V32" s="225">
        <f t="shared" si="3"/>
        <v>47</v>
      </c>
      <c r="W32" s="225">
        <f t="shared" si="4"/>
        <v>19</v>
      </c>
      <c r="X32" s="255"/>
      <c r="Y32" s="255"/>
      <c r="Z32" s="255"/>
      <c r="AA32" s="255"/>
      <c r="AC32" s="214">
        <f t="shared" si="0"/>
        <v>28</v>
      </c>
      <c r="AD32" s="223" t="str">
        <f t="shared" si="5"/>
        <v>膠</v>
      </c>
      <c r="AE32" s="257" t="str">
        <f t="shared" si="6"/>
        <v>a</v>
      </c>
      <c r="AF32" s="257">
        <f t="shared" si="7"/>
        <v>28</v>
      </c>
      <c r="AG32" s="257">
        <f t="shared" si="8"/>
        <v>26</v>
      </c>
    </row>
    <row r="33" spans="2:33">
      <c r="B33" s="214">
        <v>29</v>
      </c>
      <c r="C33" s="215" t="s">
        <v>199</v>
      </c>
      <c r="D33" s="215"/>
      <c r="E33" s="215"/>
      <c r="F33" s="218" t="str" cm="1">
        <f t="array" ref="F33" xml:space="preserve"> INDEX('十五音-韻母'!$B$5:$O$54, $B33, F$2)</f>
        <v>i</v>
      </c>
      <c r="G33" s="218" t="str" cm="1">
        <f t="array" ref="G33" xml:space="preserve"> INDEX('十五音-韻母'!$B$5:$O$54, $B33, G$2)</f>
        <v>ih</v>
      </c>
      <c r="H33" s="218" t="str" cm="1">
        <f t="array" ref="H33" xml:space="preserve"> INDEX('十五音-韻母'!$B$5:$O$54, $B33, H$2)</f>
        <v>i</v>
      </c>
      <c r="I33" s="218" t="str" cm="1">
        <f t="array" ref="I33" xml:space="preserve"> INDEX('十五音-韻母'!$B$5:$O$54, $B33, I$2)</f>
        <v>i?</v>
      </c>
      <c r="J33" s="218" t="str" cm="1">
        <f t="array" ref="J33" xml:space="preserve"> INDEX('十五音-韻母'!$B$5:$O$54, $B33, J$2)</f>
        <v>i</v>
      </c>
      <c r="K33" s="218" t="str" cm="1">
        <f t="array" ref="K33" xml:space="preserve"> INDEX('十五音-韻母'!$B$5:$O$54, $B33, K$2)</f>
        <v>ih</v>
      </c>
      <c r="L33" s="218" t="str" cm="1">
        <f t="array" ref="L33" xml:space="preserve"> INDEX('十五音-韻母'!$B$5:$O$54, $B33, L$2)</f>
        <v>ㄧ</v>
      </c>
      <c r="M33" s="218" t="str" cm="1">
        <f t="array" ref="M33" xml:space="preserve"> INDEX('十五音-韻母'!$B$5:$O$54, $B33, M$2)</f>
        <v>ㄧㆷ</v>
      </c>
      <c r="O33" s="223" t="s">
        <v>199</v>
      </c>
      <c r="P33" s="224" t="s">
        <v>200</v>
      </c>
      <c r="Q33" s="225">
        <f t="shared" si="1"/>
        <v>29</v>
      </c>
      <c r="R33" s="225">
        <f t="shared" si="2"/>
        <v>0</v>
      </c>
      <c r="T33" s="223" t="s">
        <v>1336</v>
      </c>
      <c r="U33" s="224" t="s">
        <v>200</v>
      </c>
      <c r="V33" s="225">
        <f t="shared" si="3"/>
        <v>29</v>
      </c>
      <c r="W33" s="225">
        <f t="shared" si="4"/>
        <v>0</v>
      </c>
      <c r="X33" s="255"/>
      <c r="Y33" s="255"/>
      <c r="Z33" s="255"/>
      <c r="AA33" s="255"/>
      <c r="AC33" s="214">
        <f t="shared" si="0"/>
        <v>29</v>
      </c>
      <c r="AD33" s="223" t="str">
        <f t="shared" si="5"/>
        <v>居</v>
      </c>
      <c r="AE33" s="257" t="str">
        <f t="shared" si="6"/>
        <v>i</v>
      </c>
      <c r="AF33" s="257">
        <f t="shared" si="7"/>
        <v>29</v>
      </c>
      <c r="AG33" s="257">
        <f t="shared" si="8"/>
        <v>29</v>
      </c>
    </row>
    <row r="34" spans="2:33">
      <c r="B34" s="214">
        <v>30</v>
      </c>
      <c r="C34" s="215" t="s">
        <v>241</v>
      </c>
      <c r="D34" s="215"/>
      <c r="E34" s="215"/>
      <c r="F34" s="218" t="str" cm="1">
        <f t="array" ref="F34" xml:space="preserve"> INDEX('十五音-韻母'!$B$5:$O$54, $B34, F$2)</f>
        <v>iu</v>
      </c>
      <c r="G34" s="218" t="str" cm="1">
        <f t="array" ref="G34" xml:space="preserve"> INDEX('十五音-韻母'!$B$5:$O$54, $B34, G$2)</f>
        <v>iuh</v>
      </c>
      <c r="H34" s="218" t="str" cm="1">
        <f t="array" ref="H34" xml:space="preserve"> INDEX('十五音-韻母'!$B$5:$O$54, $B34, H$2)</f>
        <v>iu</v>
      </c>
      <c r="I34" s="218" t="str" cm="1">
        <f t="array" ref="I34" xml:space="preserve"> INDEX('十五音-韻母'!$B$5:$O$54, $B34, I$2)</f>
        <v>iu?</v>
      </c>
      <c r="J34" s="218" t="str" cm="1">
        <f t="array" ref="J34" xml:space="preserve"> INDEX('十五音-韻母'!$B$5:$O$54, $B34, J$2)</f>
        <v>iu</v>
      </c>
      <c r="K34" s="218" t="str" cm="1">
        <f t="array" ref="K34" xml:space="preserve"> INDEX('十五音-韻母'!$B$5:$O$54, $B34, K$2)</f>
        <v>iuh</v>
      </c>
      <c r="L34" s="218" t="str" cm="1">
        <f t="array" ref="L34" xml:space="preserve"> INDEX('十五音-韻母'!$B$5:$O$54, $B34, L$2)</f>
        <v>ㄧㄨ</v>
      </c>
      <c r="M34" s="218" t="str" cm="1">
        <f t="array" ref="M34" xml:space="preserve"> INDEX('十五音-韻母'!$B$5:$O$54, $B34, M$2)</f>
        <v>ㄧㄨㆷ</v>
      </c>
      <c r="O34" s="223" t="s">
        <v>241</v>
      </c>
      <c r="P34" s="224" t="s">
        <v>242</v>
      </c>
      <c r="Q34" s="225">
        <f t="shared" si="1"/>
        <v>30</v>
      </c>
      <c r="R34" s="225">
        <f t="shared" si="2"/>
        <v>0</v>
      </c>
      <c r="T34" s="223" t="s">
        <v>241</v>
      </c>
      <c r="U34" s="224" t="s">
        <v>242</v>
      </c>
      <c r="V34" s="225">
        <f t="shared" si="3"/>
        <v>30</v>
      </c>
      <c r="W34" s="225">
        <f t="shared" si="4"/>
        <v>0</v>
      </c>
      <c r="AC34" s="214">
        <f t="shared" si="0"/>
        <v>30</v>
      </c>
      <c r="AD34" s="223" t="str">
        <f t="shared" si="5"/>
        <v>丩</v>
      </c>
      <c r="AE34" s="257" t="str">
        <f t="shared" si="6"/>
        <v>iu</v>
      </c>
      <c r="AF34" s="257">
        <f t="shared" si="7"/>
        <v>30</v>
      </c>
      <c r="AG34" s="257">
        <f t="shared" si="8"/>
        <v>30</v>
      </c>
    </row>
    <row r="35" spans="2:33">
      <c r="B35" s="214">
        <v>31</v>
      </c>
      <c r="C35" s="223" t="s">
        <v>193</v>
      </c>
      <c r="D35" s="215"/>
      <c r="E35" s="215"/>
      <c r="F35" s="218" t="str" cm="1">
        <f t="array" ref="F35" xml:space="preserve"> INDEX('十五音-韻母'!$B$5:$O$54, $B35, F$2)</f>
        <v>enn</v>
      </c>
      <c r="G35" s="218" t="str" cm="1">
        <f t="array" ref="G35" xml:space="preserve"> INDEX('十五音-韻母'!$B$5:$O$54, $B35, G$2)</f>
        <v>ennh</v>
      </c>
      <c r="H35" s="218" t="str" cm="1">
        <f t="array" ref="H35" xml:space="preserve"> INDEX('十五音-韻母'!$B$5:$O$54, $B35, H$2)</f>
        <v>ɛ̃</v>
      </c>
      <c r="I35" s="218" t="str" cm="1">
        <f t="array" ref="I35" xml:space="preserve"> INDEX('十五音-韻母'!$B$5:$O$54, $B35, I$2)</f>
        <v>ɛ̃?</v>
      </c>
      <c r="J35" s="218" t="str" cm="1">
        <f t="array" ref="J35" xml:space="preserve"> INDEX('十五音-韻母'!$B$5:$O$54, $B35, J$2)</f>
        <v>enn</v>
      </c>
      <c r="K35" s="218" t="str" cm="1">
        <f t="array" ref="K35" xml:space="preserve"> INDEX('十五音-韻母'!$B$5:$O$54, $B35, K$2)</f>
        <v>ennh</v>
      </c>
      <c r="L35" s="218" t="str" cm="1">
        <f t="array" ref="L35" xml:space="preserve"> INDEX('十五音-韻母'!$B$5:$O$54, $B35, L$2)</f>
        <v>ㆥ</v>
      </c>
      <c r="M35" s="218" t="str" cm="1">
        <f t="array" ref="M35" xml:space="preserve"> INDEX('十五音-韻母'!$B$5:$O$54, $B35, M$2)</f>
        <v>ㆥㆷ</v>
      </c>
      <c r="O35" s="223" t="s">
        <v>193</v>
      </c>
      <c r="P35" s="224" t="s">
        <v>194</v>
      </c>
      <c r="Q35" s="225">
        <f t="shared" si="1"/>
        <v>31</v>
      </c>
      <c r="R35" s="225">
        <f t="shared" si="2"/>
        <v>0</v>
      </c>
      <c r="T35" s="223" t="s">
        <v>1415</v>
      </c>
      <c r="U35" s="224" t="s">
        <v>823</v>
      </c>
      <c r="V35" s="225">
        <f t="shared" si="3"/>
        <v>36</v>
      </c>
      <c r="W35" s="225">
        <f t="shared" si="4"/>
        <v>5</v>
      </c>
      <c r="X35" s="205" t="s">
        <v>3380</v>
      </c>
      <c r="Y35" s="205" t="s">
        <v>3381</v>
      </c>
      <c r="AC35" s="214">
        <f t="shared" si="0"/>
        <v>31</v>
      </c>
      <c r="AD35" s="223" t="str">
        <f t="shared" si="5"/>
        <v>更</v>
      </c>
      <c r="AE35" s="257" t="str">
        <f t="shared" si="6"/>
        <v>enn</v>
      </c>
      <c r="AF35" s="257">
        <f t="shared" si="7"/>
        <v>31</v>
      </c>
      <c r="AG35" s="257">
        <f t="shared" si="8"/>
        <v>41</v>
      </c>
    </row>
    <row r="36" spans="2:33">
      <c r="B36" s="214">
        <v>32</v>
      </c>
      <c r="C36" s="223" t="s">
        <v>253</v>
      </c>
      <c r="D36" s="227" t="s">
        <v>1061</v>
      </c>
      <c r="E36" s="216"/>
      <c r="F36" s="218" t="str" cm="1">
        <f t="array" ref="F36" xml:space="preserve"> INDEX('十五音-韻母'!$B$5:$O$54, $B36, F$2)</f>
        <v>uinn</v>
      </c>
      <c r="G36" s="218" t="str" cm="1">
        <f t="array" ref="G36" xml:space="preserve"> INDEX('十五音-韻母'!$B$5:$O$54, $B36, G$2)</f>
        <v>uinnh</v>
      </c>
      <c r="H36" s="218" t="str" cm="1">
        <f t="array" ref="H36" xml:space="preserve"> INDEX('十五音-韻母'!$B$5:$O$54, $B36, H$2)</f>
        <v>uĩ</v>
      </c>
      <c r="I36" s="218" t="str" cm="1">
        <f t="array" ref="I36" xml:space="preserve"> INDEX('十五音-韻母'!$B$5:$O$54, $B36, I$2)</f>
        <v>uĩ?</v>
      </c>
      <c r="J36" s="218" t="str" cm="1">
        <f t="array" ref="J36" xml:space="preserve"> INDEX('十五音-韻母'!$B$5:$O$54, $B36, J$2)</f>
        <v>uinn</v>
      </c>
      <c r="K36" s="218" t="str" cm="1">
        <f t="array" ref="K36" xml:space="preserve"> INDEX('十五音-韻母'!$B$5:$O$54, $B36, K$2)</f>
        <v>uinnh</v>
      </c>
      <c r="L36" s="218" t="str" cm="1">
        <f t="array" ref="L36" xml:space="preserve"> INDEX('十五音-韻母'!$B$5:$O$54, $B36, L$2)</f>
        <v>ㄨㆪ</v>
      </c>
      <c r="M36" s="218" t="str" cm="1">
        <f t="array" ref="M36" xml:space="preserve"> INDEX('十五音-韻母'!$B$5:$O$54, $B36, M$2)</f>
        <v>ㄨㆪㆷ</v>
      </c>
      <c r="O36" s="223" t="s">
        <v>253</v>
      </c>
      <c r="P36" s="224" t="s">
        <v>68</v>
      </c>
      <c r="Q36" s="225">
        <f t="shared" si="1"/>
        <v>38</v>
      </c>
      <c r="R36" s="225">
        <f t="shared" si="2"/>
        <v>6</v>
      </c>
      <c r="T36" s="223" t="s">
        <v>1418</v>
      </c>
      <c r="U36" s="224" t="s">
        <v>3382</v>
      </c>
      <c r="V36" s="225" t="e">
        <f t="shared" si="3"/>
        <v>#N/A</v>
      </c>
      <c r="W36" s="225" t="e">
        <f t="shared" si="4"/>
        <v>#N/A</v>
      </c>
      <c r="X36" s="205" t="s">
        <v>3383</v>
      </c>
      <c r="Y36" s="205" t="s">
        <v>3384</v>
      </c>
      <c r="AC36" s="214">
        <f t="shared" si="0"/>
        <v>32</v>
      </c>
      <c r="AD36" s="223" t="str">
        <f t="shared" si="5"/>
        <v>褌</v>
      </c>
      <c r="AE36" s="257" t="str">
        <f t="shared" si="6"/>
        <v>uinn</v>
      </c>
      <c r="AF36" s="257">
        <f t="shared" si="7"/>
        <v>45</v>
      </c>
      <c r="AG36" s="257" t="str">
        <f t="shared" si="8"/>
        <v>無對映</v>
      </c>
    </row>
    <row r="37" spans="2:33">
      <c r="B37" s="214">
        <v>33</v>
      </c>
      <c r="C37" s="223" t="s">
        <v>235</v>
      </c>
      <c r="D37" s="227"/>
      <c r="E37" s="227" t="s">
        <v>1431</v>
      </c>
      <c r="F37" s="218" t="str" cm="1">
        <f t="array" ref="F37" xml:space="preserve"> INDEX('十五音-韻母'!$B$5:$O$54, $B37, F$2)</f>
        <v>io</v>
      </c>
      <c r="G37" s="218" t="str" cm="1">
        <f t="array" ref="G37" xml:space="preserve"> INDEX('十五音-韻母'!$B$5:$O$54, $B37, G$2)</f>
        <v>ioh</v>
      </c>
      <c r="H37" s="218" t="str" cm="1">
        <f t="array" ref="H37" xml:space="preserve"> INDEX('十五音-韻母'!$B$5:$O$54, $B37, H$2)</f>
        <v>io</v>
      </c>
      <c r="I37" s="218" t="str" cm="1">
        <f t="array" ref="I37" xml:space="preserve"> INDEX('十五音-韻母'!$B$5:$O$54, $B37, I$2)</f>
        <v>io?</v>
      </c>
      <c r="J37" s="218" t="str" cm="1">
        <f t="array" ref="J37" xml:space="preserve"> INDEX('十五音-韻母'!$B$5:$O$54, $B37, J$2)</f>
        <v>io</v>
      </c>
      <c r="K37" s="218" t="str" cm="1">
        <f t="array" ref="K37" xml:space="preserve"> INDEX('十五音-韻母'!$B$5:$O$54, $B37, K$2)</f>
        <v>ioh</v>
      </c>
      <c r="L37" s="218" t="str" cm="1">
        <f t="array" ref="L37" xml:space="preserve"> INDEX('十五音-韻母'!$B$5:$O$54, $B37, L$2)</f>
        <v>ㄧㄜ</v>
      </c>
      <c r="M37" s="218" t="str" cm="1">
        <f t="array" ref="M37" xml:space="preserve"> INDEX('十五音-韻母'!$B$5:$O$54, $B37, M$2)</f>
        <v>ㄧㄜㆷ</v>
      </c>
      <c r="O37" s="223" t="s">
        <v>235</v>
      </c>
      <c r="P37" s="224" t="s">
        <v>236</v>
      </c>
      <c r="Q37" s="225">
        <f t="shared" si="1"/>
        <v>33</v>
      </c>
      <c r="R37" s="225">
        <f t="shared" si="2"/>
        <v>0</v>
      </c>
      <c r="T37" s="223" t="s">
        <v>1421</v>
      </c>
      <c r="U37" s="224" t="s">
        <v>809</v>
      </c>
      <c r="V37" s="225">
        <f t="shared" si="3"/>
        <v>34</v>
      </c>
      <c r="W37" s="225">
        <f t="shared" si="4"/>
        <v>1</v>
      </c>
      <c r="X37" s="205" t="s">
        <v>3385</v>
      </c>
      <c r="Y37" s="205" t="s">
        <v>3386</v>
      </c>
      <c r="AC37" s="214">
        <f t="shared" si="0"/>
        <v>33</v>
      </c>
      <c r="AD37" s="223" t="str">
        <f t="shared" si="5"/>
        <v>茄</v>
      </c>
      <c r="AE37" s="257" t="str">
        <f t="shared" si="6"/>
        <v>io</v>
      </c>
      <c r="AF37" s="257">
        <f t="shared" si="7"/>
        <v>33</v>
      </c>
      <c r="AG37" s="257">
        <f t="shared" si="8"/>
        <v>37</v>
      </c>
    </row>
    <row r="38" spans="2:33">
      <c r="B38" s="214">
        <v>34</v>
      </c>
      <c r="C38" s="223" t="s">
        <v>203</v>
      </c>
      <c r="D38" s="215"/>
      <c r="E38" s="227" t="s">
        <v>1421</v>
      </c>
      <c r="F38" s="218" t="str" cm="1">
        <f t="array" ref="F38" xml:space="preserve"> INDEX('十五音-韻母'!$B$5:$O$54, $B38, F$2)</f>
        <v>inn</v>
      </c>
      <c r="G38" s="218" t="str" cm="1">
        <f t="array" ref="G38" xml:space="preserve"> INDEX('十五音-韻母'!$B$5:$O$54, $B38, G$2)</f>
        <v>innh</v>
      </c>
      <c r="H38" s="218" t="str" cm="1">
        <f t="array" ref="H38" xml:space="preserve"> INDEX('十五音-韻母'!$B$5:$O$54, $B38, H$2)</f>
        <v>ĩ</v>
      </c>
      <c r="I38" s="218" t="str" cm="1">
        <f t="array" ref="I38" xml:space="preserve"> INDEX('十五音-韻母'!$B$5:$O$54, $B38, I$2)</f>
        <v>ĩ?</v>
      </c>
      <c r="J38" s="218" t="str" cm="1">
        <f t="array" ref="J38" xml:space="preserve"> INDEX('十五音-韻母'!$B$5:$O$54, $B38, J$2)</f>
        <v>inn</v>
      </c>
      <c r="K38" s="218" t="str" cm="1">
        <f t="array" ref="K38" xml:space="preserve"> INDEX('十五音-韻母'!$B$5:$O$54, $B38, K$2)</f>
        <v>innh</v>
      </c>
      <c r="L38" s="218" t="str" cm="1">
        <f t="array" ref="L38" xml:space="preserve"> INDEX('十五音-韻母'!$B$5:$O$54, $B38, L$2)</f>
        <v>ㆪ</v>
      </c>
      <c r="M38" s="218" t="str" cm="1">
        <f t="array" ref="M38" xml:space="preserve"> INDEX('十五音-韻母'!$B$5:$O$54, $B38, M$2)</f>
        <v>ㆪ</v>
      </c>
      <c r="O38" s="223" t="s">
        <v>247</v>
      </c>
      <c r="P38" s="224" t="s">
        <v>915</v>
      </c>
      <c r="Q38" s="225">
        <f t="shared" si="1"/>
        <v>50</v>
      </c>
      <c r="R38" s="225">
        <f t="shared" si="2"/>
        <v>16</v>
      </c>
      <c r="T38" s="223" t="s">
        <v>1423</v>
      </c>
      <c r="U38" s="224" t="s">
        <v>68</v>
      </c>
      <c r="V38" s="225">
        <f t="shared" si="3"/>
        <v>38</v>
      </c>
      <c r="W38" s="225">
        <f t="shared" si="4"/>
        <v>4</v>
      </c>
      <c r="X38" s="205" t="s">
        <v>3387</v>
      </c>
      <c r="Y38" s="205" t="s">
        <v>3388</v>
      </c>
      <c r="Z38" s="205" t="s">
        <v>3389</v>
      </c>
      <c r="AA38" s="205" t="s">
        <v>3390</v>
      </c>
      <c r="AC38" s="214">
        <f t="shared" si="0"/>
        <v>34</v>
      </c>
      <c r="AD38" s="223" t="str">
        <f t="shared" si="5"/>
        <v>梔</v>
      </c>
      <c r="AE38" s="257" t="str">
        <f t="shared" si="6"/>
        <v>inn</v>
      </c>
      <c r="AF38" s="257">
        <f t="shared" si="7"/>
        <v>13</v>
      </c>
      <c r="AG38" s="257">
        <f t="shared" si="8"/>
        <v>33</v>
      </c>
    </row>
    <row r="39" spans="2:33">
      <c r="B39" s="214">
        <v>35</v>
      </c>
      <c r="C39" s="223" t="s">
        <v>247</v>
      </c>
      <c r="D39" s="217"/>
      <c r="E39" s="217"/>
      <c r="F39" s="264" t="str" cm="1">
        <f t="array" ref="F39" xml:space="preserve"> INDEX('十五音-韻母'!$B$5:$O$54, $B39, F$2)</f>
        <v>ionn</v>
      </c>
      <c r="G39" s="218" t="str" cm="1">
        <f t="array" ref="G39" xml:space="preserve"> INDEX('十五音-韻母'!$B$5:$O$54, $B39, G$2)</f>
        <v>ionnh</v>
      </c>
      <c r="H39" s="218" t="str" cm="1">
        <f t="array" ref="H39" xml:space="preserve"> INDEX('十五音-韻母'!$B$5:$O$54, $B39, H$2)</f>
        <v>iɔ̃</v>
      </c>
      <c r="I39" s="218" t="str" cm="1">
        <f t="array" ref="I39" xml:space="preserve"> INDEX('十五音-韻母'!$B$5:$O$54, $B39, I$2)</f>
        <v>iɔ̃?</v>
      </c>
      <c r="J39" s="218" t="str" cm="1">
        <f t="array" ref="J39" xml:space="preserve"> INDEX('十五音-韻母'!$B$5:$O$54, $B39, J$2)</f>
        <v>ionn</v>
      </c>
      <c r="K39" s="218" t="str" cm="1">
        <f t="array" ref="K39" xml:space="preserve"> INDEX('十五音-韻母'!$B$5:$O$54, $B39, K$2)</f>
        <v>ionnh</v>
      </c>
      <c r="L39" s="218" t="str" cm="1">
        <f t="array" ref="L39" xml:space="preserve"> INDEX('十五音-韻母'!$B$5:$O$54, $B39, L$2)</f>
        <v>ㄧㆧ</v>
      </c>
      <c r="M39" s="218" t="str" cm="1">
        <f t="array" ref="M39" xml:space="preserve"> INDEX('十五音-韻母'!$B$5:$O$54, $B39, M$2)</f>
        <v>ㄧㆧㆷ</v>
      </c>
      <c r="O39" s="223" t="s">
        <v>3391</v>
      </c>
      <c r="P39" s="224" t="s">
        <v>3382</v>
      </c>
      <c r="Q39" s="225" t="str">
        <f t="shared" si="1"/>
        <v/>
      </c>
      <c r="R39" s="225">
        <f t="shared" si="2"/>
        <v>0</v>
      </c>
      <c r="T39" s="223" t="s">
        <v>3392</v>
      </c>
      <c r="U39" s="224" t="s">
        <v>733</v>
      </c>
      <c r="V39" s="225">
        <f t="shared" si="3"/>
        <v>40</v>
      </c>
      <c r="W39" s="225">
        <f t="shared" si="4"/>
        <v>5</v>
      </c>
      <c r="X39" s="205" t="s">
        <v>3393</v>
      </c>
      <c r="Y39" s="205" t="s">
        <v>3394</v>
      </c>
      <c r="AC39" s="214">
        <f t="shared" si="0"/>
        <v>35</v>
      </c>
      <c r="AD39" s="223" t="str">
        <f t="shared" si="5"/>
        <v>薑</v>
      </c>
      <c r="AE39" s="257" t="str">
        <f t="shared" si="6"/>
        <v>ionn</v>
      </c>
      <c r="AF39" s="257" t="str">
        <f t="shared" si="7"/>
        <v>無對映</v>
      </c>
      <c r="AG39" s="257" t="str">
        <f t="shared" si="8"/>
        <v>無對映</v>
      </c>
    </row>
    <row r="40" spans="2:33">
      <c r="B40" s="214">
        <v>36</v>
      </c>
      <c r="C40" s="223" t="s">
        <v>217</v>
      </c>
      <c r="D40" s="215"/>
      <c r="E40" s="227" t="s">
        <v>1415</v>
      </c>
      <c r="F40" s="218" t="str" cm="1">
        <f t="array" ref="F40" xml:space="preserve"> INDEX('十五音-韻母'!$B$5:$O$54, $B40, F$2)</f>
        <v>iann</v>
      </c>
      <c r="G40" s="218" t="str" cm="1">
        <f t="array" ref="G40" xml:space="preserve"> INDEX('十五音-韻母'!$B$5:$O$54, $B40, G$2)</f>
        <v>iannh</v>
      </c>
      <c r="H40" s="218" t="str" cm="1">
        <f t="array" ref="H40" xml:space="preserve"> INDEX('十五音-韻母'!$B$5:$O$54, $B40, H$2)</f>
        <v>iã</v>
      </c>
      <c r="I40" s="218" t="str" cm="1">
        <f t="array" ref="I40" xml:space="preserve"> INDEX('十五音-韻母'!$B$5:$O$54, $B40, I$2)</f>
        <v>iã?</v>
      </c>
      <c r="J40" s="218" t="str" cm="1">
        <f t="array" ref="J40" xml:space="preserve"> INDEX('十五音-韻母'!$B$5:$O$54, $B40, J$2)</f>
        <v>iann</v>
      </c>
      <c r="K40" s="218" t="str" cm="1">
        <f t="array" ref="K40" xml:space="preserve"> INDEX('十五音-韻母'!$B$5:$O$54, $B40, K$2)</f>
        <v>iannh</v>
      </c>
      <c r="L40" s="218" t="str" cm="1">
        <f t="array" ref="L40" xml:space="preserve"> INDEX('十五音-韻母'!$B$5:$O$54, $B40, L$2)</f>
        <v>ㄧㆩ</v>
      </c>
      <c r="M40" s="218" t="str" cm="1">
        <f t="array" ref="M40" xml:space="preserve"> INDEX('十五音-韻母'!$B$5:$O$54, $B40, M$2)</f>
        <v>ㄧㆩㆷ</v>
      </c>
      <c r="O40" s="223" t="s">
        <v>256</v>
      </c>
      <c r="P40" s="224" t="s">
        <v>257</v>
      </c>
      <c r="Q40" s="225">
        <f t="shared" si="1"/>
        <v>49</v>
      </c>
      <c r="R40" s="225">
        <f t="shared" si="2"/>
        <v>13</v>
      </c>
      <c r="T40" s="223" t="s">
        <v>1427</v>
      </c>
      <c r="U40" s="224" t="s">
        <v>915</v>
      </c>
      <c r="V40" s="225">
        <f t="shared" si="3"/>
        <v>50</v>
      </c>
      <c r="W40" s="225">
        <f t="shared" si="4"/>
        <v>14</v>
      </c>
      <c r="X40" s="205" t="s">
        <v>3395</v>
      </c>
      <c r="Y40" s="205" t="s">
        <v>3396</v>
      </c>
      <c r="AC40" s="214">
        <f t="shared" si="0"/>
        <v>36</v>
      </c>
      <c r="AD40" s="223" t="str">
        <f t="shared" si="5"/>
        <v>驚</v>
      </c>
      <c r="AE40" s="257" t="str">
        <f t="shared" si="6"/>
        <v>iann</v>
      </c>
      <c r="AF40" s="257">
        <f t="shared" si="7"/>
        <v>44</v>
      </c>
      <c r="AG40" s="257">
        <f t="shared" si="8"/>
        <v>31</v>
      </c>
    </row>
    <row r="41" spans="2:33">
      <c r="B41" s="214">
        <v>37</v>
      </c>
      <c r="C41" s="223" t="s">
        <v>3391</v>
      </c>
      <c r="D41" s="215"/>
      <c r="E41" s="215" t="s">
        <v>1418</v>
      </c>
      <c r="F41" s="218" t="str" cm="1">
        <f t="array" ref="F41" xml:space="preserve"> INDEX('十五音-韻母'!$B$5:$O$54, $B41, F$2)</f>
        <v>uann</v>
      </c>
      <c r="G41" s="218" t="str" cm="1">
        <f t="array" ref="G41" xml:space="preserve"> INDEX('十五音-韻母'!$B$5:$O$54, $B41, G$2)</f>
        <v>uannh</v>
      </c>
      <c r="H41" s="218" t="str" cm="1">
        <f t="array" ref="H41" xml:space="preserve"> INDEX('十五音-韻母'!$B$5:$O$54, $B41, H$2)</f>
        <v>uã</v>
      </c>
      <c r="I41" s="218" t="str" cm="1">
        <f t="array" ref="I41" xml:space="preserve"> INDEX('十五音-韻母'!$B$5:$O$54, $B41, I$2)</f>
        <v>uã?</v>
      </c>
      <c r="J41" s="218" t="str" cm="1">
        <f t="array" ref="J41" xml:space="preserve"> INDEX('十五音-韻母'!$B$5:$O$54, $B41, J$2)</f>
        <v>uann</v>
      </c>
      <c r="K41" s="218" t="str" cm="1">
        <f t="array" ref="K41" xml:space="preserve"> INDEX('十五音-韻母'!$B$5:$O$54, $B41, K$2)</f>
        <v>uannh</v>
      </c>
      <c r="L41" s="218" t="str" cm="1">
        <f t="array" ref="L41" xml:space="preserve"> INDEX('十五音-韻母'!$B$5:$O$54, $B41, L$2)</f>
        <v>ㄨㆩ</v>
      </c>
      <c r="M41" s="218" t="str" cm="1">
        <f t="array" ref="M41" xml:space="preserve"> INDEX('十五音-韻母'!$B$5:$O$54, $B41, M$2)</f>
        <v>ㄨㆩㆷ</v>
      </c>
      <c r="O41" s="223" t="s">
        <v>269</v>
      </c>
      <c r="P41" s="224" t="s">
        <v>3397</v>
      </c>
      <c r="Q41" s="225" t="str">
        <f t="shared" si="1"/>
        <v/>
      </c>
      <c r="R41" s="225">
        <f t="shared" si="2"/>
        <v>0</v>
      </c>
      <c r="T41" s="223" t="s">
        <v>1431</v>
      </c>
      <c r="U41" s="224" t="s">
        <v>884</v>
      </c>
      <c r="V41" s="225">
        <f t="shared" si="3"/>
        <v>33</v>
      </c>
      <c r="W41" s="225">
        <f t="shared" si="4"/>
        <v>-4</v>
      </c>
      <c r="X41" s="205" t="s">
        <v>3398</v>
      </c>
      <c r="Y41" s="205" t="s">
        <v>3399</v>
      </c>
      <c r="Z41" s="256" t="s">
        <v>3400</v>
      </c>
      <c r="AA41" s="256" t="s">
        <v>3401</v>
      </c>
      <c r="AC41" s="214">
        <f t="shared" si="0"/>
        <v>37</v>
      </c>
      <c r="AD41" s="223" t="str">
        <f t="shared" si="5"/>
        <v>官</v>
      </c>
      <c r="AE41" s="257" t="str">
        <f t="shared" si="6"/>
        <v>uann</v>
      </c>
      <c r="AF41" s="257" t="str">
        <f t="shared" si="7"/>
        <v>無對映</v>
      </c>
      <c r="AG41" s="257" t="str">
        <f t="shared" si="8"/>
        <v>無對映</v>
      </c>
    </row>
    <row r="42" spans="2:33">
      <c r="B42" s="214">
        <v>38</v>
      </c>
      <c r="C42" s="223" t="s">
        <v>260</v>
      </c>
      <c r="D42" s="216"/>
      <c r="E42" s="227" t="s">
        <v>1423</v>
      </c>
      <c r="F42" s="218" t="str" cm="1">
        <f t="array" ref="F42" xml:space="preserve"> INDEX('十五音-韻母'!$B$5:$O$54, $B42, F$2)</f>
        <v>ng</v>
      </c>
      <c r="G42" s="218" t="str" cm="1">
        <f t="array" ref="G42" xml:space="preserve"> INDEX('十五音-韻母'!$B$5:$O$54, $B42, G$2)</f>
        <v>ngh</v>
      </c>
      <c r="H42" s="218" t="str" cm="1">
        <f t="array" ref="H42" xml:space="preserve"> INDEX('十五音-韻母'!$B$5:$O$54, $B42, H$2)</f>
        <v>ŋ</v>
      </c>
      <c r="I42" s="218" t="str" cm="1">
        <f t="array" ref="I42" xml:space="preserve"> INDEX('十五音-韻母'!$B$5:$O$54, $B42, I$2)</f>
        <v>ŋ?</v>
      </c>
      <c r="J42" s="218" t="str" cm="1">
        <f t="array" ref="J42" xml:space="preserve"> INDEX('十五音-韻母'!$B$5:$O$54, $B42, J$2)</f>
        <v>ng</v>
      </c>
      <c r="K42" s="218" t="str" cm="1">
        <f t="array" ref="K42" xml:space="preserve"> INDEX('十五音-韻母'!$B$5:$O$54, $B42, K$2)</f>
        <v>ngh</v>
      </c>
      <c r="L42" s="218" t="str" cm="1">
        <f t="array" ref="L42" xml:space="preserve"> INDEX('十五音-韻母'!$B$5:$O$54, $B42, L$2)</f>
        <v>ㆭ</v>
      </c>
      <c r="M42" s="218" t="str" cm="1">
        <f t="array" ref="M42" xml:space="preserve"> INDEX('十五音-韻母'!$B$5:$O$54, $B42, M$2)</f>
        <v>ㆭㆷ</v>
      </c>
      <c r="O42" s="223" t="s">
        <v>251</v>
      </c>
      <c r="P42" s="224" t="s">
        <v>36</v>
      </c>
      <c r="Q42" s="225">
        <f t="shared" si="1"/>
        <v>42</v>
      </c>
      <c r="R42" s="225">
        <f t="shared" si="2"/>
        <v>4</v>
      </c>
      <c r="T42" s="223" t="s">
        <v>1434</v>
      </c>
      <c r="U42" s="224" t="s">
        <v>36</v>
      </c>
      <c r="V42" s="225">
        <f t="shared" si="3"/>
        <v>42</v>
      </c>
      <c r="W42" s="225">
        <f t="shared" si="4"/>
        <v>4</v>
      </c>
      <c r="X42" s="205" t="s">
        <v>3402</v>
      </c>
      <c r="Y42" s="205" t="s">
        <v>3403</v>
      </c>
      <c r="AC42" s="214">
        <f t="shared" si="0"/>
        <v>38</v>
      </c>
      <c r="AD42" s="223" t="str">
        <f t="shared" si="5"/>
        <v>鋼</v>
      </c>
      <c r="AE42" s="257" t="str">
        <f t="shared" si="6"/>
        <v>ng</v>
      </c>
      <c r="AF42" s="257">
        <f t="shared" si="7"/>
        <v>32</v>
      </c>
      <c r="AG42" s="257">
        <f t="shared" si="8"/>
        <v>34</v>
      </c>
    </row>
    <row r="43" spans="2:33">
      <c r="B43" s="214">
        <v>39</v>
      </c>
      <c r="C43" s="227" t="s">
        <v>189</v>
      </c>
      <c r="D43" s="217"/>
      <c r="E43" s="217"/>
      <c r="F43" s="218" t="str" cm="1">
        <f t="array" ref="F43" xml:space="preserve"> INDEX('十五音-韻母'!$B$5:$O$54, $B43, F$2)</f>
        <v>e</v>
      </c>
      <c r="G43" s="218" t="str" cm="1">
        <f t="array" ref="G43" xml:space="preserve"> INDEX('十五音-韻母'!$B$5:$O$54, $B43, G$2)</f>
        <v>eh</v>
      </c>
      <c r="H43" s="218" t="str" cm="1">
        <f t="array" ref="H43" xml:space="preserve"> INDEX('十五音-韻母'!$B$5:$O$54, $B43, H$2)</f>
        <v>e</v>
      </c>
      <c r="I43" s="218" t="str" cm="1">
        <f t="array" ref="I43" xml:space="preserve"> INDEX('十五音-韻母'!$B$5:$O$54, $B43, I$2)</f>
        <v>e?</v>
      </c>
      <c r="J43" s="218" t="str" cm="1">
        <f t="array" ref="J43" xml:space="preserve"> INDEX('十五音-韻母'!$B$5:$O$54, $B43, J$2)</f>
        <v>e</v>
      </c>
      <c r="K43" s="218" t="str" cm="1">
        <f t="array" ref="K43" xml:space="preserve"> INDEX('十五音-韻母'!$B$5:$O$54, $B43, K$2)</f>
        <v>eh</v>
      </c>
      <c r="L43" s="218" t="str" cm="1">
        <f t="array" ref="L43" xml:space="preserve"> INDEX('十五音-韻母'!$B$5:$O$54, $B43, L$2)</f>
        <v>ㆤ</v>
      </c>
      <c r="M43" s="218" t="str" cm="1">
        <f t="array" ref="M43" xml:space="preserve"> INDEX('十五音-韻母'!$B$5:$O$54, $B43, M$2)</f>
        <v>ㆤㆷ</v>
      </c>
      <c r="O43" s="223" t="s">
        <v>272</v>
      </c>
      <c r="P43" s="224" t="s">
        <v>3404</v>
      </c>
      <c r="Q43" s="225" t="str">
        <f t="shared" si="1"/>
        <v/>
      </c>
      <c r="R43" s="225">
        <f t="shared" si="2"/>
        <v>0</v>
      </c>
      <c r="T43" s="223" t="s">
        <v>1437</v>
      </c>
      <c r="U43" s="224" t="s">
        <v>720</v>
      </c>
      <c r="V43" s="225">
        <f t="shared" si="3"/>
        <v>26</v>
      </c>
      <c r="W43" s="225">
        <f t="shared" si="4"/>
        <v>-13</v>
      </c>
      <c r="X43" s="205" t="s">
        <v>3405</v>
      </c>
      <c r="Y43" s="205" t="s">
        <v>3406</v>
      </c>
      <c r="AC43" s="214">
        <f t="shared" si="0"/>
        <v>39</v>
      </c>
      <c r="AD43" s="223" t="str">
        <f t="shared" si="5"/>
        <v>伽</v>
      </c>
      <c r="AE43" s="257" t="str">
        <f t="shared" si="6"/>
        <v>e</v>
      </c>
      <c r="AF43" s="257">
        <f t="shared" si="7"/>
        <v>5</v>
      </c>
      <c r="AG43" s="257">
        <f t="shared" si="8"/>
        <v>5</v>
      </c>
    </row>
    <row r="44" spans="2:33">
      <c r="B44" s="214">
        <v>40</v>
      </c>
      <c r="C44" s="223" t="s">
        <v>156</v>
      </c>
      <c r="D44" s="215"/>
      <c r="E44" s="215" t="s">
        <v>1424</v>
      </c>
      <c r="F44" s="218" t="str" cm="1">
        <f t="array" ref="F44" xml:space="preserve"> INDEX('十五音-韻母'!$B$5:$O$54, $B44, F$2)</f>
        <v>ainn</v>
      </c>
      <c r="G44" s="218" t="str" cm="1">
        <f t="array" ref="G44" xml:space="preserve"> INDEX('十五音-韻母'!$B$5:$O$54, $B44, G$2)</f>
        <v>ainnh</v>
      </c>
      <c r="H44" s="218" t="str" cm="1">
        <f t="array" ref="H44" xml:space="preserve"> INDEX('十五音-韻母'!$B$5:$O$54, $B44, H$2)</f>
        <v>aĩ</v>
      </c>
      <c r="I44" s="218" t="str" cm="1">
        <f t="array" ref="I44" xml:space="preserve"> INDEX('十五音-韻母'!$B$5:$O$54, $B44, I$2)</f>
        <v>aĩ?</v>
      </c>
      <c r="J44" s="218" t="str" cm="1">
        <f t="array" ref="J44" xml:space="preserve"> INDEX('十五音-韻母'!$B$5:$O$54, $B44, J$2)</f>
        <v>ainn</v>
      </c>
      <c r="K44" s="218" t="str" cm="1">
        <f t="array" ref="K44" xml:space="preserve"> INDEX('十五音-韻母'!$B$5:$O$54, $B44, K$2)</f>
        <v>ainnh</v>
      </c>
      <c r="L44" s="218" t="str" cm="1">
        <f t="array" ref="L44" xml:space="preserve"> INDEX('十五音-韻母'!$B$5:$O$54, $B44, L$2)</f>
        <v>ㆮ</v>
      </c>
      <c r="M44" s="218" t="str" cm="1">
        <f t="array" ref="M44" xml:space="preserve"> INDEX('十五音-韻母'!$B$5:$O$54, $B44, M$2)</f>
        <v>ㆮㆷ</v>
      </c>
      <c r="O44" s="223" t="s">
        <v>156</v>
      </c>
      <c r="P44" s="224" t="s">
        <v>157</v>
      </c>
      <c r="Q44" s="225">
        <f t="shared" si="1"/>
        <v>40</v>
      </c>
      <c r="R44" s="225">
        <f t="shared" si="2"/>
        <v>0</v>
      </c>
      <c r="T44" s="223" t="s">
        <v>1438</v>
      </c>
      <c r="U44" s="224" t="s">
        <v>3404</v>
      </c>
      <c r="V44" s="225" t="e">
        <f t="shared" si="3"/>
        <v>#N/A</v>
      </c>
      <c r="W44" s="225" t="e">
        <f t="shared" si="4"/>
        <v>#N/A</v>
      </c>
      <c r="X44" s="205" t="s">
        <v>3407</v>
      </c>
      <c r="AC44" s="214">
        <f t="shared" si="0"/>
        <v>40</v>
      </c>
      <c r="AD44" s="223" t="str">
        <f t="shared" si="5"/>
        <v>閒</v>
      </c>
      <c r="AE44" s="257" t="str">
        <f t="shared" si="6"/>
        <v>ainn</v>
      </c>
      <c r="AF44" s="257">
        <f t="shared" si="7"/>
        <v>40</v>
      </c>
      <c r="AG44" s="257">
        <f t="shared" si="8"/>
        <v>35</v>
      </c>
    </row>
    <row r="45" spans="2:33">
      <c r="B45" s="214">
        <v>41</v>
      </c>
      <c r="C45" s="227" t="s">
        <v>256</v>
      </c>
      <c r="D45" s="217"/>
      <c r="E45" s="217"/>
      <c r="F45" s="218" t="str" cm="1">
        <f t="array" ref="F45" xml:space="preserve"> INDEX('十五音-韻母'!$B$5:$O$54, $B45, F$2)</f>
        <v>oonn</v>
      </c>
      <c r="G45" s="218" t="str" cm="1">
        <f t="array" ref="G45" xml:space="preserve"> INDEX('十五音-韻母'!$B$5:$O$54, $B45, G$2)</f>
        <v>oonnh</v>
      </c>
      <c r="H45" s="218" t="str" cm="1">
        <f t="array" ref="H45" xml:space="preserve"> INDEX('十五音-韻母'!$B$5:$O$54, $B45, H$2)</f>
        <v>õu</v>
      </c>
      <c r="I45" s="218" t="str" cm="1">
        <f t="array" ref="I45" xml:space="preserve"> INDEX('十五音-韻母'!$B$5:$O$54, $B45, I$2)</f>
        <v>õu?</v>
      </c>
      <c r="J45" s="218" t="str" cm="1">
        <f t="array" ref="J45" xml:space="preserve"> INDEX('十五音-韻母'!$B$5:$O$54, $B45, J$2)</f>
        <v>onn</v>
      </c>
      <c r="K45" s="218" t="str" cm="1">
        <f t="array" ref="K45" xml:space="preserve"> INDEX('十五音-韻母'!$B$5:$O$54, $B45, K$2)</f>
        <v>onnh</v>
      </c>
      <c r="L45" s="218" t="str" cm="1">
        <f t="array" ref="L45" xml:space="preserve"> INDEX('十五音-韻母'!$B$5:$O$54, $B45, L$2)</f>
        <v>ㆧ</v>
      </c>
      <c r="M45" s="218" t="str" cm="1">
        <f t="array" ref="M45" xml:space="preserve"> INDEX('十五音-韻母'!$B$5:$O$54, $B45, M$2)</f>
        <v>ㆧㆷ</v>
      </c>
      <c r="O45" s="223" t="s">
        <v>232</v>
      </c>
      <c r="P45" s="224" t="s">
        <v>853</v>
      </c>
      <c r="Q45" s="225">
        <f t="shared" si="1"/>
        <v>46</v>
      </c>
      <c r="R45" s="225">
        <f t="shared" si="2"/>
        <v>5</v>
      </c>
      <c r="T45" s="223" t="s">
        <v>1441</v>
      </c>
      <c r="U45" s="224" t="s">
        <v>790</v>
      </c>
      <c r="V45" s="225">
        <f t="shared" si="3"/>
        <v>31</v>
      </c>
      <c r="W45" s="225">
        <f t="shared" si="4"/>
        <v>-10</v>
      </c>
      <c r="X45" s="205" t="s">
        <v>3408</v>
      </c>
      <c r="Y45" s="205" t="s">
        <v>3409</v>
      </c>
      <c r="AC45" s="214">
        <f t="shared" si="0"/>
        <v>41</v>
      </c>
      <c r="AD45" s="223" t="str">
        <f t="shared" si="5"/>
        <v>姑</v>
      </c>
      <c r="AE45" s="257" t="str">
        <f t="shared" si="6"/>
        <v>oonn</v>
      </c>
      <c r="AF45" s="257" t="str">
        <f t="shared" si="7"/>
        <v>無對映</v>
      </c>
      <c r="AG45" s="257" t="str">
        <f t="shared" si="8"/>
        <v>無對映</v>
      </c>
    </row>
    <row r="46" spans="2:33">
      <c r="B46" s="214">
        <v>42</v>
      </c>
      <c r="C46" s="223" t="s">
        <v>251</v>
      </c>
      <c r="D46" s="216"/>
      <c r="E46" s="216"/>
      <c r="F46" s="218" t="str" cm="1">
        <f t="array" ref="F46" xml:space="preserve"> INDEX('十五音-韻母'!$B$5:$O$54, $B46, F$2)</f>
        <v>m</v>
      </c>
      <c r="G46" s="218" t="str" cm="1">
        <f t="array" ref="G46" xml:space="preserve"> INDEX('十五音-韻母'!$B$5:$O$54, $B46, G$2)</f>
        <v>mh</v>
      </c>
      <c r="H46" s="218" t="str" cm="1">
        <f t="array" ref="H46" xml:space="preserve"> INDEX('十五音-韻母'!$B$5:$O$54, $B46, H$2)</f>
        <v>m</v>
      </c>
      <c r="I46" s="218" t="str" cm="1">
        <f t="array" ref="I46" xml:space="preserve"> INDEX('十五音-韻母'!$B$5:$O$54, $B46, I$2)</f>
        <v>mh</v>
      </c>
      <c r="J46" s="218" t="str" cm="1">
        <f t="array" ref="J46" xml:space="preserve"> INDEX('十五音-韻母'!$B$5:$O$54, $B46, J$2)</f>
        <v>m</v>
      </c>
      <c r="K46" s="218" t="str" cm="1">
        <f t="array" ref="K46" xml:space="preserve"> INDEX('十五音-韻母'!$B$5:$O$54, $B46, K$2)</f>
        <v>mh</v>
      </c>
      <c r="L46" s="218" t="str" cm="1">
        <f t="array" ref="L46" xml:space="preserve"> INDEX('十五音-韻母'!$B$5:$O$54, $B46, L$2)</f>
        <v>ㆬ</v>
      </c>
      <c r="M46" s="218" t="str" cm="1">
        <f t="array" ref="M46" xml:space="preserve"> INDEX('十五音-韻母'!$B$5:$O$54, $B46, M$2)</f>
        <v>ㆬㆷ</v>
      </c>
      <c r="O46" s="223" t="s">
        <v>261</v>
      </c>
      <c r="P46" s="224" t="s">
        <v>966</v>
      </c>
      <c r="Q46" s="225">
        <f t="shared" si="1"/>
        <v>47</v>
      </c>
      <c r="R46" s="225">
        <f t="shared" si="2"/>
        <v>5</v>
      </c>
      <c r="T46" s="223" t="s">
        <v>1444</v>
      </c>
      <c r="U46" s="224" t="s">
        <v>257</v>
      </c>
      <c r="V46" s="225">
        <f t="shared" si="3"/>
        <v>49</v>
      </c>
      <c r="W46" s="225">
        <f t="shared" si="4"/>
        <v>7</v>
      </c>
      <c r="X46" s="205" t="s">
        <v>3410</v>
      </c>
      <c r="Y46" s="205" t="s">
        <v>3411</v>
      </c>
      <c r="AC46" s="214">
        <f t="shared" si="0"/>
        <v>42</v>
      </c>
      <c r="AD46" s="223" t="str">
        <f t="shared" si="5"/>
        <v>姆</v>
      </c>
      <c r="AE46" s="257" t="str">
        <f t="shared" si="6"/>
        <v>m</v>
      </c>
      <c r="AF46" s="257">
        <f t="shared" si="7"/>
        <v>38</v>
      </c>
      <c r="AG46" s="257">
        <f t="shared" si="8"/>
        <v>38</v>
      </c>
    </row>
    <row r="47" spans="2:33">
      <c r="B47" s="214">
        <v>43</v>
      </c>
      <c r="C47" s="215" t="s">
        <v>269</v>
      </c>
      <c r="D47" s="227"/>
      <c r="E47" s="215"/>
      <c r="F47" s="218" t="str" cm="1">
        <f t="array" ref="F47" xml:space="preserve"> INDEX('十五音-韻母'!$B$5:$O$54, $B47, F$2)</f>
        <v>uang</v>
      </c>
      <c r="G47" s="218" t="str" cm="1">
        <f t="array" ref="G47" xml:space="preserve"> INDEX('十五音-韻母'!$B$5:$O$54, $B47, G$2)</f>
        <v>uak</v>
      </c>
      <c r="H47" s="218" t="str" cm="1">
        <f t="array" ref="H47" xml:space="preserve"> INDEX('十五音-韻母'!$B$5:$O$54, $B47, H$2)</f>
        <v>uaŋ</v>
      </c>
      <c r="I47" s="218" t="str" cm="1">
        <f t="array" ref="I47" xml:space="preserve"> INDEX('十五音-韻母'!$B$5:$O$54, $B47, I$2)</f>
        <v>uak̚</v>
      </c>
      <c r="J47" s="218" t="str" cm="1">
        <f t="array" ref="J47" xml:space="preserve"> INDEX('十五音-韻母'!$B$5:$O$54, $B47, J$2)</f>
        <v>uang</v>
      </c>
      <c r="K47" s="218" t="str" cm="1">
        <f t="array" ref="K47" xml:space="preserve"> INDEX('十五音-韻母'!$B$5:$O$54, $B47, K$2)</f>
        <v>uak</v>
      </c>
      <c r="L47" s="218" t="str" cm="1">
        <f t="array" ref="L47" xml:space="preserve"> INDEX('十五音-韻母'!$B$5:$O$54, $B47, L$2)</f>
        <v>ㄨㄤ</v>
      </c>
      <c r="M47" s="218" t="str" cm="1">
        <f t="array" ref="M47" xml:space="preserve"> INDEX('十五音-韻母'!$B$5:$O$54, $B47, M$2)</f>
        <v>ㄨㄚㆻ</v>
      </c>
      <c r="O47" s="223" t="s">
        <v>183</v>
      </c>
      <c r="P47" s="224" t="s">
        <v>774</v>
      </c>
      <c r="Q47" s="225">
        <f t="shared" si="1"/>
        <v>48</v>
      </c>
      <c r="R47" s="225">
        <f t="shared" si="2"/>
        <v>5</v>
      </c>
      <c r="T47" s="223" t="s">
        <v>1447</v>
      </c>
      <c r="U47" s="224" t="s">
        <v>774</v>
      </c>
      <c r="V47" s="225">
        <f t="shared" si="3"/>
        <v>48</v>
      </c>
      <c r="W47" s="225">
        <f t="shared" si="4"/>
        <v>5</v>
      </c>
      <c r="X47" s="205" t="s">
        <v>3412</v>
      </c>
      <c r="Y47" s="205" t="s">
        <v>3413</v>
      </c>
      <c r="AC47" s="214">
        <f t="shared" si="0"/>
        <v>43</v>
      </c>
      <c r="AD47" s="223" t="str">
        <f t="shared" si="5"/>
        <v>光</v>
      </c>
      <c r="AE47" s="257" t="str">
        <f t="shared" si="6"/>
        <v>uang</v>
      </c>
      <c r="AF47" s="257" t="str">
        <f t="shared" si="7"/>
        <v>無對映</v>
      </c>
      <c r="AG47" s="257" t="str">
        <f t="shared" si="8"/>
        <v>無對映</v>
      </c>
    </row>
    <row r="48" spans="2:33">
      <c r="B48" s="214">
        <v>44</v>
      </c>
      <c r="C48" s="216" t="s">
        <v>276</v>
      </c>
      <c r="D48" s="216"/>
      <c r="E48" s="216"/>
      <c r="F48" s="218" t="str" cm="1">
        <f t="array" ref="F48" xml:space="preserve"> INDEX('十五音-韻母'!$B$5:$O$54, $B48, F$2)</f>
        <v>uainn</v>
      </c>
      <c r="G48" s="218" t="str" cm="1">
        <f t="array" ref="G48" xml:space="preserve"> INDEX('十五音-韻母'!$B$5:$O$54, $B48, G$2)</f>
        <v>uainnh</v>
      </c>
      <c r="H48" s="218" t="str" cm="1">
        <f t="array" ref="H48" xml:space="preserve"> INDEX('十五音-韻母'!$B$5:$O$54, $B48, H$2)</f>
        <v>uãi</v>
      </c>
      <c r="I48" s="218" t="str" cm="1">
        <f t="array" ref="I48" xml:space="preserve"> INDEX('十五音-韻母'!$B$5:$O$54, $B48, I$2)</f>
        <v>uãi?</v>
      </c>
      <c r="J48" s="218" t="str" cm="1">
        <f t="array" ref="J48" xml:space="preserve"> INDEX('十五音-韻母'!$B$5:$O$54, $B48, J$2)</f>
        <v>uainn</v>
      </c>
      <c r="K48" s="218" t="str" cm="1">
        <f t="array" ref="K48" xml:space="preserve"> INDEX('十五音-韻母'!$B$5:$O$54, $B48, K$2)</f>
        <v>uainnh</v>
      </c>
      <c r="L48" s="218" t="str" cm="1">
        <f t="array" ref="L48" xml:space="preserve"> INDEX('十五音-韻母'!$B$5:$O$54, $B48, L$2)</f>
        <v>ㄨㆮ</v>
      </c>
      <c r="M48" s="218" t="str" cm="1">
        <f t="array" ref="M48" xml:space="preserve"> INDEX('十五音-韻母'!$B$5:$O$54, $B48, M$2)</f>
        <v>ㄨㆮㆷ</v>
      </c>
      <c r="O48" s="223" t="s">
        <v>217</v>
      </c>
      <c r="P48" s="224" t="s">
        <v>823</v>
      </c>
      <c r="Q48" s="225">
        <f t="shared" si="1"/>
        <v>36</v>
      </c>
      <c r="R48" s="225">
        <f t="shared" si="2"/>
        <v>-8</v>
      </c>
      <c r="T48" s="223" t="s">
        <v>1448</v>
      </c>
      <c r="U48" s="224" t="s">
        <v>853</v>
      </c>
      <c r="V48" s="225">
        <f t="shared" si="3"/>
        <v>46</v>
      </c>
      <c r="W48" s="225">
        <f t="shared" si="4"/>
        <v>2</v>
      </c>
      <c r="X48" s="205" t="s">
        <v>3414</v>
      </c>
      <c r="AC48" s="214">
        <f t="shared" si="0"/>
        <v>44</v>
      </c>
      <c r="AD48" s="223" t="str">
        <f t="shared" si="5"/>
        <v>閂</v>
      </c>
      <c r="AE48" s="257" t="str">
        <f t="shared" si="6"/>
        <v>uainn</v>
      </c>
      <c r="AF48" s="257" t="str">
        <f t="shared" si="7"/>
        <v>無對映</v>
      </c>
      <c r="AG48" s="257" t="str">
        <f t="shared" si="8"/>
        <v>無對映</v>
      </c>
    </row>
    <row r="49" spans="2:33">
      <c r="B49" s="214">
        <v>45</v>
      </c>
      <c r="C49" s="265" t="s">
        <v>272</v>
      </c>
      <c r="D49" s="216"/>
      <c r="E49" s="216"/>
      <c r="F49" s="264" t="str" cm="1">
        <f t="array" ref="F49" xml:space="preserve"> INDEX('十五音-韻母'!$B$5:$O$54, $B49, F$2)</f>
        <v>uenn</v>
      </c>
      <c r="G49" s="218" t="str" cm="1">
        <f t="array" ref="G49" xml:space="preserve"> INDEX('十五音-韻母'!$B$5:$O$54, $B49, G$2)</f>
        <v>uennh</v>
      </c>
      <c r="H49" s="218" t="str" cm="1">
        <f t="array" ref="H49" xml:space="preserve"> INDEX('十五音-韻母'!$B$5:$O$54, $B49, H$2)</f>
        <v>uẽi</v>
      </c>
      <c r="I49" s="218" t="str" cm="1">
        <f t="array" ref="I49" xml:space="preserve"> INDEX('十五音-韻母'!$B$5:$O$54, $B49, I$2)</f>
        <v>uẽi?</v>
      </c>
      <c r="J49" s="218" t="str" cm="1">
        <f t="array" ref="J49" xml:space="preserve"> INDEX('十五音-韻母'!$B$5:$O$54, $B49, J$2)</f>
        <v>uenn</v>
      </c>
      <c r="K49" s="218" t="str" cm="1">
        <f t="array" ref="K49" xml:space="preserve"> INDEX('十五音-韻母'!$B$5:$O$54, $B49, K$2)</f>
        <v>uennh</v>
      </c>
      <c r="L49" s="218" t="str" cm="1">
        <f t="array" ref="L49" xml:space="preserve"> INDEX('十五音-韻母'!$B$5:$O$54, $B49, L$2)</f>
        <v>ㄨㆥ</v>
      </c>
      <c r="M49" s="218" t="str" cm="1">
        <f t="array" ref="M49" xml:space="preserve"> INDEX('十五音-韻母'!$B$5:$O$54, $B49, M$2)</f>
        <v>ㄨㆥㆷ</v>
      </c>
      <c r="O49" s="223" t="s">
        <v>3415</v>
      </c>
      <c r="P49" s="224" t="s">
        <v>1062</v>
      </c>
      <c r="Q49" s="225">
        <f t="shared" si="1"/>
        <v>32</v>
      </c>
      <c r="R49" s="225">
        <f t="shared" si="2"/>
        <v>-13</v>
      </c>
      <c r="T49" s="223"/>
      <c r="U49" s="224"/>
      <c r="V49" s="225" t="e">
        <f t="shared" si="3"/>
        <v>#N/A</v>
      </c>
      <c r="W49" s="225" t="e">
        <f t="shared" si="4"/>
        <v>#N/A</v>
      </c>
      <c r="AC49" s="214">
        <f t="shared" si="0"/>
        <v>45</v>
      </c>
      <c r="AD49" s="223" t="str">
        <f t="shared" si="5"/>
        <v>糜</v>
      </c>
      <c r="AE49" s="257" t="str">
        <f t="shared" si="6"/>
        <v>uenn</v>
      </c>
      <c r="AF49" s="257" t="str">
        <f t="shared" si="7"/>
        <v>無對映</v>
      </c>
      <c r="AG49" s="257" t="str">
        <f t="shared" si="8"/>
        <v>無對映</v>
      </c>
    </row>
    <row r="50" spans="2:33">
      <c r="B50" s="214">
        <v>46</v>
      </c>
      <c r="C50" s="215" t="s">
        <v>232</v>
      </c>
      <c r="D50" s="227"/>
      <c r="E50" s="227" t="s">
        <v>1448</v>
      </c>
      <c r="F50" s="218" t="str" cm="1">
        <f t="array" ref="F50" xml:space="preserve"> INDEX('十五音-韻母'!$B$5:$O$54, $B50, F$2)</f>
        <v>iaunn</v>
      </c>
      <c r="G50" s="218" t="str" cm="1">
        <f t="array" ref="G50" xml:space="preserve"> INDEX('十五音-韻母'!$B$5:$O$54, $B50, G$2)</f>
        <v>iaunnh</v>
      </c>
      <c r="H50" s="218" t="str" cm="1">
        <f t="array" ref="H50" xml:space="preserve"> INDEX('十五音-韻母'!$B$5:$O$54, $B50, H$2)</f>
        <v>iãu</v>
      </c>
      <c r="I50" s="218" t="str" cm="1">
        <f t="array" ref="I50" xml:space="preserve"> INDEX('十五音-韻母'!$B$5:$O$54, $B50, I$2)</f>
        <v>iãu?</v>
      </c>
      <c r="J50" s="218" t="str" cm="1">
        <f t="array" ref="J50" xml:space="preserve"> INDEX('十五音-韻母'!$B$5:$O$54, $B50, J$2)</f>
        <v>iaunn</v>
      </c>
      <c r="K50" s="218" t="str" cm="1">
        <f t="array" ref="K50" xml:space="preserve"> INDEX('十五音-韻母'!$B$5:$O$54, $B50, K$2)</f>
        <v>iaunnh</v>
      </c>
      <c r="L50" s="218" t="str" cm="1">
        <f t="array" ref="L50" xml:space="preserve"> INDEX('十五音-韻母'!$B$5:$O$54, $B50, L$2)</f>
        <v>ㄧㆯ</v>
      </c>
      <c r="M50" s="218" t="str" cm="1">
        <f t="array" ref="M50" xml:space="preserve"> INDEX('十五音-韻母'!$B$5:$O$54, $B50, M$2)</f>
        <v>ㄧㆯㆷ</v>
      </c>
      <c r="O50" s="226"/>
      <c r="P50" s="224"/>
      <c r="Q50" s="225" t="str">
        <f t="shared" si="1"/>
        <v/>
      </c>
      <c r="R50" s="225">
        <f t="shared" si="2"/>
        <v>0</v>
      </c>
      <c r="T50" s="226"/>
      <c r="U50" s="224"/>
      <c r="V50" s="225" t="e">
        <f t="shared" si="3"/>
        <v>#N/A</v>
      </c>
      <c r="W50" s="225" t="e">
        <f t="shared" si="4"/>
        <v>#N/A</v>
      </c>
      <c r="AC50" s="214">
        <f t="shared" si="0"/>
        <v>46</v>
      </c>
      <c r="AD50" s="223" t="str">
        <f t="shared" si="5"/>
        <v>嘄</v>
      </c>
      <c r="AE50" s="257" t="str">
        <f t="shared" si="6"/>
        <v>iaunn</v>
      </c>
      <c r="AF50" s="257">
        <f t="shared" si="7"/>
        <v>41</v>
      </c>
      <c r="AG50" s="257">
        <f t="shared" si="8"/>
        <v>44</v>
      </c>
    </row>
    <row r="51" spans="2:33">
      <c r="B51" s="214">
        <v>47</v>
      </c>
      <c r="C51" s="215" t="s">
        <v>261</v>
      </c>
      <c r="D51" s="215"/>
      <c r="E51" s="215"/>
      <c r="F51" s="218" t="str" cm="1">
        <f t="array" ref="F51" xml:space="preserve"> INDEX('十五音-韻母'!$B$5:$O$54, $B51, F$2)</f>
        <v>om</v>
      </c>
      <c r="G51" s="218" t="str" cm="1">
        <f t="array" ref="G51" xml:space="preserve"> INDEX('十五音-韻母'!$B$5:$O$54, $B51, G$2)</f>
        <v>op</v>
      </c>
      <c r="H51" s="218" t="str" cm="1">
        <f t="array" ref="H51" xml:space="preserve"> INDEX('十五音-韻母'!$B$5:$O$54, $B51, H$2)</f>
        <v>ɔm</v>
      </c>
      <c r="I51" s="218" t="str" cm="1">
        <f t="array" ref="I51" xml:space="preserve"> INDEX('十五音-韻母'!$B$5:$O$54, $B51, I$2)</f>
        <v>ɔp̚</v>
      </c>
      <c r="J51" s="218" t="str" cm="1">
        <f t="array" ref="J51" xml:space="preserve"> INDEX('十五音-韻母'!$B$5:$O$54, $B51, J$2)</f>
        <v>om</v>
      </c>
      <c r="K51" s="218" t="str" cm="1">
        <f t="array" ref="K51" xml:space="preserve"> INDEX('十五音-韻母'!$B$5:$O$54, $B51, K$2)</f>
        <v>op</v>
      </c>
      <c r="L51" s="218" t="str" cm="1">
        <f t="array" ref="L51" xml:space="preserve"> INDEX('十五音-韻母'!$B$5:$O$54, $B51, L$2)</f>
        <v>ㆱ</v>
      </c>
      <c r="M51" s="218" t="str" cm="1">
        <f t="array" ref="M51" xml:space="preserve"> INDEX('十五音-韻母'!$B$5:$O$54, $B51, M$2)</f>
        <v>ㆦㆴ</v>
      </c>
      <c r="O51" s="226"/>
      <c r="P51" s="224"/>
      <c r="Q51" s="225" t="str">
        <f t="shared" si="1"/>
        <v/>
      </c>
      <c r="R51" s="225">
        <f t="shared" si="2"/>
        <v>0</v>
      </c>
      <c r="T51" s="226"/>
      <c r="U51" s="224"/>
      <c r="V51" s="225" t="e">
        <f t="shared" si="3"/>
        <v>#N/A</v>
      </c>
      <c r="W51" s="225" t="e">
        <f t="shared" si="4"/>
        <v>#N/A</v>
      </c>
      <c r="AC51" s="214">
        <f t="shared" si="0"/>
        <v>47</v>
      </c>
      <c r="AD51" s="223" t="str">
        <f t="shared" si="5"/>
        <v>箴</v>
      </c>
      <c r="AE51" s="257" t="str">
        <f t="shared" si="6"/>
        <v>om</v>
      </c>
      <c r="AF51" s="257">
        <f t="shared" si="7"/>
        <v>42</v>
      </c>
      <c r="AG51" s="257">
        <f t="shared" si="8"/>
        <v>28</v>
      </c>
    </row>
    <row r="52" spans="2:33">
      <c r="B52" s="214">
        <v>48</v>
      </c>
      <c r="C52" s="215" t="s">
        <v>183</v>
      </c>
      <c r="D52" s="227"/>
      <c r="E52" s="227" t="s">
        <v>1447</v>
      </c>
      <c r="F52" s="218" t="str" cm="1">
        <f t="array" ref="F52" xml:space="preserve"> INDEX('十五音-韻母'!$B$5:$O$54, $B52, F$2)</f>
        <v>aunn</v>
      </c>
      <c r="G52" s="218" t="str" cm="1">
        <f t="array" ref="G52" xml:space="preserve"> INDEX('十五音-韻母'!$B$5:$O$54, $B52, G$2)</f>
        <v>aunnh</v>
      </c>
      <c r="H52" s="218" t="str" cm="1">
        <f t="array" ref="H52" xml:space="preserve"> INDEX('十五音-韻母'!$B$5:$O$54, $B52, H$2)</f>
        <v>ãu</v>
      </c>
      <c r="I52" s="218" t="str" cm="1">
        <f t="array" ref="I52" xml:space="preserve"> INDEX('十五音-韻母'!$B$5:$O$54, $B52, I$2)</f>
        <v>ãu?</v>
      </c>
      <c r="J52" s="218" t="str" cm="1">
        <f t="array" ref="J52" xml:space="preserve"> INDEX('十五音-韻母'!$B$5:$O$54, $B52, J$2)</f>
        <v>aunn</v>
      </c>
      <c r="K52" s="218" t="str" cm="1">
        <f t="array" ref="K52" xml:space="preserve"> INDEX('十五音-韻母'!$B$5:$O$54, $B52, K$2)</f>
        <v>aunnh</v>
      </c>
      <c r="L52" s="218" t="str" cm="1">
        <f t="array" ref="L52" xml:space="preserve"> INDEX('十五音-韻母'!$B$5:$O$54, $B52, L$2)</f>
        <v>ㆯ</v>
      </c>
      <c r="M52" s="218" t="str" cm="1">
        <f t="array" ref="M52" xml:space="preserve"> INDEX('十五音-韻母'!$B$5:$O$54, $B52, M$2)</f>
        <v>ㆯㆷ</v>
      </c>
      <c r="O52" s="226"/>
      <c r="P52" s="224"/>
      <c r="Q52" s="225" t="str">
        <f t="shared" si="1"/>
        <v/>
      </c>
      <c r="R52" s="225">
        <f t="shared" si="2"/>
        <v>0</v>
      </c>
      <c r="T52" s="226"/>
      <c r="U52" s="224"/>
      <c r="V52" s="225" t="e">
        <f t="shared" si="3"/>
        <v>#N/A</v>
      </c>
      <c r="W52" s="225" t="e">
        <f t="shared" si="4"/>
        <v>#N/A</v>
      </c>
      <c r="AC52" s="214">
        <f t="shared" si="0"/>
        <v>48</v>
      </c>
      <c r="AD52" s="223" t="str">
        <f t="shared" si="5"/>
        <v>爻</v>
      </c>
      <c r="AE52" s="257" t="str">
        <f t="shared" si="6"/>
        <v>aunn</v>
      </c>
      <c r="AF52" s="257">
        <f t="shared" si="7"/>
        <v>43</v>
      </c>
      <c r="AG52" s="257">
        <f t="shared" si="8"/>
        <v>43</v>
      </c>
    </row>
    <row r="53" spans="2:33">
      <c r="B53" s="214">
        <v>49</v>
      </c>
      <c r="C53" s="223" t="s">
        <v>267</v>
      </c>
      <c r="D53" s="217" t="s">
        <v>1398</v>
      </c>
      <c r="E53" s="217" t="s">
        <v>1444</v>
      </c>
      <c r="F53" s="218" t="str" cm="1">
        <f t="array" ref="F53" xml:space="preserve"> INDEX('十五音-韻母'!$B$5:$O$54, $B53, F$2)</f>
        <v>onn</v>
      </c>
      <c r="G53" s="218" t="str" cm="1">
        <f t="array" ref="G53" xml:space="preserve"> INDEX('十五音-韻母'!$B$5:$O$54, $B53, G$2)</f>
        <v>onnh</v>
      </c>
      <c r="H53" s="218" t="str" cm="1">
        <f t="array" ref="H53" xml:space="preserve"> INDEX('十五音-韻母'!$B$5:$O$54, $B53, H$2)</f>
        <v>ɔ̃</v>
      </c>
      <c r="I53" s="218" t="str" cm="1">
        <f t="array" ref="I53" xml:space="preserve"> INDEX('十五音-韻母'!$B$5:$O$54, $B53, I$2)</f>
        <v>ɔ̃h</v>
      </c>
      <c r="J53" s="218" t="str" cm="1">
        <f t="array" ref="J53" xml:space="preserve"> INDEX('十五音-韻母'!$B$5:$O$54, $B53, J$2)</f>
        <v>onn</v>
      </c>
      <c r="K53" s="218" t="str" cm="1">
        <f t="array" ref="K53" xml:space="preserve"> INDEX('十五音-韻母'!$B$5:$O$54, $B53, K$2)</f>
        <v>onnh</v>
      </c>
      <c r="L53" s="218" t="str" cm="1">
        <f t="array" ref="L53" xml:space="preserve"> INDEX('十五音-韻母'!$B$5:$O$54, $B53, L$2)</f>
        <v>ㆧ</v>
      </c>
      <c r="M53" s="218" t="str" cm="1">
        <f t="array" ref="M53" xml:space="preserve"> INDEX('十五音-韻母'!$B$5:$O$54, $B53, M$2)</f>
        <v>ㆧㆷ</v>
      </c>
      <c r="O53" s="226"/>
      <c r="P53" s="224"/>
      <c r="Q53" s="225" t="str">
        <f t="shared" si="1"/>
        <v/>
      </c>
      <c r="R53" s="225">
        <f t="shared" si="2"/>
        <v>0</v>
      </c>
      <c r="T53" s="226"/>
      <c r="U53" s="224"/>
      <c r="V53" s="225" t="e">
        <f t="shared" si="3"/>
        <v>#N/A</v>
      </c>
      <c r="W53" s="225" t="e">
        <f t="shared" si="4"/>
        <v>#N/A</v>
      </c>
      <c r="AC53" s="214">
        <f t="shared" si="0"/>
        <v>49</v>
      </c>
      <c r="AD53" s="223" t="str">
        <f t="shared" si="5"/>
        <v>扛</v>
      </c>
      <c r="AE53" s="257" t="str">
        <f t="shared" si="6"/>
        <v>onn</v>
      </c>
      <c r="AF53" s="257">
        <f t="shared" si="7"/>
        <v>36</v>
      </c>
      <c r="AG53" s="257">
        <f t="shared" si="8"/>
        <v>42</v>
      </c>
    </row>
    <row r="54" spans="2:33">
      <c r="B54" s="214">
        <v>50</v>
      </c>
      <c r="C54" s="265" t="s">
        <v>255</v>
      </c>
      <c r="D54" s="223" t="s">
        <v>914</v>
      </c>
      <c r="E54" s="223" t="s">
        <v>1427</v>
      </c>
      <c r="F54" s="218" t="str" cm="1">
        <f t="array" ref="F54" xml:space="preserve"> INDEX('十五音-韻母'!$B$5:$O$54, $B54, F$2)</f>
        <v>iunn</v>
      </c>
      <c r="G54" s="218" t="str" cm="1">
        <f t="array" ref="G54" xml:space="preserve"> INDEX('十五音-韻母'!$B$5:$O$54, $B54, G$2)</f>
        <v>iunnh</v>
      </c>
      <c r="H54" s="218" t="str" cm="1">
        <f t="array" ref="H54" xml:space="preserve"> INDEX('十五音-韻母'!$B$5:$O$54, $B54, H$2)</f>
        <v>iũ</v>
      </c>
      <c r="I54" s="218" t="str" cm="1">
        <f t="array" ref="I54" xml:space="preserve"> INDEX('十五音-韻母'!$B$5:$O$54, $B54, I$2)</f>
        <v>iũh</v>
      </c>
      <c r="J54" s="218" t="str" cm="1">
        <f t="array" ref="J54" xml:space="preserve"> INDEX('十五音-韻母'!$B$5:$O$54, $B54, J$2)</f>
        <v>iunn</v>
      </c>
      <c r="K54" s="218" t="str" cm="1">
        <f t="array" ref="K54" xml:space="preserve"> INDEX('十五音-韻母'!$B$5:$O$54, $B54, K$2)</f>
        <v>iunnh</v>
      </c>
      <c r="L54" s="218" t="str" cm="1">
        <f t="array" ref="L54" xml:space="preserve"> INDEX('十五音-韻母'!$B$5:$O$54, $B54, L$2)</f>
        <v>ㄧㆫ</v>
      </c>
      <c r="M54" s="218" t="str" cm="1">
        <f t="array" ref="M54" xml:space="preserve"> INDEX('十五音-韻母'!$B$5:$O$54, $B54, M$2)</f>
        <v>ㄧㆫㆷ</v>
      </c>
      <c r="O54" s="226"/>
      <c r="P54" s="224"/>
      <c r="Q54" s="225" t="str">
        <f t="shared" si="1"/>
        <v/>
      </c>
      <c r="R54" s="225">
        <f t="shared" si="2"/>
        <v>0</v>
      </c>
      <c r="T54" s="226"/>
      <c r="U54" s="224"/>
      <c r="V54" s="225" t="e">
        <f t="shared" si="3"/>
        <v>#N/A</v>
      </c>
      <c r="W54" s="225" t="e">
        <f t="shared" si="4"/>
        <v>#N/A</v>
      </c>
      <c r="AC54" s="214">
        <f t="shared" si="0"/>
        <v>50</v>
      </c>
      <c r="AD54" s="223" t="str">
        <f t="shared" si="5"/>
        <v>牛</v>
      </c>
      <c r="AE54" s="257" t="str">
        <f t="shared" si="6"/>
        <v>iunn</v>
      </c>
      <c r="AF54" s="257">
        <f t="shared" si="7"/>
        <v>34</v>
      </c>
      <c r="AG54" s="257">
        <f t="shared" si="8"/>
        <v>36</v>
      </c>
    </row>
    <row r="55" spans="2:33">
      <c r="B55" s="65"/>
      <c r="C55" s="57"/>
      <c r="D55" s="57"/>
      <c r="E55" s="57"/>
      <c r="F55" s="57"/>
      <c r="G55" s="57"/>
      <c r="H55" s="58"/>
      <c r="I55" s="58"/>
      <c r="J55" s="59"/>
      <c r="K55" s="59"/>
      <c r="L55" s="59"/>
      <c r="M55" s="59"/>
      <c r="O55" s="57"/>
      <c r="T55" s="55"/>
      <c r="U55" s="55"/>
      <c r="V55" s="55"/>
      <c r="W55" s="55"/>
      <c r="AC55" s="65"/>
      <c r="AD55" s="260"/>
      <c r="AE55" s="57"/>
      <c r="AF55" s="263">
        <f xml:space="preserve"> COUNTIF(AF5:AF54, "無對映")</f>
        <v>13</v>
      </c>
      <c r="AG55" s="263">
        <f xml:space="preserve"> COUNTIF(AG5:AG54, "無對映")</f>
        <v>14</v>
      </c>
    </row>
    <row r="56" spans="2:33">
      <c r="B56" s="65"/>
      <c r="C56" s="266" t="s">
        <v>3416</v>
      </c>
      <c r="D56" s="57"/>
      <c r="E56" s="57"/>
      <c r="F56" s="57"/>
      <c r="G56" s="57"/>
      <c r="H56" s="58"/>
      <c r="I56" s="58"/>
      <c r="J56" s="59"/>
      <c r="K56" s="59"/>
      <c r="L56" s="59"/>
      <c r="M56" s="59"/>
      <c r="O56" s="57"/>
      <c r="T56" s="55"/>
      <c r="U56" s="55"/>
      <c r="V56" s="55"/>
      <c r="W56" s="55"/>
      <c r="AC56" s="65"/>
      <c r="AD56" s="260"/>
      <c r="AE56" s="57"/>
      <c r="AF56" s="263"/>
      <c r="AG56" s="263"/>
    </row>
    <row r="57" spans="2:33">
      <c r="B57" s="65"/>
      <c r="C57" s="266" t="s">
        <v>3417</v>
      </c>
      <c r="D57" s="57"/>
      <c r="E57" s="57"/>
      <c r="F57" s="57"/>
      <c r="G57" s="57"/>
      <c r="H57" s="58"/>
      <c r="I57" s="58"/>
      <c r="J57" s="59"/>
      <c r="K57" s="59"/>
      <c r="L57" s="59"/>
      <c r="M57" s="59"/>
      <c r="O57" s="57"/>
      <c r="T57" s="55"/>
      <c r="U57" s="55"/>
      <c r="V57" s="55"/>
      <c r="W57" s="55"/>
      <c r="AC57" s="65"/>
      <c r="AD57" s="260"/>
      <c r="AE57" s="57"/>
    </row>
    <row r="58" spans="2:33">
      <c r="B58" s="66"/>
      <c r="C58" s="266" t="s">
        <v>3418</v>
      </c>
      <c r="D58" s="60"/>
      <c r="E58" s="57"/>
      <c r="F58" s="60"/>
      <c r="G58" s="60"/>
      <c r="H58" s="61"/>
      <c r="I58" s="61"/>
      <c r="J58" s="62"/>
      <c r="K58" s="62"/>
      <c r="L58" s="62"/>
      <c r="M58" s="62"/>
      <c r="N58" s="63"/>
      <c r="O58" s="60"/>
      <c r="P58" s="222"/>
      <c r="Q58" s="220"/>
      <c r="R58" s="220"/>
      <c r="S58" s="63"/>
      <c r="AC58" s="66"/>
      <c r="AD58" s="260"/>
      <c r="AE58" s="57"/>
    </row>
  </sheetData>
  <sortState xmlns:xlrd2="http://schemas.microsoft.com/office/spreadsheetml/2017/richdata2" ref="B5:M54">
    <sortCondition ref="B5:B54"/>
  </sortState>
  <phoneticPr fontId="42" type="noConversion"/>
  <conditionalFormatting sqref="B5:M54">
    <cfRule type="expression" dxfId="7" priority="11" stopIfTrue="1">
      <formula>MOD($B5, 2)=0</formula>
    </cfRule>
  </conditionalFormatting>
  <conditionalFormatting sqref="D53:D54">
    <cfRule type="expression" dxfId="6" priority="4" stopIfTrue="1">
      <formula>MOD($B53, 2)=0</formula>
    </cfRule>
  </conditionalFormatting>
  <conditionalFormatting sqref="O5:R54">
    <cfRule type="expression" dxfId="5" priority="9" stopIfTrue="1">
      <formula>$R5&lt;&gt;0</formula>
    </cfRule>
  </conditionalFormatting>
  <conditionalFormatting sqref="T5:W54">
    <cfRule type="expression" dxfId="4" priority="6" stopIfTrue="1">
      <formula>$W5&lt;&gt;0</formula>
    </cfRule>
  </conditionalFormatting>
  <conditionalFormatting sqref="AC5:AG54">
    <cfRule type="containsText" dxfId="3" priority="1" operator="containsText" text="無對映">
      <formula>NOT(ISERROR(SEARCH("無對映",AC5)))</formula>
    </cfRule>
    <cfRule type="expression" dxfId="2" priority="2" stopIfTrue="1">
      <formula>MOD($B5, 2)=0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21CA-3CEA-754A-848D-F66B7FB5A396}">
  <sheetPr codeName="工作表19">
    <tabColor rgb="FF92D050"/>
  </sheetPr>
  <dimension ref="B1:H26"/>
  <sheetViews>
    <sheetView workbookViewId="0"/>
  </sheetViews>
  <sheetFormatPr defaultColWidth="7.81640625" defaultRowHeight="25.5" outlineLevelRow="1" outlineLevelCol="1"/>
  <cols>
    <col min="1" max="1" width="3.1796875" style="172" customWidth="1"/>
    <col min="2" max="2" width="8.7265625" style="172" bestFit="1" customWidth="1"/>
    <col min="3" max="3" width="7.81640625" style="172"/>
    <col min="4" max="4" width="7.81640625" style="172" hidden="1" customWidth="1" outlineLevel="1"/>
    <col min="5" max="5" width="9.453125" style="172" customWidth="1" collapsed="1"/>
    <col min="6" max="7" width="9.453125" style="172" customWidth="1"/>
    <col min="8" max="8" width="7.81640625" style="172" customWidth="1"/>
    <col min="9" max="16384" width="7.81640625" style="172"/>
  </cols>
  <sheetData>
    <row r="1" spans="2:8" outlineLevel="1"/>
    <row r="2" spans="2:8" outlineLevel="1">
      <c r="E2" s="119">
        <v>2</v>
      </c>
      <c r="F2" s="119">
        <v>6</v>
      </c>
      <c r="G2" s="119">
        <v>4</v>
      </c>
      <c r="H2" s="119">
        <v>3</v>
      </c>
    </row>
    <row r="3" spans="2:8" outlineLevel="1">
      <c r="B3" s="177" cm="1">
        <f t="array" ref="B3" xml:space="preserve"> COLUMN() - COLUMN($A:$A)</f>
        <v>1</v>
      </c>
      <c r="C3" s="177" cm="1">
        <f t="array" ref="C3" xml:space="preserve"> COLUMN() - COLUMN($A:$A)</f>
        <v>2</v>
      </c>
      <c r="D3" s="177" cm="1">
        <f t="array" ref="D3" xml:space="preserve"> COLUMN() - COLUMN($A:$A)</f>
        <v>3</v>
      </c>
      <c r="E3" s="177" cm="1">
        <f t="array" ref="E3" xml:space="preserve"> COLUMN() - COLUMN($A:$A)</f>
        <v>4</v>
      </c>
      <c r="F3" s="177" cm="1">
        <f t="array" ref="F3" xml:space="preserve"> COLUMN() - COLUMN($A:$A)</f>
        <v>5</v>
      </c>
      <c r="G3" s="177" cm="1">
        <f t="array" ref="G3" xml:space="preserve"> COLUMN() - COLUMN($A:$A)</f>
        <v>6</v>
      </c>
      <c r="H3" s="177" cm="1">
        <f t="array" ref="H3" xml:space="preserve"> COLUMN() - COLUMN($A:$A)</f>
        <v>7</v>
      </c>
    </row>
    <row r="5" spans="2:8" s="181" customFormat="1" ht="36" customHeight="1">
      <c r="B5" s="179" t="s">
        <v>127</v>
      </c>
      <c r="C5" s="180" t="s">
        <v>3419</v>
      </c>
      <c r="D5" s="179" t="s">
        <v>3348</v>
      </c>
      <c r="E5" s="179" t="s">
        <v>2</v>
      </c>
      <c r="F5" s="180" t="s">
        <v>3420</v>
      </c>
      <c r="G5" s="179" t="s">
        <v>3421</v>
      </c>
      <c r="H5" s="180" t="s">
        <v>589</v>
      </c>
    </row>
    <row r="6" spans="2:8">
      <c r="B6" s="173">
        <v>1</v>
      </c>
      <c r="C6" s="193" t="s">
        <v>1660</v>
      </c>
      <c r="D6" s="173">
        <f xml:space="preserve"> IF($C6="", "", MATCH($C6, 十五音聲母清單!$F$5:$F$26,0))</f>
        <v>2</v>
      </c>
      <c r="E6" s="173" t="str" cm="1">
        <f t="array" ref="E6" xml:space="preserve"> IF($C6="", "", INDEX(十五音聲母清單!$B$5:$I$26, $D6, E$2))</f>
        <v>p</v>
      </c>
      <c r="F6" s="173" t="str" cm="1">
        <f t="array" ref="F6" xml:space="preserve"> IF($C6="", "", INDEX(十五音聲母清單!$B$5:$I$26, $D6, F$2))</f>
        <v>p</v>
      </c>
      <c r="G6" s="173" t="str" cm="1">
        <f t="array" ref="G6" xml:space="preserve"> IF($C6="", "", INDEX(十五音聲母清單!$B$5:$I$26, $D6, G$2))</f>
        <v>邊</v>
      </c>
      <c r="H6" s="173" t="str" cm="1">
        <f t="array" ref="H6" xml:space="preserve"> IF($C6="", "", INDEX(十五音聲母清單!$B$5:$I$26, $D6, H$2))</f>
        <v>p</v>
      </c>
    </row>
    <row r="7" spans="2:8">
      <c r="B7" s="173">
        <v>2</v>
      </c>
      <c r="C7" s="193" t="s">
        <v>25</v>
      </c>
      <c r="D7" s="173">
        <f xml:space="preserve"> IF($C7="", "", MATCH($C7, 十五音聲母清單!$F$5:$F$26,0))</f>
        <v>6</v>
      </c>
      <c r="E7" s="173" t="str" cm="1">
        <f t="array" ref="E7" xml:space="preserve"> IF($C7="", "", INDEX(十五音聲母清單!$B$5:$I$26, $D7, E$2))</f>
        <v>ph</v>
      </c>
      <c r="F7" s="173" t="str" cm="1">
        <f t="array" ref="F7" xml:space="preserve"> IF($C7="", "", INDEX(十五音聲母清單!$B$5:$I$26, $D7, F$2))</f>
        <v>ph</v>
      </c>
      <c r="G7" s="173" t="str" cm="1">
        <f t="array" ref="G7" xml:space="preserve"> IF($C7="", "", INDEX(十五音聲母清單!$B$5:$I$26, $D7, G$2))</f>
        <v>頗</v>
      </c>
      <c r="H7" s="173" t="str" cm="1">
        <f t="array" ref="H7" xml:space="preserve"> IF($C7="", "", INDEX(十五音聲母清單!$B$5:$I$26, $D7, H$2))</f>
        <v>pʰ</v>
      </c>
    </row>
    <row r="8" spans="2:8">
      <c r="B8" s="173">
        <v>3</v>
      </c>
      <c r="C8" s="193" t="s">
        <v>1664</v>
      </c>
      <c r="D8" s="173">
        <f xml:space="preserve"> IF($C8="", "", MATCH($C8, 十五音聲母清單!$F$5:$F$26,0))</f>
        <v>20</v>
      </c>
      <c r="E8" s="173" t="str" cm="1">
        <f t="array" ref="E8" xml:space="preserve"> IF($C8="", "", INDEX(十五音聲母清單!$B$5:$I$26, $D8, E$2))</f>
        <v>m</v>
      </c>
      <c r="F8" s="173" t="str" cm="1">
        <f t="array" ref="F8" xml:space="preserve"> IF($C8="", "", INDEX(十五音聲母清單!$B$5:$I$26, $D8, F$2))</f>
        <v>m</v>
      </c>
      <c r="G8" s="173" t="str" cm="1">
        <f t="array" ref="G8" xml:space="preserve"> IF($C8="", "", INDEX(十五音聲母清單!$B$5:$I$26, $D8, G$2))</f>
        <v>毛</v>
      </c>
      <c r="H8" s="173" t="str" cm="1">
        <f t="array" ref="H8" xml:space="preserve"> IF($C8="", "", INDEX(十五音聲母清單!$B$5:$I$26, $D8, H$2))</f>
        <v>m</v>
      </c>
    </row>
    <row r="9" spans="2:8">
      <c r="B9" s="173">
        <v>4</v>
      </c>
      <c r="C9" s="193" t="s">
        <v>35</v>
      </c>
      <c r="D9" s="173">
        <f xml:space="preserve"> IF($C9="", "", MATCH($C9, 十五音聲母清單!$F$5:$F$26,0))</f>
        <v>15</v>
      </c>
      <c r="E9" s="173" t="str" cm="1">
        <f t="array" ref="E9" xml:space="preserve"> IF($C9="", "", INDEX(十五音聲母清單!$B$5:$I$26, $D9, E$2))</f>
        <v>b</v>
      </c>
      <c r="F9" s="173" t="str" cm="1">
        <f t="array" ref="F9" xml:space="preserve"> IF($C9="", "", INDEX(十五音聲母清單!$B$5:$I$26, $D9, F$2))</f>
        <v>b</v>
      </c>
      <c r="G9" s="173" t="str" cm="1">
        <f t="array" ref="G9" xml:space="preserve"> IF($C9="", "", INDEX(十五音聲母清單!$B$5:$I$26, $D9, G$2))</f>
        <v>門</v>
      </c>
      <c r="H9" s="173" t="str" cm="1">
        <f t="array" ref="H9" xml:space="preserve"> IF($C9="", "", INDEX(十五音聲母清單!$B$5:$I$26, $D9, H$2))</f>
        <v>b</v>
      </c>
    </row>
    <row r="10" spans="2:8">
      <c r="B10" s="173">
        <v>5</v>
      </c>
      <c r="C10" s="193" t="s">
        <v>62</v>
      </c>
      <c r="D10" s="173">
        <f xml:space="preserve"> IF($C10="", "", MATCH($C10, 十五音聲母清單!$F$5:$F$26,0))</f>
        <v>5</v>
      </c>
      <c r="E10" s="173" t="str" cm="1">
        <f t="array" ref="E10" xml:space="preserve"> IF($C10="", "", INDEX(十五音聲母清單!$B$5:$I$26, $D10, E$2))</f>
        <v>t</v>
      </c>
      <c r="F10" s="173" t="str" cm="1">
        <f t="array" ref="F10" xml:space="preserve"> IF($C10="", "", INDEX(十五音聲母清單!$B$5:$I$26, $D10, F$2))</f>
        <v>t</v>
      </c>
      <c r="G10" s="173" t="str" cm="1">
        <f t="array" ref="G10" xml:space="preserve"> IF($C10="", "", INDEX(十五音聲母清單!$B$5:$I$26, $D10, G$2))</f>
        <v>地</v>
      </c>
      <c r="H10" s="173" t="str" cm="1">
        <f t="array" ref="H10" xml:space="preserve"> IF($C10="", "", INDEX(十五音聲母清單!$B$5:$I$26, $D10, H$2))</f>
        <v>t</v>
      </c>
    </row>
    <row r="11" spans="2:8">
      <c r="B11" s="173">
        <v>6</v>
      </c>
      <c r="C11" s="193" t="s">
        <v>67</v>
      </c>
      <c r="D11" s="173">
        <f xml:space="preserve"> IF($C11="", "", MATCH($C11, 十五音聲母清單!$F$5:$F$26,0))</f>
        <v>7</v>
      </c>
      <c r="E11" s="173" t="str" cm="1">
        <f t="array" ref="E11" xml:space="preserve"> IF($C11="", "", INDEX(十五音聲母清單!$B$5:$I$26, $D11, E$2))</f>
        <v>th</v>
      </c>
      <c r="F11" s="173" t="str" cm="1">
        <f t="array" ref="F11" xml:space="preserve"> IF($C11="", "", INDEX(十五音聲母清單!$B$5:$I$26, $D11, F$2))</f>
        <v>th</v>
      </c>
      <c r="G11" s="173" t="str" cm="1">
        <f t="array" ref="G11" xml:space="preserve"> IF($C11="", "", INDEX(十五音聲母清單!$B$5:$I$26, $D11, G$2))</f>
        <v>他</v>
      </c>
      <c r="H11" s="173" t="str" cm="1">
        <f t="array" ref="H11" xml:space="preserve"> IF($C11="", "", INDEX(十五音聲母清單!$B$5:$I$26, $D11, H$2))</f>
        <v>tʰ</v>
      </c>
    </row>
    <row r="12" spans="2:8">
      <c r="B12" s="173">
        <v>7</v>
      </c>
      <c r="C12" s="193" t="s">
        <v>73</v>
      </c>
      <c r="D12" s="173">
        <f xml:space="preserve"> IF($C12="", "", MATCH($C12, 十五音聲母清單!$F$5:$F$26,0))</f>
        <v>21</v>
      </c>
      <c r="E12" s="173" t="str" cm="1">
        <f t="array" ref="E12" xml:space="preserve"> IF($C12="", "", INDEX(十五音聲母清單!$B$5:$I$26, $D12, E$2))</f>
        <v>n</v>
      </c>
      <c r="F12" s="173" t="str" cm="1">
        <f t="array" ref="F12" xml:space="preserve"> IF($C12="", "", INDEX(十五音聲母清單!$B$5:$I$26, $D12, F$2))</f>
        <v>n</v>
      </c>
      <c r="G12" s="173" t="str" cm="1">
        <f t="array" ref="G12" xml:space="preserve"> IF($C12="", "", INDEX(十五音聲母清單!$B$5:$I$26, $D12, G$2))</f>
        <v>耐</v>
      </c>
      <c r="H12" s="173" t="str" cm="1">
        <f t="array" ref="H12" xml:space="preserve"> IF($C12="", "", INDEX(十五音聲母清單!$B$5:$I$26, $D12, H$2))</f>
        <v>n</v>
      </c>
    </row>
    <row r="13" spans="2:8">
      <c r="B13" s="173">
        <v>8</v>
      </c>
      <c r="C13" s="193" t="s">
        <v>77</v>
      </c>
      <c r="D13" s="173">
        <f xml:space="preserve"> IF($C13="", "", MATCH($C13, 十五音聲母清單!$F$5:$F$26,0))</f>
        <v>1</v>
      </c>
      <c r="E13" s="173" t="str" cm="1">
        <f t="array" ref="E13" xml:space="preserve"> IF($C13="", "", INDEX(十五音聲母清單!$B$5:$I$26, $D13, E$2))</f>
        <v>l</v>
      </c>
      <c r="F13" s="173" t="str" cm="1">
        <f t="array" ref="F13" xml:space="preserve"> IF($C13="", "", INDEX(十五音聲母清單!$B$5:$I$26, $D13, F$2))</f>
        <v>l</v>
      </c>
      <c r="G13" s="173" t="str" cm="1">
        <f t="array" ref="G13" xml:space="preserve"> IF($C13="", "", INDEX(十五音聲母清單!$B$5:$I$26, $D13, G$2))</f>
        <v>柳</v>
      </c>
      <c r="H13" s="173" t="str" cm="1">
        <f t="array" ref="H13" xml:space="preserve"> IF($C13="", "", INDEX(十五音聲母清單!$B$5:$I$26, $D13, H$2))</f>
        <v>l</v>
      </c>
    </row>
    <row r="14" spans="2:8">
      <c r="B14" s="173">
        <v>9</v>
      </c>
      <c r="C14" s="193" t="s">
        <v>1650</v>
      </c>
      <c r="D14" s="173">
        <f xml:space="preserve"> IF($C14="", "", MATCH($C14, 十五音聲母清單!$F$5:$F$26,0))</f>
        <v>8</v>
      </c>
      <c r="E14" s="173" t="str" cm="1">
        <f t="array" ref="E14" xml:space="preserve"> IF($C14="", "", INDEX(十五音聲母清單!$B$5:$I$26, $D14, E$2))</f>
        <v>ts</v>
      </c>
      <c r="F14" s="173" t="str" cm="1">
        <f t="array" ref="F14" xml:space="preserve"> IF($C14="", "", INDEX(十五音聲母清單!$B$5:$I$26, $D14, F$2))</f>
        <v>ch</v>
      </c>
      <c r="G14" s="173" t="str" cm="1">
        <f t="array" ref="G14" xml:space="preserve"> IF($C14="", "", INDEX(十五音聲母清單!$B$5:$I$26, $D14, G$2))</f>
        <v>曾</v>
      </c>
      <c r="H14" s="173" t="str" cm="1">
        <f t="array" ref="H14" xml:space="preserve"> IF($C14="", "", INDEX(十五音聲母清單!$B$5:$I$26, $D14, H$2))</f>
        <v>ʦ</v>
      </c>
    </row>
    <row r="15" spans="2:8">
      <c r="B15" s="173">
        <v>10</v>
      </c>
      <c r="C15" s="193" t="s">
        <v>1684</v>
      </c>
      <c r="D15" s="173">
        <f xml:space="preserve"> IF($C15="", "", MATCH($C15, 十五音聲母清單!$F$5:$F$26,0))</f>
        <v>9</v>
      </c>
      <c r="E15" s="173" t="str" cm="1">
        <f t="array" ref="E15" xml:space="preserve"> IF($C15="", "", INDEX(十五音聲母清單!$B$5:$I$26, $D15, E$2))</f>
        <v>tsi</v>
      </c>
      <c r="F15" s="173" t="str" cm="1">
        <f t="array" ref="F15" xml:space="preserve"> IF($C15="", "", INDEX(十五音聲母清單!$B$5:$I$26, $D15, F$2))</f>
        <v>chi</v>
      </c>
      <c r="G15" s="173" t="str" cm="1">
        <f t="array" ref="G15" xml:space="preserve"> IF($C15="", "", INDEX(十五音聲母清單!$B$5:$I$26, $D15, G$2))</f>
        <v>曾</v>
      </c>
      <c r="H15" s="173" t="str" cm="1">
        <f t="array" ref="H15" xml:space="preserve"> IF($C15="", "", INDEX(十五音聲母清單!$B$5:$I$26, $D15, H$2))</f>
        <v>ʨ</v>
      </c>
    </row>
    <row r="16" spans="2:8">
      <c r="B16" s="173">
        <v>11</v>
      </c>
      <c r="C16" s="193" t="s">
        <v>1651</v>
      </c>
      <c r="D16" s="173">
        <f xml:space="preserve"> IF($C16="", "", MATCH($C16, 十五音聲母清單!$F$5:$F$26,0))</f>
        <v>17</v>
      </c>
      <c r="E16" s="173" t="str" cm="1">
        <f t="array" ref="E16" xml:space="preserve"> IF($C16="", "", INDEX(十五音聲母清單!$B$5:$I$26, $D16, E$2))</f>
        <v>tsh</v>
      </c>
      <c r="F16" s="173" t="str" cm="1">
        <f t="array" ref="F16" xml:space="preserve"> IF($C16="", "", INDEX(十五音聲母清單!$B$5:$I$26, $D16, F$2))</f>
        <v>chh</v>
      </c>
      <c r="G16" s="173" t="str" cm="1">
        <f t="array" ref="G16" xml:space="preserve"> IF($C16="", "", INDEX(十五音聲母清單!$B$5:$I$26, $D16, G$2))</f>
        <v>出</v>
      </c>
      <c r="H16" s="173" t="str" cm="1">
        <f t="array" ref="H16" xml:space="preserve"> IF($C16="", "", INDEX(十五音聲母清單!$B$5:$I$26, $D16, H$2))</f>
        <v>ʦʰ</v>
      </c>
    </row>
    <row r="17" spans="2:8">
      <c r="B17" s="173">
        <v>12</v>
      </c>
      <c r="C17" s="193" t="s">
        <v>1652</v>
      </c>
      <c r="D17" s="173">
        <f xml:space="preserve"> IF($C17="", "", MATCH($C17, 十五音聲母清單!$F$5:$F$26,0))</f>
        <v>18</v>
      </c>
      <c r="E17" s="173" t="str" cm="1">
        <f t="array" ref="E17" xml:space="preserve"> IF($C17="", "", INDEX(十五音聲母清單!$B$5:$I$26, $D17, E$2))</f>
        <v>tshi</v>
      </c>
      <c r="F17" s="173" t="str" cm="1">
        <f t="array" ref="F17" xml:space="preserve"> IF($C17="", "", INDEX(十五音聲母清單!$B$5:$I$26, $D17, F$2))</f>
        <v>chhi</v>
      </c>
      <c r="G17" s="173" t="str" cm="1">
        <f t="array" ref="G17" xml:space="preserve"> IF($C17="", "", INDEX(十五音聲母清單!$B$5:$I$26, $D17, G$2))</f>
        <v>出</v>
      </c>
      <c r="H17" s="173" t="str" cm="1">
        <f t="array" ref="H17" xml:space="preserve"> IF($C17="", "", INDEX(十五音聲母清單!$B$5:$I$26, $D17, H$2))</f>
        <v>ʨʰ</v>
      </c>
    </row>
    <row r="18" spans="2:8">
      <c r="B18" s="173">
        <v>13</v>
      </c>
      <c r="C18" s="193" t="s">
        <v>1653</v>
      </c>
      <c r="D18" s="173">
        <f xml:space="preserve"> IF($C18="", "", MATCH($C18, 十五音聲母清單!$F$5:$F$26,0))</f>
        <v>12</v>
      </c>
      <c r="E18" s="173" t="str" cm="1">
        <f t="array" ref="E18" xml:space="preserve"> IF($C18="", "", INDEX(十五音聲母清單!$B$5:$I$26, $D18, E$2))</f>
        <v>s</v>
      </c>
      <c r="F18" s="173" t="str" cm="1">
        <f t="array" ref="F18" xml:space="preserve"> IF($C18="", "", INDEX(十五音聲母清單!$B$5:$I$26, $D18, F$2))</f>
        <v>s</v>
      </c>
      <c r="G18" s="173" t="str" cm="1">
        <f t="array" ref="G18" xml:space="preserve"> IF($C18="", "", INDEX(十五音聲母清單!$B$5:$I$26, $D18, G$2))</f>
        <v>時</v>
      </c>
      <c r="H18" s="173" t="str" cm="1">
        <f t="array" ref="H18" xml:space="preserve"> IF($C18="", "", INDEX(十五音聲母清單!$B$5:$I$26, $D18, H$2))</f>
        <v>s</v>
      </c>
    </row>
    <row r="19" spans="2:8">
      <c r="B19" s="173">
        <v>14</v>
      </c>
      <c r="C19" s="193" t="s">
        <v>1654</v>
      </c>
      <c r="D19" s="173">
        <f xml:space="preserve"> IF($C19="", "", MATCH($C19, 十五音聲母清單!$F$5:$F$26,0))</f>
        <v>13</v>
      </c>
      <c r="E19" s="173" t="str" cm="1">
        <f t="array" ref="E19" xml:space="preserve"> IF($C19="", "", INDEX(十五音聲母清單!$B$5:$I$26, $D19, E$2))</f>
        <v>si</v>
      </c>
      <c r="F19" s="173" t="str" cm="1">
        <f t="array" ref="F19" xml:space="preserve"> IF($C19="", "", INDEX(十五音聲母清單!$B$5:$I$26, $D19, F$2))</f>
        <v>si</v>
      </c>
      <c r="G19" s="173" t="str" cm="1">
        <f t="array" ref="G19" xml:space="preserve"> IF($C19="", "", INDEX(十五音聲母清單!$B$5:$I$26, $D19, G$2))</f>
        <v>時</v>
      </c>
      <c r="H19" s="173" t="str" cm="1">
        <f t="array" ref="H19" xml:space="preserve"> IF($C19="", "", INDEX(十五音聲母清單!$B$5:$I$26, $D19, H$2))</f>
        <v>ɕ</v>
      </c>
    </row>
    <row r="20" spans="2:8">
      <c r="B20" s="173">
        <v>15</v>
      </c>
      <c r="C20" s="193" t="s">
        <v>1655</v>
      </c>
      <c r="D20" s="173">
        <f xml:space="preserve"> IF($C20="", "", MATCH($C20, 十五音聲母清單!$F$5:$F$26,0))</f>
        <v>10</v>
      </c>
      <c r="E20" s="173" t="str" cm="1">
        <f t="array" ref="E20" xml:space="preserve"> IF($C20="", "", INDEX(十五音聲母清單!$B$5:$I$26, $D20, E$2))</f>
        <v>j</v>
      </c>
      <c r="F20" s="173" t="str" cm="1">
        <f t="array" ref="F20" xml:space="preserve"> IF($C20="", "", INDEX(十五音聲母清單!$B$5:$I$26, $D20, F$2))</f>
        <v>j</v>
      </c>
      <c r="G20" s="173" t="str" cm="1">
        <f t="array" ref="G20" xml:space="preserve"> IF($C20="", "", INDEX(十五音聲母清單!$B$5:$I$26, $D20, G$2))</f>
        <v>入</v>
      </c>
      <c r="H20" s="173" t="str" cm="1">
        <f t="array" ref="H20" xml:space="preserve"> IF($C20="", "", INDEX(十五音聲母清單!$B$5:$I$26, $D20, H$2))</f>
        <v>ʣ</v>
      </c>
    </row>
    <row r="21" spans="2:8">
      <c r="B21" s="173">
        <v>16</v>
      </c>
      <c r="C21" s="193" t="s">
        <v>1656</v>
      </c>
      <c r="D21" s="173">
        <f xml:space="preserve"> IF($C21="", "", MATCH($C21, 十五音聲母清單!$F$5:$F$26,0))</f>
        <v>11</v>
      </c>
      <c r="E21" s="173" t="str" cm="1">
        <f t="array" ref="E21" xml:space="preserve"> IF($C21="", "", INDEX(十五音聲母清單!$B$5:$I$26, $D21, E$2))</f>
        <v>ji</v>
      </c>
      <c r="F21" s="173" t="str" cm="1">
        <f t="array" ref="F21" xml:space="preserve"> IF($C21="", "", INDEX(十五音聲母清單!$B$5:$I$26, $D21, F$2))</f>
        <v>ji</v>
      </c>
      <c r="G21" s="173" t="str" cm="1">
        <f t="array" ref="G21" xml:space="preserve"> IF($C21="", "", INDEX(十五音聲母清單!$B$5:$I$26, $D21, G$2))</f>
        <v>入</v>
      </c>
      <c r="H21" s="173" t="str" cm="1">
        <f t="array" ref="H21" xml:space="preserve"> IF($C21="", "", INDEX(十五音聲母清單!$B$5:$I$26, $D21, H$2))</f>
        <v>ʥ</v>
      </c>
    </row>
    <row r="22" spans="2:8">
      <c r="B22" s="173">
        <v>17</v>
      </c>
      <c r="C22" s="193" t="s">
        <v>41</v>
      </c>
      <c r="D22" s="173">
        <f xml:space="preserve"> IF($C22="", "", MATCH($C22, 十五音聲母清單!$F$5:$F$26,0))</f>
        <v>3</v>
      </c>
      <c r="E22" s="173" t="str" cm="1">
        <f t="array" ref="E22" xml:space="preserve"> IF($C22="", "", INDEX(十五音聲母清單!$B$5:$I$26, $D22, E$2))</f>
        <v>k</v>
      </c>
      <c r="F22" s="173" t="str" cm="1">
        <f t="array" ref="F22" xml:space="preserve"> IF($C22="", "", INDEX(十五音聲母清單!$B$5:$I$26, $D22, F$2))</f>
        <v>k</v>
      </c>
      <c r="G22" s="173" t="str" cm="1">
        <f t="array" ref="G22" xml:space="preserve"> IF($C22="", "", INDEX(十五音聲母清單!$B$5:$I$26, $D22, G$2))</f>
        <v>求</v>
      </c>
      <c r="H22" s="173" t="str" cm="1">
        <f t="array" ref="H22" xml:space="preserve"> IF($C22="", "", INDEX(十五音聲母清單!$B$5:$I$26, $D22, H$2))</f>
        <v>k</v>
      </c>
    </row>
    <row r="23" spans="2:8">
      <c r="B23" s="173">
        <v>18</v>
      </c>
      <c r="C23" s="193" t="s">
        <v>46</v>
      </c>
      <c r="D23" s="173">
        <f xml:space="preserve"> IF($C23="", "", MATCH($C23, 十五音聲母清單!$F$5:$F$26,0))</f>
        <v>4</v>
      </c>
      <c r="E23" s="173" t="str" cm="1">
        <f t="array" ref="E23" xml:space="preserve"> IF($C23="", "", INDEX(十五音聲母清單!$B$5:$I$26, $D23, E$2))</f>
        <v>kh</v>
      </c>
      <c r="F23" s="173" t="str" cm="1">
        <f t="array" ref="F23" xml:space="preserve"> IF($C23="", "", INDEX(十五音聲母清單!$B$5:$I$26, $D23, F$2))</f>
        <v>kh</v>
      </c>
      <c r="G23" s="173" t="str" cm="1">
        <f t="array" ref="G23" xml:space="preserve"> IF($C23="", "", INDEX(十五音聲母清單!$B$5:$I$26, $D23, G$2))</f>
        <v>去</v>
      </c>
      <c r="H23" s="173" t="str" cm="1">
        <f t="array" ref="H23" xml:space="preserve"> IF($C23="", "", INDEX(十五音聲母清單!$B$5:$I$26, $D23, H$2))</f>
        <v>kʰ</v>
      </c>
    </row>
    <row r="24" spans="2:8">
      <c r="B24" s="173">
        <v>19</v>
      </c>
      <c r="C24" s="193" t="s">
        <v>52</v>
      </c>
      <c r="D24" s="173">
        <f xml:space="preserve"> IF($C24="", "", MATCH($C24, 十五音聲母清單!$F$5:$F$26,0))</f>
        <v>22</v>
      </c>
      <c r="E24" s="173" t="str" cm="1">
        <f t="array" ref="E24" xml:space="preserve"> IF($C24="", "", INDEX(十五音聲母清單!$B$5:$I$26, $D24, E$2))</f>
        <v>ng</v>
      </c>
      <c r="F24" s="173" t="str" cm="1">
        <f t="array" ref="F24" xml:space="preserve"> IF($C24="", "", INDEX(十五音聲母清單!$B$5:$I$26, $D24, F$2))</f>
        <v>ng</v>
      </c>
      <c r="G24" s="173" t="str" cm="1">
        <f t="array" ref="G24" xml:space="preserve"> IF($C24="", "", INDEX(十五音聲母清單!$B$5:$I$26, $D24, G$2))</f>
        <v>雅</v>
      </c>
      <c r="H24" s="173" t="str" cm="1">
        <f t="array" ref="H24" xml:space="preserve"> IF($C24="", "", INDEX(十五音聲母清單!$B$5:$I$26, $D24, H$2))</f>
        <v>ŋ</v>
      </c>
    </row>
    <row r="25" spans="2:8">
      <c r="B25" s="173">
        <v>20</v>
      </c>
      <c r="C25" s="193" t="s">
        <v>56</v>
      </c>
      <c r="D25" s="173">
        <f xml:space="preserve"> IF($C25="", "", MATCH($C25, 十五音聲母清單!$F$5:$F$26,0))</f>
        <v>16</v>
      </c>
      <c r="E25" s="173" t="str" cm="1">
        <f t="array" ref="E25" xml:space="preserve"> IF($C25="", "", INDEX(十五音聲母清單!$B$5:$I$26, $D25, E$2))</f>
        <v>g</v>
      </c>
      <c r="F25" s="173" t="str" cm="1">
        <f t="array" ref="F25" xml:space="preserve"> IF($C25="", "", INDEX(十五音聲母清單!$B$5:$I$26, $D25, F$2))</f>
        <v>g</v>
      </c>
      <c r="G25" s="173" t="str" cm="1">
        <f t="array" ref="G25" xml:space="preserve"> IF($C25="", "", INDEX(十五音聲母清單!$B$5:$I$26, $D25, G$2))</f>
        <v>語</v>
      </c>
      <c r="H25" s="173" t="str" cm="1">
        <f t="array" ref="H25" xml:space="preserve"> IF($C25="", "", INDEX(十五音聲母清單!$B$5:$I$26, $D25, H$2))</f>
        <v>ɡ</v>
      </c>
    </row>
    <row r="26" spans="2:8">
      <c r="B26" s="173">
        <v>21</v>
      </c>
      <c r="C26" s="193" t="s">
        <v>119</v>
      </c>
      <c r="D26" s="173">
        <f xml:space="preserve"> IF($C26="", "", MATCH($C26, 十五音聲母清單!$F$5:$F$26,0))</f>
        <v>19</v>
      </c>
      <c r="E26" s="173" t="str" cm="1">
        <f t="array" ref="E26" xml:space="preserve"> IF($C26="", "", INDEX(十五音聲母清單!$B$5:$I$26, $D26, E$2))</f>
        <v>h</v>
      </c>
      <c r="F26" s="173" t="str" cm="1">
        <f t="array" ref="F26" xml:space="preserve"> IF($C26="", "", INDEX(十五音聲母清單!$B$5:$I$26, $D26, F$2))</f>
        <v>h</v>
      </c>
      <c r="G26" s="173" t="str" cm="1">
        <f t="array" ref="G26" xml:space="preserve"> IF($C26="", "", INDEX(十五音聲母清單!$B$5:$I$26, $D26, G$2))</f>
        <v>喜</v>
      </c>
      <c r="H26" s="173" t="str" cm="1">
        <f t="array" ref="H26" xml:space="preserve"> IF($C26="", "", INDEX(十五音聲母清單!$B$5:$I$26, $D26, H$2))</f>
        <v>h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A059-A81A-554B-97B2-DEBA939EAED4}">
  <sheetPr codeName="工作表20">
    <tabColor rgb="FF92D050"/>
  </sheetPr>
  <dimension ref="B1:J32"/>
  <sheetViews>
    <sheetView topLeftCell="A4" workbookViewId="0"/>
  </sheetViews>
  <sheetFormatPr defaultColWidth="7.81640625" defaultRowHeight="25.5" outlineLevelRow="1" outlineLevelCol="1"/>
  <cols>
    <col min="1" max="1" width="3.1796875" style="172" customWidth="1"/>
    <col min="2" max="2" width="8.7265625" style="172" bestFit="1" customWidth="1"/>
    <col min="3" max="3" width="7.81640625" style="172"/>
    <col min="4" max="4" width="7.81640625" style="172" hidden="1" customWidth="1" outlineLevel="1"/>
    <col min="5" max="5" width="9.81640625" style="172" customWidth="1" collapsed="1"/>
    <col min="6" max="6" width="9.453125" style="172" hidden="1" customWidth="1" outlineLevel="1"/>
    <col min="7" max="7" width="9.81640625" style="172" customWidth="1" collapsed="1"/>
    <col min="8" max="8" width="9.81640625" style="172" customWidth="1"/>
    <col min="9" max="9" width="9.453125" style="172" hidden="1" customWidth="1" outlineLevel="1"/>
    <col min="10" max="10" width="9.81640625" style="172" customWidth="1" collapsed="1"/>
    <col min="11" max="11" width="8.7265625" style="172" bestFit="1" customWidth="1"/>
    <col min="12" max="16384" width="7.81640625" style="172"/>
  </cols>
  <sheetData>
    <row r="1" spans="2:10" hidden="1" outlineLevel="1"/>
    <row r="2" spans="2:10" hidden="1" outlineLevel="1">
      <c r="E2" s="119">
        <v>5</v>
      </c>
      <c r="F2" s="119">
        <v>2</v>
      </c>
      <c r="G2" s="119">
        <v>8</v>
      </c>
      <c r="H2" s="119">
        <v>3</v>
      </c>
      <c r="I2" s="119">
        <v>4</v>
      </c>
      <c r="J2" s="119">
        <v>6</v>
      </c>
    </row>
    <row r="3" spans="2:10" hidden="1" outlineLevel="1">
      <c r="B3" s="177" cm="1">
        <f t="array" ref="B3" xml:space="preserve"> COLUMN() - COLUMN($A:$A)</f>
        <v>1</v>
      </c>
      <c r="C3" s="177" cm="1">
        <f t="array" ref="C3" xml:space="preserve"> COLUMN() - COLUMN($A:$A)</f>
        <v>2</v>
      </c>
      <c r="D3" s="177" cm="1">
        <f t="array" ref="D3" xml:space="preserve"> COLUMN() - COLUMN($A:$A)</f>
        <v>3</v>
      </c>
      <c r="E3" s="177" cm="1">
        <f t="array" ref="E3" xml:space="preserve"> COLUMN() - COLUMN($A:$A)</f>
        <v>4</v>
      </c>
      <c r="F3" s="177" cm="1">
        <f t="array" ref="F3" xml:space="preserve"> COLUMN() - COLUMN($A:$A)</f>
        <v>5</v>
      </c>
      <c r="G3" s="177" cm="1">
        <f t="array" ref="G3" xml:space="preserve"> COLUMN() - COLUMN($A:$A)</f>
        <v>6</v>
      </c>
      <c r="H3" s="177" cm="1">
        <f t="array" ref="H3" xml:space="preserve"> COLUMN() - COLUMN($A:$A)</f>
        <v>7</v>
      </c>
      <c r="I3" s="177" cm="1">
        <f t="array" ref="I3" xml:space="preserve"> COLUMN() - COLUMN($A:$A)</f>
        <v>8</v>
      </c>
      <c r="J3" s="177" cm="1">
        <f t="array" ref="J3" xml:space="preserve"> COLUMN() - COLUMN($A:$A)</f>
        <v>9</v>
      </c>
    </row>
    <row r="4" spans="2:10" collapsed="1"/>
    <row r="5" spans="2:10" s="181" customFormat="1" ht="36" customHeight="1">
      <c r="B5" s="179" t="s">
        <v>127</v>
      </c>
      <c r="C5" s="180" t="s">
        <v>3350</v>
      </c>
      <c r="D5" s="179" t="s">
        <v>3348</v>
      </c>
      <c r="E5" s="179" t="s">
        <v>129</v>
      </c>
      <c r="F5" s="179" t="s">
        <v>3349</v>
      </c>
      <c r="G5" s="180" t="s">
        <v>3420</v>
      </c>
      <c r="H5" s="179" t="s">
        <v>690</v>
      </c>
      <c r="I5" s="179" t="s">
        <v>3351</v>
      </c>
      <c r="J5" s="180" t="s">
        <v>589</v>
      </c>
    </row>
    <row r="6" spans="2:10">
      <c r="B6" s="173">
        <v>1</v>
      </c>
      <c r="C6" s="195" t="s">
        <v>1708</v>
      </c>
      <c r="D6" s="173">
        <f xml:space="preserve"> IFERROR( IF($C6="", "", MATCH($C6, 十五音韻母清單!$K$6:$K$105,0)), "")</f>
        <v>55</v>
      </c>
      <c r="E6" s="173" t="str" cm="1">
        <f t="array" ref="E6" xml:space="preserve"> IFERROR( IF($C6="", "", INDEX(十五音韻母清單!$B$6:$K$105, $D6, E$2)), "")</f>
        <v>a</v>
      </c>
      <c r="F6" s="173" cm="1">
        <f t="array" ref="F6" xml:space="preserve"> IFERROR( IF($C6="", "", INDEX(十五音韻母清單!$B$6:$K$105, $D6, F$2)), "")</f>
        <v>28</v>
      </c>
      <c r="G6" s="173" t="str" cm="1">
        <f t="array" ref="G6" xml:space="preserve"> IFERROR( IF($C6="", "", INDEX(十五音韻母清單!$B$6:$K$105, $D6, G$2)), "")</f>
        <v>a</v>
      </c>
      <c r="H6" s="173" t="str" cm="1">
        <f t="array" ref="H6" xml:space="preserve"> IFERROR( IF($C6="", "", INDEX(十五音韻母清單!$B$6:$K$105, $D6, H$2)), "")</f>
        <v>膠</v>
      </c>
      <c r="I6" s="173" t="str" cm="1">
        <f t="array" ref="I6" xml:space="preserve"> IFERROR( IF($C6="", "", INDEX(十五音韻母清單!$B$6:$K$105, $D6, I$2)), "")</f>
        <v>舒聲</v>
      </c>
      <c r="J6" s="173" t="str" cm="1">
        <f t="array" ref="J6" xml:space="preserve"> IFERROR( IF($C6="", "", INDEX(十五音韻母清單!$B$6:$K$105, $D6, J$2)), "")</f>
        <v>a</v>
      </c>
    </row>
    <row r="7" spans="2:10">
      <c r="B7" s="173">
        <v>2</v>
      </c>
      <c r="C7" s="173" t="s">
        <v>1009</v>
      </c>
      <c r="D7" s="173">
        <f xml:space="preserve"> IFERROR( IF($C7="", "", MATCH($C7, 十五音韻母清單!$K$6:$K$105,0)), "")</f>
        <v>77</v>
      </c>
      <c r="E7" s="173" t="str" cm="1">
        <f t="array" ref="E7" xml:space="preserve"> IFERROR( IF($C7="", "", INDEX(十五音韻母清單!$B$6:$K$105, $D7, E$2)), "")</f>
        <v>e</v>
      </c>
      <c r="F7" s="173" cm="1">
        <f t="array" ref="F7" xml:space="preserve"> IFERROR( IF($C7="", "", INDEX(十五音韻母清單!$B$6:$K$105, $D7, F$2)), "")</f>
        <v>39</v>
      </c>
      <c r="G7" s="173" t="str" cm="1">
        <f t="array" ref="G7" xml:space="preserve"> IFERROR( IF($C7="", "", INDEX(十五音韻母清單!$B$6:$K$105, $D7, G$2)), "")</f>
        <v>e</v>
      </c>
      <c r="H7" s="173" t="str" cm="1">
        <f t="array" ref="H7" xml:space="preserve"> IFERROR( IF($C7="", "", INDEX(十五音韻母清單!$B$6:$K$105, $D7, H$2)), "")</f>
        <v>伽</v>
      </c>
      <c r="I7" s="173" t="str" cm="1">
        <f t="array" ref="I7" xml:space="preserve"> IFERROR( IF($C7="", "", INDEX(十五音韻母清單!$B$6:$K$105, $D7, I$2)), "")</f>
        <v>舒聲</v>
      </c>
      <c r="J7" s="173" t="str" cm="1">
        <f t="array" ref="J7" xml:space="preserve"> IFERROR( IF($C7="", "", INDEX(十五音韻母清單!$B$6:$K$105, $D7, J$2)), "")</f>
        <v>e</v>
      </c>
    </row>
    <row r="8" spans="2:10">
      <c r="B8" s="173">
        <v>3</v>
      </c>
      <c r="C8" s="173" t="s">
        <v>917</v>
      </c>
      <c r="D8" s="173">
        <f xml:space="preserve"> IFERROR( IF($C8="", "", MATCH($C8, 十五音韻母清單!$K$6:$K$105,0)), "")</f>
        <v>57</v>
      </c>
      <c r="E8" s="173" t="str" cm="1">
        <f t="array" ref="E8" xml:space="preserve"> IFERROR( IF($C8="", "", INDEX(十五音韻母清單!$B$6:$K$105, $D8, E$2)), "")</f>
        <v>i</v>
      </c>
      <c r="F8" s="173" cm="1">
        <f t="array" ref="F8" xml:space="preserve"> IFERROR( IF($C8="", "", INDEX(十五音韻母清單!$B$6:$K$105, $D8, F$2)), "")</f>
        <v>29</v>
      </c>
      <c r="G8" s="173" t="str" cm="1">
        <f t="array" ref="G8" xml:space="preserve"> IFERROR( IF($C8="", "", INDEX(十五音韻母清單!$B$6:$K$105, $D8, G$2)), "")</f>
        <v>i</v>
      </c>
      <c r="H8" s="173" t="str" cm="1">
        <f t="array" ref="H8" xml:space="preserve"> IFERROR( IF($C8="", "", INDEX(十五音韻母清單!$B$6:$K$105, $D8, H$2)), "")</f>
        <v>居</v>
      </c>
      <c r="I8" s="173" t="str" cm="1">
        <f t="array" ref="I8" xml:space="preserve"> IFERROR( IF($C8="", "", INDEX(十五音韻母清單!$B$6:$K$105, $D8, I$2)), "")</f>
        <v>舒聲</v>
      </c>
      <c r="J8" s="173" t="str" cm="1">
        <f t="array" ref="J8" xml:space="preserve"> IFERROR( IF($C8="", "", INDEX(十五音韻母清單!$B$6:$K$105, $D8, J$2)), "")</f>
        <v>i</v>
      </c>
    </row>
    <row r="9" spans="2:10">
      <c r="B9" s="173">
        <v>4</v>
      </c>
      <c r="C9" s="173" t="s">
        <v>786</v>
      </c>
      <c r="D9" s="173">
        <f xml:space="preserve"> IFERROR( IF($C9="", "", MATCH($C9, 十五音韻母清單!$K$6:$K$105,0)), "")</f>
        <v>21</v>
      </c>
      <c r="E9" s="173" t="str" cm="1">
        <f t="array" ref="E9" xml:space="preserve"> IFERROR( IF($C9="", "", INDEX(十五音韻母清單!$B$6:$K$105, $D9, E$2)), "")</f>
        <v>oo</v>
      </c>
      <c r="F9" s="173" cm="1">
        <f t="array" ref="F9" xml:space="preserve"> IFERROR( IF($C9="", "", INDEX(十五音韻母清單!$B$6:$K$105, $D9, F$2)), "")</f>
        <v>11</v>
      </c>
      <c r="G9" s="173" t="str" cm="1">
        <f t="array" ref="G9" xml:space="preserve"> IFERROR( IF($C9="", "", INDEX(十五音韻母清單!$B$6:$K$105, $D9, G$2)), "")</f>
        <v>oo</v>
      </c>
      <c r="H9" s="173" t="str" cm="1">
        <f t="array" ref="H9" xml:space="preserve"> IFERROR( IF($C9="", "", INDEX(十五音韻母清單!$B$6:$K$105, $D9, H$2)), "")</f>
        <v>沽</v>
      </c>
      <c r="I9" s="173" t="str" cm="1">
        <f t="array" ref="I9" xml:space="preserve"> IFERROR( IF($C9="", "", INDEX(十五音韻母清單!$B$6:$K$105, $D9, I$2)), "")</f>
        <v>舒聲</v>
      </c>
      <c r="J9" s="173" t="str" cm="1">
        <f t="array" ref="J9" xml:space="preserve"> IFERROR( IF($C9="", "", INDEX(十五音韻母清單!$B$6:$K$105, $D9, J$2)), "")</f>
        <v>ou</v>
      </c>
    </row>
    <row r="10" spans="2:10">
      <c r="B10" s="173">
        <v>5</v>
      </c>
      <c r="C10" s="182" t="s">
        <v>3422</v>
      </c>
      <c r="D10" s="182" t="str">
        <f xml:space="preserve"> IFERROR( IF($C10="", "", MATCH($C10, 十五音韻母清單!$K$6:$K$105,0)), "")</f>
        <v/>
      </c>
      <c r="E10" s="173" t="str" cm="1">
        <f t="array" ref="E10" xml:space="preserve"> IFERROR( IF($C10="", "", INDEX(十五音韻母清單!$B$6:$K$105, $D10, E$2)), "")</f>
        <v/>
      </c>
      <c r="F10" s="182" t="str" cm="1">
        <f t="array" ref="F10" xml:space="preserve"> IFERROR( IF($C10="", "", INDEX(十五音韻母清單!$B$6:$K$105, $D10, F$2)), "")</f>
        <v/>
      </c>
      <c r="G10" s="173" t="str" cm="1">
        <f t="array" ref="G10" xml:space="preserve"> IFERROR( IF($C10="", "", INDEX(十五音韻母清單!$B$6:$K$105, $D10, G$2)), "")</f>
        <v/>
      </c>
      <c r="H10" s="182" t="str" cm="1">
        <f t="array" ref="H10" xml:space="preserve"> IFERROR( IF($C10="", "", INDEX(十五音韻母清單!$B$6:$K$105, $D10, H$2)), "")</f>
        <v/>
      </c>
      <c r="I10" s="182" t="str" cm="1">
        <f t="array" ref="I10" xml:space="preserve"> IFERROR( IF($C10="", "", INDEX(十五音韻母清單!$B$6:$K$105, $D10, I$2)), "")</f>
        <v/>
      </c>
      <c r="J10" s="173" t="str" cm="1">
        <f t="array" ref="J10" xml:space="preserve"> IFERROR( IF($C10="", "", INDEX(十五音韻母清單!$B$6:$K$105, $D10, J$2)), "")</f>
        <v/>
      </c>
    </row>
    <row r="11" spans="2:10">
      <c r="B11" s="173">
        <v>6</v>
      </c>
      <c r="C11" s="173" t="s">
        <v>904</v>
      </c>
      <c r="D11" s="173">
        <f xml:space="preserve"> IFERROR( IF($C11="", "", MATCH($C11, 十五音韻母清單!$K$6:$K$105,0)), "")</f>
        <v>53</v>
      </c>
      <c r="E11" s="173" t="str" cm="1">
        <f t="array" ref="E11" xml:space="preserve"> IFERROR( IF($C11="", "", INDEX(十五音韻母清單!$B$6:$K$105, $D11, E$2)), "")</f>
        <v>u</v>
      </c>
      <c r="F11" s="173" cm="1">
        <f t="array" ref="F11" xml:space="preserve"> IFERROR( IF($C11="", "", INDEX(十五音韻母清單!$B$6:$K$105, $D11, F$2)), "")</f>
        <v>27</v>
      </c>
      <c r="G11" s="173" t="str" cm="1">
        <f t="array" ref="G11" xml:space="preserve"> IFERROR( IF($C11="", "", INDEX(十五音韻母清單!$B$6:$K$105, $D11, G$2)), "")</f>
        <v>u</v>
      </c>
      <c r="H11" s="173" t="str" cm="1">
        <f t="array" ref="H11" xml:space="preserve"> IFERROR( IF($C11="", "", INDEX(十五音韻母清單!$B$6:$K$105, $D11, H$2)), "")</f>
        <v>艍</v>
      </c>
      <c r="I11" s="173" t="str" cm="1">
        <f t="array" ref="I11" xml:space="preserve"> IFERROR( IF($C11="", "", INDEX(十五音韻母清單!$B$6:$K$105, $D11, I$2)), "")</f>
        <v>舒聲</v>
      </c>
      <c r="J11" s="173" t="str" cm="1">
        <f t="array" ref="J11" xml:space="preserve"> IFERROR( IF($C11="", "", INDEX(十五音韻母清單!$B$6:$K$105, $D11, J$2)), "")</f>
        <v>u</v>
      </c>
    </row>
    <row r="12" spans="2:10">
      <c r="B12" s="173">
        <v>7</v>
      </c>
      <c r="C12" s="182" t="s">
        <v>741</v>
      </c>
      <c r="D12" s="182">
        <f xml:space="preserve"> IFERROR( IF($C12="", "", MATCH($C12, 十五音韻母清單!$K$6:$K$105,0)), "")</f>
        <v>9</v>
      </c>
      <c r="E12" s="173" t="str" cm="1">
        <f t="array" ref="E12" xml:space="preserve"> IFERROR( IF($C12="", "", INDEX(十五音韻母清單!$B$6:$K$105, $D12, E$2)), "")</f>
        <v>ee</v>
      </c>
      <c r="F12" s="182" cm="1">
        <f t="array" ref="F12" xml:space="preserve"> IFERROR( IF($C12="", "", INDEX(十五音韻母清單!$B$6:$K$105, $D12, F$2)), "")</f>
        <v>5</v>
      </c>
      <c r="G12" s="173" t="str" cm="1">
        <f t="array" ref="G12" xml:space="preserve"> IFERROR( IF($C12="", "", INDEX(十五音韻母清單!$B$6:$K$105, $D12, G$2)), "")</f>
        <v>ee</v>
      </c>
      <c r="H12" s="182" t="str" cm="1">
        <f t="array" ref="H12" xml:space="preserve"> IFERROR( IF($C12="", "", INDEX(十五音韻母清單!$B$6:$K$105, $D12, H$2)), "")</f>
        <v>嘉</v>
      </c>
      <c r="I12" s="182" t="str" cm="1">
        <f t="array" ref="I12" xml:space="preserve"> IFERROR( IF($C12="", "", INDEX(十五音韻母清單!$B$6:$K$105, $D12, I$2)), "")</f>
        <v>舒聲</v>
      </c>
      <c r="J12" s="173" t="str" cm="1">
        <f t="array" ref="J12" xml:space="preserve"> IFERROR( IF($C12="", "", INDEX(十五音韻母清單!$B$6:$K$105, $D12, J$2)), "")</f>
        <v>ɛ</v>
      </c>
    </row>
    <row r="13" spans="2:10">
      <c r="B13" s="173">
        <v>8</v>
      </c>
      <c r="C13" s="173" t="s">
        <v>819</v>
      </c>
      <c r="D13" s="173">
        <f xml:space="preserve"> IFERROR( IF($C13="", "", MATCH($C13, 十五音韻母清單!$K$6:$K$105,0)), "")</f>
        <v>29</v>
      </c>
      <c r="E13" s="173" t="str" cm="1">
        <f t="array" ref="E13" xml:space="preserve"> IFERROR( IF($C13="", "", INDEX(十五音韻母清單!$B$6:$K$105, $D13, E$2)), "")</f>
        <v>o</v>
      </c>
      <c r="F13" s="173" cm="1">
        <f t="array" ref="F13" xml:space="preserve"> IFERROR( IF($C13="", "", INDEX(十五音韻母清單!$B$6:$K$105, $D13, F$2)), "")</f>
        <v>15</v>
      </c>
      <c r="G13" s="173" t="str" cm="1">
        <f t="array" ref="G13" xml:space="preserve"> IFERROR( IF($C13="", "", INDEX(十五音韻母清單!$B$6:$K$105, $D13, G$2)), "")</f>
        <v>o</v>
      </c>
      <c r="H13" s="173" t="str" cm="1">
        <f t="array" ref="H13" xml:space="preserve"> IFERROR( IF($C13="", "", INDEX(十五音韻母清單!$B$6:$K$105, $D13, H$2)), "")</f>
        <v>高</v>
      </c>
      <c r="I13" s="173" t="str" cm="1">
        <f t="array" ref="I13" xml:space="preserve"> IFERROR( IF($C13="", "", INDEX(十五音韻母清單!$B$6:$K$105, $D13, I$2)), "")</f>
        <v>舒聲</v>
      </c>
      <c r="J13" s="173" t="str" cm="1">
        <f t="array" ref="J13" xml:space="preserve"> IFERROR( IF($C13="", "", INDEX(十五音韻母清單!$B$6:$K$105, $D13, J$2)), "")</f>
        <v>o</v>
      </c>
    </row>
    <row r="14" spans="2:10">
      <c r="B14" s="173">
        <v>9</v>
      </c>
      <c r="C14" s="182" t="s">
        <v>3423</v>
      </c>
      <c r="D14" s="182" t="str">
        <f xml:space="preserve"> IFERROR( IF($C14="", "", MATCH($C14, 十五音韻母清單!$K$6:$K$105,0)), "")</f>
        <v/>
      </c>
      <c r="E14" s="173" t="str" cm="1">
        <f t="array" ref="E14" xml:space="preserve"> IFERROR( IF($C14="", "", INDEX(十五音韻母清單!$B$6:$K$105, $D14, E$2)), "")</f>
        <v/>
      </c>
      <c r="F14" s="182" t="str" cm="1">
        <f t="array" ref="F14" xml:space="preserve"> IFERROR( IF($C14="", "", INDEX(十五音韻母清單!$B$6:$K$105, $D14, F$2)), "")</f>
        <v/>
      </c>
      <c r="G14" s="173" t="str" cm="1">
        <f t="array" ref="G14" xml:space="preserve"> IFERROR( IF($C14="", "", INDEX(十五音韻母清單!$B$6:$K$105, $D14, G$2)), "")</f>
        <v/>
      </c>
      <c r="H14" s="182" t="str" cm="1">
        <f t="array" ref="H14" xml:space="preserve"> IFERROR( IF($C14="", "", INDEX(十五音韻母清單!$B$6:$K$105, $D14, H$2)), "")</f>
        <v/>
      </c>
      <c r="I14" s="182" t="str" cm="1">
        <f t="array" ref="I14" xml:space="preserve"> IFERROR( IF($C14="", "", INDEX(十五音韻母清單!$B$6:$K$105, $D14, I$2)), "")</f>
        <v/>
      </c>
      <c r="J14" s="173" t="str" cm="1">
        <f t="array" ref="J14" xml:space="preserve"> IFERROR( IF($C14="", "", INDEX(十五音韻母清單!$B$6:$K$105, $D14, J$2)), "")</f>
        <v/>
      </c>
    </row>
    <row r="15" spans="2:10">
      <c r="B15" s="173">
        <v>10</v>
      </c>
      <c r="C15" s="173" t="s">
        <v>826</v>
      </c>
      <c r="D15" s="173">
        <f xml:space="preserve"> IFERROR( IF($C15="", "", MATCH($C15, 十五音韻母清單!$K$6:$K$105,0)), "")</f>
        <v>31</v>
      </c>
      <c r="E15" s="173" t="str" cm="1">
        <f t="array" ref="E15" xml:space="preserve"> IFERROR( IF($C15="", "", INDEX(十五音韻母清單!$B$6:$K$105, $D15, E$2)), "")</f>
        <v>ai</v>
      </c>
      <c r="F15" s="173" cm="1">
        <f t="array" ref="F15" xml:space="preserve"> IFERROR( IF($C15="", "", INDEX(十五音韻母清單!$B$6:$K$105, $D15, F$2)), "")</f>
        <v>16</v>
      </c>
      <c r="G15" s="173" t="str" cm="1">
        <f t="array" ref="G15" xml:space="preserve"> IFERROR( IF($C15="", "", INDEX(十五音韻母清單!$B$6:$K$105, $D15, G$2)), "")</f>
        <v>ai</v>
      </c>
      <c r="H15" s="173" t="str" cm="1">
        <f t="array" ref="H15" xml:space="preserve"> IFERROR( IF($C15="", "", INDEX(十五音韻母清單!$B$6:$K$105, $D15, H$2)), "")</f>
        <v>皆</v>
      </c>
      <c r="I15" s="173" t="str" cm="1">
        <f t="array" ref="I15" xml:space="preserve"> IFERROR( IF($C15="", "", INDEX(十五音韻母清單!$B$6:$K$105, $D15, I$2)), "")</f>
        <v>舒聲</v>
      </c>
      <c r="J15" s="173" t="str" cm="1">
        <f t="array" ref="J15" xml:space="preserve"> IFERROR( IF($C15="", "", INDEX(十五音韻母清單!$B$6:$K$105, $D15, J$2)), "")</f>
        <v>ai</v>
      </c>
    </row>
    <row r="16" spans="2:10">
      <c r="B16" s="173">
        <v>11</v>
      </c>
      <c r="C16" s="173" t="s">
        <v>870</v>
      </c>
      <c r="D16" s="173">
        <f xml:space="preserve"> IFERROR( IF($C16="", "", MATCH($C16, 十五音韻母清單!$K$6:$K$105,0)), "")</f>
        <v>45</v>
      </c>
      <c r="E16" s="173" t="str" cm="1">
        <f t="array" ref="E16" xml:space="preserve"> IFERROR( IF($C16="", "", INDEX(十五音韻母清單!$B$6:$K$105, $D16, E$2)), "")</f>
        <v>au</v>
      </c>
      <c r="F16" s="173" cm="1">
        <f t="array" ref="F16" xml:space="preserve"> IFERROR( IF($C16="", "", INDEX(十五音韻母清單!$B$6:$K$105, $D16, F$2)), "")</f>
        <v>23</v>
      </c>
      <c r="G16" s="173" t="str" cm="1">
        <f t="array" ref="G16" xml:space="preserve"> IFERROR( IF($C16="", "", INDEX(十五音韻母清單!$B$6:$K$105, $D16, G$2)), "")</f>
        <v>au</v>
      </c>
      <c r="H16" s="173" t="str" cm="1">
        <f t="array" ref="H16" xml:space="preserve"> IFERROR( IF($C16="", "", INDEX(十五音韻母清單!$B$6:$K$105, $D16, H$2)), "")</f>
        <v>交</v>
      </c>
      <c r="I16" s="173" t="str" cm="1">
        <f t="array" ref="I16" xml:space="preserve"> IFERROR( IF($C16="", "", INDEX(十五音韻母清單!$B$6:$K$105, $D16, I$2)), "")</f>
        <v>舒聲</v>
      </c>
      <c r="J16" s="173" t="str" cm="1">
        <f t="array" ref="J16" xml:space="preserve"> IFERROR( IF($C16="", "", INDEX(十五音韻母清單!$B$6:$K$105, $D16, J$2)), "")</f>
        <v>au</v>
      </c>
    </row>
    <row r="17" spans="2:10">
      <c r="B17" s="173">
        <v>12</v>
      </c>
      <c r="C17" s="173" t="s">
        <v>896</v>
      </c>
      <c r="D17" s="173">
        <f xml:space="preserve"> IFERROR( IF($C17="", "", MATCH($C17, 十五音韻母清單!$K$6:$K$105,0)), "")</f>
        <v>51</v>
      </c>
      <c r="E17" s="173" t="str" cm="1">
        <f t="array" ref="E17" xml:space="preserve"> IFERROR( IF($C17="", "", INDEX(十五音韻母清單!$B$6:$K$105, $D17, E$2)), "")</f>
        <v>ann</v>
      </c>
      <c r="F17" s="173" cm="1">
        <f t="array" ref="F17" xml:space="preserve"> IFERROR( IF($C17="", "", INDEX(十五音韻母清單!$B$6:$K$105, $D17, F$2)), "")</f>
        <v>26</v>
      </c>
      <c r="G17" s="173" t="str" cm="1">
        <f t="array" ref="G17" xml:space="preserve"> IFERROR( IF($C17="", "", INDEX(十五音韻母清單!$B$6:$K$105, $D17, G$2)), "")</f>
        <v>ann</v>
      </c>
      <c r="H17" s="173" t="str" cm="1">
        <f t="array" ref="H17" xml:space="preserve"> IFERROR( IF($C17="", "", INDEX(十五音韻母清單!$B$6:$K$105, $D17, H$2)), "")</f>
        <v>監</v>
      </c>
      <c r="I17" s="173" t="str" cm="1">
        <f t="array" ref="I17" xml:space="preserve"> IFERROR( IF($C17="", "", INDEX(十五音韻母清單!$B$6:$K$105, $D17, I$2)), "")</f>
        <v>舒聲</v>
      </c>
      <c r="J17" s="173" t="str" cm="1">
        <f t="array" ref="J17" xml:space="preserve"> IFERROR( IF($C17="", "", INDEX(十五音韻母清單!$B$6:$K$105, $D17, J$2)), "")</f>
        <v>ã</v>
      </c>
    </row>
    <row r="18" spans="2:10">
      <c r="B18" s="173">
        <v>13</v>
      </c>
      <c r="C18" s="173" t="s">
        <v>932</v>
      </c>
      <c r="D18" s="173">
        <f xml:space="preserve"> IFERROR( IF($C18="", "", MATCH($C18, 十五音韻母清單!$K$6:$K$105,0)), "")</f>
        <v>61</v>
      </c>
      <c r="E18" s="173" t="str" cm="1">
        <f t="array" ref="E18" xml:space="preserve"> IFERROR( IF($C18="", "", INDEX(十五音韻母清單!$B$6:$K$105, $D18, E$2)), "")</f>
        <v>enn</v>
      </c>
      <c r="F18" s="173" cm="1">
        <f t="array" ref="F18" xml:space="preserve"> IFERROR( IF($C18="", "", INDEX(十五音韻母清單!$B$6:$K$105, $D18, F$2)), "")</f>
        <v>31</v>
      </c>
      <c r="G18" s="173" t="str" cm="1">
        <f t="array" ref="G18" xml:space="preserve"> IFERROR( IF($C18="", "", INDEX(十五音韻母清單!$B$6:$K$105, $D18, G$2)), "")</f>
        <v>enn</v>
      </c>
      <c r="H18" s="173" t="str" cm="1">
        <f t="array" ref="H18" xml:space="preserve"> IFERROR( IF($C18="", "", INDEX(十五音韻母清單!$B$6:$K$105, $D18, H$2)), "")</f>
        <v>更</v>
      </c>
      <c r="I18" s="173" t="str" cm="1">
        <f t="array" ref="I18" xml:space="preserve"> IFERROR( IF($C18="", "", INDEX(十五音韻母清單!$B$6:$K$105, $D18, I$2)), "")</f>
        <v>舒聲</v>
      </c>
      <c r="J18" s="173" t="str" cm="1">
        <f t="array" ref="J18" xml:space="preserve"> IFERROR( IF($C18="", "", INDEX(十五音韻母清單!$B$6:$K$105, $D18, J$2)), "")</f>
        <v>ɛ̃</v>
      </c>
    </row>
    <row r="19" spans="2:10">
      <c r="B19" s="173">
        <v>14</v>
      </c>
      <c r="C19" s="173" t="s">
        <v>962</v>
      </c>
      <c r="D19" s="173">
        <f xml:space="preserve"> IFERROR( IF($C19="", "", MATCH($C19, 十五音韻母清單!$K$6:$K$105,0)), "")</f>
        <v>67</v>
      </c>
      <c r="E19" s="173" t="str" cm="1">
        <f t="array" ref="E19" xml:space="preserve"> IFERROR( IF($C19="", "", INDEX(十五音韻母清單!$B$6:$K$105, $D19, E$2)), "")</f>
        <v>inn</v>
      </c>
      <c r="F19" s="173" cm="1">
        <f t="array" ref="F19" xml:space="preserve"> IFERROR( IF($C19="", "", INDEX(十五音韻母清單!$B$6:$K$105, $D19, F$2)), "")</f>
        <v>34</v>
      </c>
      <c r="G19" s="173" t="str" cm="1">
        <f t="array" ref="G19" xml:space="preserve"> IFERROR( IF($C19="", "", INDEX(十五音韻母清單!$B$6:$K$105, $D19, G$2)), "")</f>
        <v>inn</v>
      </c>
      <c r="H19" s="173" t="str" cm="1">
        <f t="array" ref="H19" xml:space="preserve"> IFERROR( IF($C19="", "", INDEX(十五音韻母清單!$B$6:$K$105, $D19, H$2)), "")</f>
        <v>梔</v>
      </c>
      <c r="I19" s="173" t="str" cm="1">
        <f t="array" ref="I19" xml:space="preserve"> IFERROR( IF($C19="", "", INDEX(十五音韻母清單!$B$6:$K$105, $D19, I$2)), "")</f>
        <v>舒聲</v>
      </c>
      <c r="J19" s="173" t="str" cm="1">
        <f t="array" ref="J19" xml:space="preserve"> IFERROR( IF($C19="", "", INDEX(十五音韻母清單!$B$6:$K$105, $D19, J$2)), "")</f>
        <v>ĩ</v>
      </c>
    </row>
    <row r="20" spans="2:10">
      <c r="B20" s="173">
        <v>15</v>
      </c>
      <c r="C20" s="173" t="s">
        <v>1031</v>
      </c>
      <c r="D20" s="173">
        <f xml:space="preserve"> IFERROR( IF($C20="", "", MATCH($C20, 十五音韻母清單!$K$6:$K$105,0)), "")</f>
        <v>81</v>
      </c>
      <c r="E20" s="173" t="str" cm="1">
        <f t="array" ref="E20" xml:space="preserve"> IFERROR( IF($C20="", "", INDEX(十五音韻母清單!$B$6:$K$105, $D20, E$2)), "")</f>
        <v>oonn</v>
      </c>
      <c r="F20" s="173" cm="1">
        <f t="array" ref="F20" xml:space="preserve"> IFERROR( IF($C20="", "", INDEX(十五音韻母清單!$B$6:$K$105, $D20, F$2)), "")</f>
        <v>41</v>
      </c>
      <c r="G20" s="173" t="str" cm="1">
        <f t="array" ref="G20" xml:space="preserve"> IFERROR( IF($C20="", "", INDEX(十五音韻母清單!$B$6:$K$105, $D20, G$2)), "")</f>
        <v>onn</v>
      </c>
      <c r="H20" s="173" t="str" cm="1">
        <f t="array" ref="H20" xml:space="preserve"> IFERROR( IF($C20="", "", INDEX(十五音韻母清單!$B$6:$K$105, $D20, H$2)), "")</f>
        <v>姑</v>
      </c>
      <c r="I20" s="173" t="str" cm="1">
        <f t="array" ref="I20" xml:space="preserve"> IFERROR( IF($C20="", "", INDEX(十五音韻母清單!$B$6:$K$105, $D20, I$2)), "")</f>
        <v>舒聲</v>
      </c>
      <c r="J20" s="173" t="str" cm="1">
        <f t="array" ref="J20" xml:space="preserve"> IFERROR( IF($C20="", "", INDEX(十五音韻母清單!$B$6:$K$105, $D20, J$2)), "")</f>
        <v>õu</v>
      </c>
    </row>
    <row r="21" spans="2:10">
      <c r="B21" s="173">
        <v>16</v>
      </c>
      <c r="C21" s="182" t="s">
        <v>1706</v>
      </c>
      <c r="D21" s="182" t="str">
        <f xml:space="preserve"> IFERROR( IF($C21="", "", MATCH($C21, 十五音韻母清單!$K$6:$K$105,0)), "")</f>
        <v/>
      </c>
      <c r="E21" s="173" t="str" cm="1">
        <f t="array" ref="E21" xml:space="preserve"> IFERROR( IF($C21="", "", INDEX(十五音韻母清單!$B$6:$K$105, $D21, E$2)), "")</f>
        <v/>
      </c>
      <c r="F21" s="182" t="str" cm="1">
        <f t="array" ref="F21" xml:space="preserve"> IFERROR( IF($C21="", "", INDEX(十五音韻母清單!$B$6:$K$105, $D21, F$2)), "")</f>
        <v/>
      </c>
      <c r="G21" s="173" t="str" cm="1">
        <f t="array" ref="G21" xml:space="preserve"> IFERROR( IF($C21="", "", INDEX(十五音韻母清單!$B$6:$K$105, $D21, G$2)), "")</f>
        <v/>
      </c>
      <c r="H21" s="182" t="str" cm="1">
        <f t="array" ref="H21" xml:space="preserve"> IFERROR( IF($C21="", "", INDEX(十五音韻母清單!$B$6:$K$105, $D21, H$2)), "")</f>
        <v/>
      </c>
      <c r="I21" s="182" t="str" cm="1">
        <f t="array" ref="I21" xml:space="preserve"> IFERROR( IF($C21="", "", INDEX(十五音韻母清單!$B$6:$K$105, $D21, I$2)), "")</f>
        <v/>
      </c>
      <c r="J21" s="173" t="str" cm="1">
        <f t="array" ref="J21" xml:space="preserve"> IFERROR( IF($C21="", "", INDEX(十五音韻母清單!$B$6:$K$105, $D21, J$2)), "")</f>
        <v/>
      </c>
    </row>
    <row r="22" spans="2:10">
      <c r="B22" s="173">
        <v>17</v>
      </c>
      <c r="C22" s="173" t="s">
        <v>1038</v>
      </c>
      <c r="D22" s="173">
        <f xml:space="preserve"> IFERROR( IF($C22="", "", MATCH($C22, 十五音韻母清單!$K$6:$K$105,0)), "")</f>
        <v>83</v>
      </c>
      <c r="E22" s="173" t="str" cm="1">
        <f t="array" ref="E22" xml:space="preserve"> IFERROR( IF($C22="", "", INDEX(十五音韻母清單!$B$6:$K$105, $D22, E$2)), "")</f>
        <v>m</v>
      </c>
      <c r="F22" s="173" cm="1">
        <f t="array" ref="F22" xml:space="preserve"> IFERROR( IF($C22="", "", INDEX(十五音韻母清單!$B$6:$K$105, $D22, F$2)), "")</f>
        <v>42</v>
      </c>
      <c r="G22" s="173" t="str" cm="1">
        <f t="array" ref="G22" xml:space="preserve"> IFERROR( IF($C22="", "", INDEX(十五音韻母清單!$B$6:$K$105, $D22, G$2)), "")</f>
        <v>m</v>
      </c>
      <c r="H22" s="173" t="str" cm="1">
        <f t="array" ref="H22" xml:space="preserve"> IFERROR( IF($C22="", "", INDEX(十五音韻母清單!$B$6:$K$105, $D22, H$2)), "")</f>
        <v>姆</v>
      </c>
      <c r="I22" s="173" t="str" cm="1">
        <f t="array" ref="I22" xml:space="preserve"> IFERROR( IF($C22="", "", INDEX(十五音韻母清單!$B$6:$K$105, $D22, I$2)), "")</f>
        <v>舒聲</v>
      </c>
      <c r="J22" s="173" t="str" cm="1">
        <f t="array" ref="J22" xml:space="preserve"> IFERROR( IF($C22="", "", INDEX(十五音韻母清單!$B$6:$K$105, $D22, J$2)), "")</f>
        <v>m</v>
      </c>
    </row>
    <row r="23" spans="2:10">
      <c r="B23" s="173">
        <v>18</v>
      </c>
      <c r="C23" s="173" t="s">
        <v>1003</v>
      </c>
      <c r="D23" s="173">
        <f xml:space="preserve"> IFERROR( IF($C23="", "", MATCH($C23, 十五音韻母清單!$K$6:$K$105,0)), "")</f>
        <v>75</v>
      </c>
      <c r="E23" s="173" t="str" cm="1">
        <f t="array" ref="E23" xml:space="preserve"> IFERROR( IF($C23="", "", INDEX(十五音韻母清單!$B$6:$K$105, $D23, E$2)), "")</f>
        <v>ng</v>
      </c>
      <c r="F23" s="173" cm="1">
        <f t="array" ref="F23" xml:space="preserve"> IFERROR( IF($C23="", "", INDEX(十五音韻母清單!$B$6:$K$105, $D23, F$2)), "")</f>
        <v>38</v>
      </c>
      <c r="G23" s="173" t="str" cm="1">
        <f t="array" ref="G23" xml:space="preserve"> IFERROR( IF($C23="", "", INDEX(十五音韻母清單!$B$6:$K$105, $D23, G$2)), "")</f>
        <v>ng</v>
      </c>
      <c r="H23" s="173" t="str" cm="1">
        <f t="array" ref="H23" xml:space="preserve"> IFERROR( IF($C23="", "", INDEX(十五音韻母清單!$B$6:$K$105, $D23, H$2)), "")</f>
        <v>鋼</v>
      </c>
      <c r="I23" s="173" t="str" cm="1">
        <f t="array" ref="I23" xml:space="preserve"> IFERROR( IF($C23="", "", INDEX(十五音韻母清單!$B$6:$K$105, $D23, I$2)), "")</f>
        <v>舒聲</v>
      </c>
      <c r="J23" s="173" t="str" cm="1">
        <f t="array" ref="J23" xml:space="preserve"> IFERROR( IF($C23="", "", INDEX(十五音韻母清單!$B$6:$K$105, $D23, J$2)), "")</f>
        <v>ŋ</v>
      </c>
    </row>
    <row r="24" spans="2:10">
      <c r="B24" s="173">
        <v>19</v>
      </c>
      <c r="C24" s="173" t="s">
        <v>1018</v>
      </c>
      <c r="D24" s="173">
        <f xml:space="preserve"> IFERROR( IF($C24="", "", MATCH($C24, 十五音韻母清單!$K$6:$K$105,0)), "")</f>
        <v>79</v>
      </c>
      <c r="E24" s="173" t="str" cm="1">
        <f t="array" ref="E24" xml:space="preserve"> IFERROR( IF($C24="", "", INDEX(十五音韻母清單!$B$6:$K$105, $D24, E$2)), "")</f>
        <v>ainn</v>
      </c>
      <c r="F24" s="173" cm="1">
        <f t="array" ref="F24" xml:space="preserve"> IFERROR( IF($C24="", "", INDEX(十五音韻母清單!$B$6:$K$105, $D24, F$2)), "")</f>
        <v>40</v>
      </c>
      <c r="G24" s="173" t="str" cm="1">
        <f t="array" ref="G24" xml:space="preserve"> IFERROR( IF($C24="", "", INDEX(十五音韻母清單!$B$6:$K$105, $D24, G$2)), "")</f>
        <v>ainn</v>
      </c>
      <c r="H24" s="173" t="str" cm="1">
        <f t="array" ref="H24" xml:space="preserve"> IFERROR( IF($C24="", "", INDEX(十五音韻母清單!$B$6:$K$105, $D24, H$2)), "")</f>
        <v>閒</v>
      </c>
      <c r="I24" s="173" t="str" cm="1">
        <f t="array" ref="I24" xml:space="preserve"> IFERROR( IF($C24="", "", INDEX(十五音韻母清單!$B$6:$K$105, $D24, I$2)), "")</f>
        <v>舒聲</v>
      </c>
      <c r="J24" s="173" t="str" cm="1">
        <f t="array" ref="J24" xml:space="preserve"> IFERROR( IF($C24="", "", INDEX(十五音韻母清單!$B$6:$K$105, $D24, J$2)), "")</f>
        <v>aĩ</v>
      </c>
    </row>
    <row r="25" spans="2:10">
      <c r="B25" s="173">
        <v>20</v>
      </c>
      <c r="C25" s="173" t="s">
        <v>1095</v>
      </c>
      <c r="D25" s="173">
        <f xml:space="preserve"> IFERROR( IF($C25="", "", MATCH($C25, 十五音韻母清單!$K$6:$K$105,0)), "")</f>
        <v>95</v>
      </c>
      <c r="E25" s="173" t="str" cm="1">
        <f t="array" ref="E25" xml:space="preserve"> IFERROR( IF($C25="", "", INDEX(十五音韻母清單!$B$6:$K$105, $D25, E$2)), "")</f>
        <v>aunn</v>
      </c>
      <c r="F25" s="173" cm="1">
        <f t="array" ref="F25" xml:space="preserve"> IFERROR( IF($C25="", "", INDEX(十五音韻母清單!$B$6:$K$105, $D25, F$2)), "")</f>
        <v>48</v>
      </c>
      <c r="G25" s="173" t="str" cm="1">
        <f t="array" ref="G25" xml:space="preserve"> IFERROR( IF($C25="", "", INDEX(十五音韻母清單!$B$6:$K$105, $D25, G$2)), "")</f>
        <v>aunn</v>
      </c>
      <c r="H25" s="173" t="str" cm="1">
        <f t="array" ref="H25" xml:space="preserve"> IFERROR( IF($C25="", "", INDEX(十五音韻母清單!$B$6:$K$105, $D25, H$2)), "")</f>
        <v>爻</v>
      </c>
      <c r="I25" s="173" t="str" cm="1">
        <f t="array" ref="I25" xml:space="preserve"> IFERROR( IF($C25="", "", INDEX(十五音韻母清單!$B$6:$K$105, $D25, I$2)), "")</f>
        <v>舒聲</v>
      </c>
      <c r="J25" s="173" t="str" cm="1">
        <f t="array" ref="J25" xml:space="preserve"> IFERROR( IF($C25="", "", INDEX(十五音韻母清單!$B$6:$K$105, $D25, J$2)), "")</f>
        <v>ãu</v>
      </c>
    </row>
    <row r="26" spans="2:10">
      <c r="B26" s="173">
        <v>21</v>
      </c>
      <c r="C26" s="173" t="s">
        <v>844</v>
      </c>
      <c r="D26" s="173">
        <f xml:space="preserve"> IFERROR( IF($C26="", "", MATCH($C26, 十五音韻母清單!$K$6:$K$105,0)), "")</f>
        <v>37</v>
      </c>
      <c r="E26" s="173" t="str" cm="1">
        <f t="array" ref="E26" xml:space="preserve"> IFERROR( IF($C26="", "", INDEX(十五音韻母清單!$B$6:$K$105, $D26, E$2)), "")</f>
        <v>am</v>
      </c>
      <c r="F26" s="173" cm="1">
        <f t="array" ref="F26" xml:space="preserve"> IFERROR( IF($C26="", "", INDEX(十五音韻母清單!$B$6:$K$105, $D26, F$2)), "")</f>
        <v>19</v>
      </c>
      <c r="G26" s="173" t="str" cm="1">
        <f t="array" ref="G26" xml:space="preserve"> IFERROR( IF($C26="", "", INDEX(十五音韻母清單!$B$6:$K$105, $D26, G$2)), "")</f>
        <v>am</v>
      </c>
      <c r="H26" s="173" t="str" cm="1">
        <f t="array" ref="H26" xml:space="preserve"> IFERROR( IF($C26="", "", INDEX(十五音韻母清單!$B$6:$K$105, $D26, H$2)), "")</f>
        <v>甘</v>
      </c>
      <c r="I26" s="173" t="str" cm="1">
        <f t="array" ref="I26" xml:space="preserve"> IFERROR( IF($C26="", "", INDEX(十五音韻母清單!$B$6:$K$105, $D26, I$2)), "")</f>
        <v>舒聲</v>
      </c>
      <c r="J26" s="173" t="str" cm="1">
        <f t="array" ref="J26" xml:space="preserve"> IFERROR( IF($C26="", "", INDEX(十五音韻母清單!$B$6:$K$105, $D26, J$2)), "")</f>
        <v>am</v>
      </c>
    </row>
    <row r="27" spans="2:10">
      <c r="B27" s="173">
        <v>22</v>
      </c>
      <c r="C27" s="173" t="s">
        <v>751</v>
      </c>
      <c r="D27" s="173">
        <f xml:space="preserve"> IFERROR( IF($C27="", "", MATCH($C27, 十五音韻母清單!$K$6:$K$105,0)), "")</f>
        <v>11</v>
      </c>
      <c r="E27" s="173" t="str" cm="1">
        <f t="array" ref="E27" xml:space="preserve"> IFERROR( IF($C27="", "", INDEX(十五音韻母清單!$B$6:$K$105, $D27, E$2)), "")</f>
        <v>an</v>
      </c>
      <c r="F27" s="173" cm="1">
        <f t="array" ref="F27" xml:space="preserve"> IFERROR( IF($C27="", "", INDEX(十五音韻母清單!$B$6:$K$105, $D27, F$2)), "")</f>
        <v>6</v>
      </c>
      <c r="G27" s="173" t="str" cm="1">
        <f t="array" ref="G27" xml:space="preserve"> IFERROR( IF($C27="", "", INDEX(十五音韻母清單!$B$6:$K$105, $D27, G$2)), "")</f>
        <v>an</v>
      </c>
      <c r="H27" s="173" t="str" cm="1">
        <f t="array" ref="H27" xml:space="preserve"> IFERROR( IF($C27="", "", INDEX(十五音韻母清單!$B$6:$K$105, $D27, H$2)), "")</f>
        <v>干</v>
      </c>
      <c r="I27" s="173" t="str" cm="1">
        <f t="array" ref="I27" xml:space="preserve"> IFERROR( IF($C27="", "", INDEX(十五音韻母清單!$B$6:$K$105, $D27, I$2)), "")</f>
        <v>舒聲</v>
      </c>
      <c r="J27" s="173" t="str" cm="1">
        <f t="array" ref="J27" xml:space="preserve"> IFERROR( IF($C27="", "", INDEX(十五音韻母清單!$B$6:$K$105, $D27, J$2)), "")</f>
        <v>an</v>
      </c>
    </row>
    <row r="28" spans="2:10">
      <c r="B28" s="173">
        <v>23</v>
      </c>
      <c r="C28" s="173" t="s">
        <v>856</v>
      </c>
      <c r="D28" s="173">
        <f xml:space="preserve"> IFERROR( IF($C28="", "", MATCH($C28, 十五音韻母清單!$K$6:$K$105,0)), "")</f>
        <v>41</v>
      </c>
      <c r="E28" s="173" t="str" cm="1">
        <f t="array" ref="E28" xml:space="preserve"> IFERROR( IF($C28="", "", INDEX(十五音韻母清單!$B$6:$K$105, $D28, E$2)), "")</f>
        <v>ang</v>
      </c>
      <c r="F28" s="173" cm="1">
        <f t="array" ref="F28" xml:space="preserve"> IFERROR( IF($C28="", "", INDEX(十五音韻母清單!$B$6:$K$105, $D28, F$2)), "")</f>
        <v>21</v>
      </c>
      <c r="G28" s="173" t="str" cm="1">
        <f t="array" ref="G28" xml:space="preserve"> IFERROR( IF($C28="", "", INDEX(十五音韻母清單!$B$6:$K$105, $D28, G$2)), "")</f>
        <v>ang</v>
      </c>
      <c r="H28" s="173" t="str" cm="1">
        <f t="array" ref="H28" xml:space="preserve"> IFERROR( IF($C28="", "", INDEX(十五音韻母清單!$B$6:$K$105, $D28, H$2)), "")</f>
        <v>江</v>
      </c>
      <c r="I28" s="173" t="str" cm="1">
        <f t="array" ref="I28" xml:space="preserve"> IFERROR( IF($C28="", "", INDEX(十五音韻母清單!$B$6:$K$105, $D28, I$2)), "")</f>
        <v>舒聲</v>
      </c>
      <c r="J28" s="173" t="str" cm="1">
        <f t="array" ref="J28" xml:space="preserve"> IFERROR( IF($C28="", "", INDEX(十五音韻母清單!$B$6:$K$105, $D28, J$2)), "")</f>
        <v>aŋ</v>
      </c>
    </row>
    <row r="29" spans="2:10">
      <c r="B29" s="173">
        <v>24</v>
      </c>
      <c r="C29" s="173" t="s">
        <v>1086</v>
      </c>
      <c r="D29" s="173">
        <f xml:space="preserve"> IFERROR( IF($C29="", "", MATCH($C29, 十五音韻母清單!$K$6:$K$105,0)), "")</f>
        <v>93</v>
      </c>
      <c r="E29" s="173" t="str" cm="1">
        <f t="array" ref="E29" xml:space="preserve"> IFERROR( IF($C29="", "", INDEX(十五音韻母清單!$B$6:$K$105, $D29, E$2)), "")</f>
        <v>om</v>
      </c>
      <c r="F29" s="173" cm="1">
        <f t="array" ref="F29" xml:space="preserve"> IFERROR( IF($C29="", "", INDEX(十五音韻母清單!$B$6:$K$105, $D29, F$2)), "")</f>
        <v>47</v>
      </c>
      <c r="G29" s="173" t="str" cm="1">
        <f t="array" ref="G29" xml:space="preserve"> IFERROR( IF($C29="", "", INDEX(十五音韻母清單!$B$6:$K$105, $D29, G$2)), "")</f>
        <v>om</v>
      </c>
      <c r="H29" s="173" t="str" cm="1">
        <f t="array" ref="H29" xml:space="preserve"> IFERROR( IF($C29="", "", INDEX(十五音韻母清單!$B$6:$K$105, $D29, H$2)), "")</f>
        <v>箴</v>
      </c>
      <c r="I29" s="173" t="str" cm="1">
        <f t="array" ref="I29" xml:space="preserve"> IFERROR( IF($C29="", "", INDEX(十五音韻母清單!$B$6:$K$105, $D29, I$2)), "")</f>
        <v>舒聲</v>
      </c>
      <c r="J29" s="173" t="str" cm="1">
        <f t="array" ref="J29" xml:space="preserve"> IFERROR( IF($C29="", "", INDEX(十五音韻母清單!$B$6:$K$105, $D29, J$2)), "")</f>
        <v>ɔm</v>
      </c>
    </row>
    <row r="30" spans="2:10">
      <c r="B30" s="173">
        <v>25</v>
      </c>
      <c r="C30" s="173" t="s">
        <v>757</v>
      </c>
      <c r="D30" s="173">
        <f xml:space="preserve"> IFERROR( IF($C30="", "", MATCH($C30, 十五音韻母清單!$K$6:$K$105,0)), "")</f>
        <v>13</v>
      </c>
      <c r="E30" s="173" t="str" cm="1">
        <f t="array" ref="E30" xml:space="preserve"> IFERROR( IF($C30="", "", INDEX(十五音韻母清單!$B$6:$K$105, $D30, E$2)), "")</f>
        <v>ong</v>
      </c>
      <c r="F30" s="173" cm="1">
        <f t="array" ref="F30" xml:space="preserve"> IFERROR( IF($C30="", "", INDEX(十五音韻母清單!$B$6:$K$105, $D30, F$2)), "")</f>
        <v>7</v>
      </c>
      <c r="G30" s="173" t="str" cm="1">
        <f t="array" ref="G30" xml:space="preserve"> IFERROR( IF($C30="", "", INDEX(十五音韻母清單!$B$6:$K$105, $D30, G$2)), "")</f>
        <v>ong</v>
      </c>
      <c r="H30" s="173" t="str" cm="1">
        <f t="array" ref="H30" xml:space="preserve"> IFERROR( IF($C30="", "", INDEX(十五音韻母清單!$B$6:$K$105, $D30, H$2)), "")</f>
        <v>公</v>
      </c>
      <c r="I30" s="173" t="str" cm="1">
        <f t="array" ref="I30" xml:space="preserve"> IFERROR( IF($C30="", "", INDEX(十五音韻母清單!$B$6:$K$105, $D30, I$2)), "")</f>
        <v>舒聲</v>
      </c>
      <c r="J30" s="173" t="str" cm="1">
        <f t="array" ref="J30" xml:space="preserve"> IFERROR( IF($C30="", "", INDEX(十五音韻母清單!$B$6:$K$105, $D30, J$2)), "")</f>
        <v>ɔŋ</v>
      </c>
    </row>
    <row r="31" spans="2:10">
      <c r="B31" s="173">
        <v>26</v>
      </c>
      <c r="C31" s="182" t="s">
        <v>1724</v>
      </c>
      <c r="D31" s="182" t="str">
        <f xml:space="preserve"> IFERROR( IF($C31="", "", MATCH($C31, 十五音韻母清單!$K$6:$K$105,0)), "")</f>
        <v/>
      </c>
      <c r="E31" s="173" t="str" cm="1">
        <f t="array" ref="E31" xml:space="preserve"> IFERROR( IF($C31="", "", INDEX(十五音韻母清單!$B$6:$K$105, $D31, E$2)), "")</f>
        <v/>
      </c>
      <c r="F31" s="182" t="str" cm="1">
        <f t="array" ref="F31" xml:space="preserve"> IFERROR( IF($C31="", "", INDEX(十五音韻母清單!$B$6:$K$105, $D31, F$2)), "")</f>
        <v/>
      </c>
      <c r="G31" s="173" t="str" cm="1">
        <f t="array" ref="G31" xml:space="preserve"> IFERROR( IF($C31="", "", INDEX(十五音韻母清單!$B$6:$K$105, $D31, G$2)), "")</f>
        <v/>
      </c>
      <c r="H31" s="182" t="str" cm="1">
        <f t="array" ref="H31" xml:space="preserve"> IFERROR( IF($C31="", "", INDEX(十五音韻母清單!$B$6:$K$105, $D31, H$2)), "")</f>
        <v/>
      </c>
      <c r="I31" s="182" t="str" cm="1">
        <f t="array" ref="I31" xml:space="preserve"> IFERROR( IF($C31="", "", INDEX(十五音韻母清單!$B$6:$K$105, $D31, I$2)), "")</f>
        <v/>
      </c>
      <c r="J31" s="173" t="str" cm="1">
        <f t="array" ref="J31" xml:space="preserve"> IFERROR( IF($C31="", "", INDEX(十五音韻母清單!$B$6:$K$105, $D31, J$2)), "")</f>
        <v/>
      </c>
    </row>
    <row r="32" spans="2:10">
      <c r="B32" s="173">
        <v>27</v>
      </c>
      <c r="C32" s="194" t="s">
        <v>1729</v>
      </c>
      <c r="D32" s="182" t="str">
        <f xml:space="preserve"> IFERROR( IF($C32="", "", MATCH($C32, 十五音韻母清單!$K$6:$K$105,0)), "")</f>
        <v/>
      </c>
      <c r="E32" s="173" t="str" cm="1">
        <f t="array" ref="E32" xml:space="preserve"> IFERROR( IF($C32="", "", INDEX(十五音韻母清單!$B$6:$K$105, $D32, E$2)), "")</f>
        <v/>
      </c>
      <c r="F32" s="182" t="str" cm="1">
        <f t="array" ref="F32" xml:space="preserve"> IFERROR( IF($C32="", "", INDEX(十五音韻母清單!$B$6:$K$105, $D32, F$2)), "")</f>
        <v/>
      </c>
      <c r="G32" s="173" t="str" cm="1">
        <f t="array" ref="G32" xml:space="preserve"> IFERROR( IF($C32="", "", INDEX(十五音韻母清單!$B$6:$K$105, $D32, G$2)), "")</f>
        <v/>
      </c>
      <c r="H32" s="182" t="str" cm="1">
        <f t="array" ref="H32" xml:space="preserve"> IFERROR( IF($C32="", "", INDEX(十五音韻母清單!$B$6:$K$105, $D32, H$2)), "")</f>
        <v/>
      </c>
      <c r="I32" s="182" t="str" cm="1">
        <f t="array" ref="I32" xml:space="preserve"> IFERROR( IF($C32="", "", INDEX(十五音韻母清單!$B$6:$K$105, $D32, I$2)), "")</f>
        <v/>
      </c>
      <c r="J32" s="173" t="str" cm="1">
        <f t="array" ref="J32" xml:space="preserve"> IFERROR( IF($C32="", "", INDEX(十五音韻母清單!$B$6:$K$105, $D32, J$2)), "")</f>
        <v/>
      </c>
    </row>
  </sheetData>
  <phoneticPr fontId="1" type="noConversion"/>
  <conditionalFormatting sqref="G6:J32">
    <cfRule type="expression" dxfId="1" priority="3">
      <formula>$I6="入聲"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DAC2-FD38-144B-B21E-C7C4F7F8AF27}">
  <sheetPr codeName="工作表21">
    <tabColor rgb="FF92D050"/>
  </sheetPr>
  <dimension ref="B1:P96"/>
  <sheetViews>
    <sheetView workbookViewId="0"/>
  </sheetViews>
  <sheetFormatPr defaultColWidth="7.81640625" defaultRowHeight="25.5" outlineLevelRow="1" outlineLevelCol="1"/>
  <cols>
    <col min="1" max="1" width="3.1796875" style="172" customWidth="1"/>
    <col min="2" max="2" width="6.08984375" style="172" customWidth="1"/>
    <col min="3" max="3" width="7.81640625" style="172"/>
    <col min="4" max="4" width="7.81640625" style="181" hidden="1" customWidth="1" outlineLevel="1"/>
    <col min="5" max="5" width="10.36328125" style="172" hidden="1" customWidth="1" outlineLevel="1"/>
    <col min="6" max="6" width="7.81640625" style="172" hidden="1" customWidth="1" outlineLevel="1"/>
    <col min="7" max="7" width="9.453125" style="172" customWidth="1" collapsed="1"/>
    <col min="8" max="8" width="9.453125" style="172" hidden="1" customWidth="1" outlineLevel="1"/>
    <col min="9" max="9" width="9.453125" style="172" customWidth="1" collapsed="1"/>
    <col min="10" max="12" width="9.453125" style="172" customWidth="1"/>
    <col min="13" max="14" width="7.81640625" style="172"/>
    <col min="15" max="15" width="8.7265625" style="172" bestFit="1" customWidth="1"/>
    <col min="16" max="16384" width="7.81640625" style="172"/>
  </cols>
  <sheetData>
    <row r="1" spans="2:16" outlineLevel="1"/>
    <row r="2" spans="2:16" outlineLevel="1">
      <c r="G2" s="119">
        <v>5</v>
      </c>
      <c r="H2" s="119">
        <v>2</v>
      </c>
      <c r="I2" s="119">
        <v>8</v>
      </c>
      <c r="J2" s="119">
        <v>3</v>
      </c>
      <c r="K2" s="119">
        <v>4</v>
      </c>
      <c r="L2" s="119">
        <v>6</v>
      </c>
    </row>
    <row r="3" spans="2:16" outlineLevel="1">
      <c r="B3" s="177" cm="1">
        <f t="array" ref="B3" xml:space="preserve"> COLUMN() - COLUMN($A:$A)</f>
        <v>1</v>
      </c>
      <c r="C3" s="177" cm="1">
        <f t="array" ref="C3" xml:space="preserve"> COLUMN() - COLUMN($A:$A)</f>
        <v>2</v>
      </c>
      <c r="D3" s="184" cm="1">
        <f t="array" ref="D3" xml:space="preserve"> COLUMN() - COLUMN($A:$A)</f>
        <v>3</v>
      </c>
      <c r="E3" s="177" cm="1">
        <f t="array" ref="E3" xml:space="preserve"> COLUMN() - COLUMN($A:$A)</f>
        <v>4</v>
      </c>
      <c r="F3" s="177" cm="1">
        <f t="array" ref="F3" xml:space="preserve"> COLUMN() - COLUMN($A:$A)</f>
        <v>5</v>
      </c>
      <c r="G3" s="177" cm="1">
        <f t="array" ref="G3" xml:space="preserve"> COLUMN() - COLUMN($A:$A)</f>
        <v>6</v>
      </c>
      <c r="H3" s="177" cm="1">
        <f t="array" ref="H3" xml:space="preserve"> COLUMN() - COLUMN($A:$A)</f>
        <v>7</v>
      </c>
      <c r="I3" s="177"/>
      <c r="J3" s="177" cm="1">
        <f t="array" ref="J3" xml:space="preserve"> COLUMN() - COLUMN($A:$A)</f>
        <v>9</v>
      </c>
      <c r="K3" s="177" cm="1">
        <f t="array" ref="K3" xml:space="preserve"> COLUMN() - COLUMN($A:$A)</f>
        <v>10</v>
      </c>
      <c r="L3" s="177" cm="1">
        <f t="array" ref="L3" xml:space="preserve"> COLUMN() - COLUMN($A:$A)</f>
        <v>11</v>
      </c>
    </row>
    <row r="5" spans="2:16">
      <c r="B5" s="175" t="s">
        <v>3424</v>
      </c>
    </row>
    <row r="7" spans="2:16" s="181" customFormat="1" ht="36" customHeight="1">
      <c r="B7" s="179" t="s">
        <v>127</v>
      </c>
      <c r="C7" s="180" t="s">
        <v>3350</v>
      </c>
      <c r="D7" s="179" t="s">
        <v>3425</v>
      </c>
      <c r="E7" s="179" t="s">
        <v>3351</v>
      </c>
      <c r="F7" s="179" t="s">
        <v>3348</v>
      </c>
      <c r="G7" s="179" t="s">
        <v>129</v>
      </c>
      <c r="H7" s="179" t="s">
        <v>3349</v>
      </c>
      <c r="I7" s="180" t="s">
        <v>3420</v>
      </c>
      <c r="J7" s="179" t="s">
        <v>690</v>
      </c>
      <c r="K7" s="179" t="s">
        <v>3351</v>
      </c>
      <c r="L7" s="180" t="s">
        <v>589</v>
      </c>
    </row>
    <row r="8" spans="2:16">
      <c r="B8" s="173">
        <v>1</v>
      </c>
      <c r="C8" s="173" t="s">
        <v>1708</v>
      </c>
      <c r="D8" s="178" t="s">
        <v>3426</v>
      </c>
      <c r="E8" s="176" t="s">
        <v>1119</v>
      </c>
      <c r="F8" s="173">
        <f xml:space="preserve"> IFERROR( IF($C8="", "", MATCH($C8, 十五音韻母清單!$K$6:$K$105,0)), "")</f>
        <v>55</v>
      </c>
      <c r="G8" s="173" t="str" cm="1">
        <f t="array" ref="G8" xml:space="preserve"> IFERROR( IF($C8="", "", INDEX(十五音韻母清單!$B$6:$K$105, $F8, G$2)), "")</f>
        <v>a</v>
      </c>
      <c r="H8" s="173" cm="1">
        <f t="array" ref="H8" xml:space="preserve"> IFERROR( IF($C8="", "", INDEX(十五音韻母清單!$B$6:$K$105, $F8, H$2)), "")</f>
        <v>28</v>
      </c>
      <c r="I8" s="173" t="str" cm="1">
        <f t="array" ref="I8" xml:space="preserve"> IFERROR( IF($C8="", "", INDEX(十五音韻母清單!$B$6:$K$105, $F8, I$2)), "")</f>
        <v>a</v>
      </c>
      <c r="J8" s="173" t="str" cm="1">
        <f t="array" ref="J8" xml:space="preserve"> IFERROR( IF($C8="", "", INDEX(十五音韻母清單!$B$6:$K$105, $F8, J$2)), "")</f>
        <v>膠</v>
      </c>
      <c r="K8" s="173" t="str" cm="1">
        <f t="array" ref="K8" xml:space="preserve"> IFERROR( IF($C8="", "", INDEX(十五音韻母清單!$B$6:$K$105, $F8, K$2)), "")</f>
        <v>舒聲</v>
      </c>
      <c r="L8" s="173" t="str" cm="1">
        <f t="array" ref="L8" xml:space="preserve"> IFERROR( IF($C8="", "", INDEX(十五音韻母清單!$B$6:$K$105, $F8, L$2)), "")</f>
        <v>a</v>
      </c>
    </row>
    <row r="9" spans="2:16">
      <c r="B9" s="173">
        <v>2</v>
      </c>
      <c r="C9" s="173" t="s">
        <v>1009</v>
      </c>
      <c r="D9" s="178" t="s">
        <v>3426</v>
      </c>
      <c r="E9" s="176" t="s">
        <v>1119</v>
      </c>
      <c r="F9" s="173">
        <f xml:space="preserve"> IFERROR( IF($C9="", "", MATCH($C9, 十五音韻母清單!$K$6:$K$105,0)), "")</f>
        <v>77</v>
      </c>
      <c r="G9" s="173" t="str" cm="1">
        <f t="array" ref="G9" xml:space="preserve"> IFERROR( IF($C9="", "", INDEX(十五音韻母清單!$B$6:$K$105, $F9, G$2)), "")</f>
        <v>e</v>
      </c>
      <c r="H9" s="173" cm="1">
        <f t="array" ref="H9" xml:space="preserve"> IFERROR( IF($C9="", "", INDEX(十五音韻母清單!$B$6:$K$105, $F9, H$2)), "")</f>
        <v>39</v>
      </c>
      <c r="I9" s="173" t="str" cm="1">
        <f t="array" ref="I9" xml:space="preserve"> IFERROR( IF($C9="", "", INDEX(十五音韻母清單!$B$6:$K$105, $F9, I$2)), "")</f>
        <v>e</v>
      </c>
      <c r="J9" s="173" t="str" cm="1">
        <f t="array" ref="J9" xml:space="preserve"> IFERROR( IF($C9="", "", INDEX(十五音韻母清單!$B$6:$K$105, $F9, J$2)), "")</f>
        <v>伽</v>
      </c>
      <c r="K9" s="173" t="str" cm="1">
        <f t="array" ref="K9" xml:space="preserve"> IFERROR( IF($C9="", "", INDEX(十五音韻母清單!$B$6:$K$105, $F9, K$2)), "")</f>
        <v>舒聲</v>
      </c>
      <c r="L9" s="173" t="str" cm="1">
        <f t="array" ref="L9" xml:space="preserve"> IFERROR( IF($C9="", "", INDEX(十五音韻母清單!$B$6:$K$105, $F9, L$2)), "")</f>
        <v>e</v>
      </c>
    </row>
    <row r="10" spans="2:16">
      <c r="B10" s="173">
        <v>3</v>
      </c>
      <c r="C10" s="173" t="s">
        <v>917</v>
      </c>
      <c r="D10" s="178" t="s">
        <v>3426</v>
      </c>
      <c r="E10" s="176" t="s">
        <v>1119</v>
      </c>
      <c r="F10" s="173">
        <f xml:space="preserve"> IFERROR( IF($C10="", "", MATCH($C10, 十五音韻母清單!$K$6:$K$105,0)), "")</f>
        <v>57</v>
      </c>
      <c r="G10" s="173" t="str" cm="1">
        <f t="array" ref="G10" xml:space="preserve"> IFERROR( IF($C10="", "", INDEX(十五音韻母清單!$B$6:$K$105, $F10, G$2)), "")</f>
        <v>i</v>
      </c>
      <c r="H10" s="173" cm="1">
        <f t="array" ref="H10" xml:space="preserve"> IFERROR( IF($C10="", "", INDEX(十五音韻母清單!$B$6:$K$105, $F10, H$2)), "")</f>
        <v>29</v>
      </c>
      <c r="I10" s="173" t="str" cm="1">
        <f t="array" ref="I10" xml:space="preserve"> IFERROR( IF($C10="", "", INDEX(十五音韻母清單!$B$6:$K$105, $F10, I$2)), "")</f>
        <v>i</v>
      </c>
      <c r="J10" s="173" t="str" cm="1">
        <f t="array" ref="J10" xml:space="preserve"> IFERROR( IF($C10="", "", INDEX(十五音韻母清單!$B$6:$K$105, $F10, J$2)), "")</f>
        <v>居</v>
      </c>
      <c r="K10" s="173" t="str" cm="1">
        <f t="array" ref="K10" xml:space="preserve"> IFERROR( IF($C10="", "", INDEX(十五音韻母清單!$B$6:$K$105, $F10, K$2)), "")</f>
        <v>舒聲</v>
      </c>
      <c r="L10" s="173" t="str" cm="1">
        <f t="array" ref="L10" xml:space="preserve"> IFERROR( IF($C10="", "", INDEX(十五音韻母清單!$B$6:$K$105, $F10, L$2)), "")</f>
        <v>i</v>
      </c>
    </row>
    <row r="11" spans="2:16">
      <c r="B11" s="173">
        <v>4</v>
      </c>
      <c r="C11" s="173" t="s">
        <v>786</v>
      </c>
      <c r="D11" s="178" t="s">
        <v>3426</v>
      </c>
      <c r="E11" s="176" t="s">
        <v>1119</v>
      </c>
      <c r="F11" s="173">
        <f xml:space="preserve"> IFERROR( IF($C11="", "", MATCH($C11, 十五音韻母清單!$K$6:$K$105,0)), "")</f>
        <v>21</v>
      </c>
      <c r="G11" s="173" t="str" cm="1">
        <f t="array" ref="G11" xml:space="preserve"> IFERROR( IF($C11="", "", INDEX(十五音韻母清單!$B$6:$K$105, $F11, G$2)), "")</f>
        <v>oo</v>
      </c>
      <c r="H11" s="173" cm="1">
        <f t="array" ref="H11" xml:space="preserve"> IFERROR( IF($C11="", "", INDEX(十五音韻母清單!$B$6:$K$105, $F11, H$2)), "")</f>
        <v>11</v>
      </c>
      <c r="I11" s="173" t="str" cm="1">
        <f t="array" ref="I11" xml:space="preserve"> IFERROR( IF($C11="", "", INDEX(十五音韻母清單!$B$6:$K$105, $F11, I$2)), "")</f>
        <v>oo</v>
      </c>
      <c r="J11" s="173" t="str" cm="1">
        <f t="array" ref="J11" xml:space="preserve"> IFERROR( IF($C11="", "", INDEX(十五音韻母清單!$B$6:$K$105, $F11, J$2)), "")</f>
        <v>沽</v>
      </c>
      <c r="K11" s="173" t="str" cm="1">
        <f t="array" ref="K11" xml:space="preserve"> IFERROR( IF($C11="", "", INDEX(十五音韻母清單!$B$6:$K$105, $F11, K$2)), "")</f>
        <v>舒聲</v>
      </c>
      <c r="L11" s="173" t="str" cm="1">
        <f t="array" ref="L11" xml:space="preserve"> IFERROR( IF($C11="", "", INDEX(十五音韻母清單!$B$6:$K$105, $F11, L$2)), "")</f>
        <v>ou</v>
      </c>
    </row>
    <row r="12" spans="2:16">
      <c r="B12" s="173">
        <v>5</v>
      </c>
      <c r="C12" s="182" t="s">
        <v>3422</v>
      </c>
      <c r="D12" s="185" t="s">
        <v>3426</v>
      </c>
      <c r="E12" s="183" t="s">
        <v>1119</v>
      </c>
      <c r="F12" s="173" t="str">
        <f xml:space="preserve"> IFERROR( IF($C12="", "", MATCH($C12, 十五音韻母清單!$K$6:$K$105,0)), "")</f>
        <v/>
      </c>
      <c r="G12" s="173" t="str" cm="1">
        <f t="array" ref="G12" xml:space="preserve"> IFERROR( IF($C12="", "", INDEX(十五音韻母清單!$B$6:$K$105, $F12, G$2)), "")</f>
        <v/>
      </c>
      <c r="H12" s="173" t="str" cm="1">
        <f t="array" ref="H12" xml:space="preserve"> IFERROR( IF($C12="", "", INDEX(十五音韻母清單!$B$6:$K$105, $F12, H$2)), "")</f>
        <v/>
      </c>
      <c r="I12" s="173" t="str" cm="1">
        <f t="array" ref="I12" xml:space="preserve"> IFERROR( IF($C12="", "", INDEX(十五音韻母清單!$B$6:$K$105, $F12, I$2)), "")</f>
        <v/>
      </c>
      <c r="J12" s="173" t="str" cm="1">
        <f t="array" ref="J12" xml:space="preserve"> IFERROR( IF($C12="", "", INDEX(十五音韻母清單!$B$6:$K$105, $F12, J$2)), "")</f>
        <v/>
      </c>
      <c r="K12" s="173" t="str" cm="1">
        <f t="array" ref="K12" xml:space="preserve"> IFERROR( IF($C12="", "", INDEX(十五音韻母清單!$B$6:$K$105, $F12, K$2)), "")</f>
        <v/>
      </c>
      <c r="L12" s="173" t="str" cm="1">
        <f t="array" ref="L12" xml:space="preserve"> IFERROR( IF($C12="", "", INDEX(十五音韻母清單!$B$6:$K$105, $F12, L$2)), "")</f>
        <v/>
      </c>
    </row>
    <row r="13" spans="2:16">
      <c r="B13" s="173">
        <v>6</v>
      </c>
      <c r="C13" s="173" t="s">
        <v>904</v>
      </c>
      <c r="D13" s="178" t="s">
        <v>3426</v>
      </c>
      <c r="E13" s="176" t="s">
        <v>1119</v>
      </c>
      <c r="F13" s="173">
        <f xml:space="preserve"> IFERROR( IF($C13="", "", MATCH($C13, 十五音韻母清單!$K$6:$K$105,0)), "")</f>
        <v>53</v>
      </c>
      <c r="G13" s="173" t="str" cm="1">
        <f t="array" ref="G13" xml:space="preserve"> IFERROR( IF($C13="", "", INDEX(十五音韻母清單!$B$6:$K$105, $F13, G$2)), "")</f>
        <v>u</v>
      </c>
      <c r="H13" s="173" cm="1">
        <f t="array" ref="H13" xml:space="preserve"> IFERROR( IF($C13="", "", INDEX(十五音韻母清單!$B$6:$K$105, $F13, H$2)), "")</f>
        <v>27</v>
      </c>
      <c r="I13" s="173" t="str" cm="1">
        <f t="array" ref="I13" xml:space="preserve"> IFERROR( IF($C13="", "", INDEX(十五音韻母清單!$B$6:$K$105, $F13, I$2)), "")</f>
        <v>u</v>
      </c>
      <c r="J13" s="173" t="str" cm="1">
        <f t="array" ref="J13" xml:space="preserve"> IFERROR( IF($C13="", "", INDEX(十五音韻母清單!$B$6:$K$105, $F13, J$2)), "")</f>
        <v>艍</v>
      </c>
      <c r="K13" s="173" t="str" cm="1">
        <f t="array" ref="K13" xml:space="preserve"> IFERROR( IF($C13="", "", INDEX(十五音韻母清單!$B$6:$K$105, $F13, K$2)), "")</f>
        <v>舒聲</v>
      </c>
      <c r="L13" s="173" t="str" cm="1">
        <f t="array" ref="L13" xml:space="preserve"> IFERROR( IF($C13="", "", INDEX(十五音韻母清單!$B$6:$K$105, $F13, L$2)), "")</f>
        <v>u</v>
      </c>
    </row>
    <row r="14" spans="2:16">
      <c r="B14" s="173">
        <v>7</v>
      </c>
      <c r="C14" s="182" t="s">
        <v>741</v>
      </c>
      <c r="D14" s="185" t="s">
        <v>3426</v>
      </c>
      <c r="E14" s="183" t="s">
        <v>1119</v>
      </c>
      <c r="F14" s="173">
        <f xml:space="preserve"> IFERROR( IF($C14="", "", MATCH($C14, 十五音韻母清單!$K$6:$K$105,0)), "")</f>
        <v>9</v>
      </c>
      <c r="G14" s="173" t="str" cm="1">
        <f t="array" ref="G14" xml:space="preserve"> IFERROR( IF($C14="", "", INDEX(十五音韻母清單!$B$6:$K$105, $F14, G$2)), "")</f>
        <v>ee</v>
      </c>
      <c r="H14" s="173" cm="1">
        <f t="array" ref="H14" xml:space="preserve"> IFERROR( IF($C14="", "", INDEX(十五音韻母清單!$B$6:$K$105, $F14, H$2)), "")</f>
        <v>5</v>
      </c>
      <c r="I14" s="173" t="str" cm="1">
        <f t="array" ref="I14" xml:space="preserve"> IFERROR( IF($C14="", "", INDEX(十五音韻母清單!$B$6:$K$105, $F14, I$2)), "")</f>
        <v>ee</v>
      </c>
      <c r="J14" s="173" t="str" cm="1">
        <f t="array" ref="J14" xml:space="preserve"> IFERROR( IF($C14="", "", INDEX(十五音韻母清單!$B$6:$K$105, $F14, J$2)), "")</f>
        <v>嘉</v>
      </c>
      <c r="K14" s="173" t="str" cm="1">
        <f t="array" ref="K14" xml:space="preserve"> IFERROR( IF($C14="", "", INDEX(十五音韻母清單!$B$6:$K$105, $F14, K$2)), "")</f>
        <v>舒聲</v>
      </c>
      <c r="L14" s="173" t="str" cm="1">
        <f t="array" ref="L14" xml:space="preserve"> IFERROR( IF($C14="", "", INDEX(十五音韻母清單!$B$6:$K$105, $F14, L$2)), "")</f>
        <v>ɛ</v>
      </c>
    </row>
    <row r="15" spans="2:16">
      <c r="B15" s="173">
        <v>8</v>
      </c>
      <c r="C15" s="173" t="s">
        <v>819</v>
      </c>
      <c r="D15" s="178" t="s">
        <v>3426</v>
      </c>
      <c r="E15" s="176" t="s">
        <v>1119</v>
      </c>
      <c r="F15" s="173">
        <f xml:space="preserve"> IFERROR( IF($C15="", "", MATCH($C15, 十五音韻母清單!$K$6:$K$105,0)), "")</f>
        <v>29</v>
      </c>
      <c r="G15" s="173" t="str" cm="1">
        <f t="array" ref="G15" xml:space="preserve"> IFERROR( IF($C15="", "", INDEX(十五音韻母清單!$B$6:$K$105, $F15, G$2)), "")</f>
        <v>o</v>
      </c>
      <c r="H15" s="173" cm="1">
        <f t="array" ref="H15" xml:space="preserve"> IFERROR( IF($C15="", "", INDEX(十五音韻母清單!$B$6:$K$105, $F15, H$2)), "")</f>
        <v>15</v>
      </c>
      <c r="I15" s="173" t="str" cm="1">
        <f t="array" ref="I15" xml:space="preserve"> IFERROR( IF($C15="", "", INDEX(十五音韻母清單!$B$6:$K$105, $F15, I$2)), "")</f>
        <v>o</v>
      </c>
      <c r="J15" s="173" t="str" cm="1">
        <f t="array" ref="J15" xml:space="preserve"> IFERROR( IF($C15="", "", INDEX(十五音韻母清單!$B$6:$K$105, $F15, J$2)), "")</f>
        <v>高</v>
      </c>
      <c r="K15" s="173" t="str" cm="1">
        <f t="array" ref="K15" xml:space="preserve"> IFERROR( IF($C15="", "", INDEX(十五音韻母清單!$B$6:$K$105, $F15, K$2)), "")</f>
        <v>舒聲</v>
      </c>
      <c r="L15" s="173" t="str" cm="1">
        <f t="array" ref="L15" xml:space="preserve"> IFERROR( IF($C15="", "", INDEX(十五音韻母清單!$B$6:$K$105, $F15, L$2)), "")</f>
        <v>o</v>
      </c>
    </row>
    <row r="16" spans="2:16">
      <c r="B16" s="173">
        <v>9</v>
      </c>
      <c r="C16" s="182" t="s">
        <v>3423</v>
      </c>
      <c r="D16" s="185" t="s">
        <v>3426</v>
      </c>
      <c r="E16" s="183" t="s">
        <v>1119</v>
      </c>
      <c r="F16" s="173" t="str">
        <f xml:space="preserve"> IFERROR( IF($C16="", "", MATCH($C16, 十五音韻母清單!$K$6:$K$105,0)), "")</f>
        <v/>
      </c>
      <c r="G16" s="173" t="str" cm="1">
        <f t="array" ref="G16" xml:space="preserve"> IFERROR( IF($C16="", "", INDEX(十五音韻母清單!$B$6:$K$105, $F16, G$2)), "")</f>
        <v/>
      </c>
      <c r="H16" s="173" t="str" cm="1">
        <f t="array" ref="H16" xml:space="preserve"> IFERROR( IF($C16="", "", INDEX(十五音韻母清單!$B$6:$K$105, $F16, H$2)), "")</f>
        <v/>
      </c>
      <c r="I16" s="173" t="str" cm="1">
        <f t="array" ref="I16" xml:space="preserve"> IFERROR( IF($C16="", "", INDEX(十五音韻母清單!$B$6:$K$105, $F16, I$2)), "")</f>
        <v/>
      </c>
      <c r="J16" s="173" t="str" cm="1">
        <f t="array" ref="J16" xml:space="preserve"> IFERROR( IF($C16="", "", INDEX(十五音韻母清單!$B$6:$K$105, $F16, J$2)), "")</f>
        <v/>
      </c>
      <c r="K16" s="173" t="str" cm="1">
        <f t="array" ref="K16" xml:space="preserve"> IFERROR( IF($C16="", "", INDEX(十五音韻母清單!$B$6:$K$105, $F16, K$2)), "")</f>
        <v/>
      </c>
      <c r="L16" s="173" t="str" cm="1">
        <f t="array" ref="L16" xml:space="preserve"> IFERROR( IF($C16="", "", INDEX(十五音韻母清單!$B$6:$K$105, $F16, L$2)), "")</f>
        <v/>
      </c>
      <c r="N16" s="172" t="s">
        <v>3427</v>
      </c>
      <c r="O16" s="192"/>
      <c r="P16" s="191" t="s">
        <v>3428</v>
      </c>
    </row>
    <row r="17" spans="2:15">
      <c r="B17" s="173">
        <v>10</v>
      </c>
      <c r="C17" s="173" t="s">
        <v>826</v>
      </c>
      <c r="D17" s="178" t="s">
        <v>3426</v>
      </c>
      <c r="E17" s="176" t="s">
        <v>1119</v>
      </c>
      <c r="F17" s="173">
        <f xml:space="preserve"> IFERROR( IF($C17="", "", MATCH($C17, 十五音韻母清單!$K$6:$K$105,0)), "")</f>
        <v>31</v>
      </c>
      <c r="G17" s="173" t="str" cm="1">
        <f t="array" ref="G17" xml:space="preserve"> IFERROR( IF($C17="", "", INDEX(十五音韻母清單!$B$6:$K$105, $F17, G$2)), "")</f>
        <v>ai</v>
      </c>
      <c r="H17" s="173" cm="1">
        <f t="array" ref="H17" xml:space="preserve"> IFERROR( IF($C17="", "", INDEX(十五音韻母清單!$B$6:$K$105, $F17, H$2)), "")</f>
        <v>16</v>
      </c>
      <c r="I17" s="173" t="str" cm="1">
        <f t="array" ref="I17" xml:space="preserve"> IFERROR( IF($C17="", "", INDEX(十五音韻母清單!$B$6:$K$105, $F17, I$2)), "")</f>
        <v>ai</v>
      </c>
      <c r="J17" s="173" t="str" cm="1">
        <f t="array" ref="J17" xml:space="preserve"> IFERROR( IF($C17="", "", INDEX(十五音韻母清單!$B$6:$K$105, $F17, J$2)), "")</f>
        <v>皆</v>
      </c>
      <c r="K17" s="173" t="str" cm="1">
        <f t="array" ref="K17" xml:space="preserve"> IFERROR( IF($C17="", "", INDEX(十五音韻母清單!$B$6:$K$105, $F17, K$2)), "")</f>
        <v>舒聲</v>
      </c>
      <c r="L17" s="173" t="str" cm="1">
        <f t="array" ref="L17" xml:space="preserve"> IFERROR( IF($C17="", "", INDEX(十五音韻母清單!$B$6:$K$105, $F17, L$2)), "")</f>
        <v>ai</v>
      </c>
    </row>
    <row r="18" spans="2:15">
      <c r="B18" s="173">
        <v>11</v>
      </c>
      <c r="C18" s="173" t="s">
        <v>870</v>
      </c>
      <c r="D18" s="178" t="s">
        <v>3426</v>
      </c>
      <c r="E18" s="176" t="s">
        <v>1119</v>
      </c>
      <c r="F18" s="173">
        <f xml:space="preserve"> IFERROR( IF($C18="", "", MATCH($C18, 十五音韻母清單!$K$6:$K$105,0)), "")</f>
        <v>45</v>
      </c>
      <c r="G18" s="173" t="str" cm="1">
        <f t="array" ref="G18" xml:space="preserve"> IFERROR( IF($C18="", "", INDEX(十五音韻母清單!$B$6:$K$105, $F18, G$2)), "")</f>
        <v>au</v>
      </c>
      <c r="H18" s="173" cm="1">
        <f t="array" ref="H18" xml:space="preserve"> IFERROR( IF($C18="", "", INDEX(十五音韻母清單!$B$6:$K$105, $F18, H$2)), "")</f>
        <v>23</v>
      </c>
      <c r="I18" s="173" t="str" cm="1">
        <f t="array" ref="I18" xml:space="preserve"> IFERROR( IF($C18="", "", INDEX(十五音韻母清單!$B$6:$K$105, $F18, I$2)), "")</f>
        <v>au</v>
      </c>
      <c r="J18" s="173" t="str" cm="1">
        <f t="array" ref="J18" xml:space="preserve"> IFERROR( IF($C18="", "", INDEX(十五音韻母清單!$B$6:$K$105, $F18, J$2)), "")</f>
        <v>交</v>
      </c>
      <c r="K18" s="173" t="str" cm="1">
        <f t="array" ref="K18" xml:space="preserve"> IFERROR( IF($C18="", "", INDEX(十五音韻母清單!$B$6:$K$105, $F18, K$2)), "")</f>
        <v>舒聲</v>
      </c>
      <c r="L18" s="173" t="str" cm="1">
        <f t="array" ref="L18" xml:space="preserve"> IFERROR( IF($C18="", "", INDEX(十五音韻母清單!$B$6:$K$105, $F18, L$2)), "")</f>
        <v>au</v>
      </c>
    </row>
    <row r="19" spans="2:15">
      <c r="B19" s="173">
        <v>12</v>
      </c>
      <c r="C19" s="173" t="s">
        <v>896</v>
      </c>
      <c r="D19" s="178" t="s">
        <v>3426</v>
      </c>
      <c r="E19" s="176" t="s">
        <v>1119</v>
      </c>
      <c r="F19" s="173">
        <f xml:space="preserve"> IFERROR( IF($C19="", "", MATCH($C19, 十五音韻母清單!$K$6:$K$105,0)), "")</f>
        <v>51</v>
      </c>
      <c r="G19" s="173" t="str" cm="1">
        <f t="array" ref="G19" xml:space="preserve"> IFERROR( IF($C19="", "", INDEX(十五音韻母清單!$B$6:$K$105, $F19, G$2)), "")</f>
        <v>ann</v>
      </c>
      <c r="H19" s="173" cm="1">
        <f t="array" ref="H19" xml:space="preserve"> IFERROR( IF($C19="", "", INDEX(十五音韻母清單!$B$6:$K$105, $F19, H$2)), "")</f>
        <v>26</v>
      </c>
      <c r="I19" s="173" t="str" cm="1">
        <f t="array" ref="I19" xml:space="preserve"> IFERROR( IF($C19="", "", INDEX(十五音韻母清單!$B$6:$K$105, $F19, I$2)), "")</f>
        <v>ann</v>
      </c>
      <c r="J19" s="173" t="str" cm="1">
        <f t="array" ref="J19" xml:space="preserve"> IFERROR( IF($C19="", "", INDEX(十五音韻母清單!$B$6:$K$105, $F19, J$2)), "")</f>
        <v>監</v>
      </c>
      <c r="K19" s="173" t="str" cm="1">
        <f t="array" ref="K19" xml:space="preserve"> IFERROR( IF($C19="", "", INDEX(十五音韻母清單!$B$6:$K$105, $F19, K$2)), "")</f>
        <v>舒聲</v>
      </c>
      <c r="L19" s="173" t="str" cm="1">
        <f t="array" ref="L19" xml:space="preserve"> IFERROR( IF($C19="", "", INDEX(十五音韻母清單!$B$6:$K$105, $F19, L$2)), "")</f>
        <v>ã</v>
      </c>
    </row>
    <row r="20" spans="2:15">
      <c r="B20" s="173">
        <v>13</v>
      </c>
      <c r="C20" s="173" t="s">
        <v>932</v>
      </c>
      <c r="D20" s="178" t="s">
        <v>3426</v>
      </c>
      <c r="E20" s="176" t="s">
        <v>1119</v>
      </c>
      <c r="F20" s="173">
        <f xml:space="preserve"> IFERROR( IF($C20="", "", MATCH($C20, 十五音韻母清單!$K$6:$K$105,0)), "")</f>
        <v>61</v>
      </c>
      <c r="G20" s="173" t="str" cm="1">
        <f t="array" ref="G20" xml:space="preserve"> IFERROR( IF($C20="", "", INDEX(十五音韻母清單!$B$6:$K$105, $F20, G$2)), "")</f>
        <v>enn</v>
      </c>
      <c r="H20" s="173" cm="1">
        <f t="array" ref="H20" xml:space="preserve"> IFERROR( IF($C20="", "", INDEX(十五音韻母清單!$B$6:$K$105, $F20, H$2)), "")</f>
        <v>31</v>
      </c>
      <c r="I20" s="173" t="str" cm="1">
        <f t="array" ref="I20" xml:space="preserve"> IFERROR( IF($C20="", "", INDEX(十五音韻母清單!$B$6:$K$105, $F20, I$2)), "")</f>
        <v>enn</v>
      </c>
      <c r="J20" s="173" t="str" cm="1">
        <f t="array" ref="J20" xml:space="preserve"> IFERROR( IF($C20="", "", INDEX(十五音韻母清單!$B$6:$K$105, $F20, J$2)), "")</f>
        <v>更</v>
      </c>
      <c r="K20" s="173" t="str" cm="1">
        <f t="array" ref="K20" xml:space="preserve"> IFERROR( IF($C20="", "", INDEX(十五音韻母清單!$B$6:$K$105, $F20, K$2)), "")</f>
        <v>舒聲</v>
      </c>
      <c r="L20" s="173" t="str" cm="1">
        <f t="array" ref="L20" xml:space="preserve"> IFERROR( IF($C20="", "", INDEX(十五音韻母清單!$B$6:$K$105, $F20, L$2)), "")</f>
        <v>ɛ̃</v>
      </c>
    </row>
    <row r="21" spans="2:15">
      <c r="B21" s="173">
        <v>14</v>
      </c>
      <c r="C21" s="173" t="s">
        <v>962</v>
      </c>
      <c r="D21" s="178" t="s">
        <v>3426</v>
      </c>
      <c r="E21" s="176" t="s">
        <v>1119</v>
      </c>
      <c r="F21" s="173">
        <f xml:space="preserve"> IFERROR( IF($C21="", "", MATCH($C21, 十五音韻母清單!$K$6:$K$105,0)), "")</f>
        <v>67</v>
      </c>
      <c r="G21" s="173" t="str" cm="1">
        <f t="array" ref="G21" xml:space="preserve"> IFERROR( IF($C21="", "", INDEX(十五音韻母清單!$B$6:$K$105, $F21, G$2)), "")</f>
        <v>inn</v>
      </c>
      <c r="H21" s="173" cm="1">
        <f t="array" ref="H21" xml:space="preserve"> IFERROR( IF($C21="", "", INDEX(十五音韻母清單!$B$6:$K$105, $F21, H$2)), "")</f>
        <v>34</v>
      </c>
      <c r="I21" s="173" t="str" cm="1">
        <f t="array" ref="I21" xml:space="preserve"> IFERROR( IF($C21="", "", INDEX(十五音韻母清單!$B$6:$K$105, $F21, I$2)), "")</f>
        <v>inn</v>
      </c>
      <c r="J21" s="173" t="str" cm="1">
        <f t="array" ref="J21" xml:space="preserve"> IFERROR( IF($C21="", "", INDEX(十五音韻母清單!$B$6:$K$105, $F21, J$2)), "")</f>
        <v>梔</v>
      </c>
      <c r="K21" s="173" t="str" cm="1">
        <f t="array" ref="K21" xml:space="preserve"> IFERROR( IF($C21="", "", INDEX(十五音韻母清單!$B$6:$K$105, $F21, K$2)), "")</f>
        <v>舒聲</v>
      </c>
      <c r="L21" s="173" t="str" cm="1">
        <f t="array" ref="L21" xml:space="preserve"> IFERROR( IF($C21="", "", INDEX(十五音韻母清單!$B$6:$K$105, $F21, L$2)), "")</f>
        <v>ĩ</v>
      </c>
    </row>
    <row r="22" spans="2:15">
      <c r="B22" s="173">
        <v>15</v>
      </c>
      <c r="C22" s="173" t="s">
        <v>1031</v>
      </c>
      <c r="D22" s="178" t="s">
        <v>3426</v>
      </c>
      <c r="E22" s="176" t="s">
        <v>1119</v>
      </c>
      <c r="F22" s="173">
        <f xml:space="preserve"> IFERROR( IF($C22="", "", MATCH($C22, 十五音韻母清單!$K$6:$K$105,0)), "")</f>
        <v>81</v>
      </c>
      <c r="G22" s="173" t="str" cm="1">
        <f t="array" ref="G22" xml:space="preserve"> IFERROR( IF($C22="", "", INDEX(十五音韻母清單!$B$6:$K$105, $F22, G$2)), "")</f>
        <v>oonn</v>
      </c>
      <c r="H22" s="173" cm="1">
        <f t="array" ref="H22" xml:space="preserve"> IFERROR( IF($C22="", "", INDEX(十五音韻母清單!$B$6:$K$105, $F22, H$2)), "")</f>
        <v>41</v>
      </c>
      <c r="I22" s="173" t="str" cm="1">
        <f t="array" ref="I22" xml:space="preserve"> IFERROR( IF($C22="", "", INDEX(十五音韻母清單!$B$6:$K$105, $F22, I$2)), "")</f>
        <v>onn</v>
      </c>
      <c r="J22" s="173" t="str" cm="1">
        <f t="array" ref="J22" xml:space="preserve"> IFERROR( IF($C22="", "", INDEX(十五音韻母清單!$B$6:$K$105, $F22, J$2)), "")</f>
        <v>姑</v>
      </c>
      <c r="K22" s="173" t="str" cm="1">
        <f t="array" ref="K22" xml:space="preserve"> IFERROR( IF($C22="", "", INDEX(十五音韻母清單!$B$6:$K$105, $F22, K$2)), "")</f>
        <v>舒聲</v>
      </c>
      <c r="L22" s="173" t="str" cm="1">
        <f t="array" ref="L22" xml:space="preserve"> IFERROR( IF($C22="", "", INDEX(十五音韻母清單!$B$6:$K$105, $F22, L$2)), "")</f>
        <v>õu</v>
      </c>
    </row>
    <row r="23" spans="2:15">
      <c r="B23" s="173">
        <v>16</v>
      </c>
      <c r="C23" s="182" t="s">
        <v>1706</v>
      </c>
      <c r="D23" s="185" t="s">
        <v>3426</v>
      </c>
      <c r="E23" s="183" t="s">
        <v>1119</v>
      </c>
      <c r="F23" s="173" t="str">
        <f xml:space="preserve"> IFERROR( IF($C23="", "", MATCH($C23, 十五音韻母清單!$K$6:$K$105,0)), "")</f>
        <v/>
      </c>
      <c r="G23" s="173" t="str" cm="1">
        <f t="array" ref="G23" xml:space="preserve"> IFERROR( IF($C23="", "", INDEX(十五音韻母清單!$B$6:$K$105, $F23, G$2)), "")</f>
        <v/>
      </c>
      <c r="H23" s="173" t="str" cm="1">
        <f t="array" ref="H23" xml:space="preserve"> IFERROR( IF($C23="", "", INDEX(十五音韻母清單!$B$6:$K$105, $F23, H$2)), "")</f>
        <v/>
      </c>
      <c r="I23" s="173" t="str" cm="1">
        <f t="array" ref="I23" xml:space="preserve"> IFERROR( IF($C23="", "", INDEX(十五音韻母清單!$B$6:$K$105, $F23, I$2)), "")</f>
        <v/>
      </c>
      <c r="J23" s="173" t="str" cm="1">
        <f t="array" ref="J23" xml:space="preserve"> IFERROR( IF($C23="", "", INDEX(十五音韻母清單!$B$6:$K$105, $F23, J$2)), "")</f>
        <v/>
      </c>
      <c r="K23" s="173" t="str" cm="1">
        <f t="array" ref="K23" xml:space="preserve"> IFERROR( IF($C23="", "", INDEX(十五音韻母清單!$B$6:$K$105, $F23, K$2)), "")</f>
        <v/>
      </c>
      <c r="L23" s="173" t="str" cm="1">
        <f t="array" ref="L23" xml:space="preserve"> IFERROR( IF($C23="", "", INDEX(十五音韻母清單!$B$6:$K$105, $F23, L$2)), "")</f>
        <v/>
      </c>
      <c r="N23" s="172" t="s">
        <v>3429</v>
      </c>
      <c r="O23" s="172" t="s">
        <v>1539</v>
      </c>
    </row>
    <row r="24" spans="2:15">
      <c r="B24" s="173">
        <v>17</v>
      </c>
      <c r="C24" s="173" t="s">
        <v>1038</v>
      </c>
      <c r="D24" s="178" t="s">
        <v>3426</v>
      </c>
      <c r="E24" s="176" t="s">
        <v>1119</v>
      </c>
      <c r="F24" s="173">
        <f xml:space="preserve"> IFERROR( IF($C24="", "", MATCH($C24, 十五音韻母清單!$K$6:$K$105,0)), "")</f>
        <v>83</v>
      </c>
      <c r="G24" s="173" t="str" cm="1">
        <f t="array" ref="G24" xml:space="preserve"> IFERROR( IF($C24="", "", INDEX(十五音韻母清單!$B$6:$K$105, $F24, G$2)), "")</f>
        <v>m</v>
      </c>
      <c r="H24" s="173" cm="1">
        <f t="array" ref="H24" xml:space="preserve"> IFERROR( IF($C24="", "", INDEX(十五音韻母清單!$B$6:$K$105, $F24, H$2)), "")</f>
        <v>42</v>
      </c>
      <c r="I24" s="173" t="str" cm="1">
        <f t="array" ref="I24" xml:space="preserve"> IFERROR( IF($C24="", "", INDEX(十五音韻母清單!$B$6:$K$105, $F24, I$2)), "")</f>
        <v>m</v>
      </c>
      <c r="J24" s="173" t="str" cm="1">
        <f t="array" ref="J24" xml:space="preserve"> IFERROR( IF($C24="", "", INDEX(十五音韻母清單!$B$6:$K$105, $F24, J$2)), "")</f>
        <v>姆</v>
      </c>
      <c r="K24" s="173" t="str" cm="1">
        <f t="array" ref="K24" xml:space="preserve"> IFERROR( IF($C24="", "", INDEX(十五音韻母清單!$B$6:$K$105, $F24, K$2)), "")</f>
        <v>舒聲</v>
      </c>
      <c r="L24" s="173" t="str" cm="1">
        <f t="array" ref="L24" xml:space="preserve"> IFERROR( IF($C24="", "", INDEX(十五音韻母清單!$B$6:$K$105, $F24, L$2)), "")</f>
        <v>m</v>
      </c>
    </row>
    <row r="25" spans="2:15">
      <c r="B25" s="173">
        <v>18</v>
      </c>
      <c r="C25" s="173" t="s">
        <v>1003</v>
      </c>
      <c r="D25" s="178" t="s">
        <v>3426</v>
      </c>
      <c r="E25" s="176" t="s">
        <v>1119</v>
      </c>
      <c r="F25" s="173">
        <f xml:space="preserve"> IFERROR( IF($C25="", "", MATCH($C25, 十五音韻母清單!$K$6:$K$105,0)), "")</f>
        <v>75</v>
      </c>
      <c r="G25" s="173" t="str" cm="1">
        <f t="array" ref="G25" xml:space="preserve"> IFERROR( IF($C25="", "", INDEX(十五音韻母清單!$B$6:$K$105, $F25, G$2)), "")</f>
        <v>ng</v>
      </c>
      <c r="H25" s="173" cm="1">
        <f t="array" ref="H25" xml:space="preserve"> IFERROR( IF($C25="", "", INDEX(十五音韻母清單!$B$6:$K$105, $F25, H$2)), "")</f>
        <v>38</v>
      </c>
      <c r="I25" s="173" t="str" cm="1">
        <f t="array" ref="I25" xml:space="preserve"> IFERROR( IF($C25="", "", INDEX(十五音韻母清單!$B$6:$K$105, $F25, I$2)), "")</f>
        <v>ng</v>
      </c>
      <c r="J25" s="173" t="str" cm="1">
        <f t="array" ref="J25" xml:space="preserve"> IFERROR( IF($C25="", "", INDEX(十五音韻母清單!$B$6:$K$105, $F25, J$2)), "")</f>
        <v>鋼</v>
      </c>
      <c r="K25" s="173" t="str" cm="1">
        <f t="array" ref="K25" xml:space="preserve"> IFERROR( IF($C25="", "", INDEX(十五音韻母清單!$B$6:$K$105, $F25, K$2)), "")</f>
        <v>舒聲</v>
      </c>
      <c r="L25" s="173" t="str" cm="1">
        <f t="array" ref="L25" xml:space="preserve"> IFERROR( IF($C25="", "", INDEX(十五音韻母清單!$B$6:$K$105, $F25, L$2)), "")</f>
        <v>ŋ</v>
      </c>
    </row>
    <row r="26" spans="2:15">
      <c r="B26" s="173">
        <v>19</v>
      </c>
      <c r="C26" s="173" t="s">
        <v>1018</v>
      </c>
      <c r="D26" s="178" t="s">
        <v>3426</v>
      </c>
      <c r="E26" s="176" t="s">
        <v>1119</v>
      </c>
      <c r="F26" s="173">
        <f xml:space="preserve"> IFERROR( IF($C26="", "", MATCH($C26, 十五音韻母清單!$K$6:$K$105,0)), "")</f>
        <v>79</v>
      </c>
      <c r="G26" s="173" t="str" cm="1">
        <f t="array" ref="G26" xml:space="preserve"> IFERROR( IF($C26="", "", INDEX(十五音韻母清單!$B$6:$K$105, $F26, G$2)), "")</f>
        <v>ainn</v>
      </c>
      <c r="H26" s="173" cm="1">
        <f t="array" ref="H26" xml:space="preserve"> IFERROR( IF($C26="", "", INDEX(十五音韻母清單!$B$6:$K$105, $F26, H$2)), "")</f>
        <v>40</v>
      </c>
      <c r="I26" s="173" t="str" cm="1">
        <f t="array" ref="I26" xml:space="preserve"> IFERROR( IF($C26="", "", INDEX(十五音韻母清單!$B$6:$K$105, $F26, I$2)), "")</f>
        <v>ainn</v>
      </c>
      <c r="J26" s="173" t="str" cm="1">
        <f t="array" ref="J26" xml:space="preserve"> IFERROR( IF($C26="", "", INDEX(十五音韻母清單!$B$6:$K$105, $F26, J$2)), "")</f>
        <v>閒</v>
      </c>
      <c r="K26" s="173" t="str" cm="1">
        <f t="array" ref="K26" xml:space="preserve"> IFERROR( IF($C26="", "", INDEX(十五音韻母清單!$B$6:$K$105, $F26, K$2)), "")</f>
        <v>舒聲</v>
      </c>
      <c r="L26" s="173" t="str" cm="1">
        <f t="array" ref="L26" xml:space="preserve"> IFERROR( IF($C26="", "", INDEX(十五音韻母清單!$B$6:$K$105, $F26, L$2)), "")</f>
        <v>aĩ</v>
      </c>
    </row>
    <row r="27" spans="2:15">
      <c r="B27" s="173">
        <v>20</v>
      </c>
      <c r="C27" s="173" t="s">
        <v>1095</v>
      </c>
      <c r="D27" s="178" t="s">
        <v>3426</v>
      </c>
      <c r="E27" s="176" t="s">
        <v>1119</v>
      </c>
      <c r="F27" s="173">
        <f xml:space="preserve"> IFERROR( IF($C27="", "", MATCH($C27, 十五音韻母清單!$K$6:$K$105,0)), "")</f>
        <v>95</v>
      </c>
      <c r="G27" s="173" t="str" cm="1">
        <f t="array" ref="G27" xml:space="preserve"> IFERROR( IF($C27="", "", INDEX(十五音韻母清單!$B$6:$K$105, $F27, G$2)), "")</f>
        <v>aunn</v>
      </c>
      <c r="H27" s="173" cm="1">
        <f t="array" ref="H27" xml:space="preserve"> IFERROR( IF($C27="", "", INDEX(十五音韻母清單!$B$6:$K$105, $F27, H$2)), "")</f>
        <v>48</v>
      </c>
      <c r="I27" s="173" t="str" cm="1">
        <f t="array" ref="I27" xml:space="preserve"> IFERROR( IF($C27="", "", INDEX(十五音韻母清單!$B$6:$K$105, $F27, I$2)), "")</f>
        <v>aunn</v>
      </c>
      <c r="J27" s="173" t="str" cm="1">
        <f t="array" ref="J27" xml:space="preserve"> IFERROR( IF($C27="", "", INDEX(十五音韻母清單!$B$6:$K$105, $F27, J$2)), "")</f>
        <v>爻</v>
      </c>
      <c r="K27" s="173" t="str" cm="1">
        <f t="array" ref="K27" xml:space="preserve"> IFERROR( IF($C27="", "", INDEX(十五音韻母清單!$B$6:$K$105, $F27, K$2)), "")</f>
        <v>舒聲</v>
      </c>
      <c r="L27" s="173" t="str" cm="1">
        <f t="array" ref="L27" xml:space="preserve"> IFERROR( IF($C27="", "", INDEX(十五音韻母清單!$B$6:$K$105, $F27, L$2)), "")</f>
        <v>ãu</v>
      </c>
      <c r="O27" s="171"/>
    </row>
    <row r="28" spans="2:15">
      <c r="B28" s="173">
        <v>21</v>
      </c>
      <c r="C28" s="173" t="s">
        <v>844</v>
      </c>
      <c r="D28" s="178" t="s">
        <v>3426</v>
      </c>
      <c r="E28" s="176" t="s">
        <v>1119</v>
      </c>
      <c r="F28" s="173">
        <f xml:space="preserve"> IFERROR( IF($C28="", "", MATCH($C28, 十五音韻母清單!$K$6:$K$105,0)), "")</f>
        <v>37</v>
      </c>
      <c r="G28" s="173" t="str" cm="1">
        <f t="array" ref="G28" xml:space="preserve"> IFERROR( IF($C28="", "", INDEX(十五音韻母清單!$B$6:$K$105, $F28, G$2)), "")</f>
        <v>am</v>
      </c>
      <c r="H28" s="173" cm="1">
        <f t="array" ref="H28" xml:space="preserve"> IFERROR( IF($C28="", "", INDEX(十五音韻母清單!$B$6:$K$105, $F28, H$2)), "")</f>
        <v>19</v>
      </c>
      <c r="I28" s="173" t="str" cm="1">
        <f t="array" ref="I28" xml:space="preserve"> IFERROR( IF($C28="", "", INDEX(十五音韻母清單!$B$6:$K$105, $F28, I$2)), "")</f>
        <v>am</v>
      </c>
      <c r="J28" s="173" t="str" cm="1">
        <f t="array" ref="J28" xml:space="preserve"> IFERROR( IF($C28="", "", INDEX(十五音韻母清單!$B$6:$K$105, $F28, J$2)), "")</f>
        <v>甘</v>
      </c>
      <c r="K28" s="173" t="str" cm="1">
        <f t="array" ref="K28" xml:space="preserve"> IFERROR( IF($C28="", "", INDEX(十五音韻母清單!$B$6:$K$105, $F28, K$2)), "")</f>
        <v>舒聲</v>
      </c>
      <c r="L28" s="173" t="str" cm="1">
        <f t="array" ref="L28" xml:space="preserve"> IFERROR( IF($C28="", "", INDEX(十五音韻母清單!$B$6:$K$105, $F28, L$2)), "")</f>
        <v>am</v>
      </c>
      <c r="O28" s="171"/>
    </row>
    <row r="29" spans="2:15">
      <c r="B29" s="173">
        <v>22</v>
      </c>
      <c r="C29" s="173" t="s">
        <v>751</v>
      </c>
      <c r="D29" s="178" t="s">
        <v>3426</v>
      </c>
      <c r="E29" s="176" t="s">
        <v>1119</v>
      </c>
      <c r="F29" s="173">
        <f xml:space="preserve"> IFERROR( IF($C29="", "", MATCH($C29, 十五音韻母清單!$K$6:$K$105,0)), "")</f>
        <v>11</v>
      </c>
      <c r="G29" s="173" t="str" cm="1">
        <f t="array" ref="G29" xml:space="preserve"> IFERROR( IF($C29="", "", INDEX(十五音韻母清單!$B$6:$K$105, $F29, G$2)), "")</f>
        <v>an</v>
      </c>
      <c r="H29" s="173" cm="1">
        <f t="array" ref="H29" xml:space="preserve"> IFERROR( IF($C29="", "", INDEX(十五音韻母清單!$B$6:$K$105, $F29, H$2)), "")</f>
        <v>6</v>
      </c>
      <c r="I29" s="173" t="str" cm="1">
        <f t="array" ref="I29" xml:space="preserve"> IFERROR( IF($C29="", "", INDEX(十五音韻母清單!$B$6:$K$105, $F29, I$2)), "")</f>
        <v>an</v>
      </c>
      <c r="J29" s="173" t="str" cm="1">
        <f t="array" ref="J29" xml:space="preserve"> IFERROR( IF($C29="", "", INDEX(十五音韻母清單!$B$6:$K$105, $F29, J$2)), "")</f>
        <v>干</v>
      </c>
      <c r="K29" s="173" t="str" cm="1">
        <f t="array" ref="K29" xml:space="preserve"> IFERROR( IF($C29="", "", INDEX(十五音韻母清單!$B$6:$K$105, $F29, K$2)), "")</f>
        <v>舒聲</v>
      </c>
      <c r="L29" s="173" t="str" cm="1">
        <f t="array" ref="L29" xml:space="preserve"> IFERROR( IF($C29="", "", INDEX(十五音韻母清單!$B$6:$K$105, $F29, L$2)), "")</f>
        <v>an</v>
      </c>
    </row>
    <row r="30" spans="2:15">
      <c r="B30" s="173">
        <v>23</v>
      </c>
      <c r="C30" s="173" t="s">
        <v>856</v>
      </c>
      <c r="D30" s="178" t="s">
        <v>3426</v>
      </c>
      <c r="E30" s="176" t="s">
        <v>1119</v>
      </c>
      <c r="F30" s="173">
        <f xml:space="preserve"> IFERROR( IF($C30="", "", MATCH($C30, 十五音韻母清單!$K$6:$K$105,0)), "")</f>
        <v>41</v>
      </c>
      <c r="G30" s="173" t="str" cm="1">
        <f t="array" ref="G30" xml:space="preserve"> IFERROR( IF($C30="", "", INDEX(十五音韻母清單!$B$6:$K$105, $F30, G$2)), "")</f>
        <v>ang</v>
      </c>
      <c r="H30" s="173" cm="1">
        <f t="array" ref="H30" xml:space="preserve"> IFERROR( IF($C30="", "", INDEX(十五音韻母清單!$B$6:$K$105, $F30, H$2)), "")</f>
        <v>21</v>
      </c>
      <c r="I30" s="173" t="str" cm="1">
        <f t="array" ref="I30" xml:space="preserve"> IFERROR( IF($C30="", "", INDEX(十五音韻母清單!$B$6:$K$105, $F30, I$2)), "")</f>
        <v>ang</v>
      </c>
      <c r="J30" s="173" t="str" cm="1">
        <f t="array" ref="J30" xml:space="preserve"> IFERROR( IF($C30="", "", INDEX(十五音韻母清單!$B$6:$K$105, $F30, J$2)), "")</f>
        <v>江</v>
      </c>
      <c r="K30" s="173" t="str" cm="1">
        <f t="array" ref="K30" xml:space="preserve"> IFERROR( IF($C30="", "", INDEX(十五音韻母清單!$B$6:$K$105, $F30, K$2)), "")</f>
        <v>舒聲</v>
      </c>
      <c r="L30" s="173" t="str" cm="1">
        <f t="array" ref="L30" xml:space="preserve"> IFERROR( IF($C30="", "", INDEX(十五音韻母清單!$B$6:$K$105, $F30, L$2)), "")</f>
        <v>aŋ</v>
      </c>
    </row>
    <row r="31" spans="2:15">
      <c r="B31" s="173">
        <v>24</v>
      </c>
      <c r="C31" s="173" t="s">
        <v>1086</v>
      </c>
      <c r="D31" s="178" t="s">
        <v>3426</v>
      </c>
      <c r="E31" s="176" t="s">
        <v>1119</v>
      </c>
      <c r="F31" s="173">
        <f xml:space="preserve"> IFERROR( IF($C31="", "", MATCH($C31, 十五音韻母清單!$K$6:$K$105,0)), "")</f>
        <v>93</v>
      </c>
      <c r="G31" s="173" t="str" cm="1">
        <f t="array" ref="G31" xml:space="preserve"> IFERROR( IF($C31="", "", INDEX(十五音韻母清單!$B$6:$K$105, $F31, G$2)), "")</f>
        <v>om</v>
      </c>
      <c r="H31" s="173" cm="1">
        <f t="array" ref="H31" xml:space="preserve"> IFERROR( IF($C31="", "", INDEX(十五音韻母清單!$B$6:$K$105, $F31, H$2)), "")</f>
        <v>47</v>
      </c>
      <c r="I31" s="173" t="str" cm="1">
        <f t="array" ref="I31" xml:space="preserve"> IFERROR( IF($C31="", "", INDEX(十五音韻母清單!$B$6:$K$105, $F31, I$2)), "")</f>
        <v>om</v>
      </c>
      <c r="J31" s="173" t="str" cm="1">
        <f t="array" ref="J31" xml:space="preserve"> IFERROR( IF($C31="", "", INDEX(十五音韻母清單!$B$6:$K$105, $F31, J$2)), "")</f>
        <v>箴</v>
      </c>
      <c r="K31" s="173" t="str" cm="1">
        <f t="array" ref="K31" xml:space="preserve"> IFERROR( IF($C31="", "", INDEX(十五音韻母清單!$B$6:$K$105, $F31, K$2)), "")</f>
        <v>舒聲</v>
      </c>
      <c r="L31" s="173" t="str" cm="1">
        <f t="array" ref="L31" xml:space="preserve"> IFERROR( IF($C31="", "", INDEX(十五音韻母清單!$B$6:$K$105, $F31, L$2)), "")</f>
        <v>ɔm</v>
      </c>
    </row>
    <row r="32" spans="2:15">
      <c r="B32" s="173">
        <v>25</v>
      </c>
      <c r="C32" s="173" t="s">
        <v>757</v>
      </c>
      <c r="D32" s="178" t="s">
        <v>3426</v>
      </c>
      <c r="E32" s="176" t="s">
        <v>1119</v>
      </c>
      <c r="F32" s="173">
        <f xml:space="preserve"> IFERROR( IF($C32="", "", MATCH($C32, 十五音韻母清單!$K$6:$K$105,0)), "")</f>
        <v>13</v>
      </c>
      <c r="G32" s="173" t="str" cm="1">
        <f t="array" ref="G32" xml:space="preserve"> IFERROR( IF($C32="", "", INDEX(十五音韻母清單!$B$6:$K$105, $F32, G$2)), "")</f>
        <v>ong</v>
      </c>
      <c r="H32" s="173" cm="1">
        <f t="array" ref="H32" xml:space="preserve"> IFERROR( IF($C32="", "", INDEX(十五音韻母清單!$B$6:$K$105, $F32, H$2)), "")</f>
        <v>7</v>
      </c>
      <c r="I32" s="173" t="str" cm="1">
        <f t="array" ref="I32" xml:space="preserve"> IFERROR( IF($C32="", "", INDEX(十五音韻母清單!$B$6:$K$105, $F32, I$2)), "")</f>
        <v>ong</v>
      </c>
      <c r="J32" s="173" t="str" cm="1">
        <f t="array" ref="J32" xml:space="preserve"> IFERROR( IF($C32="", "", INDEX(十五音韻母清單!$B$6:$K$105, $F32, J$2)), "")</f>
        <v>公</v>
      </c>
      <c r="K32" s="173" t="str" cm="1">
        <f t="array" ref="K32" xml:space="preserve"> IFERROR( IF($C32="", "", INDEX(十五音韻母清單!$B$6:$K$105, $F32, K$2)), "")</f>
        <v>舒聲</v>
      </c>
      <c r="L32" s="173" t="str" cm="1">
        <f t="array" ref="L32" xml:space="preserve"> IFERROR( IF($C32="", "", INDEX(十五音韻母清單!$B$6:$K$105, $F32, L$2)), "")</f>
        <v>ɔŋ</v>
      </c>
    </row>
    <row r="33" spans="2:15">
      <c r="B33" s="173">
        <v>26</v>
      </c>
      <c r="C33" s="182" t="s">
        <v>1724</v>
      </c>
      <c r="D33" s="185" t="s">
        <v>3426</v>
      </c>
      <c r="E33" s="183" t="s">
        <v>1119</v>
      </c>
      <c r="F33" s="173" t="str">
        <f xml:space="preserve"> IFERROR( IF($C33="", "", MATCH($C33, 十五音韻母清單!$K$6:$K$105,0)), "")</f>
        <v/>
      </c>
      <c r="G33" s="173" t="str" cm="1">
        <f t="array" ref="G33" xml:space="preserve"> IFERROR( IF($C33="", "", INDEX(十五音韻母清單!$B$6:$K$105, $F33, G$2)), "")</f>
        <v/>
      </c>
      <c r="H33" s="173" t="str" cm="1">
        <f t="array" ref="H33" xml:space="preserve"> IFERROR( IF($C33="", "", INDEX(十五音韻母清單!$B$6:$K$105, $F33, H$2)), "")</f>
        <v/>
      </c>
      <c r="I33" s="173" t="str" cm="1">
        <f t="array" ref="I33" xml:space="preserve"> IFERROR( IF($C33="", "", INDEX(十五音韻母清單!$B$6:$K$105, $F33, I$2)), "")</f>
        <v/>
      </c>
      <c r="J33" s="173" t="str" cm="1">
        <f t="array" ref="J33" xml:space="preserve"> IFERROR( IF($C33="", "", INDEX(十五音韻母清單!$B$6:$K$105, $F33, J$2)), "")</f>
        <v/>
      </c>
      <c r="K33" s="173" t="str" cm="1">
        <f t="array" ref="K33" xml:space="preserve"> IFERROR( IF($C33="", "", INDEX(十五音韻母清單!$B$6:$K$105, $F33, K$2)), "")</f>
        <v/>
      </c>
      <c r="L33" s="173" t="str" cm="1">
        <f t="array" ref="L33" xml:space="preserve"> IFERROR( IF($C33="", "", INDEX(十五音韻母清單!$B$6:$K$105, $F33, L$2)), "")</f>
        <v/>
      </c>
      <c r="N33" s="190" t="s">
        <v>47</v>
      </c>
      <c r="O33" s="189" t="s">
        <v>3430</v>
      </c>
    </row>
    <row r="34" spans="2:15">
      <c r="B34" s="173">
        <v>27</v>
      </c>
      <c r="C34" s="194" t="s">
        <v>1729</v>
      </c>
      <c r="D34" s="185" t="s">
        <v>3426</v>
      </c>
      <c r="E34" s="183" t="s">
        <v>1119</v>
      </c>
      <c r="F34" s="173" t="str">
        <f xml:space="preserve"> IFERROR( IF($C34="", "", MATCH($C34, 十五音韻母清單!$K$6:$K$105,0)), "")</f>
        <v/>
      </c>
      <c r="G34" s="173" t="str" cm="1">
        <f t="array" ref="G34" xml:space="preserve"> IFERROR( IF($C34="", "", INDEX(十五音韻母清單!$B$6:$K$105, $F34, G$2)), "")</f>
        <v/>
      </c>
      <c r="H34" s="173" t="str" cm="1">
        <f t="array" ref="H34" xml:space="preserve"> IFERROR( IF($C34="", "", INDEX(十五音韻母清單!$B$6:$K$105, $F34, H$2)), "")</f>
        <v/>
      </c>
      <c r="I34" s="173" t="str" cm="1">
        <f t="array" ref="I34" xml:space="preserve"> IFERROR( IF($C34="", "", INDEX(十五音韻母清單!$B$6:$K$105, $F34, I$2)), "")</f>
        <v/>
      </c>
      <c r="J34" s="173" t="str" cm="1">
        <f t="array" ref="J34" xml:space="preserve"> IFERROR( IF($C34="", "", INDEX(十五音韻母清單!$B$6:$K$105, $F34, J$2)), "")</f>
        <v/>
      </c>
      <c r="K34" s="173" t="str" cm="1">
        <f t="array" ref="K34" xml:space="preserve"> IFERROR( IF($C34="", "", INDEX(十五音韻母清單!$B$6:$K$105, $F34, K$2)), "")</f>
        <v/>
      </c>
      <c r="L34" s="173" t="str" cm="1">
        <f t="array" ref="L34" xml:space="preserve"> IFERROR( IF($C34="", "", INDEX(十五音韻母清單!$B$6:$K$105, $F34, L$2)), "")</f>
        <v/>
      </c>
      <c r="N34" s="190" t="s">
        <v>3431</v>
      </c>
      <c r="O34" s="189" t="s">
        <v>3432</v>
      </c>
    </row>
    <row r="35" spans="2:15">
      <c r="B35" s="173">
        <v>28</v>
      </c>
      <c r="C35" s="173" t="s">
        <v>878</v>
      </c>
      <c r="D35" s="186" t="s">
        <v>3433</v>
      </c>
      <c r="E35" s="176" t="s">
        <v>1119</v>
      </c>
      <c r="F35" s="173">
        <f xml:space="preserve"> IFERROR( IF($C35="", "", MATCH($C35, 十五音韻母清單!$K$6:$K$105,0)), "")</f>
        <v>47</v>
      </c>
      <c r="G35" s="173" t="str" cm="1">
        <f t="array" ref="G35" xml:space="preserve"> IFERROR( IF($C35="", "", INDEX(十五音韻母清單!$B$6:$K$105, $F35, G$2)), "")</f>
        <v>ia</v>
      </c>
      <c r="H35" s="173" cm="1">
        <f t="array" ref="H35" xml:space="preserve"> IFERROR( IF($C35="", "", INDEX(十五音韻母清單!$B$6:$K$105, $F35, H$2)), "")</f>
        <v>24</v>
      </c>
      <c r="I35" s="173" t="str" cm="1">
        <f t="array" ref="I35" xml:space="preserve"> IFERROR( IF($C35="", "", INDEX(十五音韻母清單!$B$6:$K$105, $F35, I$2)), "")</f>
        <v>ia</v>
      </c>
      <c r="J35" s="173" t="str" cm="1">
        <f t="array" ref="J35" xml:space="preserve"> IFERROR( IF($C35="", "", INDEX(十五音韻母清單!$B$6:$K$105, $F35, J$2)), "")</f>
        <v>迦</v>
      </c>
      <c r="K35" s="173" t="str" cm="1">
        <f t="array" ref="K35" xml:space="preserve"> IFERROR( IF($C35="", "", INDEX(十五音韻母清單!$B$6:$K$105, $F35, K$2)), "")</f>
        <v>舒聲</v>
      </c>
      <c r="L35" s="173" t="str" cm="1">
        <f t="array" ref="L35" xml:space="preserve"> IFERROR( IF($C35="", "", INDEX(十五音韻母清單!$B$6:$K$105, $F35, L$2)), "")</f>
        <v>ia</v>
      </c>
    </row>
    <row r="36" spans="2:15">
      <c r="B36" s="173">
        <v>29</v>
      </c>
      <c r="C36" s="173" t="s">
        <v>984</v>
      </c>
      <c r="D36" s="186" t="s">
        <v>3433</v>
      </c>
      <c r="E36" s="176" t="s">
        <v>1119</v>
      </c>
      <c r="F36" s="173">
        <f xml:space="preserve"> IFERROR( IF($C36="", "", MATCH($C36, 十五音韻母清單!$K$6:$K$105,0)), "")</f>
        <v>71</v>
      </c>
      <c r="G36" s="173" t="str" cm="1">
        <f t="array" ref="G36" xml:space="preserve"> IFERROR( IF($C36="", "", INDEX(十五音韻母清單!$B$6:$K$105, $F36, G$2)), "")</f>
        <v>iann</v>
      </c>
      <c r="H36" s="173" cm="1">
        <f t="array" ref="H36" xml:space="preserve"> IFERROR( IF($C36="", "", INDEX(十五音韻母清單!$B$6:$K$105, $F36, H$2)), "")</f>
        <v>36</v>
      </c>
      <c r="I36" s="173" t="str" cm="1">
        <f t="array" ref="I36" xml:space="preserve"> IFERROR( IF($C36="", "", INDEX(十五音韻母清單!$B$6:$K$105, $F36, I$2)), "")</f>
        <v>iann</v>
      </c>
      <c r="J36" s="173" t="str" cm="1">
        <f t="array" ref="J36" xml:space="preserve"> IFERROR( IF($C36="", "", INDEX(十五音韻母清單!$B$6:$K$105, $F36, J$2)), "")</f>
        <v>驚</v>
      </c>
      <c r="K36" s="173" t="str" cm="1">
        <f t="array" ref="K36" xml:space="preserve"> IFERROR( IF($C36="", "", INDEX(十五音韻母清單!$B$6:$K$105, $F36, K$2)), "")</f>
        <v>舒聲</v>
      </c>
      <c r="L36" s="173" t="str" cm="1">
        <f t="array" ref="L36" xml:space="preserve"> IFERROR( IF($C36="", "", INDEX(十五音韻母清單!$B$6:$K$105, $F36, L$2)), "")</f>
        <v>iã</v>
      </c>
    </row>
    <row r="37" spans="2:15">
      <c r="B37" s="173">
        <v>30</v>
      </c>
      <c r="C37" s="182" t="s">
        <v>3434</v>
      </c>
      <c r="D37" s="187" t="s">
        <v>3435</v>
      </c>
      <c r="E37" s="183" t="s">
        <v>1119</v>
      </c>
      <c r="F37" s="173" t="str">
        <f xml:space="preserve"> IFERROR( IF($C37="", "", MATCH($C37, 十五音韻母清單!$K$6:$K$105,0)), "")</f>
        <v/>
      </c>
      <c r="G37" s="173" t="str" cm="1">
        <f t="array" ref="G37" xml:space="preserve"> IFERROR( IF($C37="", "", INDEX(十五音韻母清單!$B$6:$K$105, $F37, G$2)), "")</f>
        <v/>
      </c>
      <c r="H37" s="173" t="str" cm="1">
        <f t="array" ref="H37" xml:space="preserve"> IFERROR( IF($C37="", "", INDEX(十五音韻母清單!$B$6:$K$105, $F37, H$2)), "")</f>
        <v/>
      </c>
      <c r="I37" s="173" t="str" cm="1">
        <f t="array" ref="I37" xml:space="preserve"> IFERROR( IF($C37="", "", INDEX(十五音韻母清單!$B$6:$K$105, $F37, I$2)), "")</f>
        <v/>
      </c>
      <c r="J37" s="173" t="str" cm="1">
        <f t="array" ref="J37" xml:space="preserve"> IFERROR( IF($C37="", "", INDEX(十五音韻母清單!$B$6:$K$105, $F37, J$2)), "")</f>
        <v/>
      </c>
      <c r="K37" s="173" t="str" cm="1">
        <f t="array" ref="K37" xml:space="preserve"> IFERROR( IF($C37="", "", INDEX(十五音韻母清單!$B$6:$K$105, $F37, K$2)), "")</f>
        <v/>
      </c>
      <c r="L37" s="173" t="str" cm="1">
        <f t="array" ref="L37" xml:space="preserve"> IFERROR( IF($C37="", "", INDEX(十五音韻母清單!$B$6:$K$105, $F37, L$2)), "")</f>
        <v/>
      </c>
    </row>
    <row r="38" spans="2:15">
      <c r="B38" s="173">
        <v>31</v>
      </c>
      <c r="C38" s="173" t="s">
        <v>973</v>
      </c>
      <c r="D38" s="186" t="s">
        <v>3433</v>
      </c>
      <c r="E38" s="176" t="s">
        <v>1119</v>
      </c>
      <c r="F38" s="173">
        <f xml:space="preserve"> IFERROR( IF($C38="", "", MATCH($C38, 十五音韻母清單!$K$6:$K$105,0)), "")</f>
        <v>69</v>
      </c>
      <c r="G38" s="173" t="str" cm="1">
        <f t="array" ref="G38" xml:space="preserve"> IFERROR( IF($C38="", "", INDEX(十五音韻母清單!$B$6:$K$105, $F38, G$2)), "")</f>
        <v>ionn</v>
      </c>
      <c r="H38" s="173" cm="1">
        <f t="array" ref="H38" xml:space="preserve"> IFERROR( IF($C38="", "", INDEX(十五音韻母清單!$B$6:$K$105, $F38, H$2)), "")</f>
        <v>35</v>
      </c>
      <c r="I38" s="173" t="str" cm="1">
        <f t="array" ref="I38" xml:space="preserve"> IFERROR( IF($C38="", "", INDEX(十五音韻母清單!$B$6:$K$105, $F38, I$2)), "")</f>
        <v>ionn</v>
      </c>
      <c r="J38" s="173" t="str" cm="1">
        <f t="array" ref="J38" xml:space="preserve"> IFERROR( IF($C38="", "", INDEX(十五音韻母清單!$B$6:$K$105, $F38, J$2)), "")</f>
        <v>薑</v>
      </c>
      <c r="K38" s="173" t="str" cm="1">
        <f t="array" ref="K38" xml:space="preserve"> IFERROR( IF($C38="", "", INDEX(十五音韻母清單!$B$6:$K$105, $F38, K$2)), "")</f>
        <v>舒聲</v>
      </c>
      <c r="L38" s="173" t="str" cm="1">
        <f t="array" ref="L38" xml:space="preserve"> IFERROR( IF($C38="", "", INDEX(十五音韻母清單!$B$6:$K$105, $F38, L$2)), "")</f>
        <v>iɔ̃</v>
      </c>
    </row>
    <row r="39" spans="2:15">
      <c r="B39" s="173">
        <v>32</v>
      </c>
      <c r="C39" s="173" t="s">
        <v>795</v>
      </c>
      <c r="D39" s="186" t="s">
        <v>3433</v>
      </c>
      <c r="E39" s="176" t="s">
        <v>1119</v>
      </c>
      <c r="F39" s="173">
        <f xml:space="preserve"> IFERROR( IF($C39="", "", MATCH($C39, 十五音韻母清單!$K$6:$K$105,0)), "")</f>
        <v>23</v>
      </c>
      <c r="G39" s="173" t="str" cm="1">
        <f t="array" ref="G39" xml:space="preserve"> IFERROR( IF($C39="", "", INDEX(十五音韻母清單!$B$6:$K$105, $F39, G$2)), "")</f>
        <v>iau</v>
      </c>
      <c r="H39" s="173" cm="1">
        <f t="array" ref="H39" xml:space="preserve"> IFERROR( IF($C39="", "", INDEX(十五音韻母清單!$B$6:$K$105, $F39, H$2)), "")</f>
        <v>12</v>
      </c>
      <c r="I39" s="173" t="str" cm="1">
        <f t="array" ref="I39" xml:space="preserve"> IFERROR( IF($C39="", "", INDEX(十五音韻母清單!$B$6:$K$105, $F39, I$2)), "")</f>
        <v>iau</v>
      </c>
      <c r="J39" s="173" t="str" cm="1">
        <f t="array" ref="J39" xml:space="preserve"> IFERROR( IF($C39="", "", INDEX(十五音韻母清單!$B$6:$K$105, $F39, J$2)), "")</f>
        <v>嬌</v>
      </c>
      <c r="K39" s="173" t="str" cm="1">
        <f t="array" ref="K39" xml:space="preserve"> IFERROR( IF($C39="", "", INDEX(十五音韻母清單!$B$6:$K$105, $F39, K$2)), "")</f>
        <v>舒聲</v>
      </c>
      <c r="L39" s="173" t="str" cm="1">
        <f t="array" ref="L39" xml:space="preserve"> IFERROR( IF($C39="", "", INDEX(十五音韻母清單!$B$6:$K$105, $F39, L$2)), "")</f>
        <v>iau</v>
      </c>
    </row>
    <row r="40" spans="2:15">
      <c r="B40" s="173">
        <v>33</v>
      </c>
      <c r="C40" s="173" t="s">
        <v>1080</v>
      </c>
      <c r="D40" s="186" t="s">
        <v>3433</v>
      </c>
      <c r="E40" s="176" t="s">
        <v>1119</v>
      </c>
      <c r="F40" s="173">
        <f xml:space="preserve"> IFERROR( IF($C40="", "", MATCH($C40, 十五音韻母清單!$K$6:$K$105,0)), "")</f>
        <v>91</v>
      </c>
      <c r="G40" s="173" t="str" cm="1">
        <f t="array" ref="G40" xml:space="preserve"> IFERROR( IF($C40="", "", INDEX(十五音韻母清單!$B$6:$K$105, $F40, G$2)), "")</f>
        <v>iaunn</v>
      </c>
      <c r="H40" s="173" cm="1">
        <f t="array" ref="H40" xml:space="preserve"> IFERROR( IF($C40="", "", INDEX(十五音韻母清單!$B$6:$K$105, $F40, H$2)), "")</f>
        <v>46</v>
      </c>
      <c r="I40" s="173" t="str" cm="1">
        <f t="array" ref="I40" xml:space="preserve"> IFERROR( IF($C40="", "", INDEX(十五音韻母清單!$B$6:$K$105, $F40, I$2)), "")</f>
        <v>iaunn</v>
      </c>
      <c r="J40" s="173" t="str" cm="1">
        <f t="array" ref="J40" xml:space="preserve"> IFERROR( IF($C40="", "", INDEX(十五音韻母清單!$B$6:$K$105, $F40, J$2)), "")</f>
        <v>嘄</v>
      </c>
      <c r="K40" s="173" t="str" cm="1">
        <f t="array" ref="K40" xml:space="preserve"> IFERROR( IF($C40="", "", INDEX(十五音韻母清單!$B$6:$K$105, $F40, K$2)), "")</f>
        <v>舒聲</v>
      </c>
      <c r="L40" s="173" t="str" cm="1">
        <f t="array" ref="L40" xml:space="preserve"> IFERROR( IF($C40="", "", INDEX(十五音韻母清單!$B$6:$K$105, $F40, L$2)), "")</f>
        <v>iãu</v>
      </c>
    </row>
    <row r="41" spans="2:15">
      <c r="B41" s="173">
        <v>34</v>
      </c>
      <c r="C41" s="173" t="s">
        <v>861</v>
      </c>
      <c r="D41" s="186" t="s">
        <v>3433</v>
      </c>
      <c r="E41" s="176" t="s">
        <v>1119</v>
      </c>
      <c r="F41" s="173">
        <f xml:space="preserve"> IFERROR( IF($C41="", "", MATCH($C41, 十五音韻母清單!$K$6:$K$105,0)), "")</f>
        <v>43</v>
      </c>
      <c r="G41" s="173" t="str" cm="1">
        <f t="array" ref="G41" xml:space="preserve"> IFERROR( IF($C41="", "", INDEX(十五音韻母清單!$B$6:$K$105, $F41, G$2)), "")</f>
        <v>iam</v>
      </c>
      <c r="H41" s="173" cm="1">
        <f t="array" ref="H41" xml:space="preserve"> IFERROR( IF($C41="", "", INDEX(十五音韻母清單!$B$6:$K$105, $F41, H$2)), "")</f>
        <v>22</v>
      </c>
      <c r="I41" s="173" t="str" cm="1">
        <f t="array" ref="I41" xml:space="preserve"> IFERROR( IF($C41="", "", INDEX(十五音韻母清單!$B$6:$K$105, $F41, I$2)), "")</f>
        <v>iam</v>
      </c>
      <c r="J41" s="173" t="str" cm="1">
        <f t="array" ref="J41" xml:space="preserve"> IFERROR( IF($C41="", "", INDEX(十五音韻母清單!$B$6:$K$105, $F41, J$2)), "")</f>
        <v>兼</v>
      </c>
      <c r="K41" s="173" t="str" cm="1">
        <f t="array" ref="K41" xml:space="preserve"> IFERROR( IF($C41="", "", INDEX(十五音韻母清單!$B$6:$K$105, $F41, K$2)), "")</f>
        <v>舒聲</v>
      </c>
      <c r="L41" s="173" t="str" cm="1">
        <f t="array" ref="L41" xml:space="preserve"> IFERROR( IF($C41="", "", INDEX(十五音韻母清單!$B$6:$K$105, $F41, L$2)), "")</f>
        <v>iam</v>
      </c>
    </row>
    <row r="42" spans="2:15">
      <c r="B42" s="173">
        <v>35</v>
      </c>
      <c r="C42" s="173" t="s">
        <v>722</v>
      </c>
      <c r="D42" s="186" t="s">
        <v>3433</v>
      </c>
      <c r="E42" s="176" t="s">
        <v>1119</v>
      </c>
      <c r="F42" s="173">
        <f xml:space="preserve"> IFERROR( IF($C42="", "", MATCH($C42, 十五音韻母清單!$K$6:$K$105,0)), "")</f>
        <v>5</v>
      </c>
      <c r="G42" s="173" t="str" cm="1">
        <f t="array" ref="G42" xml:space="preserve"> IFERROR( IF($C42="", "", INDEX(十五音韻母清單!$B$6:$K$105, $F42, G$2)), "")</f>
        <v>im</v>
      </c>
      <c r="H42" s="173" cm="1">
        <f t="array" ref="H42" xml:space="preserve"> IFERROR( IF($C42="", "", INDEX(十五音韻母清單!$B$6:$K$105, $F42, H$2)), "")</f>
        <v>3</v>
      </c>
      <c r="I42" s="173" t="str" cm="1">
        <f t="array" ref="I42" xml:space="preserve"> IFERROR( IF($C42="", "", INDEX(十五音韻母清單!$B$6:$K$105, $F42, I$2)), "")</f>
        <v>im</v>
      </c>
      <c r="J42" s="173" t="str" cm="1">
        <f t="array" ref="J42" xml:space="preserve"> IFERROR( IF($C42="", "", INDEX(十五音韻母清單!$B$6:$K$105, $F42, J$2)), "")</f>
        <v>金</v>
      </c>
      <c r="K42" s="173" t="str" cm="1">
        <f t="array" ref="K42" xml:space="preserve"> IFERROR( IF($C42="", "", INDEX(十五音韻母清單!$B$6:$K$105, $F42, K$2)), "")</f>
        <v>舒聲</v>
      </c>
      <c r="L42" s="173" t="str" cm="1">
        <f t="array" ref="L42" xml:space="preserve"> IFERROR( IF($C42="", "", INDEX(十五音韻母清單!$B$6:$K$105, $F42, L$2)), "")</f>
        <v>im</v>
      </c>
    </row>
    <row r="43" spans="2:15">
      <c r="B43" s="173">
        <v>36</v>
      </c>
      <c r="C43" s="173" t="s">
        <v>832</v>
      </c>
      <c r="D43" s="186" t="s">
        <v>3433</v>
      </c>
      <c r="E43" s="176" t="s">
        <v>1119</v>
      </c>
      <c r="F43" s="173">
        <f xml:space="preserve"> IFERROR( IF($C43="", "", MATCH($C43, 十五音韻母清單!$K$6:$K$105,0)), "")</f>
        <v>33</v>
      </c>
      <c r="G43" s="173" t="str" cm="1">
        <f t="array" ref="G43" xml:space="preserve"> IFERROR( IF($C43="", "", INDEX(十五音韻母清單!$B$6:$K$105, $F43, G$2)), "")</f>
        <v>in</v>
      </c>
      <c r="H43" s="173" cm="1">
        <f t="array" ref="H43" xml:space="preserve"> IFERROR( IF($C43="", "", INDEX(十五音韻母清單!$B$6:$K$105, $F43, H$2)), "")</f>
        <v>17</v>
      </c>
      <c r="I43" s="173" t="str" cm="1">
        <f t="array" ref="I43" xml:space="preserve"> IFERROR( IF($C43="", "", INDEX(十五音韻母清單!$B$6:$K$105, $F43, I$2)), "")</f>
        <v>in</v>
      </c>
      <c r="J43" s="173" t="str" cm="1">
        <f t="array" ref="J43" xml:space="preserve"> IFERROR( IF($C43="", "", INDEX(十五音韻母清單!$B$6:$K$105, $F43, J$2)), "")</f>
        <v>巾</v>
      </c>
      <c r="K43" s="173" t="str" cm="1">
        <f t="array" ref="K43" xml:space="preserve"> IFERROR( IF($C43="", "", INDEX(十五音韻母清單!$B$6:$K$105, $F43, K$2)), "")</f>
        <v>舒聲</v>
      </c>
      <c r="L43" s="173" t="str" cm="1">
        <f t="array" ref="L43" xml:space="preserve"> IFERROR( IF($C43="", "", INDEX(十五音韻母清單!$B$6:$K$105, $F43, L$2)), "")</f>
        <v>in</v>
      </c>
    </row>
    <row r="44" spans="2:15">
      <c r="B44" s="173">
        <v>37</v>
      </c>
      <c r="C44" s="173" t="s">
        <v>771</v>
      </c>
      <c r="D44" s="186" t="s">
        <v>3433</v>
      </c>
      <c r="E44" s="176" t="s">
        <v>1119</v>
      </c>
      <c r="F44" s="173">
        <f xml:space="preserve"> IFERROR( IF($C44="", "", MATCH($C44, 十五音韻母清單!$K$6:$K$105,0)), "")</f>
        <v>17</v>
      </c>
      <c r="G44" s="173" t="str" cm="1">
        <f t="array" ref="G44" xml:space="preserve"> IFERROR( IF($C44="", "", INDEX(十五音韻母清單!$B$6:$K$105, $F44, G$2)), "")</f>
        <v>ing</v>
      </c>
      <c r="H44" s="173" cm="1">
        <f t="array" ref="H44" xml:space="preserve"> IFERROR( IF($C44="", "", INDEX(十五音韻母清單!$B$6:$K$105, $F44, H$2)), "")</f>
        <v>9</v>
      </c>
      <c r="I44" s="173" t="str" cm="1">
        <f t="array" ref="I44" xml:space="preserve"> IFERROR( IF($C44="", "", INDEX(十五音韻母清單!$B$6:$K$105, $F44, I$2)), "")</f>
        <v>ing</v>
      </c>
      <c r="J44" s="173" t="str" cm="1">
        <f t="array" ref="J44" xml:space="preserve"> IFERROR( IF($C44="", "", INDEX(十五音韻母清單!$B$6:$K$105, $F44, J$2)), "")</f>
        <v>經</v>
      </c>
      <c r="K44" s="173" t="str" cm="1">
        <f t="array" ref="K44" xml:space="preserve"> IFERROR( IF($C44="", "", INDEX(十五音韻母清單!$B$6:$K$105, $F44, K$2)), "")</f>
        <v>舒聲</v>
      </c>
      <c r="L44" s="173" t="str" cm="1">
        <f t="array" ref="L44" xml:space="preserve"> IFERROR( IF($C44="", "", INDEX(十五音韻母清單!$B$6:$K$105, $F44, L$2)), "")</f>
        <v>ɪŋ</v>
      </c>
    </row>
    <row r="45" spans="2:15">
      <c r="B45" s="173">
        <v>38</v>
      </c>
      <c r="C45" s="173" t="s">
        <v>715</v>
      </c>
      <c r="D45" s="186" t="s">
        <v>3433</v>
      </c>
      <c r="E45" s="176" t="s">
        <v>1119</v>
      </c>
      <c r="F45" s="173">
        <f xml:space="preserve"> IFERROR( IF($C45="", "", MATCH($C45, 十五音韻母清單!$K$6:$K$105,0)), "")</f>
        <v>3</v>
      </c>
      <c r="G45" s="173" t="str" cm="1">
        <f t="array" ref="G45" xml:space="preserve"> IFERROR( IF($C45="", "", INDEX(十五音韻母清單!$B$6:$K$105, $F45, G$2)), "")</f>
        <v>ian</v>
      </c>
      <c r="H45" s="173" cm="1">
        <f t="array" ref="H45" xml:space="preserve"> IFERROR( IF($C45="", "", INDEX(十五音韻母清單!$B$6:$K$105, $F45, H$2)), "")</f>
        <v>2</v>
      </c>
      <c r="I45" s="173" t="str" cm="1">
        <f t="array" ref="I45" xml:space="preserve"> IFERROR( IF($C45="", "", INDEX(十五音韻母清單!$B$6:$K$105, $F45, I$2)), "")</f>
        <v>ian</v>
      </c>
      <c r="J45" s="173" t="str" cm="1">
        <f t="array" ref="J45" xml:space="preserve"> IFERROR( IF($C45="", "", INDEX(十五音韻母清單!$B$6:$K$105, $F45, J$2)), "")</f>
        <v>堅</v>
      </c>
      <c r="K45" s="173" t="str" cm="1">
        <f t="array" ref="K45" xml:space="preserve"> IFERROR( IF($C45="", "", INDEX(十五音韻母清單!$B$6:$K$105, $F45, K$2)), "")</f>
        <v>舒聲</v>
      </c>
      <c r="L45" s="173" t="str" cm="1">
        <f t="array" ref="L45" xml:space="preserve"> IFERROR( IF($C45="", "", INDEX(十五音韻母清單!$B$6:$K$105, $F45, L$2)), "")</f>
        <v>ian</v>
      </c>
    </row>
    <row r="46" spans="2:15">
      <c r="B46" s="173">
        <v>39</v>
      </c>
      <c r="C46" s="173" t="s">
        <v>838</v>
      </c>
      <c r="D46" s="186" t="s">
        <v>3433</v>
      </c>
      <c r="E46" s="176" t="s">
        <v>1119</v>
      </c>
      <c r="F46" s="173">
        <f xml:space="preserve"> IFERROR( IF($C46="", "", MATCH($C46, 十五音韻母清單!$K$6:$K$105,0)), "")</f>
        <v>35</v>
      </c>
      <c r="G46" s="173" t="str" cm="1">
        <f t="array" ref="G46" xml:space="preserve"> IFERROR( IF($C46="", "", INDEX(十五音韻母清單!$B$6:$K$105, $F46, G$2)), "")</f>
        <v>iang</v>
      </c>
      <c r="H46" s="173" cm="1">
        <f t="array" ref="H46" xml:space="preserve"> IFERROR( IF($C46="", "", INDEX(十五音韻母清單!$B$6:$K$105, $F46, H$2)), "")</f>
        <v>18</v>
      </c>
      <c r="I46" s="173" t="str" cm="1">
        <f t="array" ref="I46" xml:space="preserve"> IFERROR( IF($C46="", "", INDEX(十五音韻母清單!$B$6:$K$105, $F46, I$2)), "")</f>
        <v>iang</v>
      </c>
      <c r="J46" s="173" t="str" cm="1">
        <f t="array" ref="J46" xml:space="preserve"> IFERROR( IF($C46="", "", INDEX(十五音韻母清單!$B$6:$K$105, $F46, J$2)), "")</f>
        <v>姜</v>
      </c>
      <c r="K46" s="173" t="str" cm="1">
        <f t="array" ref="K46" xml:space="preserve"> IFERROR( IF($C46="", "", INDEX(十五音韻母清單!$B$6:$K$105, $F46, K$2)), "")</f>
        <v>舒聲</v>
      </c>
      <c r="L46" s="173" t="str" cm="1">
        <f t="array" ref="L46" xml:space="preserve"> IFERROR( IF($C46="", "", INDEX(十五音韻母清單!$B$6:$K$105, $F46, L$2)), "")</f>
        <v>iaŋ</v>
      </c>
    </row>
    <row r="47" spans="2:15">
      <c r="B47" s="173">
        <v>40</v>
      </c>
      <c r="C47" s="173" t="s">
        <v>812</v>
      </c>
      <c r="D47" s="186" t="s">
        <v>3433</v>
      </c>
      <c r="E47" s="176" t="s">
        <v>1119</v>
      </c>
      <c r="F47" s="173">
        <f xml:space="preserve"> IFERROR( IF($C47="", "", MATCH($C47, 十五音韻母清單!$K$6:$K$105,0)), "")</f>
        <v>27</v>
      </c>
      <c r="G47" s="173" t="str" cm="1">
        <f t="array" ref="G47" xml:space="preserve"> IFERROR( IF($C47="", "", INDEX(十五音韻母清單!$B$6:$K$105, $F47, G$2)), "")</f>
        <v>iong</v>
      </c>
      <c r="H47" s="173" cm="1">
        <f t="array" ref="H47" xml:space="preserve"> IFERROR( IF($C47="", "", INDEX(十五音韻母清單!$B$6:$K$105, $F47, H$2)), "")</f>
        <v>14</v>
      </c>
      <c r="I47" s="173" t="str" cm="1">
        <f t="array" ref="I47" xml:space="preserve"> IFERROR( IF($C47="", "", INDEX(十五音韻母清單!$B$6:$K$105, $F47, I$2)), "")</f>
        <v>iong</v>
      </c>
      <c r="J47" s="173" t="str" cm="1">
        <f t="array" ref="J47" xml:space="preserve"> IFERROR( IF($C47="", "", INDEX(十五音韻母清單!$B$6:$K$105, $F47, J$2)), "")</f>
        <v>恭</v>
      </c>
      <c r="K47" s="173" t="str" cm="1">
        <f t="array" ref="K47" xml:space="preserve"> IFERROR( IF($C47="", "", INDEX(十五音韻母清單!$B$6:$K$105, $F47, K$2)), "")</f>
        <v>舒聲</v>
      </c>
      <c r="L47" s="173" t="str" cm="1">
        <f t="array" ref="L47" xml:space="preserve"> IFERROR( IF($C47="", "", INDEX(十五音韻母清單!$B$6:$K$105, $F47, L$2)), "")</f>
        <v>iɔŋ</v>
      </c>
    </row>
    <row r="48" spans="2:15">
      <c r="B48" s="173">
        <v>41</v>
      </c>
      <c r="C48" s="173" t="s">
        <v>923</v>
      </c>
      <c r="D48" s="186" t="s">
        <v>3433</v>
      </c>
      <c r="E48" s="176" t="s">
        <v>1119</v>
      </c>
      <c r="F48" s="173">
        <f xml:space="preserve"> IFERROR( IF($C48="", "", MATCH($C48, 十五音韻母清單!$K$6:$K$105,0)), "")</f>
        <v>59</v>
      </c>
      <c r="G48" s="173" t="str" cm="1">
        <f t="array" ref="G48" xml:space="preserve"> IFERROR( IF($C48="", "", INDEX(十五音韻母清單!$B$6:$K$105, $F48, G$2)), "")</f>
        <v>iu</v>
      </c>
      <c r="H48" s="173" cm="1">
        <f t="array" ref="H48" xml:space="preserve"> IFERROR( IF($C48="", "", INDEX(十五音韻母清單!$B$6:$K$105, $F48, H$2)), "")</f>
        <v>30</v>
      </c>
      <c r="I48" s="173" t="str" cm="1">
        <f t="array" ref="I48" xml:space="preserve"> IFERROR( IF($C48="", "", INDEX(十五音韻母清單!$B$6:$K$105, $F48, I$2)), "")</f>
        <v>iu</v>
      </c>
      <c r="J48" s="173" t="str" cm="1">
        <f t="array" ref="J48" xml:space="preserve"> IFERROR( IF($C48="", "", INDEX(十五音韻母清單!$B$6:$K$105, $F48, J$2)), "")</f>
        <v>丩</v>
      </c>
      <c r="K48" s="173" t="str" cm="1">
        <f t="array" ref="K48" xml:space="preserve"> IFERROR( IF($C48="", "", INDEX(十五音韻母清單!$B$6:$K$105, $F48, K$2)), "")</f>
        <v>舒聲</v>
      </c>
      <c r="L48" s="173" t="str" cm="1">
        <f t="array" ref="L48" xml:space="preserve"> IFERROR( IF($C48="", "", INDEX(十五音韻母清單!$B$6:$K$105, $F48, L$2)), "")</f>
        <v>iu</v>
      </c>
    </row>
    <row r="49" spans="2:12">
      <c r="B49" s="173">
        <v>42</v>
      </c>
      <c r="C49" s="173" t="s">
        <v>1110</v>
      </c>
      <c r="D49" s="186" t="s">
        <v>3433</v>
      </c>
      <c r="E49" s="176" t="s">
        <v>1119</v>
      </c>
      <c r="F49" s="173">
        <f xml:space="preserve"> IFERROR( IF($C49="", "", MATCH($C49, 十五音韻母清單!$K$6:$K$105,0)), "")</f>
        <v>99</v>
      </c>
      <c r="G49" s="173" t="str" cm="1">
        <f t="array" ref="G49" xml:space="preserve"> IFERROR( IF($C49="", "", INDEX(十五音韻母清單!$B$6:$K$105, $F49, G$2)), "")</f>
        <v>iunn</v>
      </c>
      <c r="H49" s="173" cm="1">
        <f t="array" ref="H49" xml:space="preserve"> IFERROR( IF($C49="", "", INDEX(十五音韻母清單!$B$6:$K$105, $F49, H$2)), "")</f>
        <v>50</v>
      </c>
      <c r="I49" s="173" t="str" cm="1">
        <f t="array" ref="I49" xml:space="preserve"> IFERROR( IF($C49="", "", INDEX(十五音韻母清單!$B$6:$K$105, $F49, I$2)), "")</f>
        <v>iunn</v>
      </c>
      <c r="J49" s="173" t="str" cm="1">
        <f t="array" ref="J49" xml:space="preserve"> IFERROR( IF($C49="", "", INDEX(十五音韻母清單!$B$6:$K$105, $F49, J$2)), "")</f>
        <v>牛</v>
      </c>
      <c r="K49" s="173" t="str" cm="1">
        <f t="array" ref="K49" xml:space="preserve"> IFERROR( IF($C49="", "", INDEX(十五音韻母清單!$B$6:$K$105, $F49, K$2)), "")</f>
        <v>舒聲</v>
      </c>
      <c r="L49" s="173" t="str" cm="1">
        <f t="array" ref="L49" xml:space="preserve"> IFERROR( IF($C49="", "", INDEX(十五音韻母清單!$B$6:$K$105, $F49, L$2)), "")</f>
        <v>iũ</v>
      </c>
    </row>
    <row r="50" spans="2:12">
      <c r="B50" s="173">
        <v>43</v>
      </c>
      <c r="C50" s="182" t="s">
        <v>723</v>
      </c>
      <c r="D50" s="187" t="s">
        <v>3435</v>
      </c>
      <c r="E50" s="182" t="s">
        <v>3436</v>
      </c>
      <c r="F50" s="173">
        <f xml:space="preserve"> IFERROR( IF($C50="", "", MATCH($C50, 十五音韻母清單!$K$6:$K$105,0)), "")</f>
        <v>6</v>
      </c>
      <c r="G50" s="173" t="str" cm="1">
        <f t="array" ref="G50" xml:space="preserve"> IFERROR( IF($C50="", "", INDEX(十五音韻母清單!$B$6:$K$105, $F50, G$2)), "")</f>
        <v>ip</v>
      </c>
      <c r="H50" s="173" cm="1">
        <f t="array" ref="H50" xml:space="preserve"> IFERROR( IF($C50="", "", INDEX(十五音韻母清單!$B$6:$K$105, $F50, H$2)), "")</f>
        <v>3</v>
      </c>
      <c r="I50" s="173" t="str" cm="1">
        <f t="array" ref="I50" xml:space="preserve"> IFERROR( IF($C50="", "", INDEX(十五音韻母清單!$B$6:$K$105, $F50, I$2)), "")</f>
        <v>ip</v>
      </c>
      <c r="J50" s="173" t="str" cm="1">
        <f t="array" ref="J50" xml:space="preserve"> IFERROR( IF($C50="", "", INDEX(十五音韻母清單!$B$6:$K$105, $F50, J$2)), "")</f>
        <v>金</v>
      </c>
      <c r="K50" s="173" t="str" cm="1">
        <f t="array" ref="K50" xml:space="preserve"> IFERROR( IF($C50="", "", INDEX(十五音韻母清單!$B$6:$K$105, $F50, K$2)), "")</f>
        <v>入聲</v>
      </c>
      <c r="L50" s="173" t="str" cm="1">
        <f t="array" ref="L50" xml:space="preserve"> IFERROR( IF($C50="", "", INDEX(十五音韻母清單!$B$6:$K$105, $F50, L$2)), "")</f>
        <v>ip̚</v>
      </c>
    </row>
    <row r="51" spans="2:12">
      <c r="B51" s="173">
        <v>44</v>
      </c>
      <c r="C51" s="173" t="s">
        <v>833</v>
      </c>
      <c r="D51" s="186" t="s">
        <v>3433</v>
      </c>
      <c r="E51" s="173" t="s">
        <v>3436</v>
      </c>
      <c r="F51" s="173">
        <f xml:space="preserve"> IFERROR( IF($C51="", "", MATCH($C51, 十五音韻母清單!$K$6:$K$105,0)), "")</f>
        <v>34</v>
      </c>
      <c r="G51" s="173" t="str" cm="1">
        <f t="array" ref="G51" xml:space="preserve"> IFERROR( IF($C51="", "", INDEX(十五音韻母清單!$B$6:$K$105, $F51, G$2)), "")</f>
        <v>it</v>
      </c>
      <c r="H51" s="173" cm="1">
        <f t="array" ref="H51" xml:space="preserve"> IFERROR( IF($C51="", "", INDEX(十五音韻母清單!$B$6:$K$105, $F51, H$2)), "")</f>
        <v>17</v>
      </c>
      <c r="I51" s="173" t="str" cm="1">
        <f t="array" ref="I51" xml:space="preserve"> IFERROR( IF($C51="", "", INDEX(十五音韻母清單!$B$6:$K$105, $F51, I$2)), "")</f>
        <v>it</v>
      </c>
      <c r="J51" s="173" t="str" cm="1">
        <f t="array" ref="J51" xml:space="preserve"> IFERROR( IF($C51="", "", INDEX(十五音韻母清單!$B$6:$K$105, $F51, J$2)), "")</f>
        <v>巾</v>
      </c>
      <c r="K51" s="173" t="str" cm="1">
        <f t="array" ref="K51" xml:space="preserve"> IFERROR( IF($C51="", "", INDEX(十五音韻母清單!$B$6:$K$105, $F51, K$2)), "")</f>
        <v>入聲</v>
      </c>
      <c r="L51" s="173" t="str" cm="1">
        <f t="array" ref="L51" xml:space="preserve"> IFERROR( IF($C51="", "", INDEX(十五音韻母清單!$B$6:$K$105, $F51, L$2)), "")</f>
        <v>it̚</v>
      </c>
    </row>
    <row r="52" spans="2:12">
      <c r="B52" s="173">
        <v>45</v>
      </c>
      <c r="C52" s="173" t="s">
        <v>1462</v>
      </c>
      <c r="D52" s="186" t="s">
        <v>3433</v>
      </c>
      <c r="E52" s="173" t="s">
        <v>3436</v>
      </c>
      <c r="F52" s="173">
        <f xml:space="preserve"> IFERROR( IF($C52="", "", MATCH($C52, 十五音韻母清單!$K$6:$K$105,0)), "")</f>
        <v>18</v>
      </c>
      <c r="G52" s="173" t="str" cm="1">
        <f t="array" ref="G52" xml:space="preserve"> IFERROR( IF($C52="", "", INDEX(十五音韻母清單!$B$6:$K$105, $F52, G$2)), "")</f>
        <v>ik</v>
      </c>
      <c r="H52" s="173" cm="1">
        <f t="array" ref="H52" xml:space="preserve"> IFERROR( IF($C52="", "", INDEX(十五音韻母清單!$B$6:$K$105, $F52, H$2)), "")</f>
        <v>9</v>
      </c>
      <c r="I52" s="173" t="str" cm="1">
        <f t="array" ref="I52" xml:space="preserve"> IFERROR( IF($C52="", "", INDEX(十五音韻母清單!$B$6:$K$105, $F52, I$2)), "")</f>
        <v>ik</v>
      </c>
      <c r="J52" s="173" t="str" cm="1">
        <f t="array" ref="J52" xml:space="preserve"> IFERROR( IF($C52="", "", INDEX(十五音韻母清單!$B$6:$K$105, $F52, J$2)), "")</f>
        <v>經</v>
      </c>
      <c r="K52" s="173" t="str" cm="1">
        <f t="array" ref="K52" xml:space="preserve"> IFERROR( IF($C52="", "", INDEX(十五音韻母清單!$B$6:$K$105, $F52, K$2)), "")</f>
        <v>入聲</v>
      </c>
      <c r="L52" s="173" t="str" cm="1">
        <f t="array" ref="L52" xml:space="preserve"> IFERROR( IF($C52="", "", INDEX(十五音韻母清單!$B$6:$K$105, $F52, L$2)), "")</f>
        <v>ik̚</v>
      </c>
    </row>
    <row r="53" spans="2:12">
      <c r="B53" s="173">
        <v>46</v>
      </c>
      <c r="C53" s="173" t="s">
        <v>918</v>
      </c>
      <c r="D53" s="186" t="s">
        <v>3433</v>
      </c>
      <c r="E53" s="173" t="s">
        <v>3436</v>
      </c>
      <c r="F53" s="173">
        <f xml:space="preserve"> IFERROR( IF($C53="", "", MATCH($C53, 十五音韻母清單!$K$6:$K$105,0)), "")</f>
        <v>58</v>
      </c>
      <c r="G53" s="173" t="str" cm="1">
        <f t="array" ref="G53" xml:space="preserve"> IFERROR( IF($C53="", "", INDEX(十五音韻母清單!$B$6:$K$105, $F53, G$2)), "")</f>
        <v>ih</v>
      </c>
      <c r="H53" s="173" cm="1">
        <f t="array" ref="H53" xml:space="preserve"> IFERROR( IF($C53="", "", INDEX(十五音韻母清單!$B$6:$K$105, $F53, H$2)), "")</f>
        <v>29</v>
      </c>
      <c r="I53" s="173" t="str" cm="1">
        <f t="array" ref="I53" xml:space="preserve"> IFERROR( IF($C53="", "", INDEX(十五音韻母清單!$B$6:$K$105, $F53, I$2)), "")</f>
        <v>ih</v>
      </c>
      <c r="J53" s="173" t="str" cm="1">
        <f t="array" ref="J53" xml:space="preserve"> IFERROR( IF($C53="", "", INDEX(十五音韻母清單!$B$6:$K$105, $F53, J$2)), "")</f>
        <v>居</v>
      </c>
      <c r="K53" s="173" t="str" cm="1">
        <f t="array" ref="K53" xml:space="preserve"> IFERROR( IF($C53="", "", INDEX(十五音韻母清單!$B$6:$K$105, $F53, K$2)), "")</f>
        <v>入聲</v>
      </c>
      <c r="L53" s="173" t="str" cm="1">
        <f t="array" ref="L53" xml:space="preserve"> IFERROR( IF($C53="", "", INDEX(十五音韻母清單!$B$6:$K$105, $F53, L$2)), "")</f>
        <v>i?</v>
      </c>
    </row>
    <row r="54" spans="2:12">
      <c r="B54" s="173">
        <v>47</v>
      </c>
      <c r="C54" s="173" t="s">
        <v>862</v>
      </c>
      <c r="D54" s="186" t="s">
        <v>3433</v>
      </c>
      <c r="E54" s="173" t="s">
        <v>3436</v>
      </c>
      <c r="F54" s="173">
        <f xml:space="preserve"> IFERROR( IF($C54="", "", MATCH($C54, 十五音韻母清單!$K$6:$K$105,0)), "")</f>
        <v>44</v>
      </c>
      <c r="G54" s="173" t="str" cm="1">
        <f t="array" ref="G54" xml:space="preserve"> IFERROR( IF($C54="", "", INDEX(十五音韻母清單!$B$6:$K$105, $F54, G$2)), "")</f>
        <v>iap</v>
      </c>
      <c r="H54" s="173" cm="1">
        <f t="array" ref="H54" xml:space="preserve"> IFERROR( IF($C54="", "", INDEX(十五音韻母清單!$B$6:$K$105, $F54, H$2)), "")</f>
        <v>22</v>
      </c>
      <c r="I54" s="173" t="str" cm="1">
        <f t="array" ref="I54" xml:space="preserve"> IFERROR( IF($C54="", "", INDEX(十五音韻母清單!$B$6:$K$105, $F54, I$2)), "")</f>
        <v>iap</v>
      </c>
      <c r="J54" s="173" t="str" cm="1">
        <f t="array" ref="J54" xml:space="preserve"> IFERROR( IF($C54="", "", INDEX(十五音韻母清單!$B$6:$K$105, $F54, J$2)), "")</f>
        <v>兼</v>
      </c>
      <c r="K54" s="173" t="str" cm="1">
        <f t="array" ref="K54" xml:space="preserve"> IFERROR( IF($C54="", "", INDEX(十五音韻母清單!$B$6:$K$105, $F54, K$2)), "")</f>
        <v>入聲</v>
      </c>
      <c r="L54" s="173" t="str" cm="1">
        <f t="array" ref="L54" xml:space="preserve"> IFERROR( IF($C54="", "", INDEX(十五音韻母清單!$B$6:$K$105, $F54, L$2)), "")</f>
        <v>iap̚</v>
      </c>
    </row>
    <row r="55" spans="2:12">
      <c r="B55" s="173">
        <v>48</v>
      </c>
      <c r="C55" s="173" t="s">
        <v>716</v>
      </c>
      <c r="D55" s="186" t="s">
        <v>3433</v>
      </c>
      <c r="E55" s="173" t="s">
        <v>3436</v>
      </c>
      <c r="F55" s="173">
        <f xml:space="preserve"> IFERROR( IF($C55="", "", MATCH($C55, 十五音韻母清單!$K$6:$K$105,0)), "")</f>
        <v>4</v>
      </c>
      <c r="G55" s="173" t="str" cm="1">
        <f t="array" ref="G55" xml:space="preserve"> IFERROR( IF($C55="", "", INDEX(十五音韻母清單!$B$6:$K$105, $F55, G$2)), "")</f>
        <v>iat</v>
      </c>
      <c r="H55" s="173" cm="1">
        <f t="array" ref="H55" xml:space="preserve"> IFERROR( IF($C55="", "", INDEX(十五音韻母清單!$B$6:$K$105, $F55, H$2)), "")</f>
        <v>2</v>
      </c>
      <c r="I55" s="173" t="str" cm="1">
        <f t="array" ref="I55" xml:space="preserve"> IFERROR( IF($C55="", "", INDEX(十五音韻母清單!$B$6:$K$105, $F55, I$2)), "")</f>
        <v>iat</v>
      </c>
      <c r="J55" s="173" t="str" cm="1">
        <f t="array" ref="J55" xml:space="preserve"> IFERROR( IF($C55="", "", INDEX(十五音韻母清單!$B$6:$K$105, $F55, J$2)), "")</f>
        <v>堅</v>
      </c>
      <c r="K55" s="173" t="str" cm="1">
        <f t="array" ref="K55" xml:space="preserve"> IFERROR( IF($C55="", "", INDEX(十五音韻母清單!$B$6:$K$105, $F55, K$2)), "")</f>
        <v>入聲</v>
      </c>
      <c r="L55" s="173" t="str" cm="1">
        <f t="array" ref="L55" xml:space="preserve"> IFERROR( IF($C55="", "", INDEX(十五音韻母清單!$B$6:$K$105, $F55, L$2)), "")</f>
        <v>iat̚</v>
      </c>
    </row>
    <row r="56" spans="2:12">
      <c r="B56" s="173">
        <v>49</v>
      </c>
      <c r="C56" s="173" t="s">
        <v>839</v>
      </c>
      <c r="D56" s="186" t="s">
        <v>3433</v>
      </c>
      <c r="E56" s="173" t="s">
        <v>3436</v>
      </c>
      <c r="F56" s="173">
        <f xml:space="preserve"> IFERROR( IF($C56="", "", MATCH($C56, 十五音韻母清單!$K$6:$K$105,0)), "")</f>
        <v>36</v>
      </c>
      <c r="G56" s="173" t="str" cm="1">
        <f t="array" ref="G56" xml:space="preserve"> IFERROR( IF($C56="", "", INDEX(十五音韻母清單!$B$6:$K$105, $F56, G$2)), "")</f>
        <v>iak</v>
      </c>
      <c r="H56" s="173" cm="1">
        <f t="array" ref="H56" xml:space="preserve"> IFERROR( IF($C56="", "", INDEX(十五音韻母清單!$B$6:$K$105, $F56, H$2)), "")</f>
        <v>18</v>
      </c>
      <c r="I56" s="173" t="str" cm="1">
        <f t="array" ref="I56" xml:space="preserve"> IFERROR( IF($C56="", "", INDEX(十五音韻母清單!$B$6:$K$105, $F56, I$2)), "")</f>
        <v>iak</v>
      </c>
      <c r="J56" s="173" t="str" cm="1">
        <f t="array" ref="J56" xml:space="preserve"> IFERROR( IF($C56="", "", INDEX(十五音韻母清單!$B$6:$K$105, $F56, J$2)), "")</f>
        <v>姜</v>
      </c>
      <c r="K56" s="173" t="str" cm="1">
        <f t="array" ref="K56" xml:space="preserve"> IFERROR( IF($C56="", "", INDEX(十五音韻母清單!$B$6:$K$105, $F56, K$2)), "")</f>
        <v>入聲</v>
      </c>
      <c r="L56" s="173" t="str" cm="1">
        <f t="array" ref="L56" xml:space="preserve"> IFERROR( IF($C56="", "", INDEX(十五音韻母清單!$B$6:$K$105, $F56, L$2)), "")</f>
        <v>iak̚</v>
      </c>
    </row>
    <row r="57" spans="2:12">
      <c r="B57" s="173">
        <v>50</v>
      </c>
      <c r="C57" s="173" t="s">
        <v>879</v>
      </c>
      <c r="D57" s="186" t="s">
        <v>3433</v>
      </c>
      <c r="E57" s="173" t="s">
        <v>3436</v>
      </c>
      <c r="F57" s="173">
        <f xml:space="preserve"> IFERROR( IF($C57="", "", MATCH($C57, 十五音韻母清單!$K$6:$K$105,0)), "")</f>
        <v>48</v>
      </c>
      <c r="G57" s="173" t="str" cm="1">
        <f t="array" ref="G57" xml:space="preserve"> IFERROR( IF($C57="", "", INDEX(十五音韻母清單!$B$6:$K$105, $F57, G$2)), "")</f>
        <v>iah</v>
      </c>
      <c r="H57" s="173" cm="1">
        <f t="array" ref="H57" xml:space="preserve"> IFERROR( IF($C57="", "", INDEX(十五音韻母清單!$B$6:$K$105, $F57, H$2)), "")</f>
        <v>24</v>
      </c>
      <c r="I57" s="173" t="str" cm="1">
        <f t="array" ref="I57" xml:space="preserve"> IFERROR( IF($C57="", "", INDEX(十五音韻母清單!$B$6:$K$105, $F57, I$2)), "")</f>
        <v>iah</v>
      </c>
      <c r="J57" s="173" t="str" cm="1">
        <f t="array" ref="J57" xml:space="preserve"> IFERROR( IF($C57="", "", INDEX(十五音韻母清單!$B$6:$K$105, $F57, J$2)), "")</f>
        <v>迦</v>
      </c>
      <c r="K57" s="173" t="str" cm="1">
        <f t="array" ref="K57" xml:space="preserve"> IFERROR( IF($C57="", "", INDEX(十五音韻母清單!$B$6:$K$105, $F57, K$2)), "")</f>
        <v>入聲</v>
      </c>
      <c r="L57" s="173" t="str" cm="1">
        <f t="array" ref="L57" xml:space="preserve"> IFERROR( IF($C57="", "", INDEX(十五音韻母清單!$B$6:$K$105, $F57, L$2)), "")</f>
        <v>ia?</v>
      </c>
    </row>
    <row r="58" spans="2:12">
      <c r="B58" s="173">
        <v>51</v>
      </c>
      <c r="C58" s="173" t="s">
        <v>985</v>
      </c>
      <c r="D58" s="186" t="s">
        <v>3433</v>
      </c>
      <c r="E58" s="173" t="s">
        <v>3436</v>
      </c>
      <c r="F58" s="173">
        <f xml:space="preserve"> IFERROR( IF($C58="", "", MATCH($C58, 十五音韻母清單!$K$6:$K$105,0)), "")</f>
        <v>72</v>
      </c>
      <c r="G58" s="173" t="str" cm="1">
        <f t="array" ref="G58" xml:space="preserve"> IFERROR( IF($C58="", "", INDEX(十五音韻母清單!$B$6:$K$105, $F58, G$2)), "")</f>
        <v>iannh</v>
      </c>
      <c r="H58" s="173" cm="1">
        <f t="array" ref="H58" xml:space="preserve"> IFERROR( IF($C58="", "", INDEX(十五音韻母清單!$B$6:$K$105, $F58, H$2)), "")</f>
        <v>36</v>
      </c>
      <c r="I58" s="173" t="str" cm="1">
        <f t="array" ref="I58" xml:space="preserve"> IFERROR( IF($C58="", "", INDEX(十五音韻母清單!$B$6:$K$105, $F58, I$2)), "")</f>
        <v>iannh</v>
      </c>
      <c r="J58" s="173" t="str" cm="1">
        <f t="array" ref="J58" xml:space="preserve"> IFERROR( IF($C58="", "", INDEX(十五音韻母清單!$B$6:$K$105, $F58, J$2)), "")</f>
        <v>驚</v>
      </c>
      <c r="K58" s="173" t="str" cm="1">
        <f t="array" ref="K58" xml:space="preserve"> IFERROR( IF($C58="", "", INDEX(十五音韻母清單!$B$6:$K$105, $F58, K$2)), "")</f>
        <v>入聲</v>
      </c>
      <c r="L58" s="173" t="str" cm="1">
        <f t="array" ref="L58" xml:space="preserve"> IFERROR( IF($C58="", "", INDEX(十五音韻母清單!$B$6:$K$105, $F58, L$2)), "")</f>
        <v>iã?</v>
      </c>
    </row>
    <row r="59" spans="2:12">
      <c r="B59" s="173">
        <v>52</v>
      </c>
      <c r="C59" s="173" t="s">
        <v>813</v>
      </c>
      <c r="D59" s="186" t="s">
        <v>3433</v>
      </c>
      <c r="E59" s="173" t="s">
        <v>3436</v>
      </c>
      <c r="F59" s="173">
        <f xml:space="preserve"> IFERROR( IF($C59="", "", MATCH($C59, 十五音韻母清單!$K$6:$K$105,0)), "")</f>
        <v>28</v>
      </c>
      <c r="G59" s="173" t="str" cm="1">
        <f t="array" ref="G59" xml:space="preserve"> IFERROR( IF($C59="", "", INDEX(十五音韻母清單!$B$6:$K$105, $F59, G$2)), "")</f>
        <v>iok</v>
      </c>
      <c r="H59" s="173" cm="1">
        <f t="array" ref="H59" xml:space="preserve"> IFERROR( IF($C59="", "", INDEX(十五音韻母清單!$B$6:$K$105, $F59, H$2)), "")</f>
        <v>14</v>
      </c>
      <c r="I59" s="173" t="str" cm="1">
        <f t="array" ref="I59" xml:space="preserve"> IFERROR( IF($C59="", "", INDEX(十五音韻母清單!$B$6:$K$105, $F59, I$2)), "")</f>
        <v>iok</v>
      </c>
      <c r="J59" s="173" t="str" cm="1">
        <f t="array" ref="J59" xml:space="preserve"> IFERROR( IF($C59="", "", INDEX(十五音韻母清單!$B$6:$K$105, $F59, J$2)), "")</f>
        <v>恭</v>
      </c>
      <c r="K59" s="173" t="str" cm="1">
        <f t="array" ref="K59" xml:space="preserve"> IFERROR( IF($C59="", "", INDEX(十五音韻母清單!$B$6:$K$105, $F59, K$2)), "")</f>
        <v>入聲</v>
      </c>
      <c r="L59" s="173" t="str" cm="1">
        <f t="array" ref="L59" xml:space="preserve"> IFERROR( IF($C59="", "", INDEX(十五音韻母清單!$B$6:$K$105, $F59, L$2)), "")</f>
        <v>iɔk̚</v>
      </c>
    </row>
    <row r="60" spans="2:12">
      <c r="B60" s="173">
        <v>53</v>
      </c>
      <c r="C60" s="182" t="s">
        <v>3437</v>
      </c>
      <c r="D60" s="187" t="s">
        <v>3435</v>
      </c>
      <c r="E60" s="182" t="s">
        <v>3436</v>
      </c>
      <c r="F60" s="173" t="str">
        <f xml:space="preserve"> IFERROR( IF($C60="", "", MATCH($C60, 十五音韻母清單!$K$6:$K$105,0)), "")</f>
        <v/>
      </c>
      <c r="G60" s="173" t="str" cm="1">
        <f t="array" ref="G60" xml:space="preserve"> IFERROR( IF($C60="", "", INDEX(十五音韻母清單!$B$6:$K$105, $F60, G$2)), "")</f>
        <v/>
      </c>
      <c r="H60" s="173" t="str" cm="1">
        <f t="array" ref="H60" xml:space="preserve"> IFERROR( IF($C60="", "", INDEX(十五音韻母清單!$B$6:$K$105, $F60, H$2)), "")</f>
        <v/>
      </c>
      <c r="I60" s="173" t="str" cm="1">
        <f t="array" ref="I60" xml:space="preserve"> IFERROR( IF($C60="", "", INDEX(十五音韻母清單!$B$6:$K$105, $F60, I$2)), "")</f>
        <v/>
      </c>
      <c r="J60" s="173" t="str" cm="1">
        <f t="array" ref="J60" xml:space="preserve"> IFERROR( IF($C60="", "", INDEX(十五音韻母清單!$B$6:$K$105, $F60, J$2)), "")</f>
        <v/>
      </c>
      <c r="K60" s="173" t="str" cm="1">
        <f t="array" ref="K60" xml:space="preserve"> IFERROR( IF($C60="", "", INDEX(十五音韻母清單!$B$6:$K$105, $F60, K$2)), "")</f>
        <v/>
      </c>
      <c r="L60" s="173" t="str" cm="1">
        <f t="array" ref="L60" xml:space="preserve"> IFERROR( IF($C60="", "", INDEX(十五音韻母清單!$B$6:$K$105, $F60, L$2)), "")</f>
        <v/>
      </c>
    </row>
    <row r="61" spans="2:12">
      <c r="B61" s="173">
        <v>54</v>
      </c>
      <c r="C61" s="173" t="s">
        <v>796</v>
      </c>
      <c r="D61" s="186" t="s">
        <v>3433</v>
      </c>
      <c r="E61" s="173" t="s">
        <v>3436</v>
      </c>
      <c r="F61" s="173">
        <f xml:space="preserve"> IFERROR( IF($C61="", "", MATCH($C61, 十五音韻母清單!$K$6:$K$105,0)), "")</f>
        <v>24</v>
      </c>
      <c r="G61" s="173" t="str" cm="1">
        <f t="array" ref="G61" xml:space="preserve"> IFERROR( IF($C61="", "", INDEX(十五音韻母清單!$B$6:$K$105, $F61, G$2)), "")</f>
        <v>iauh</v>
      </c>
      <c r="H61" s="173" cm="1">
        <f t="array" ref="H61" xml:space="preserve"> IFERROR( IF($C61="", "", INDEX(十五音韻母清單!$B$6:$K$105, $F61, H$2)), "")</f>
        <v>12</v>
      </c>
      <c r="I61" s="173" t="str" cm="1">
        <f t="array" ref="I61" xml:space="preserve"> IFERROR( IF($C61="", "", INDEX(十五音韻母清單!$B$6:$K$105, $F61, I$2)), "")</f>
        <v>iauh</v>
      </c>
      <c r="J61" s="173" t="str" cm="1">
        <f t="array" ref="J61" xml:space="preserve"> IFERROR( IF($C61="", "", INDEX(十五音韻母清單!$B$6:$K$105, $F61, J$2)), "")</f>
        <v>嬌</v>
      </c>
      <c r="K61" s="173" t="str" cm="1">
        <f t="array" ref="K61" xml:space="preserve"> IFERROR( IF($C61="", "", INDEX(十五音韻母清單!$B$6:$K$105, $F61, K$2)), "")</f>
        <v>入聲</v>
      </c>
      <c r="L61" s="173" t="str" cm="1">
        <f t="array" ref="L61" xml:space="preserve"> IFERROR( IF($C61="", "", INDEX(十五音韻母清單!$B$6:$K$105, $F61, L$2)), "")</f>
        <v>iau?</v>
      </c>
    </row>
    <row r="62" spans="2:12">
      <c r="B62" s="173">
        <v>55</v>
      </c>
      <c r="C62" s="173" t="s">
        <v>1081</v>
      </c>
      <c r="D62" s="186" t="s">
        <v>3433</v>
      </c>
      <c r="E62" s="173" t="s">
        <v>3436</v>
      </c>
      <c r="F62" s="173">
        <f xml:space="preserve"> IFERROR( IF($C62="", "", MATCH($C62, 十五音韻母清單!$K$6:$K$105,0)), "")</f>
        <v>92</v>
      </c>
      <c r="G62" s="173" t="str" cm="1">
        <f t="array" ref="G62" xml:space="preserve"> IFERROR( IF($C62="", "", INDEX(十五音韻母清單!$B$6:$K$105, $F62, G$2)), "")</f>
        <v>iaunnh</v>
      </c>
      <c r="H62" s="173" cm="1">
        <f t="array" ref="H62" xml:space="preserve"> IFERROR( IF($C62="", "", INDEX(十五音韻母清單!$B$6:$K$105, $F62, H$2)), "")</f>
        <v>46</v>
      </c>
      <c r="I62" s="173" t="str" cm="1">
        <f t="array" ref="I62" xml:space="preserve"> IFERROR( IF($C62="", "", INDEX(十五音韻母清單!$B$6:$K$105, $F62, I$2)), "")</f>
        <v>iaunnh</v>
      </c>
      <c r="J62" s="173" t="str" cm="1">
        <f t="array" ref="J62" xml:space="preserve"> IFERROR( IF($C62="", "", INDEX(十五音韻母清單!$B$6:$K$105, $F62, J$2)), "")</f>
        <v>嘄</v>
      </c>
      <c r="K62" s="173" t="str" cm="1">
        <f t="array" ref="K62" xml:space="preserve"> IFERROR( IF($C62="", "", INDEX(十五音韻母清單!$B$6:$K$105, $F62, K$2)), "")</f>
        <v>入聲</v>
      </c>
      <c r="L62" s="173" t="str" cm="1">
        <f t="array" ref="L62" xml:space="preserve"> IFERROR( IF($C62="", "", INDEX(十五音韻母清單!$B$6:$K$105, $F62, L$2)), "")</f>
        <v>iãu?</v>
      </c>
    </row>
    <row r="63" spans="2:12">
      <c r="B63" s="173">
        <v>56</v>
      </c>
      <c r="C63" s="182" t="s">
        <v>924</v>
      </c>
      <c r="D63" s="187" t="s">
        <v>3435</v>
      </c>
      <c r="E63" s="182" t="s">
        <v>3436</v>
      </c>
      <c r="F63" s="173">
        <f xml:space="preserve"> IFERROR( IF($C63="", "", MATCH($C63, 十五音韻母清單!$K$6:$K$105,0)), "")</f>
        <v>60</v>
      </c>
      <c r="G63" s="173" t="str" cm="1">
        <f t="array" ref="G63" xml:space="preserve"> IFERROR( IF($C63="", "", INDEX(十五音韻母清單!$B$6:$K$105, $F63, G$2)), "")</f>
        <v>iuh</v>
      </c>
      <c r="H63" s="173" cm="1">
        <f t="array" ref="H63" xml:space="preserve"> IFERROR( IF($C63="", "", INDEX(十五音韻母清單!$B$6:$K$105, $F63, H$2)), "")</f>
        <v>30</v>
      </c>
      <c r="I63" s="173" t="str" cm="1">
        <f t="array" ref="I63" xml:space="preserve"> IFERROR( IF($C63="", "", INDEX(十五音韻母清單!$B$6:$K$105, $F63, I$2)), "")</f>
        <v>iuh</v>
      </c>
      <c r="J63" s="173" t="str" cm="1">
        <f t="array" ref="J63" xml:space="preserve"> IFERROR( IF($C63="", "", INDEX(十五音韻母清單!$B$6:$K$105, $F63, J$2)), "")</f>
        <v>丩</v>
      </c>
      <c r="K63" s="173" t="str" cm="1">
        <f t="array" ref="K63" xml:space="preserve"> IFERROR( IF($C63="", "", INDEX(十五音韻母清單!$B$6:$K$105, $F63, K$2)), "")</f>
        <v>入聲</v>
      </c>
      <c r="L63" s="173" t="str" cm="1">
        <f t="array" ref="L63" xml:space="preserve"> IFERROR( IF($C63="", "", INDEX(十五音韻母清單!$B$6:$K$105, $F63, L$2)), "")</f>
        <v>iu?</v>
      </c>
    </row>
    <row r="64" spans="2:12">
      <c r="B64" s="173">
        <v>57</v>
      </c>
      <c r="C64" s="173" t="s">
        <v>1111</v>
      </c>
      <c r="D64" s="186" t="s">
        <v>3433</v>
      </c>
      <c r="E64" s="173" t="s">
        <v>3436</v>
      </c>
      <c r="F64" s="173">
        <f xml:space="preserve"> IFERROR( IF($C64="", "", MATCH($C64, 十五音韻母清單!$K$6:$K$105,0)), "")</f>
        <v>100</v>
      </c>
      <c r="G64" s="173" t="str" cm="1">
        <f t="array" ref="G64" xml:space="preserve"> IFERROR( IF($C64="", "", INDEX(十五音韻母清單!$B$6:$K$105, $F64, G$2)), "")</f>
        <v>iunnh</v>
      </c>
      <c r="H64" s="173" cm="1">
        <f t="array" ref="H64" xml:space="preserve"> IFERROR( IF($C64="", "", INDEX(十五音韻母清單!$B$6:$K$105, $F64, H$2)), "")</f>
        <v>50</v>
      </c>
      <c r="I64" s="173" t="str" cm="1">
        <f t="array" ref="I64" xml:space="preserve"> IFERROR( IF($C64="", "", INDEX(十五音韻母清單!$B$6:$K$105, $F64, I$2)), "")</f>
        <v>iunnh</v>
      </c>
      <c r="J64" s="173" t="str" cm="1">
        <f t="array" ref="J64" xml:space="preserve"> IFERROR( IF($C64="", "", INDEX(十五音韻母清單!$B$6:$K$105, $F64, J$2)), "")</f>
        <v>牛</v>
      </c>
      <c r="K64" s="173" t="str" cm="1">
        <f t="array" ref="K64" xml:space="preserve"> IFERROR( IF($C64="", "", INDEX(十五音韻母清單!$B$6:$K$105, $F64, K$2)), "")</f>
        <v>入聲</v>
      </c>
      <c r="L64" s="173" t="str" cm="1">
        <f t="array" ref="L64" xml:space="preserve"> IFERROR( IF($C64="", "", INDEX(十五音韻母清單!$B$6:$K$105, $F64, L$2)), "")</f>
        <v>iũh</v>
      </c>
    </row>
    <row r="65" spans="2:12">
      <c r="B65" s="173">
        <v>58</v>
      </c>
      <c r="C65" s="173" t="s">
        <v>3438</v>
      </c>
      <c r="D65" s="186" t="s">
        <v>3433</v>
      </c>
      <c r="E65" s="173" t="s">
        <v>3436</v>
      </c>
      <c r="F65" s="173" t="str">
        <f xml:space="preserve"> IFERROR( IF($C65="", "", MATCH($C65, 十五音韻母清單!$K$6:$K$105,0)), "")</f>
        <v/>
      </c>
      <c r="G65" s="173" t="str" cm="1">
        <f t="array" ref="G65" xml:space="preserve"> IFERROR( IF($C65="", "", INDEX(十五音韻母清單!$B$6:$K$105, $F65, G$2)), "")</f>
        <v/>
      </c>
      <c r="H65" s="173" t="str" cm="1">
        <f t="array" ref="H65" xml:space="preserve"> IFERROR( IF($C65="", "", INDEX(十五音韻母清單!$B$6:$K$105, $F65, H$2)), "")</f>
        <v/>
      </c>
      <c r="I65" s="173" t="str" cm="1">
        <f t="array" ref="I65" xml:space="preserve"> IFERROR( IF($C65="", "", INDEX(十五音韻母清單!$B$6:$K$105, $F65, I$2)), "")</f>
        <v/>
      </c>
      <c r="J65" s="173" t="str" cm="1">
        <f t="array" ref="J65" xml:space="preserve"> IFERROR( IF($C65="", "", INDEX(十五音韻母清單!$B$6:$K$105, $F65, J$2)), "")</f>
        <v/>
      </c>
      <c r="K65" s="173" t="str" cm="1">
        <f t="array" ref="K65" xml:space="preserve"> IFERROR( IF($C65="", "", INDEX(十五音韻母清單!$B$6:$K$105, $F65, K$2)), "")</f>
        <v/>
      </c>
      <c r="L65" s="173" t="str" cm="1">
        <f t="array" ref="L65" xml:space="preserve"> IFERROR( IF($C65="", "", INDEX(十五音韻母清單!$B$6:$K$105, $F65, L$2)), "")</f>
        <v/>
      </c>
    </row>
    <row r="66" spans="2:12">
      <c r="B66" s="173">
        <v>59</v>
      </c>
      <c r="C66" s="174" t="s">
        <v>848</v>
      </c>
      <c r="D66" s="188" t="s">
        <v>3439</v>
      </c>
      <c r="E66" s="176" t="s">
        <v>1119</v>
      </c>
      <c r="F66" s="173">
        <f xml:space="preserve"> IFERROR( IF($C66="", "", MATCH($C66, 十五音韻母清單!$K$6:$K$105,0)), "")</f>
        <v>39</v>
      </c>
      <c r="G66" s="173" t="str" cm="1">
        <f t="array" ref="G66" xml:space="preserve"> IFERROR( IF($C66="", "", INDEX(十五音韻母清單!$B$6:$K$105, $F66, G$2)), "")</f>
        <v>ua</v>
      </c>
      <c r="H66" s="173" cm="1">
        <f t="array" ref="H66" xml:space="preserve"> IFERROR( IF($C66="", "", INDEX(十五音韻母清單!$B$6:$K$105, $F66, H$2)), "")</f>
        <v>20</v>
      </c>
      <c r="I66" s="173" t="str" cm="1">
        <f t="array" ref="I66" xml:space="preserve"> IFERROR( IF($C66="", "", INDEX(十五音韻母清單!$B$6:$K$105, $F66, I$2)), "")</f>
        <v>ua</v>
      </c>
      <c r="J66" s="173" t="str" cm="1">
        <f t="array" ref="J66" xml:space="preserve"> IFERROR( IF($C66="", "", INDEX(十五音韻母清單!$B$6:$K$105, $F66, J$2)), "")</f>
        <v>瓜</v>
      </c>
      <c r="K66" s="173" t="str" cm="1">
        <f t="array" ref="K66" xml:space="preserve"> IFERROR( IF($C66="", "", INDEX(十五音韻母清單!$B$6:$K$105, $F66, K$2)), "")</f>
        <v>舒聲</v>
      </c>
      <c r="L66" s="173" t="str" cm="1">
        <f t="array" ref="L66" xml:space="preserve"> IFERROR( IF($C66="", "", INDEX(十五音韻母清單!$B$6:$K$105, $F66, L$2)), "")</f>
        <v>ua</v>
      </c>
    </row>
    <row r="67" spans="2:12">
      <c r="B67" s="173">
        <v>60</v>
      </c>
      <c r="C67" s="174" t="s">
        <v>995</v>
      </c>
      <c r="D67" s="188" t="s">
        <v>3439</v>
      </c>
      <c r="E67" s="176" t="s">
        <v>1119</v>
      </c>
      <c r="F67" s="173">
        <f xml:space="preserve"> IFERROR( IF($C67="", "", MATCH($C67, 十五音韻母清單!$K$6:$K$105,0)), "")</f>
        <v>73</v>
      </c>
      <c r="G67" s="173" t="str" cm="1">
        <f t="array" ref="G67" xml:space="preserve"> IFERROR( IF($C67="", "", INDEX(十五音韻母清單!$B$6:$K$105, $F67, G$2)), "")</f>
        <v>uann</v>
      </c>
      <c r="H67" s="173" cm="1">
        <f t="array" ref="H67" xml:space="preserve"> IFERROR( IF($C67="", "", INDEX(十五音韻母清單!$B$6:$K$105, $F67, H$2)), "")</f>
        <v>37</v>
      </c>
      <c r="I67" s="173" t="str" cm="1">
        <f t="array" ref="I67" xml:space="preserve"> IFERROR( IF($C67="", "", INDEX(十五音韻母清單!$B$6:$K$105, $F67, I$2)), "")</f>
        <v>uann</v>
      </c>
      <c r="J67" s="173" t="str" cm="1">
        <f t="array" ref="J67" xml:space="preserve"> IFERROR( IF($C67="", "", INDEX(十五音韻母清單!$B$6:$K$105, $F67, J$2)), "")</f>
        <v>官</v>
      </c>
      <c r="K67" s="173" t="str" cm="1">
        <f t="array" ref="K67" xml:space="preserve"> IFERROR( IF($C67="", "", INDEX(十五音韻母清單!$B$6:$K$105, $F67, K$2)), "")</f>
        <v>舒聲</v>
      </c>
      <c r="L67" s="173" t="str" cm="1">
        <f t="array" ref="L67" xml:space="preserve"> IFERROR( IF($C67="", "", INDEX(十五音韻母清單!$B$6:$K$105, $F67, L$2)), "")</f>
        <v>uã</v>
      </c>
    </row>
    <row r="68" spans="2:12" ht="39">
      <c r="B68" s="173">
        <v>61</v>
      </c>
      <c r="C68" s="182" t="s">
        <v>3440</v>
      </c>
      <c r="D68" s="187" t="s">
        <v>3439</v>
      </c>
      <c r="E68" s="182" t="s">
        <v>3441</v>
      </c>
      <c r="F68" s="173" t="str">
        <f xml:space="preserve"> IFERROR( IF($C68="", "", MATCH($C68, 十五音韻母清單!$K$6:$K$105,0)), "")</f>
        <v/>
      </c>
      <c r="G68" s="173" t="str" cm="1">
        <f t="array" ref="G68" xml:space="preserve"> IFERROR( IF($C68="", "", INDEX(十五音韻母清單!$B$6:$K$105, $F68, G$2)), "")</f>
        <v/>
      </c>
      <c r="H68" s="173" t="str" cm="1">
        <f t="array" ref="H68" xml:space="preserve"> IFERROR( IF($C68="", "", INDEX(十五音韻母清單!$B$6:$K$105, $F68, H$2)), "")</f>
        <v/>
      </c>
      <c r="I68" s="173" t="str" cm="1">
        <f t="array" ref="I68" xml:space="preserve"> IFERROR( IF($C68="", "", INDEX(十五音韻母清單!$B$6:$K$105, $F68, I$2)), "")</f>
        <v/>
      </c>
      <c r="J68" s="173" t="str" cm="1">
        <f t="array" ref="J68" xml:space="preserve"> IFERROR( IF($C68="", "", INDEX(十五音韻母清單!$B$6:$K$105, $F68, J$2)), "")</f>
        <v/>
      </c>
      <c r="K68" s="173" t="str" cm="1">
        <f t="array" ref="K68" xml:space="preserve"> IFERROR( IF($C68="", "", INDEX(十五音韻母清單!$B$6:$K$105, $F68, K$2)), "")</f>
        <v/>
      </c>
      <c r="L68" s="173" t="str" cm="1">
        <f t="array" ref="L68" xml:space="preserve"> IFERROR( IF($C68="", "", INDEX(十五音韻母清單!$B$6:$K$105, $F68, L$2)), "")</f>
        <v/>
      </c>
    </row>
    <row r="69" spans="2:12">
      <c r="B69" s="173">
        <v>62</v>
      </c>
      <c r="C69" s="174" t="s">
        <v>1470</v>
      </c>
      <c r="D69" s="188" t="s">
        <v>3439</v>
      </c>
      <c r="E69" s="176" t="s">
        <v>1119</v>
      </c>
      <c r="F69" s="173">
        <f xml:space="preserve"> IFERROR( IF($C69="", "", MATCH($C69, 十五音韻母清單!$K$6:$K$105,0)), "")</f>
        <v>49</v>
      </c>
      <c r="G69" s="173" t="str" cm="1">
        <f t="array" ref="G69" xml:space="preserve"> IFERROR( IF($C69="", "", INDEX(十五音韻母清單!$B$6:$K$105, $F69, G$2)), "")</f>
        <v>ue</v>
      </c>
      <c r="H69" s="173" cm="1">
        <f t="array" ref="H69" xml:space="preserve"> IFERROR( IF($C69="", "", INDEX(十五音韻母清單!$B$6:$K$105, $F69, H$2)), "")</f>
        <v>25</v>
      </c>
      <c r="I69" s="173" t="str" cm="1">
        <f t="array" ref="I69" xml:space="preserve"> IFERROR( IF($C69="", "", INDEX(十五音韻母清單!$B$6:$K$105, $F69, I$2)), "")</f>
        <v>ue</v>
      </c>
      <c r="J69" s="173" t="str" cm="1">
        <f t="array" ref="J69" xml:space="preserve"> IFERROR( IF($C69="", "", INDEX(十五音韻母清單!$B$6:$K$105, $F69, J$2)), "")</f>
        <v>檜</v>
      </c>
      <c r="K69" s="173" t="str" cm="1">
        <f t="array" ref="K69" xml:space="preserve"> IFERROR( IF($C69="", "", INDEX(十五音韻母清單!$B$6:$K$105, $F69, K$2)), "")</f>
        <v>舒聲</v>
      </c>
      <c r="L69" s="173" t="str" cm="1">
        <f t="array" ref="L69" xml:space="preserve"> IFERROR( IF($C69="", "", INDEX(十五音韻母清單!$B$6:$K$105, $F69, L$2)), "")</f>
        <v>ue</v>
      </c>
    </row>
    <row r="70" spans="2:12">
      <c r="B70" s="173">
        <v>63</v>
      </c>
      <c r="C70" s="174" t="s">
        <v>1069</v>
      </c>
      <c r="D70" s="188" t="s">
        <v>3439</v>
      </c>
      <c r="E70" s="176" t="s">
        <v>1119</v>
      </c>
      <c r="F70" s="173">
        <f xml:space="preserve"> IFERROR( IF($C70="", "", MATCH($C70, 十五音韻母清單!$K$6:$K$105,0)), "")</f>
        <v>89</v>
      </c>
      <c r="G70" s="173" t="str" cm="1">
        <f t="array" ref="G70" xml:space="preserve"> IFERROR( IF($C70="", "", INDEX(十五音韻母清單!$B$6:$K$105, $F70, G$2)), "")</f>
        <v>uenn</v>
      </c>
      <c r="H70" s="173" cm="1">
        <f t="array" ref="H70" xml:space="preserve"> IFERROR( IF($C70="", "", INDEX(十五音韻母清單!$B$6:$K$105, $F70, H$2)), "")</f>
        <v>45</v>
      </c>
      <c r="I70" s="173" t="str" cm="1">
        <f t="array" ref="I70" xml:space="preserve"> IFERROR( IF($C70="", "", INDEX(十五音韻母清單!$B$6:$K$105, $F70, I$2)), "")</f>
        <v>uenn</v>
      </c>
      <c r="J70" s="173" t="str" cm="1">
        <f t="array" ref="J70" xml:space="preserve"> IFERROR( IF($C70="", "", INDEX(十五音韻母清單!$B$6:$K$105, $F70, J$2)), "")</f>
        <v>糜</v>
      </c>
      <c r="K70" s="173" t="str" cm="1">
        <f t="array" ref="K70" xml:space="preserve"> IFERROR( IF($C70="", "", INDEX(十五音韻母清單!$B$6:$K$105, $F70, K$2)), "")</f>
        <v>舒聲</v>
      </c>
      <c r="L70" s="173" t="str" cm="1">
        <f t="array" ref="L70" xml:space="preserve"> IFERROR( IF($C70="", "", INDEX(十五音韻母清單!$B$6:$K$105, $F70, L$2)), "")</f>
        <v>uẽi</v>
      </c>
    </row>
    <row r="71" spans="2:12">
      <c r="B71" s="173">
        <v>64</v>
      </c>
      <c r="C71" s="174" t="s">
        <v>763</v>
      </c>
      <c r="D71" s="188" t="s">
        <v>3439</v>
      </c>
      <c r="E71" s="176" t="s">
        <v>1119</v>
      </c>
      <c r="F71" s="173">
        <f xml:space="preserve"> IFERROR( IF($C71="", "", MATCH($C71, 十五音韻母清單!$K$6:$K$105,0)), "")</f>
        <v>15</v>
      </c>
      <c r="G71" s="173" t="str" cm="1">
        <f t="array" ref="G71" xml:space="preserve"> IFERROR( IF($C71="", "", INDEX(十五音韻母清單!$B$6:$K$105, $F71, G$2)), "")</f>
        <v>uai</v>
      </c>
      <c r="H71" s="173" cm="1">
        <f t="array" ref="H71" xml:space="preserve"> IFERROR( IF($C71="", "", INDEX(十五音韻母清單!$B$6:$K$105, $F71, H$2)), "")</f>
        <v>8</v>
      </c>
      <c r="I71" s="173" t="str" cm="1">
        <f t="array" ref="I71" xml:space="preserve"> IFERROR( IF($C71="", "", INDEX(十五音韻母清單!$B$6:$K$105, $F71, I$2)), "")</f>
        <v>uai</v>
      </c>
      <c r="J71" s="173" t="str" cm="1">
        <f t="array" ref="J71" xml:space="preserve"> IFERROR( IF($C71="", "", INDEX(十五音韻母清單!$B$6:$K$105, $F71, J$2)), "")</f>
        <v>乖</v>
      </c>
      <c r="K71" s="173" t="str" cm="1">
        <f t="array" ref="K71" xml:space="preserve"> IFERROR( IF($C71="", "", INDEX(十五音韻母清單!$B$6:$K$105, $F71, K$2)), "")</f>
        <v>舒聲</v>
      </c>
      <c r="L71" s="173" t="str" cm="1">
        <f t="array" ref="L71" xml:space="preserve"> IFERROR( IF($C71="", "", INDEX(十五音韻母清單!$B$6:$K$105, $F71, L$2)), "")</f>
        <v>uai</v>
      </c>
    </row>
    <row r="72" spans="2:12">
      <c r="B72" s="173">
        <v>65</v>
      </c>
      <c r="C72" s="174" t="s">
        <v>1056</v>
      </c>
      <c r="D72" s="188" t="s">
        <v>3439</v>
      </c>
      <c r="E72" s="176" t="s">
        <v>1119</v>
      </c>
      <c r="F72" s="173">
        <f xml:space="preserve"> IFERROR( IF($C72="", "", MATCH($C72, 十五音韻母清單!$K$6:$K$105,0)), "")</f>
        <v>87</v>
      </c>
      <c r="G72" s="173" t="str" cm="1">
        <f t="array" ref="G72" xml:space="preserve"> IFERROR( IF($C72="", "", INDEX(十五音韻母清單!$B$6:$K$105, $F72, G$2)), "")</f>
        <v>uainn</v>
      </c>
      <c r="H72" s="173" cm="1">
        <f t="array" ref="H72" xml:space="preserve"> IFERROR( IF($C72="", "", INDEX(十五音韻母清單!$B$6:$K$105, $F72, H$2)), "")</f>
        <v>44</v>
      </c>
      <c r="I72" s="173" t="str" cm="1">
        <f t="array" ref="I72" xml:space="preserve"> IFERROR( IF($C72="", "", INDEX(十五音韻母清單!$B$6:$K$105, $F72, I$2)), "")</f>
        <v>uainn</v>
      </c>
      <c r="J72" s="173" t="str" cm="1">
        <f t="array" ref="J72" xml:space="preserve"> IFERROR( IF($C72="", "", INDEX(十五音韻母清單!$B$6:$K$105, $F72, J$2)), "")</f>
        <v>閂</v>
      </c>
      <c r="K72" s="173" t="str" cm="1">
        <f t="array" ref="K72" xml:space="preserve"> IFERROR( IF($C72="", "", INDEX(十五音韻母清單!$B$6:$K$105, $F72, K$2)), "")</f>
        <v>舒聲</v>
      </c>
      <c r="L72" s="173" t="str" cm="1">
        <f t="array" ref="L72" xml:space="preserve"> IFERROR( IF($C72="", "", INDEX(十五音韻母清單!$B$6:$K$105, $F72, L$2)), "")</f>
        <v>uãi</v>
      </c>
    </row>
    <row r="73" spans="2:12">
      <c r="B73" s="173">
        <v>66</v>
      </c>
      <c r="C73" s="174" t="s">
        <v>776</v>
      </c>
      <c r="D73" s="188" t="s">
        <v>3439</v>
      </c>
      <c r="E73" s="176" t="s">
        <v>1119</v>
      </c>
      <c r="F73" s="173">
        <f xml:space="preserve"> IFERROR( IF($C73="", "", MATCH($C73, 十五音韻母清單!$K$6:$K$105,0)), "")</f>
        <v>19</v>
      </c>
      <c r="G73" s="173" t="str" cm="1">
        <f t="array" ref="G73" xml:space="preserve"> IFERROR( IF($C73="", "", INDEX(十五音韻母清單!$B$6:$K$105, $F73, G$2)), "")</f>
        <v>uan</v>
      </c>
      <c r="H73" s="173" cm="1">
        <f t="array" ref="H73" xml:space="preserve"> IFERROR( IF($C73="", "", INDEX(十五音韻母清單!$B$6:$K$105, $F73, H$2)), "")</f>
        <v>10</v>
      </c>
      <c r="I73" s="173" t="str" cm="1">
        <f t="array" ref="I73" xml:space="preserve"> IFERROR( IF($C73="", "", INDEX(十五音韻母清單!$B$6:$K$105, $F73, I$2)), "")</f>
        <v>uan</v>
      </c>
      <c r="J73" s="173" t="str" cm="1">
        <f t="array" ref="J73" xml:space="preserve"> IFERROR( IF($C73="", "", INDEX(十五音韻母清單!$B$6:$K$105, $F73, J$2)), "")</f>
        <v>觀</v>
      </c>
      <c r="K73" s="173" t="str" cm="1">
        <f t="array" ref="K73" xml:space="preserve"> IFERROR( IF($C73="", "", INDEX(十五音韻母清單!$B$6:$K$105, $F73, K$2)), "")</f>
        <v>舒聲</v>
      </c>
      <c r="L73" s="173" t="str" cm="1">
        <f t="array" ref="L73" xml:space="preserve"> IFERROR( IF($C73="", "", INDEX(十五音韻母清單!$B$6:$K$105, $F73, L$2)), "")</f>
        <v>uan</v>
      </c>
    </row>
    <row r="74" spans="2:12">
      <c r="B74" s="173">
        <v>67</v>
      </c>
      <c r="C74" s="174" t="s">
        <v>708</v>
      </c>
      <c r="D74" s="188" t="s">
        <v>3439</v>
      </c>
      <c r="E74" s="176" t="s">
        <v>1119</v>
      </c>
      <c r="F74" s="173">
        <f xml:space="preserve"> IFERROR( IF($C74="", "", MATCH($C74, 十五音韻母清單!$K$6:$K$105,0)), "")</f>
        <v>1</v>
      </c>
      <c r="G74" s="173" t="str" cm="1">
        <f t="array" ref="G74" xml:space="preserve"> IFERROR( IF($C74="", "", INDEX(十五音韻母清單!$B$6:$K$105, $F74, G$2)), "")</f>
        <v>un</v>
      </c>
      <c r="H74" s="173" cm="1">
        <f t="array" ref="H74" xml:space="preserve"> IFERROR( IF($C74="", "", INDEX(十五音韻母清單!$B$6:$K$105, $F74, H$2)), "")</f>
        <v>1</v>
      </c>
      <c r="I74" s="173" t="str" cm="1">
        <f t="array" ref="I74" xml:space="preserve"> IFERROR( IF($C74="", "", INDEX(十五音韻母清單!$B$6:$K$105, $F74, I$2)), "")</f>
        <v>un</v>
      </c>
      <c r="J74" s="173" t="str" cm="1">
        <f t="array" ref="J74" xml:space="preserve"> IFERROR( IF($C74="", "", INDEX(十五音韻母清單!$B$6:$K$105, $F74, J$2)), "")</f>
        <v>君</v>
      </c>
      <c r="K74" s="173" t="str" cm="1">
        <f t="array" ref="K74" xml:space="preserve"> IFERROR( IF($C74="", "", INDEX(十五音韻母清單!$B$6:$K$105, $F74, K$2)), "")</f>
        <v>舒聲</v>
      </c>
      <c r="L74" s="173" t="str" cm="1">
        <f t="array" ref="L74" xml:space="preserve"> IFERROR( IF($C74="", "", INDEX(十五音韻母清單!$B$6:$K$105, $F74, L$2)), "")</f>
        <v>un</v>
      </c>
    </row>
    <row r="75" spans="2:12">
      <c r="B75" s="173">
        <v>68</v>
      </c>
      <c r="C75" s="174" t="s">
        <v>1046</v>
      </c>
      <c r="D75" s="188" t="s">
        <v>3439</v>
      </c>
      <c r="E75" s="176" t="s">
        <v>1119</v>
      </c>
      <c r="F75" s="173">
        <f xml:space="preserve"> IFERROR( IF($C75="", "", MATCH($C75, 十五音韻母清單!$K$6:$K$105,0)), "")</f>
        <v>85</v>
      </c>
      <c r="G75" s="173" t="str" cm="1">
        <f t="array" ref="G75" xml:space="preserve"> IFERROR( IF($C75="", "", INDEX(十五音韻母清單!$B$6:$K$105, $F75, G$2)), "")</f>
        <v>uang</v>
      </c>
      <c r="H75" s="173" cm="1">
        <f t="array" ref="H75" xml:space="preserve"> IFERROR( IF($C75="", "", INDEX(十五音韻母清單!$B$6:$K$105, $F75, H$2)), "")</f>
        <v>43</v>
      </c>
      <c r="I75" s="173" t="str" cm="1">
        <f t="array" ref="I75" xml:space="preserve"> IFERROR( IF($C75="", "", INDEX(十五音韻母清單!$B$6:$K$105, $F75, I$2)), "")</f>
        <v>uang</v>
      </c>
      <c r="J75" s="173" t="str" cm="1">
        <f t="array" ref="J75" xml:space="preserve"> IFERROR( IF($C75="", "", INDEX(十五音韻母清單!$B$6:$K$105, $F75, J$2)), "")</f>
        <v>光</v>
      </c>
      <c r="K75" s="173" t="str" cm="1">
        <f t="array" ref="K75" xml:space="preserve"> IFERROR( IF($C75="", "", INDEX(十五音韻母清單!$B$6:$K$105, $F75, K$2)), "")</f>
        <v>舒聲</v>
      </c>
      <c r="L75" s="173" t="str" cm="1">
        <f t="array" ref="L75" xml:space="preserve"> IFERROR( IF($C75="", "", INDEX(十五音韻母清單!$B$6:$K$105, $F75, L$2)), "")</f>
        <v>uaŋ</v>
      </c>
    </row>
    <row r="76" spans="2:12">
      <c r="B76" s="173">
        <v>69</v>
      </c>
      <c r="C76" s="174" t="s">
        <v>729</v>
      </c>
      <c r="D76" s="188" t="s">
        <v>3439</v>
      </c>
      <c r="E76" s="176" t="s">
        <v>1119</v>
      </c>
      <c r="F76" s="173">
        <f xml:space="preserve"> IFERROR( IF($C76="", "", MATCH($C76, 十五音韻母清單!$K$6:$K$105,0)), "")</f>
        <v>7</v>
      </c>
      <c r="G76" s="173" t="str" cm="1">
        <f t="array" ref="G76" xml:space="preserve"> IFERROR( IF($C76="", "", INDEX(十五音韻母清單!$B$6:$K$105, $F76, G$2)), "")</f>
        <v>ui</v>
      </c>
      <c r="H76" s="173" cm="1">
        <f t="array" ref="H76" xml:space="preserve"> IFERROR( IF($C76="", "", INDEX(十五音韻母清單!$B$6:$K$105, $F76, H$2)), "")</f>
        <v>4</v>
      </c>
      <c r="I76" s="173" t="str" cm="1">
        <f t="array" ref="I76" xml:space="preserve"> IFERROR( IF($C76="", "", INDEX(十五音韻母清單!$B$6:$K$105, $F76, I$2)), "")</f>
        <v>ui</v>
      </c>
      <c r="J76" s="173" t="str" cm="1">
        <f t="array" ref="J76" xml:space="preserve"> IFERROR( IF($C76="", "", INDEX(十五音韻母清單!$B$6:$K$105, $F76, J$2)), "")</f>
        <v>規</v>
      </c>
      <c r="K76" s="173" t="str" cm="1">
        <f t="array" ref="K76" xml:space="preserve"> IFERROR( IF($C76="", "", INDEX(十五音韻母清單!$B$6:$K$105, $F76, K$2)), "")</f>
        <v>舒聲</v>
      </c>
      <c r="L76" s="173" t="str" cm="1">
        <f t="array" ref="L76" xml:space="preserve"> IFERROR( IF($C76="", "", INDEX(十五音韻母清單!$B$6:$K$105, $F76, L$2)), "")</f>
        <v>ui</v>
      </c>
    </row>
    <row r="77" spans="2:12">
      <c r="B77" s="173">
        <v>70</v>
      </c>
      <c r="C77" s="174" t="s">
        <v>945</v>
      </c>
      <c r="D77" s="188" t="s">
        <v>3439</v>
      </c>
      <c r="E77" s="176" t="s">
        <v>1119</v>
      </c>
      <c r="F77" s="173">
        <f xml:space="preserve"> IFERROR( IF($C77="", "", MATCH($C77, 十五音韻母清單!$K$6:$K$105,0)), "")</f>
        <v>63</v>
      </c>
      <c r="G77" s="173" t="str" cm="1">
        <f t="array" ref="G77" xml:space="preserve"> IFERROR( IF($C77="", "", INDEX(十五音韻母清單!$B$6:$K$105, $F77, G$2)), "")</f>
        <v>uinn</v>
      </c>
      <c r="H77" s="173" cm="1">
        <f t="array" ref="H77" xml:space="preserve"> IFERROR( IF($C77="", "", INDEX(十五音韻母清單!$B$6:$K$105, $F77, H$2)), "")</f>
        <v>32</v>
      </c>
      <c r="I77" s="173" t="str" cm="1">
        <f t="array" ref="I77" xml:space="preserve"> IFERROR( IF($C77="", "", INDEX(十五音韻母清單!$B$6:$K$105, $F77, I$2)), "")</f>
        <v>uinn</v>
      </c>
      <c r="J77" s="173" t="str" cm="1">
        <f t="array" ref="J77" xml:space="preserve"> IFERROR( IF($C77="", "", INDEX(十五音韻母清單!$B$6:$K$105, $F77, J$2)), "")</f>
        <v>褌</v>
      </c>
      <c r="K77" s="173" t="str" cm="1">
        <f t="array" ref="K77" xml:space="preserve"> IFERROR( IF($C77="", "", INDEX(十五音韻母清單!$B$6:$K$105, $F77, K$2)), "")</f>
        <v>舒聲</v>
      </c>
      <c r="L77" s="173" t="str" cm="1">
        <f t="array" ref="L77" xml:space="preserve"> IFERROR( IF($C77="", "", INDEX(十五音韻母清單!$B$6:$K$105, $F77, L$2)), "")</f>
        <v>uĩ</v>
      </c>
    </row>
    <row r="78" spans="2:12" ht="39">
      <c r="B78" s="173">
        <v>71</v>
      </c>
      <c r="C78" s="182" t="s">
        <v>3442</v>
      </c>
      <c r="D78" s="187" t="s">
        <v>3439</v>
      </c>
      <c r="E78" s="182" t="s">
        <v>3441</v>
      </c>
      <c r="F78" s="173" t="str">
        <f xml:space="preserve"> IFERROR( IF($C78="", "", MATCH($C78, 十五音韻母清單!$K$6:$K$105,0)), "")</f>
        <v/>
      </c>
      <c r="G78" s="173" t="str" cm="1">
        <f t="array" ref="G78" xml:space="preserve"> IFERROR( IF($C78="", "", INDEX(十五音韻母清單!$B$6:$K$105, $F78, G$2)), "")</f>
        <v/>
      </c>
      <c r="H78" s="173" t="str" cm="1">
        <f t="array" ref="H78" xml:space="preserve"> IFERROR( IF($C78="", "", INDEX(十五音韻母清單!$B$6:$K$105, $F78, H$2)), "")</f>
        <v/>
      </c>
      <c r="I78" s="173" t="str" cm="1">
        <f t="array" ref="I78" xml:space="preserve"> IFERROR( IF($C78="", "", INDEX(十五音韻母清單!$B$6:$K$105, $F78, I$2)), "")</f>
        <v/>
      </c>
      <c r="J78" s="173" t="str" cm="1">
        <f t="array" ref="J78" xml:space="preserve"> IFERROR( IF($C78="", "", INDEX(十五音韻母清單!$B$6:$K$105, $F78, J$2)), "")</f>
        <v/>
      </c>
      <c r="K78" s="173" t="str" cm="1">
        <f t="array" ref="K78" xml:space="preserve"> IFERROR( IF($C78="", "", INDEX(十五音韻母清單!$B$6:$K$105, $F78, K$2)), "")</f>
        <v/>
      </c>
      <c r="L78" s="173" t="str" cm="1">
        <f t="array" ref="L78" xml:space="preserve"> IFERROR( IF($C78="", "", INDEX(十五音韻母清單!$B$6:$K$105, $F78, L$2)), "")</f>
        <v/>
      </c>
    </row>
    <row r="79" spans="2:12" ht="39">
      <c r="B79" s="173">
        <v>72</v>
      </c>
      <c r="C79" s="182" t="s">
        <v>3443</v>
      </c>
      <c r="D79" s="187" t="s">
        <v>3439</v>
      </c>
      <c r="E79" s="182" t="s">
        <v>3441</v>
      </c>
      <c r="F79" s="173" t="str">
        <f xml:space="preserve"> IFERROR( IF($C79="", "", MATCH($C79, 十五音韻母清單!$K$6:$K$105,0)), "")</f>
        <v/>
      </c>
      <c r="G79" s="173" t="str" cm="1">
        <f t="array" ref="G79" xml:space="preserve"> IFERROR( IF($C79="", "", INDEX(十五音韻母清單!$B$6:$K$105, $F79, G$2)), "")</f>
        <v/>
      </c>
      <c r="H79" s="173" t="str" cm="1">
        <f t="array" ref="H79" xml:space="preserve"> IFERROR( IF($C79="", "", INDEX(十五音韻母清單!$B$6:$K$105, $F79, H$2)), "")</f>
        <v/>
      </c>
      <c r="I79" s="173" t="str" cm="1">
        <f t="array" ref="I79" xml:space="preserve"> IFERROR( IF($C79="", "", INDEX(十五音韻母清單!$B$6:$K$105, $F79, I$2)), "")</f>
        <v/>
      </c>
      <c r="J79" s="173" t="str" cm="1">
        <f t="array" ref="J79" xml:space="preserve"> IFERROR( IF($C79="", "", INDEX(十五音韻母清單!$B$6:$K$105, $F79, J$2)), "")</f>
        <v/>
      </c>
      <c r="K79" s="173" t="str" cm="1">
        <f t="array" ref="K79" xml:space="preserve"> IFERROR( IF($C79="", "", INDEX(十五音韻母清單!$B$6:$K$105, $F79, K$2)), "")</f>
        <v/>
      </c>
      <c r="L79" s="173" t="str" cm="1">
        <f t="array" ref="L79" xml:space="preserve"> IFERROR( IF($C79="", "", INDEX(十五音韻母清單!$B$6:$K$105, $F79, L$2)), "")</f>
        <v/>
      </c>
    </row>
    <row r="80" spans="2:12">
      <c r="B80" s="173">
        <v>73</v>
      </c>
      <c r="C80" s="174" t="s">
        <v>3444</v>
      </c>
      <c r="D80" s="188" t="s">
        <v>3439</v>
      </c>
      <c r="E80" s="176" t="s">
        <v>1119</v>
      </c>
      <c r="F80" s="173" t="str">
        <f xml:space="preserve"> IFERROR( IF($C80="", "", MATCH($C80, 十五音韻母清單!$K$6:$K$105,0)), "")</f>
        <v/>
      </c>
      <c r="G80" s="173" t="str" cm="1">
        <f t="array" ref="G80" xml:space="preserve"> IFERROR( IF($C80="", "", INDEX(十五音韻母清單!$B$6:$K$105, $F80, G$2)), "")</f>
        <v/>
      </c>
      <c r="H80" s="173" t="str" cm="1">
        <f t="array" ref="H80" xml:space="preserve"> IFERROR( IF($C80="", "", INDEX(十五音韻母清單!$B$6:$K$105, $F80, H$2)), "")</f>
        <v/>
      </c>
      <c r="I80" s="173" t="str" cm="1">
        <f t="array" ref="I80" xml:space="preserve"> IFERROR( IF($C80="", "", INDEX(十五音韻母清單!$B$6:$K$105, $F80, I$2)), "")</f>
        <v/>
      </c>
      <c r="J80" s="173" t="str" cm="1">
        <f t="array" ref="J80" xml:space="preserve"> IFERROR( IF($C80="", "", INDEX(十五音韻母清單!$B$6:$K$105, $F80, J$2)), "")</f>
        <v/>
      </c>
      <c r="K80" s="173" t="str" cm="1">
        <f t="array" ref="K80" xml:space="preserve"> IFERROR( IF($C80="", "", INDEX(十五音韻母清單!$B$6:$K$105, $F80, K$2)), "")</f>
        <v/>
      </c>
      <c r="L80" s="173" t="str" cm="1">
        <f t="array" ref="L80" xml:space="preserve"> IFERROR( IF($C80="", "", INDEX(十五音韻母清單!$B$6:$K$105, $F80, L$2)), "")</f>
        <v/>
      </c>
    </row>
    <row r="81" spans="2:12">
      <c r="B81" s="173">
        <v>74</v>
      </c>
      <c r="C81" s="174" t="s">
        <v>3445</v>
      </c>
      <c r="D81" s="188" t="s">
        <v>3439</v>
      </c>
      <c r="E81" s="176" t="s">
        <v>1119</v>
      </c>
      <c r="F81" s="173" t="str">
        <f xml:space="preserve"> IFERROR( IF($C81="", "", MATCH($C81, 十五音韻母清單!$K$6:$K$105,0)), "")</f>
        <v/>
      </c>
      <c r="G81" s="173" t="str" cm="1">
        <f t="array" ref="G81" xml:space="preserve"> IFERROR( IF($C81="", "", INDEX(十五音韻母清單!$B$6:$K$105, $F81, G$2)), "")</f>
        <v/>
      </c>
      <c r="H81" s="173" t="str" cm="1">
        <f t="array" ref="H81" xml:space="preserve"> IFERROR( IF($C81="", "", INDEX(十五音韻母清單!$B$6:$K$105, $F81, H$2)), "")</f>
        <v/>
      </c>
      <c r="I81" s="173" t="str" cm="1">
        <f t="array" ref="I81" xml:space="preserve"> IFERROR( IF($C81="", "", INDEX(十五音韻母清單!$B$6:$K$105, $F81, I$2)), "")</f>
        <v/>
      </c>
      <c r="J81" s="173" t="str" cm="1">
        <f t="array" ref="J81" xml:space="preserve"> IFERROR( IF($C81="", "", INDEX(十五音韻母清單!$B$6:$K$105, $F81, J$2)), "")</f>
        <v/>
      </c>
      <c r="K81" s="173" t="str" cm="1">
        <f t="array" ref="K81" xml:space="preserve"> IFERROR( IF($C81="", "", INDEX(十五音韻母清單!$B$6:$K$105, $F81, K$2)), "")</f>
        <v/>
      </c>
      <c r="L81" s="173" t="str" cm="1">
        <f t="array" ref="L81" xml:space="preserve"> IFERROR( IF($C81="", "", INDEX(十五音韻母清單!$B$6:$K$105, $F81, L$2)), "")</f>
        <v/>
      </c>
    </row>
    <row r="82" spans="2:12">
      <c r="B82" s="173">
        <v>75</v>
      </c>
      <c r="C82" s="174" t="s">
        <v>709</v>
      </c>
      <c r="D82" s="188" t="s">
        <v>3439</v>
      </c>
      <c r="E82" s="173" t="s">
        <v>3436</v>
      </c>
      <c r="F82" s="173">
        <f xml:space="preserve"> IFERROR( IF($C82="", "", MATCH($C82, 十五音韻母清單!$K$6:$K$105,0)), "")</f>
        <v>2</v>
      </c>
      <c r="G82" s="173" t="str" cm="1">
        <f t="array" ref="G82" xml:space="preserve"> IFERROR( IF($C82="", "", INDEX(十五音韻母清單!$B$6:$K$105, $F82, G$2)), "")</f>
        <v>ut</v>
      </c>
      <c r="H82" s="173" cm="1">
        <f t="array" ref="H82" xml:space="preserve"> IFERROR( IF($C82="", "", INDEX(十五音韻母清單!$B$6:$K$105, $F82, H$2)), "")</f>
        <v>1</v>
      </c>
      <c r="I82" s="173" t="str" cm="1">
        <f t="array" ref="I82" xml:space="preserve"> IFERROR( IF($C82="", "", INDEX(十五音韻母清單!$B$6:$K$105, $F82, I$2)), "")</f>
        <v>ut</v>
      </c>
      <c r="J82" s="173" t="str" cm="1">
        <f t="array" ref="J82" xml:space="preserve"> IFERROR( IF($C82="", "", INDEX(十五音韻母清單!$B$6:$K$105, $F82, J$2)), "")</f>
        <v>君</v>
      </c>
      <c r="K82" s="173" t="str" cm="1">
        <f t="array" ref="K82" xml:space="preserve"> IFERROR( IF($C82="", "", INDEX(十五音韻母清單!$B$6:$K$105, $F82, K$2)), "")</f>
        <v>入聲</v>
      </c>
      <c r="L82" s="173" t="str" cm="1">
        <f t="array" ref="L82" xml:space="preserve"> IFERROR( IF($C82="", "", INDEX(十五音韻母清單!$B$6:$K$105, $F82, L$2)), "")</f>
        <v>ut̚</v>
      </c>
    </row>
    <row r="83" spans="2:12">
      <c r="B83" s="173">
        <v>76</v>
      </c>
      <c r="C83" s="174" t="s">
        <v>905</v>
      </c>
      <c r="D83" s="188" t="s">
        <v>3439</v>
      </c>
      <c r="E83" s="173" t="s">
        <v>3436</v>
      </c>
      <c r="F83" s="173">
        <f xml:space="preserve"> IFERROR( IF($C83="", "", MATCH($C83, 十五音韻母清單!$K$6:$K$105,0)), "")</f>
        <v>54</v>
      </c>
      <c r="G83" s="173" t="str" cm="1">
        <f t="array" ref="G83" xml:space="preserve"> IFERROR( IF($C83="", "", INDEX(十五音韻母清單!$B$6:$K$105, $F83, G$2)), "")</f>
        <v>uh</v>
      </c>
      <c r="H83" s="173" cm="1">
        <f t="array" ref="H83" xml:space="preserve"> IFERROR( IF($C83="", "", INDEX(十五音韻母清單!$B$6:$K$105, $F83, H$2)), "")</f>
        <v>27</v>
      </c>
      <c r="I83" s="173" t="str" cm="1">
        <f t="array" ref="I83" xml:space="preserve"> IFERROR( IF($C83="", "", INDEX(十五音韻母清單!$B$6:$K$105, $F83, I$2)), "")</f>
        <v>uh</v>
      </c>
      <c r="J83" s="173" t="str" cm="1">
        <f t="array" ref="J83" xml:space="preserve"> IFERROR( IF($C83="", "", INDEX(十五音韻母清單!$B$6:$K$105, $F83, J$2)), "")</f>
        <v>艍</v>
      </c>
      <c r="K83" s="173" t="str" cm="1">
        <f t="array" ref="K83" xml:space="preserve"> IFERROR( IF($C83="", "", INDEX(十五音韻母清單!$B$6:$K$105, $F83, K$2)), "")</f>
        <v>入聲</v>
      </c>
      <c r="L83" s="173" t="str" cm="1">
        <f t="array" ref="L83" xml:space="preserve"> IFERROR( IF($C83="", "", INDEX(十五音韻母清單!$B$6:$K$105, $F83, L$2)), "")</f>
        <v>u?</v>
      </c>
    </row>
    <row r="84" spans="2:12">
      <c r="B84" s="173">
        <v>77</v>
      </c>
      <c r="C84" s="174" t="s">
        <v>777</v>
      </c>
      <c r="D84" s="188" t="s">
        <v>3439</v>
      </c>
      <c r="E84" s="173" t="s">
        <v>3436</v>
      </c>
      <c r="F84" s="173">
        <f xml:space="preserve"> IFERROR( IF($C84="", "", MATCH($C84, 十五音韻母清單!$K$6:$K$105,0)), "")</f>
        <v>20</v>
      </c>
      <c r="G84" s="173" t="str" cm="1">
        <f t="array" ref="G84" xml:space="preserve"> IFERROR( IF($C84="", "", INDEX(十五音韻母清單!$B$6:$K$105, $F84, G$2)), "")</f>
        <v>uat</v>
      </c>
      <c r="H84" s="173" cm="1">
        <f t="array" ref="H84" xml:space="preserve"> IFERROR( IF($C84="", "", INDEX(十五音韻母清單!$B$6:$K$105, $F84, H$2)), "")</f>
        <v>10</v>
      </c>
      <c r="I84" s="173" t="str" cm="1">
        <f t="array" ref="I84" xml:space="preserve"> IFERROR( IF($C84="", "", INDEX(十五音韻母清單!$B$6:$K$105, $F84, I$2)), "")</f>
        <v>uat</v>
      </c>
      <c r="J84" s="173" t="str" cm="1">
        <f t="array" ref="J84" xml:space="preserve"> IFERROR( IF($C84="", "", INDEX(十五音韻母清單!$B$6:$K$105, $F84, J$2)), "")</f>
        <v>觀</v>
      </c>
      <c r="K84" s="173" t="str" cm="1">
        <f t="array" ref="K84" xml:space="preserve"> IFERROR( IF($C84="", "", INDEX(十五音韻母清單!$B$6:$K$105, $F84, K$2)), "")</f>
        <v>入聲</v>
      </c>
      <c r="L84" s="173" t="str" cm="1">
        <f t="array" ref="L84" xml:space="preserve"> IFERROR( IF($C84="", "", INDEX(十五音韻母清單!$B$6:$K$105, $F84, L$2)), "")</f>
        <v>uat̚</v>
      </c>
    </row>
    <row r="85" spans="2:12">
      <c r="B85" s="173">
        <v>78</v>
      </c>
      <c r="C85" s="174" t="s">
        <v>1047</v>
      </c>
      <c r="D85" s="188" t="s">
        <v>3439</v>
      </c>
      <c r="E85" s="173" t="s">
        <v>3436</v>
      </c>
      <c r="F85" s="173">
        <f xml:space="preserve"> IFERROR( IF($C85="", "", MATCH($C85, 十五音韻母清單!$K$6:$K$105,0)), "")</f>
        <v>86</v>
      </c>
      <c r="G85" s="173" t="str" cm="1">
        <f t="array" ref="G85" xml:space="preserve"> IFERROR( IF($C85="", "", INDEX(十五音韻母清單!$B$6:$K$105, $F85, G$2)), "")</f>
        <v>uak</v>
      </c>
      <c r="H85" s="173" cm="1">
        <f t="array" ref="H85" xml:space="preserve"> IFERROR( IF($C85="", "", INDEX(十五音韻母清單!$B$6:$K$105, $F85, H$2)), "")</f>
        <v>43</v>
      </c>
      <c r="I85" s="173" t="str" cm="1">
        <f t="array" ref="I85" xml:space="preserve"> IFERROR( IF($C85="", "", INDEX(十五音韻母清單!$B$6:$K$105, $F85, I$2)), "")</f>
        <v>uak</v>
      </c>
      <c r="J85" s="173" t="str" cm="1">
        <f t="array" ref="J85" xml:space="preserve"> IFERROR( IF($C85="", "", INDEX(十五音韻母清單!$B$6:$K$105, $F85, J$2)), "")</f>
        <v>光</v>
      </c>
      <c r="K85" s="173" t="str" cm="1">
        <f t="array" ref="K85" xml:space="preserve"> IFERROR( IF($C85="", "", INDEX(十五音韻母清單!$B$6:$K$105, $F85, K$2)), "")</f>
        <v>入聲</v>
      </c>
      <c r="L85" s="173" t="str" cm="1">
        <f t="array" ref="L85" xml:space="preserve"> IFERROR( IF($C85="", "", INDEX(十五音韻母清單!$B$6:$K$105, $F85, L$2)), "")</f>
        <v>uak̚</v>
      </c>
    </row>
    <row r="86" spans="2:12">
      <c r="B86" s="173">
        <v>79</v>
      </c>
      <c r="C86" s="174" t="s">
        <v>849</v>
      </c>
      <c r="D86" s="188" t="s">
        <v>3439</v>
      </c>
      <c r="E86" s="173" t="s">
        <v>3436</v>
      </c>
      <c r="F86" s="173">
        <f xml:space="preserve"> IFERROR( IF($C86="", "", MATCH($C86, 十五音韻母清單!$K$6:$K$105,0)), "")</f>
        <v>40</v>
      </c>
      <c r="G86" s="173" t="str" cm="1">
        <f t="array" ref="G86" xml:space="preserve"> IFERROR( IF($C86="", "", INDEX(十五音韻母清單!$B$6:$K$105, $F86, G$2)), "")</f>
        <v>uah</v>
      </c>
      <c r="H86" s="173" cm="1">
        <f t="array" ref="H86" xml:space="preserve"> IFERROR( IF($C86="", "", INDEX(十五音韻母清單!$B$6:$K$105, $F86, H$2)), "")</f>
        <v>20</v>
      </c>
      <c r="I86" s="173" t="str" cm="1">
        <f t="array" ref="I86" xml:space="preserve"> IFERROR( IF($C86="", "", INDEX(十五音韻母清單!$B$6:$K$105, $F86, I$2)), "")</f>
        <v>uah</v>
      </c>
      <c r="J86" s="173" t="str" cm="1">
        <f t="array" ref="J86" xml:space="preserve"> IFERROR( IF($C86="", "", INDEX(十五音韻母清單!$B$6:$K$105, $F86, J$2)), "")</f>
        <v>瓜</v>
      </c>
      <c r="K86" s="173" t="str" cm="1">
        <f t="array" ref="K86" xml:space="preserve"> IFERROR( IF($C86="", "", INDEX(十五音韻母清單!$B$6:$K$105, $F86, K$2)), "")</f>
        <v>入聲</v>
      </c>
      <c r="L86" s="173" t="str" cm="1">
        <f t="array" ref="L86" xml:space="preserve"> IFERROR( IF($C86="", "", INDEX(十五音韻母清單!$B$6:$K$105, $F86, L$2)), "")</f>
        <v>ua?</v>
      </c>
    </row>
    <row r="87" spans="2:12">
      <c r="B87" s="173">
        <v>80</v>
      </c>
      <c r="C87" s="174" t="s">
        <v>1471</v>
      </c>
      <c r="D87" s="188" t="s">
        <v>3439</v>
      </c>
      <c r="E87" s="173" t="s">
        <v>3436</v>
      </c>
      <c r="F87" s="173">
        <f xml:space="preserve"> IFERROR( IF($C87="", "", MATCH($C87, 十五音韻母清單!$K$6:$K$105,0)), "")</f>
        <v>50</v>
      </c>
      <c r="G87" s="173" t="str" cm="1">
        <f t="array" ref="G87" xml:space="preserve"> IFERROR( IF($C87="", "", INDEX(十五音韻母清單!$B$6:$K$105, $F87, G$2)), "")</f>
        <v>ueh</v>
      </c>
      <c r="H87" s="173" cm="1">
        <f t="array" ref="H87" xml:space="preserve"> IFERROR( IF($C87="", "", INDEX(十五音韻母清單!$B$6:$K$105, $F87, H$2)), "")</f>
        <v>25</v>
      </c>
      <c r="I87" s="173" t="str" cm="1">
        <f t="array" ref="I87" xml:space="preserve"> IFERROR( IF($C87="", "", INDEX(十五音韻母清單!$B$6:$K$105, $F87, I$2)), "")</f>
        <v>ueh</v>
      </c>
      <c r="J87" s="173" t="str" cm="1">
        <f t="array" ref="J87" xml:space="preserve"> IFERROR( IF($C87="", "", INDEX(十五音韻母清單!$B$6:$K$105, $F87, J$2)), "")</f>
        <v>檜</v>
      </c>
      <c r="K87" s="173" t="str" cm="1">
        <f t="array" ref="K87" xml:space="preserve"> IFERROR( IF($C87="", "", INDEX(十五音韻母清單!$B$6:$K$105, $F87, K$2)), "")</f>
        <v>入聲</v>
      </c>
      <c r="L87" s="173" t="str" cm="1">
        <f t="array" ref="L87" xml:space="preserve"> IFERROR( IF($C87="", "", INDEX(十五音韻母清單!$B$6:$K$105, $F87, L$2)), "")</f>
        <v>ue?</v>
      </c>
    </row>
    <row r="88" spans="2:12" ht="39">
      <c r="B88" s="173">
        <v>81</v>
      </c>
      <c r="C88" s="182" t="s">
        <v>1070</v>
      </c>
      <c r="D88" s="187" t="s">
        <v>3439</v>
      </c>
      <c r="E88" s="182" t="s">
        <v>3436</v>
      </c>
      <c r="F88" s="173">
        <f xml:space="preserve"> IFERROR( IF($C88="", "", MATCH($C88, 十五音韻母清單!$K$6:$K$105,0)), "")</f>
        <v>90</v>
      </c>
      <c r="G88" s="173" t="str" cm="1">
        <f t="array" ref="G88" xml:space="preserve"> IFERROR( IF($C88="", "", INDEX(十五音韻母清單!$B$6:$K$105, $F88, G$2)), "")</f>
        <v>uennh</v>
      </c>
      <c r="H88" s="173" cm="1">
        <f t="array" ref="H88" xml:space="preserve"> IFERROR( IF($C88="", "", INDEX(十五音韻母清單!$B$6:$K$105, $F88, H$2)), "")</f>
        <v>45</v>
      </c>
      <c r="I88" s="173" t="str" cm="1">
        <f t="array" ref="I88" xml:space="preserve"> IFERROR( IF($C88="", "", INDEX(十五音韻母清單!$B$6:$K$105, $F88, I$2)), "")</f>
        <v>uennh</v>
      </c>
      <c r="J88" s="173" t="str" cm="1">
        <f t="array" ref="J88" xml:space="preserve"> IFERROR( IF($C88="", "", INDEX(十五音韻母清單!$B$6:$K$105, $F88, J$2)), "")</f>
        <v>糜</v>
      </c>
      <c r="K88" s="173" t="str" cm="1">
        <f t="array" ref="K88" xml:space="preserve"> IFERROR( IF($C88="", "", INDEX(十五音韻母清單!$B$6:$K$105, $F88, K$2)), "")</f>
        <v>入聲</v>
      </c>
      <c r="L88" s="173" t="str" cm="1">
        <f t="array" ref="L88" xml:space="preserve"> IFERROR( IF($C88="", "", INDEX(十五音韻母清單!$B$6:$K$105, $F88, L$2)), "")</f>
        <v>uẽi?</v>
      </c>
    </row>
    <row r="89" spans="2:12">
      <c r="B89" s="173">
        <v>82</v>
      </c>
      <c r="C89" s="174" t="s">
        <v>764</v>
      </c>
      <c r="D89" s="188" t="s">
        <v>3439</v>
      </c>
      <c r="E89" s="173" t="s">
        <v>3436</v>
      </c>
      <c r="F89" s="173">
        <f xml:space="preserve"> IFERROR( IF($C89="", "", MATCH($C89, 十五音韻母清單!$K$6:$K$105,0)), "")</f>
        <v>16</v>
      </c>
      <c r="G89" s="173" t="str" cm="1">
        <f t="array" ref="G89" xml:space="preserve"> IFERROR( IF($C89="", "", INDEX(十五音韻母清單!$B$6:$K$105, $F89, G$2)), "")</f>
        <v>uaih</v>
      </c>
      <c r="H89" s="173" cm="1">
        <f t="array" ref="H89" xml:space="preserve"> IFERROR( IF($C89="", "", INDEX(十五音韻母清單!$B$6:$K$105, $F89, H$2)), "")</f>
        <v>8</v>
      </c>
      <c r="I89" s="173" t="str" cm="1">
        <f t="array" ref="I89" xml:space="preserve"> IFERROR( IF($C89="", "", INDEX(十五音韻母清單!$B$6:$K$105, $F89, I$2)), "")</f>
        <v>uaih</v>
      </c>
      <c r="J89" s="173" t="str" cm="1">
        <f t="array" ref="J89" xml:space="preserve"> IFERROR( IF($C89="", "", INDEX(十五音韻母清單!$B$6:$K$105, $F89, J$2)), "")</f>
        <v>乖</v>
      </c>
      <c r="K89" s="173" t="str" cm="1">
        <f t="array" ref="K89" xml:space="preserve"> IFERROR( IF($C89="", "", INDEX(十五音韻母清單!$B$6:$K$105, $F89, K$2)), "")</f>
        <v>入聲</v>
      </c>
      <c r="L89" s="173" t="str" cm="1">
        <f t="array" ref="L89" xml:space="preserve"> IFERROR( IF($C89="", "", INDEX(十五音韻母清單!$B$6:$K$105, $F89, L$2)), "")</f>
        <v>uai?</v>
      </c>
    </row>
    <row r="90" spans="2:12">
      <c r="B90" s="173">
        <v>83</v>
      </c>
      <c r="C90" s="174" t="s">
        <v>1057</v>
      </c>
      <c r="D90" s="188" t="s">
        <v>3439</v>
      </c>
      <c r="E90" s="173" t="s">
        <v>3436</v>
      </c>
      <c r="F90" s="173">
        <f xml:space="preserve"> IFERROR( IF($C90="", "", MATCH($C90, 十五音韻母清單!$K$6:$K$105,0)), "")</f>
        <v>88</v>
      </c>
      <c r="G90" s="173" t="str" cm="1">
        <f t="array" ref="G90" xml:space="preserve"> IFERROR( IF($C90="", "", INDEX(十五音韻母清單!$B$6:$K$105, $F90, G$2)), "")</f>
        <v>uainnh</v>
      </c>
      <c r="H90" s="173" cm="1">
        <f t="array" ref="H90" xml:space="preserve"> IFERROR( IF($C90="", "", INDEX(十五音韻母清單!$B$6:$K$105, $F90, H$2)), "")</f>
        <v>44</v>
      </c>
      <c r="I90" s="173" t="str" cm="1">
        <f t="array" ref="I90" xml:space="preserve"> IFERROR( IF($C90="", "", INDEX(十五音韻母清單!$B$6:$K$105, $F90, I$2)), "")</f>
        <v>uainnh</v>
      </c>
      <c r="J90" s="173" t="str" cm="1">
        <f t="array" ref="J90" xml:space="preserve"> IFERROR( IF($C90="", "", INDEX(十五音韻母清單!$B$6:$K$105, $F90, J$2)), "")</f>
        <v>閂</v>
      </c>
      <c r="K90" s="173" t="str" cm="1">
        <f t="array" ref="K90" xml:space="preserve"> IFERROR( IF($C90="", "", INDEX(十五音韻母清單!$B$6:$K$105, $F90, K$2)), "")</f>
        <v>入聲</v>
      </c>
      <c r="L90" s="173" t="str" cm="1">
        <f t="array" ref="L90" xml:space="preserve"> IFERROR( IF($C90="", "", INDEX(十五音韻母清單!$B$6:$K$105, $F90, L$2)), "")</f>
        <v>uãi?</v>
      </c>
    </row>
    <row r="91" spans="2:12" ht="39">
      <c r="B91" s="173">
        <v>84</v>
      </c>
      <c r="C91" s="194" t="s">
        <v>3446</v>
      </c>
      <c r="D91" s="187" t="s">
        <v>3439</v>
      </c>
      <c r="E91" s="182" t="s">
        <v>3436</v>
      </c>
      <c r="F91" s="173">
        <f xml:space="preserve"> IFERROR( IF($C91="", "", MATCH($C91, 十五音韻母清單!$K$6:$K$105,0)), "")</f>
        <v>8</v>
      </c>
      <c r="G91" s="173" t="str" cm="1">
        <f t="array" ref="G91" xml:space="preserve"> IFERROR( IF($C91="", "", INDEX(十五音韻母清單!$B$6:$K$105, $F91, G$2)), "")</f>
        <v>uih</v>
      </c>
      <c r="H91" s="173" cm="1">
        <f t="array" ref="H91" xml:space="preserve"> IFERROR( IF($C91="", "", INDEX(十五音韻母清單!$B$6:$K$105, $F91, H$2)), "")</f>
        <v>4</v>
      </c>
      <c r="I91" s="173" t="str" cm="1">
        <f t="array" ref="I91" xml:space="preserve"> IFERROR( IF($C91="", "", INDEX(十五音韻母清單!$B$6:$K$105, $F91, I$2)), "")</f>
        <v>uih</v>
      </c>
      <c r="J91" s="173" t="str" cm="1">
        <f t="array" ref="J91" xml:space="preserve"> IFERROR( IF($C91="", "", INDEX(十五音韻母清單!$B$6:$K$105, $F91, J$2)), "")</f>
        <v>規</v>
      </c>
      <c r="K91" s="173" t="str" cm="1">
        <f t="array" ref="K91" xml:space="preserve"> IFERROR( IF($C91="", "", INDEX(十五音韻母清單!$B$6:$K$105, $F91, K$2)), "")</f>
        <v>入聲</v>
      </c>
      <c r="L91" s="173" t="str" cm="1">
        <f t="array" ref="L91" xml:space="preserve"> IFERROR( IF($C91="", "", INDEX(十五音韻母清單!$B$6:$K$105, $F91, L$2)), "")</f>
        <v>ui?</v>
      </c>
    </row>
    <row r="92" spans="2:12" ht="39">
      <c r="B92" s="173">
        <v>85</v>
      </c>
      <c r="C92" s="194" t="s">
        <v>3447</v>
      </c>
      <c r="D92" s="187" t="s">
        <v>3439</v>
      </c>
      <c r="E92" s="182" t="s">
        <v>3436</v>
      </c>
      <c r="F92" s="173">
        <f xml:space="preserve"> IFERROR( IF($C92="", "", MATCH($C92, 十五音韻母清單!$K$6:$K$105,0)), "")</f>
        <v>64</v>
      </c>
      <c r="G92" s="173" t="str" cm="1">
        <f t="array" ref="G92" xml:space="preserve"> IFERROR( IF($C92="", "", INDEX(十五音韻母清單!$B$6:$K$105, $F92, G$2)), "")</f>
        <v>uinnh</v>
      </c>
      <c r="H92" s="173" cm="1">
        <f t="array" ref="H92" xml:space="preserve"> IFERROR( IF($C92="", "", INDEX(十五音韻母清單!$B$6:$K$105, $F92, H$2)), "")</f>
        <v>32</v>
      </c>
      <c r="I92" s="173" t="str" cm="1">
        <f t="array" ref="I92" xml:space="preserve"> IFERROR( IF($C92="", "", INDEX(十五音韻母清單!$B$6:$K$105, $F92, I$2)), "")</f>
        <v>uinnh</v>
      </c>
      <c r="J92" s="173" t="str" cm="1">
        <f t="array" ref="J92" xml:space="preserve"> IFERROR( IF($C92="", "", INDEX(十五音韻母清單!$B$6:$K$105, $F92, J$2)), "")</f>
        <v>褌</v>
      </c>
      <c r="K92" s="173" t="str" cm="1">
        <f t="array" ref="K92" xml:space="preserve"> IFERROR( IF($C92="", "", INDEX(十五音韻母清單!$B$6:$K$105, $F92, K$2)), "")</f>
        <v>入聲</v>
      </c>
      <c r="L92" s="173" t="str" cm="1">
        <f t="array" ref="L92" xml:space="preserve"> IFERROR( IF($C92="", "", INDEX(十五音韻母清單!$B$6:$K$105, $F92, L$2)), "")</f>
        <v>uĩ?</v>
      </c>
    </row>
    <row r="93" spans="2:12" ht="39">
      <c r="B93" s="173">
        <v>86</v>
      </c>
      <c r="C93" s="182" t="s">
        <v>3448</v>
      </c>
      <c r="D93" s="187" t="s">
        <v>3439</v>
      </c>
      <c r="E93" s="182" t="s">
        <v>3436</v>
      </c>
      <c r="F93" s="173" t="str">
        <f xml:space="preserve"> IFERROR( IF($C93="", "", MATCH($C93, 十五音韻母清單!$K$6:$K$105,0)), "")</f>
        <v/>
      </c>
      <c r="G93" s="173" t="str" cm="1">
        <f t="array" ref="G93" xml:space="preserve"> IFERROR( IF($C93="", "", INDEX(十五音韻母清單!$B$6:$K$105, $F93, G$2)), "")</f>
        <v/>
      </c>
      <c r="H93" s="173" t="str" cm="1">
        <f t="array" ref="H93" xml:space="preserve"> IFERROR( IF($C93="", "", INDEX(十五音韻母清單!$B$6:$K$105, $F93, H$2)), "")</f>
        <v/>
      </c>
      <c r="I93" s="173" t="str" cm="1">
        <f t="array" ref="I93" xml:space="preserve"> IFERROR( IF($C93="", "", INDEX(十五音韻母清單!$B$6:$K$105, $F93, I$2)), "")</f>
        <v/>
      </c>
      <c r="J93" s="173" t="str" cm="1">
        <f t="array" ref="J93" xml:space="preserve"> IFERROR( IF($C93="", "", INDEX(十五音韻母清單!$B$6:$K$105, $F93, J$2)), "")</f>
        <v/>
      </c>
      <c r="K93" s="173" t="str" cm="1">
        <f t="array" ref="K93" xml:space="preserve"> IFERROR( IF($C93="", "", INDEX(十五音韻母清單!$B$6:$K$105, $F93, K$2)), "")</f>
        <v/>
      </c>
      <c r="L93" s="173" t="str" cm="1">
        <f t="array" ref="L93" xml:space="preserve"> IFERROR( IF($C93="", "", INDEX(十五音韻母清單!$B$6:$K$105, $F93, L$2)), "")</f>
        <v/>
      </c>
    </row>
    <row r="94" spans="2:12" ht="39">
      <c r="B94" s="173">
        <v>87</v>
      </c>
      <c r="C94" s="182" t="s">
        <v>3449</v>
      </c>
      <c r="D94" s="187" t="s">
        <v>3439</v>
      </c>
      <c r="E94" s="182" t="s">
        <v>3436</v>
      </c>
      <c r="F94" s="173" t="str">
        <f xml:space="preserve"> IFERROR( IF($C94="", "", MATCH($C94, 十五音韻母清單!$K$6:$K$105,0)), "")</f>
        <v/>
      </c>
      <c r="G94" s="173" t="str" cm="1">
        <f t="array" ref="G94" xml:space="preserve"> IFERROR( IF($C94="", "", INDEX(十五音韻母清單!$B$6:$K$105, $F94, G$2)), "")</f>
        <v/>
      </c>
      <c r="H94" s="173" t="str" cm="1">
        <f t="array" ref="H94" xml:space="preserve"> IFERROR( IF($C94="", "", INDEX(十五音韻母清單!$B$6:$K$105, $F94, H$2)), "")</f>
        <v/>
      </c>
      <c r="I94" s="173" t="str" cm="1">
        <f t="array" ref="I94" xml:space="preserve"> IFERROR( IF($C94="", "", INDEX(十五音韻母清單!$B$6:$K$105, $F94, I$2)), "")</f>
        <v/>
      </c>
      <c r="J94" s="173" t="str" cm="1">
        <f t="array" ref="J94" xml:space="preserve"> IFERROR( IF($C94="", "", INDEX(十五音韻母清單!$B$6:$K$105, $F94, J$2)), "")</f>
        <v/>
      </c>
      <c r="K94" s="173" t="str" cm="1">
        <f t="array" ref="K94" xml:space="preserve"> IFERROR( IF($C94="", "", INDEX(十五音韻母清單!$B$6:$K$105, $F94, K$2)), "")</f>
        <v/>
      </c>
      <c r="L94" s="173" t="str" cm="1">
        <f t="array" ref="L94" xml:space="preserve"> IFERROR( IF($C94="", "", INDEX(十五音韻母清單!$B$6:$K$105, $F94, L$2)), "")</f>
        <v/>
      </c>
    </row>
    <row r="95" spans="2:12" ht="39">
      <c r="B95" s="173">
        <v>88</v>
      </c>
      <c r="C95" s="182" t="s">
        <v>3450</v>
      </c>
      <c r="D95" s="187" t="s">
        <v>3439</v>
      </c>
      <c r="E95" s="182" t="s">
        <v>3436</v>
      </c>
      <c r="F95" s="173" t="str">
        <f xml:space="preserve"> IFERROR( IF($C95="", "", MATCH($C95, 十五音韻母清單!$K$6:$K$105,0)), "")</f>
        <v/>
      </c>
      <c r="G95" s="173" t="str" cm="1">
        <f t="array" ref="G95" xml:space="preserve"> IFERROR( IF($C95="", "", INDEX(十五音韻母清單!$B$6:$K$105, $F95, G$2)), "")</f>
        <v/>
      </c>
      <c r="H95" s="173" t="str" cm="1">
        <f t="array" ref="H95" xml:space="preserve"> IFERROR( IF($C95="", "", INDEX(十五音韻母清單!$B$6:$K$105, $F95, H$2)), "")</f>
        <v/>
      </c>
      <c r="I95" s="173" t="str" cm="1">
        <f t="array" ref="I95" xml:space="preserve"> IFERROR( IF($C95="", "", INDEX(十五音韻母清單!$B$6:$K$105, $F95, I$2)), "")</f>
        <v/>
      </c>
      <c r="J95" s="173" t="str" cm="1">
        <f t="array" ref="J95" xml:space="preserve"> IFERROR( IF($C95="", "", INDEX(十五音韻母清單!$B$6:$K$105, $F95, J$2)), "")</f>
        <v/>
      </c>
      <c r="K95" s="173" t="str" cm="1">
        <f t="array" ref="K95" xml:space="preserve"> IFERROR( IF($C95="", "", INDEX(十五音韻母清單!$B$6:$K$105, $F95, K$2)), "")</f>
        <v/>
      </c>
      <c r="L95" s="173" t="str" cm="1">
        <f t="array" ref="L95" xml:space="preserve"> IFERROR( IF($C95="", "", INDEX(十五音韻母清單!$B$6:$K$105, $F95, L$2)), "")</f>
        <v/>
      </c>
    </row>
    <row r="96" spans="2:12" ht="39">
      <c r="B96" s="173">
        <v>89</v>
      </c>
      <c r="C96" s="182" t="s">
        <v>3451</v>
      </c>
      <c r="D96" s="187" t="s">
        <v>3439</v>
      </c>
      <c r="E96" s="182" t="s">
        <v>3436</v>
      </c>
      <c r="F96" s="173" t="str">
        <f xml:space="preserve"> IFERROR( IF($C96="", "", MATCH($C96, 十五音韻母清單!$K$6:$K$105,0)), "")</f>
        <v/>
      </c>
      <c r="G96" s="173" t="str" cm="1">
        <f t="array" ref="G96" xml:space="preserve"> IFERROR( IF($C96="", "", INDEX(十五音韻母清單!$B$6:$K$105, $F96, G$2)), "")</f>
        <v/>
      </c>
      <c r="H96" s="173" t="str" cm="1">
        <f t="array" ref="H96" xml:space="preserve"> IFERROR( IF($C96="", "", INDEX(十五音韻母清單!$B$6:$K$105, $F96, H$2)), "")</f>
        <v/>
      </c>
      <c r="I96" s="173" t="str" cm="1">
        <f t="array" ref="I96" xml:space="preserve"> IFERROR( IF($C96="", "", INDEX(十五音韻母清單!$B$6:$K$105, $F96, I$2)), "")</f>
        <v/>
      </c>
      <c r="J96" s="173" t="str" cm="1">
        <f t="array" ref="J96" xml:space="preserve"> IFERROR( IF($C96="", "", INDEX(十五音韻母清單!$B$6:$K$105, $F96, J$2)), "")</f>
        <v/>
      </c>
      <c r="K96" s="173" t="str" cm="1">
        <f t="array" ref="K96" xml:space="preserve"> IFERROR( IF($C96="", "", INDEX(十五音韻母清單!$B$6:$K$105, $F96, K$2)), "")</f>
        <v/>
      </c>
      <c r="L96" s="173" t="str" cm="1">
        <f t="array" ref="L96" xml:space="preserve"> IFERROR( IF($C96="", "", INDEX(十五音韻母清單!$B$6:$K$105, $F96, L$2)), "")</f>
        <v/>
      </c>
    </row>
  </sheetData>
  <phoneticPr fontId="1" type="noConversion"/>
  <conditionalFormatting sqref="F8:L96">
    <cfRule type="expression" dxfId="0" priority="1">
      <formula>$F8="入聲"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6AE3-A11A-4145-9588-621B85B13529}">
  <sheetPr codeName="工作表22">
    <tabColor rgb="FF92D050"/>
  </sheetPr>
  <dimension ref="B2:F31"/>
  <sheetViews>
    <sheetView workbookViewId="0"/>
  </sheetViews>
  <sheetFormatPr defaultColWidth="10.90625" defaultRowHeight="25.5"/>
  <cols>
    <col min="1" max="1" width="2.1796875" customWidth="1"/>
  </cols>
  <sheetData>
    <row r="2" spans="2:6">
      <c r="B2" s="108" t="s">
        <v>1474</v>
      </c>
      <c r="E2" s="108" t="s">
        <v>3452</v>
      </c>
    </row>
    <row r="4" spans="2:6">
      <c r="B4" s="105" t="s">
        <v>287</v>
      </c>
      <c r="C4" s="109" t="s">
        <v>3453</v>
      </c>
      <c r="E4" s="105" t="s">
        <v>287</v>
      </c>
      <c r="F4" s="109" t="s">
        <v>3453</v>
      </c>
    </row>
    <row r="5" spans="2:6" ht="42">
      <c r="B5" s="106">
        <v>1</v>
      </c>
      <c r="C5" s="107" t="s">
        <v>20</v>
      </c>
      <c r="E5" s="106">
        <v>1</v>
      </c>
      <c r="F5" s="107" t="s">
        <v>911</v>
      </c>
    </row>
    <row r="6" spans="2:6" ht="42">
      <c r="B6" s="106">
        <v>2</v>
      </c>
      <c r="C6" s="107" t="s">
        <v>25</v>
      </c>
      <c r="E6" s="106">
        <v>2</v>
      </c>
      <c r="F6" s="107" t="s">
        <v>1009</v>
      </c>
    </row>
    <row r="7" spans="2:6" ht="42">
      <c r="B7" s="106">
        <v>3</v>
      </c>
      <c r="C7" s="107" t="s">
        <v>31</v>
      </c>
      <c r="E7" s="106">
        <v>3</v>
      </c>
      <c r="F7" s="107" t="s">
        <v>917</v>
      </c>
    </row>
    <row r="8" spans="2:6" ht="42">
      <c r="B8" s="106">
        <v>4</v>
      </c>
      <c r="C8" s="107" t="s">
        <v>659</v>
      </c>
      <c r="E8" s="106">
        <v>4</v>
      </c>
      <c r="F8" s="107" t="s">
        <v>3454</v>
      </c>
    </row>
    <row r="9" spans="2:6" ht="42">
      <c r="B9" s="106">
        <v>5</v>
      </c>
      <c r="C9" s="107" t="s">
        <v>62</v>
      </c>
      <c r="E9" s="106">
        <v>5</v>
      </c>
      <c r="F9" s="107" t="s">
        <v>3422</v>
      </c>
    </row>
    <row r="10" spans="2:6" ht="42">
      <c r="B10" s="106">
        <v>6</v>
      </c>
      <c r="C10" s="107" t="s">
        <v>67</v>
      </c>
      <c r="E10" s="106">
        <v>6</v>
      </c>
      <c r="F10" s="107" t="s">
        <v>904</v>
      </c>
    </row>
    <row r="11" spans="2:6" ht="42">
      <c r="B11" s="106">
        <v>7</v>
      </c>
      <c r="C11" s="107" t="s">
        <v>73</v>
      </c>
      <c r="E11" s="106">
        <v>7</v>
      </c>
      <c r="F11" s="107" t="s">
        <v>741</v>
      </c>
    </row>
    <row r="12" spans="2:6" ht="42">
      <c r="B12" s="106">
        <v>8</v>
      </c>
      <c r="C12" s="107" t="s">
        <v>77</v>
      </c>
      <c r="E12" s="106">
        <v>8</v>
      </c>
      <c r="F12" s="107" t="s">
        <v>819</v>
      </c>
    </row>
    <row r="13" spans="2:6" ht="42">
      <c r="B13" s="106">
        <v>9</v>
      </c>
      <c r="C13" s="107" t="s">
        <v>1650</v>
      </c>
      <c r="E13" s="106">
        <v>9</v>
      </c>
      <c r="F13" s="107" t="s">
        <v>3423</v>
      </c>
    </row>
    <row r="14" spans="2:6" ht="42">
      <c r="B14" s="106">
        <v>10</v>
      </c>
      <c r="C14" s="107" t="s">
        <v>1251</v>
      </c>
      <c r="E14" s="106">
        <v>10</v>
      </c>
      <c r="F14" s="107" t="s">
        <v>826</v>
      </c>
    </row>
    <row r="15" spans="2:6" ht="42">
      <c r="B15" s="106">
        <v>11</v>
      </c>
      <c r="C15" s="107" t="s">
        <v>1651</v>
      </c>
      <c r="E15" s="106">
        <v>11</v>
      </c>
      <c r="F15" s="107" t="s">
        <v>870</v>
      </c>
    </row>
    <row r="16" spans="2:6" ht="42">
      <c r="B16" s="106">
        <v>12</v>
      </c>
      <c r="C16" s="107" t="s">
        <v>1652</v>
      </c>
      <c r="E16" s="106">
        <v>12</v>
      </c>
      <c r="F16" s="107" t="s">
        <v>896</v>
      </c>
    </row>
    <row r="17" spans="2:6" ht="42">
      <c r="B17" s="106">
        <v>13</v>
      </c>
      <c r="C17" s="107" t="s">
        <v>1653</v>
      </c>
      <c r="E17" s="106">
        <v>13</v>
      </c>
      <c r="F17" s="107" t="s">
        <v>932</v>
      </c>
    </row>
    <row r="18" spans="2:6" ht="42">
      <c r="B18" s="106">
        <v>14</v>
      </c>
      <c r="C18" s="107" t="s">
        <v>1654</v>
      </c>
      <c r="E18" s="106">
        <v>14</v>
      </c>
      <c r="F18" s="107" t="s">
        <v>3455</v>
      </c>
    </row>
    <row r="19" spans="2:6" ht="42">
      <c r="B19" s="106">
        <v>15</v>
      </c>
      <c r="C19" s="107" t="s">
        <v>648</v>
      </c>
      <c r="E19" s="106">
        <v>15</v>
      </c>
      <c r="F19" s="107" t="s">
        <v>1031</v>
      </c>
    </row>
    <row r="20" spans="2:6" ht="42">
      <c r="B20" s="106">
        <v>16</v>
      </c>
      <c r="C20" s="107" t="s">
        <v>1656</v>
      </c>
      <c r="E20" s="106">
        <v>16</v>
      </c>
      <c r="F20" s="107" t="s">
        <v>1706</v>
      </c>
    </row>
    <row r="21" spans="2:6" ht="42">
      <c r="B21" s="106">
        <v>17</v>
      </c>
      <c r="C21" s="107" t="s">
        <v>41</v>
      </c>
      <c r="E21" s="106">
        <v>17</v>
      </c>
      <c r="F21" s="107" t="s">
        <v>1038</v>
      </c>
    </row>
    <row r="22" spans="2:6" ht="42">
      <c r="B22" s="106">
        <v>18</v>
      </c>
      <c r="C22" s="107" t="s">
        <v>46</v>
      </c>
      <c r="E22" s="106">
        <v>18</v>
      </c>
      <c r="F22" s="107" t="s">
        <v>1003</v>
      </c>
    </row>
    <row r="23" spans="2:6" ht="42">
      <c r="B23" s="106">
        <v>19</v>
      </c>
      <c r="C23" s="107" t="s">
        <v>52</v>
      </c>
      <c r="E23" s="106">
        <v>19</v>
      </c>
      <c r="F23" s="107" t="s">
        <v>3456</v>
      </c>
    </row>
    <row r="24" spans="2:6" ht="42">
      <c r="B24" s="106">
        <v>20</v>
      </c>
      <c r="C24" s="107" t="s">
        <v>663</v>
      </c>
      <c r="E24" s="106">
        <v>20</v>
      </c>
      <c r="F24" s="107" t="s">
        <v>1095</v>
      </c>
    </row>
    <row r="25" spans="2:6" ht="42">
      <c r="B25" s="106">
        <v>21</v>
      </c>
      <c r="C25" s="107" t="s">
        <v>119</v>
      </c>
      <c r="E25" s="106">
        <v>21</v>
      </c>
      <c r="F25" s="107" t="s">
        <v>844</v>
      </c>
    </row>
    <row r="26" spans="2:6" ht="42">
      <c r="E26" s="106">
        <v>22</v>
      </c>
      <c r="F26" s="107" t="s">
        <v>751</v>
      </c>
    </row>
    <row r="27" spans="2:6" ht="42">
      <c r="E27" s="106">
        <v>23</v>
      </c>
      <c r="F27" s="107" t="s">
        <v>856</v>
      </c>
    </row>
    <row r="28" spans="2:6" ht="42">
      <c r="E28" s="106">
        <v>24</v>
      </c>
      <c r="F28" s="107" t="s">
        <v>1086</v>
      </c>
    </row>
    <row r="29" spans="2:6" ht="42">
      <c r="E29" s="106">
        <v>25</v>
      </c>
      <c r="F29" s="107" t="s">
        <v>757</v>
      </c>
    </row>
    <row r="30" spans="2:6" ht="42">
      <c r="E30" s="106">
        <v>26</v>
      </c>
      <c r="F30" s="107" t="s">
        <v>1724</v>
      </c>
    </row>
    <row r="31" spans="2:6" ht="42">
      <c r="E31" s="106">
        <v>27</v>
      </c>
      <c r="F31" s="107" t="s">
        <v>3457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E789-A582-AF46-AEFD-A34A49C64CFA}">
  <sheetPr codeName="工作表26"/>
  <dimension ref="B2:H24"/>
  <sheetViews>
    <sheetView workbookViewId="0"/>
  </sheetViews>
  <sheetFormatPr defaultColWidth="10.90625" defaultRowHeight="32.25"/>
  <cols>
    <col min="1" max="1" width="1.453125" customWidth="1"/>
    <col min="2" max="2" width="6.81640625" customWidth="1"/>
    <col min="4" max="4" width="10.7265625" style="9"/>
  </cols>
  <sheetData>
    <row r="2" spans="2:8" s="10" customFormat="1" ht="51">
      <c r="B2" s="1" t="s">
        <v>1</v>
      </c>
      <c r="C2" s="1" t="s">
        <v>3458</v>
      </c>
      <c r="D2" s="1" t="s">
        <v>3</v>
      </c>
      <c r="E2" s="1" t="s">
        <v>3459</v>
      </c>
      <c r="F2" s="1" t="s">
        <v>3460</v>
      </c>
      <c r="G2" s="1" t="s">
        <v>6</v>
      </c>
      <c r="H2" s="1" t="s">
        <v>1375</v>
      </c>
    </row>
    <row r="3" spans="2:8" ht="56.1" customHeight="1">
      <c r="B3" s="2">
        <v>1</v>
      </c>
      <c r="C3" s="8" t="s">
        <v>71</v>
      </c>
      <c r="D3" s="11" t="s">
        <v>75</v>
      </c>
      <c r="E3" s="11" t="s">
        <v>75</v>
      </c>
      <c r="F3" s="11" t="s">
        <v>75</v>
      </c>
      <c r="G3" s="11" t="s">
        <v>75</v>
      </c>
      <c r="H3" s="5" t="s">
        <v>77</v>
      </c>
    </row>
    <row r="4" spans="2:8" ht="56.1" customHeight="1">
      <c r="B4" s="2">
        <v>2</v>
      </c>
      <c r="C4" s="8" t="s">
        <v>18</v>
      </c>
      <c r="D4" s="12" t="s">
        <v>16</v>
      </c>
      <c r="E4" s="11" t="s">
        <v>19</v>
      </c>
      <c r="F4" s="11" t="s">
        <v>16</v>
      </c>
      <c r="G4" s="11" t="s">
        <v>16</v>
      </c>
      <c r="H4" s="5" t="s">
        <v>20</v>
      </c>
    </row>
    <row r="5" spans="2:8" ht="56.1" customHeight="1">
      <c r="B5" s="2">
        <v>3</v>
      </c>
      <c r="C5" s="8" t="s">
        <v>39</v>
      </c>
      <c r="D5" s="12" t="s">
        <v>37</v>
      </c>
      <c r="E5" s="11" t="s">
        <v>40</v>
      </c>
      <c r="F5" s="11" t="s">
        <v>37</v>
      </c>
      <c r="G5" s="11" t="s">
        <v>37</v>
      </c>
      <c r="H5" s="5" t="s">
        <v>41</v>
      </c>
    </row>
    <row r="6" spans="2:8" ht="56.1" customHeight="1">
      <c r="B6" s="2">
        <v>4</v>
      </c>
      <c r="C6" s="8" t="s">
        <v>45</v>
      </c>
      <c r="D6" s="12" t="s">
        <v>631</v>
      </c>
      <c r="E6" s="11" t="s">
        <v>37</v>
      </c>
      <c r="F6" s="11" t="s">
        <v>43</v>
      </c>
      <c r="G6" s="11" t="s">
        <v>43</v>
      </c>
      <c r="H6" s="5" t="s">
        <v>46</v>
      </c>
    </row>
    <row r="7" spans="2:8" ht="56.1" customHeight="1">
      <c r="B7" s="2">
        <v>5</v>
      </c>
      <c r="C7" s="8" t="s">
        <v>60</v>
      </c>
      <c r="D7" s="11" t="s">
        <v>58</v>
      </c>
      <c r="E7" s="11" t="s">
        <v>61</v>
      </c>
      <c r="F7" s="11" t="s">
        <v>58</v>
      </c>
      <c r="G7" s="11" t="s">
        <v>58</v>
      </c>
      <c r="H7" s="5" t="s">
        <v>62</v>
      </c>
    </row>
    <row r="8" spans="2:8" ht="56.1" customHeight="1">
      <c r="B8" s="2">
        <v>6</v>
      </c>
      <c r="C8" s="8" t="s">
        <v>24</v>
      </c>
      <c r="D8" s="11" t="s">
        <v>634</v>
      </c>
      <c r="E8" s="11" t="s">
        <v>16</v>
      </c>
      <c r="F8" s="11" t="s">
        <v>22</v>
      </c>
      <c r="G8" s="11" t="s">
        <v>22</v>
      </c>
      <c r="H8" s="5" t="s">
        <v>25</v>
      </c>
    </row>
    <row r="9" spans="2:8" ht="56.1" customHeight="1">
      <c r="B9" s="2">
        <v>7</v>
      </c>
      <c r="C9" s="8" t="s">
        <v>66</v>
      </c>
      <c r="D9" s="11" t="s">
        <v>636</v>
      </c>
      <c r="E9" s="11" t="s">
        <v>58</v>
      </c>
      <c r="F9" s="11" t="s">
        <v>64</v>
      </c>
      <c r="G9" s="11" t="s">
        <v>64</v>
      </c>
      <c r="H9" s="5" t="s">
        <v>67</v>
      </c>
    </row>
    <row r="10" spans="2:8" ht="56.1" customHeight="1">
      <c r="B10" s="2">
        <v>8</v>
      </c>
      <c r="C10" s="8" t="s">
        <v>81</v>
      </c>
      <c r="D10" s="11" t="s">
        <v>638</v>
      </c>
      <c r="E10" s="11" t="s">
        <v>83</v>
      </c>
      <c r="F10" s="11" t="s">
        <v>1732</v>
      </c>
      <c r="G10" s="11" t="s">
        <v>79</v>
      </c>
      <c r="H10" s="5" t="s">
        <v>1650</v>
      </c>
    </row>
    <row r="11" spans="2:8" ht="56.1" customHeight="1">
      <c r="B11" s="2">
        <v>8</v>
      </c>
      <c r="C11" s="8" t="s">
        <v>81</v>
      </c>
      <c r="D11" s="11" t="s">
        <v>642</v>
      </c>
      <c r="E11" s="11" t="s">
        <v>3461</v>
      </c>
      <c r="F11" s="11" t="s">
        <v>1959</v>
      </c>
      <c r="G11" s="11" t="s">
        <v>641</v>
      </c>
      <c r="H11" s="5" t="s">
        <v>1251</v>
      </c>
    </row>
    <row r="12" spans="2:8" ht="56.1" customHeight="1">
      <c r="B12" s="2">
        <v>9</v>
      </c>
      <c r="C12" s="8" t="s">
        <v>109</v>
      </c>
      <c r="D12" s="11" t="s">
        <v>647</v>
      </c>
      <c r="E12" s="11" t="s">
        <v>602</v>
      </c>
      <c r="F12" s="11" t="s">
        <v>107</v>
      </c>
      <c r="G12" s="11" t="s">
        <v>107</v>
      </c>
      <c r="H12" s="5" t="s">
        <v>1655</v>
      </c>
    </row>
    <row r="13" spans="2:8" ht="56.1" customHeight="1">
      <c r="B13" s="2">
        <v>9</v>
      </c>
      <c r="C13" s="13" t="s">
        <v>109</v>
      </c>
      <c r="D13" s="14" t="s">
        <v>650</v>
      </c>
      <c r="E13" s="14" t="s">
        <v>3462</v>
      </c>
      <c r="F13" s="14" t="s">
        <v>3463</v>
      </c>
      <c r="G13" s="14" t="s">
        <v>3463</v>
      </c>
      <c r="H13" s="15" t="s">
        <v>1656</v>
      </c>
    </row>
    <row r="14" spans="2:8" ht="56.1" customHeight="1">
      <c r="B14" s="2">
        <v>10</v>
      </c>
      <c r="C14" s="8" t="s">
        <v>100</v>
      </c>
      <c r="D14" s="11" t="s">
        <v>98</v>
      </c>
      <c r="E14" s="11" t="s">
        <v>98</v>
      </c>
      <c r="F14" s="11" t="s">
        <v>98</v>
      </c>
      <c r="G14" s="11" t="s">
        <v>98</v>
      </c>
      <c r="H14" s="5" t="s">
        <v>1653</v>
      </c>
    </row>
    <row r="15" spans="2:8" ht="56.1" customHeight="1">
      <c r="B15" s="2">
        <v>10</v>
      </c>
      <c r="C15" s="13" t="s">
        <v>100</v>
      </c>
      <c r="D15" s="14" t="s">
        <v>656</v>
      </c>
      <c r="E15" s="14" t="s">
        <v>3464</v>
      </c>
      <c r="F15" s="14" t="s">
        <v>3464</v>
      </c>
      <c r="G15" s="14" t="s">
        <v>3464</v>
      </c>
      <c r="H15" s="15" t="s">
        <v>1654</v>
      </c>
    </row>
    <row r="16" spans="2:8" ht="56.1" customHeight="1">
      <c r="B16" s="2">
        <v>11</v>
      </c>
      <c r="C16" s="8" t="s">
        <v>13</v>
      </c>
      <c r="D16" s="104" t="s">
        <v>558</v>
      </c>
      <c r="E16" s="12"/>
      <c r="F16" s="12"/>
      <c r="G16" s="12"/>
      <c r="H16" s="7"/>
    </row>
    <row r="17" spans="2:8" ht="56.1" customHeight="1">
      <c r="B17" s="2">
        <v>12</v>
      </c>
      <c r="C17" s="8" t="s">
        <v>29</v>
      </c>
      <c r="D17" s="11" t="s">
        <v>19</v>
      </c>
      <c r="E17" s="11" t="s">
        <v>34</v>
      </c>
      <c r="F17" s="11" t="s">
        <v>19</v>
      </c>
      <c r="G17" s="11" t="s">
        <v>19</v>
      </c>
      <c r="H17" s="5" t="s">
        <v>35</v>
      </c>
    </row>
    <row r="18" spans="2:8" ht="56.1" customHeight="1">
      <c r="B18" s="2">
        <v>13</v>
      </c>
      <c r="C18" s="8" t="s">
        <v>50</v>
      </c>
      <c r="D18" s="11" t="s">
        <v>662</v>
      </c>
      <c r="E18" s="11" t="s">
        <v>55</v>
      </c>
      <c r="F18" s="11" t="s">
        <v>40</v>
      </c>
      <c r="G18" s="11" t="s">
        <v>40</v>
      </c>
      <c r="H18" s="5" t="s">
        <v>56</v>
      </c>
    </row>
    <row r="19" spans="2:8" ht="56.1" customHeight="1">
      <c r="B19" s="2">
        <v>14</v>
      </c>
      <c r="C19" s="8" t="s">
        <v>88</v>
      </c>
      <c r="D19" s="11" t="s">
        <v>666</v>
      </c>
      <c r="E19" s="11" t="s">
        <v>91</v>
      </c>
      <c r="F19" s="11" t="s">
        <v>1733</v>
      </c>
      <c r="G19" s="11" t="s">
        <v>86</v>
      </c>
      <c r="H19" s="5" t="s">
        <v>1651</v>
      </c>
    </row>
    <row r="20" spans="2:8" ht="56.1" customHeight="1">
      <c r="B20" s="2">
        <v>14</v>
      </c>
      <c r="C20" s="13" t="s">
        <v>88</v>
      </c>
      <c r="D20" s="14" t="s">
        <v>670</v>
      </c>
      <c r="E20" s="14" t="s">
        <v>3465</v>
      </c>
      <c r="F20" s="14" t="s">
        <v>3466</v>
      </c>
      <c r="G20" s="14" t="s">
        <v>3467</v>
      </c>
      <c r="H20" s="15" t="s">
        <v>1652</v>
      </c>
    </row>
    <row r="21" spans="2:8" ht="56.1" customHeight="1">
      <c r="B21" s="2">
        <v>15</v>
      </c>
      <c r="C21" s="8" t="s">
        <v>118</v>
      </c>
      <c r="D21" s="104" t="s">
        <v>116</v>
      </c>
      <c r="E21" s="11" t="s">
        <v>116</v>
      </c>
      <c r="F21" s="11" t="s">
        <v>116</v>
      </c>
      <c r="G21" s="11" t="s">
        <v>116</v>
      </c>
      <c r="H21" s="5" t="s">
        <v>119</v>
      </c>
    </row>
    <row r="22" spans="2:8" ht="56.1" customHeight="1">
      <c r="B22" s="2">
        <v>16</v>
      </c>
      <c r="C22" s="16" t="s">
        <v>1320</v>
      </c>
      <c r="D22" s="17" t="s">
        <v>27</v>
      </c>
      <c r="E22" s="17" t="s">
        <v>1360</v>
      </c>
      <c r="F22" s="17" t="s">
        <v>27</v>
      </c>
      <c r="G22" s="17" t="s">
        <v>27</v>
      </c>
      <c r="H22" s="18" t="s">
        <v>31</v>
      </c>
    </row>
    <row r="23" spans="2:8" ht="56.1" customHeight="1">
      <c r="B23" s="2">
        <v>17</v>
      </c>
      <c r="C23" s="16" t="s">
        <v>3468</v>
      </c>
      <c r="D23" s="17" t="s">
        <v>69</v>
      </c>
      <c r="E23" s="17" t="s">
        <v>72</v>
      </c>
      <c r="F23" s="17" t="s">
        <v>69</v>
      </c>
      <c r="G23" s="17" t="s">
        <v>69</v>
      </c>
      <c r="H23" s="18" t="s">
        <v>73</v>
      </c>
    </row>
    <row r="24" spans="2:8" ht="56.1" customHeight="1">
      <c r="B24" s="2">
        <v>18</v>
      </c>
      <c r="C24" s="16" t="s">
        <v>3469</v>
      </c>
      <c r="D24" s="17" t="s">
        <v>684</v>
      </c>
      <c r="E24" s="17" t="s">
        <v>51</v>
      </c>
      <c r="F24" s="17" t="s">
        <v>48</v>
      </c>
      <c r="G24" s="17" t="s">
        <v>48</v>
      </c>
      <c r="H24" s="18" t="s">
        <v>52</v>
      </c>
    </row>
  </sheetData>
  <sortState xmlns:xlrd2="http://schemas.microsoft.com/office/spreadsheetml/2017/richdata2" ref="B3:H24">
    <sortCondition ref="B19:B24"/>
  </sortState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DBEE-C4C8-F04E-ABE8-E1092F52AD08}">
  <sheetPr codeName="工作表27"/>
  <dimension ref="B1:I104"/>
  <sheetViews>
    <sheetView workbookViewId="0"/>
  </sheetViews>
  <sheetFormatPr defaultColWidth="10.90625" defaultRowHeight="25.5"/>
  <cols>
    <col min="1" max="1" width="3.81640625" customWidth="1"/>
    <col min="2" max="2" width="7.08984375" customWidth="1"/>
    <col min="4" max="4" width="11.08984375" style="6" bestFit="1" customWidth="1"/>
    <col min="5" max="5" width="10.26953125" style="6" customWidth="1"/>
    <col min="6" max="8" width="10.26953125" customWidth="1"/>
  </cols>
  <sheetData>
    <row r="1" spans="2:9">
      <c r="B1" s="101" cm="1">
        <f t="array" ref="B1">COLUMN()-COLUMN(($A:$A))</f>
        <v>1</v>
      </c>
      <c r="C1" s="101" cm="1">
        <f t="array" ref="C1">COLUMN()-COLUMN(($A:$A))</f>
        <v>2</v>
      </c>
      <c r="D1" s="101" cm="1">
        <f t="array" ref="D1">COLUMN()-COLUMN(($A:$A))</f>
        <v>3</v>
      </c>
      <c r="E1" s="101" cm="1">
        <f t="array" ref="E1">COLUMN()-COLUMN(($A:$A))</f>
        <v>4</v>
      </c>
      <c r="F1" s="101" cm="1">
        <f t="array" ref="F1">COLUMN()-COLUMN(($A:$A))</f>
        <v>5</v>
      </c>
      <c r="G1" s="101" cm="1">
        <f t="array" ref="G1">COLUMN()-COLUMN(($A:$A))</f>
        <v>6</v>
      </c>
      <c r="H1" s="101" cm="1">
        <f t="array" ref="H1">COLUMN()-COLUMN(($A:$A))</f>
        <v>7</v>
      </c>
      <c r="I1" s="101" cm="1">
        <f t="array" ref="I1">COLUMN()-COLUMN(($A:$A))</f>
        <v>8</v>
      </c>
    </row>
    <row r="2" spans="2:9" s="51" customFormat="1">
      <c r="E2" s="102">
        <v>3</v>
      </c>
      <c r="F2" s="102">
        <f>E2+2</f>
        <v>5</v>
      </c>
      <c r="G2" s="102">
        <f>F2+2</f>
        <v>7</v>
      </c>
      <c r="H2" s="102">
        <f>G2+2</f>
        <v>9</v>
      </c>
      <c r="I2" s="102">
        <f>H2+2</f>
        <v>11</v>
      </c>
    </row>
    <row r="4" spans="2:9">
      <c r="B4" s="47" t="s">
        <v>1</v>
      </c>
      <c r="C4" s="47" t="s">
        <v>3470</v>
      </c>
      <c r="D4" s="47" t="s">
        <v>4</v>
      </c>
      <c r="E4" s="47" t="s">
        <v>129</v>
      </c>
      <c r="F4" s="47" t="s">
        <v>589</v>
      </c>
      <c r="G4" s="47" t="s">
        <v>3471</v>
      </c>
      <c r="H4" s="47" t="s">
        <v>3472</v>
      </c>
      <c r="I4" s="47" t="s">
        <v>3473</v>
      </c>
    </row>
    <row r="5" spans="2:9" ht="50.25">
      <c r="B5" s="46">
        <v>1</v>
      </c>
      <c r="C5" s="49">
        <f xml:space="preserve"> ROUND(B5/2,0)</f>
        <v>1</v>
      </c>
      <c r="D5" s="8" t="str" cm="1">
        <f t="array" ref="D5" xml:space="preserve"> INDEX(十五音韻母對照表,$B5,2)</f>
        <v>君</v>
      </c>
      <c r="E5" s="8" t="str" cm="1">
        <f t="array" ref="E5" xml:space="preserve"> IF( MOD($C$5,2)&lt;&gt;0,  INDEX(十五音韻母對照表,$B5,E$2),  INDEX(十五音韻母對照表,$B5,E$2+1))</f>
        <v>un</v>
      </c>
      <c r="F5" s="8" t="str" cm="1">
        <f t="array" ref="F5" xml:space="preserve"> IF( MOD($C$5,2)&lt;&gt;0,  INDEX(十五音韻母對照表,$B5,F$2),  INDEX(十五音韻母對照表,$B5,F$2+1))</f>
        <v>un</v>
      </c>
      <c r="G5" s="8" t="str" cm="1">
        <f t="array" ref="G5" xml:space="preserve"> IF( MOD($C$5,2)&lt;&gt;0,  INDEX(十五音韻母對照表,$B5,G$2),  INDEX(十五音韻母對照表,$B5,G$2+1))</f>
        <v>un</v>
      </c>
      <c r="H5" s="8" t="str" cm="1">
        <f t="array" ref="H5" xml:space="preserve"> IF( MOD($C$5,2)&lt;&gt;0,  INDEX(十五音韻母對照表,$B5,H$2),  INDEX(十五音韻母對照表,$B5,H$2+1))</f>
        <v>un</v>
      </c>
      <c r="I5" s="8" t="str" cm="1">
        <f t="array" ref="I5" xml:space="preserve"> IF( MOD($C$5,2)&lt;&gt;0,  INDEX(十五音韻母對照表,$B5,I$2),  INDEX(十五音韻母對照表,$B5,I$2+1))</f>
        <v>un</v>
      </c>
    </row>
    <row r="6" spans="2:9" ht="50.25">
      <c r="B6" s="46">
        <v>2</v>
      </c>
      <c r="C6" s="49">
        <f t="shared" ref="C6:C54" si="0" xml:space="preserve"> ROUND(B6/2,0)</f>
        <v>1</v>
      </c>
      <c r="D6" s="8" t="str" cm="1">
        <f t="array" ref="D6" xml:space="preserve"> INDEX(十五音韻母對照表,$B6,2)</f>
        <v>堅</v>
      </c>
      <c r="E6" s="8" t="str" cm="1">
        <f t="array" ref="E6" xml:space="preserve"> IF( MOD($C$5,2)&lt;&gt;0,  INDEX(十五音韻母對照表,$B6,E$2),  INDEX(十五音韻母對照表,$B6,E$2+1))</f>
        <v>ian</v>
      </c>
      <c r="F6" s="8" t="str" cm="1">
        <f t="array" ref="F6" xml:space="preserve"> IF( MOD($C$5,2)&lt;&gt;0,  INDEX(十五音韻母對照表,$B6,F$2),  INDEX(十五音韻母對照表,$B6,F$2+1))</f>
        <v>ian</v>
      </c>
      <c r="G6" s="8" t="str" cm="1">
        <f t="array" ref="G6" xml:space="preserve"> IF( MOD($C$5,2)&lt;&gt;0,  INDEX(十五音韻母對照表,$B6,G$2),  INDEX(十五音韻母對照表,$B6,G$2+1))</f>
        <v>ian</v>
      </c>
      <c r="H6" s="8" t="str" cm="1">
        <f t="array" ref="H6" xml:space="preserve"> IF( MOD($C$5,2)&lt;&gt;0,  INDEX(十五音韻母對照表,$B6,H$2),  INDEX(十五音韻母對照表,$B6,H$2+1))</f>
        <v>ian</v>
      </c>
      <c r="I6" s="8" t="str" cm="1">
        <f t="array" ref="I6" xml:space="preserve"> IF( MOD($C$5,2)&lt;&gt;0,  INDEX(十五音韻母對照表,$B6,I$2),  INDEX(十五音韻母對照表,$B6,I$2+1))</f>
        <v>ian</v>
      </c>
    </row>
    <row r="7" spans="2:9" ht="50.25">
      <c r="B7" s="46">
        <v>3</v>
      </c>
      <c r="C7" s="49">
        <f t="shared" si="0"/>
        <v>2</v>
      </c>
      <c r="D7" s="8" t="str" cm="1">
        <f t="array" ref="D7" xml:space="preserve"> INDEX(十五音韻母對照表,$B7,2)</f>
        <v>金</v>
      </c>
      <c r="E7" s="8" t="str" cm="1">
        <f t="array" ref="E7" xml:space="preserve"> IF( MOD($C$5,2)&lt;&gt;0,  INDEX(十五音韻母對照表,$B7,E$2),  INDEX(十五音韻母對照表,$B7,E$2+1))</f>
        <v>im</v>
      </c>
      <c r="F7" s="8" t="str" cm="1">
        <f t="array" ref="F7" xml:space="preserve"> IF( MOD($C$5,2)&lt;&gt;0,  INDEX(十五音韻母對照表,$B7,F$2),  INDEX(十五音韻母對照表,$B7,F$2+1))</f>
        <v>im</v>
      </c>
      <c r="G7" s="8" t="str" cm="1">
        <f t="array" ref="G7" xml:space="preserve"> IF( MOD($C$5,2)&lt;&gt;0,  INDEX(十五音韻母對照表,$B7,G$2),  INDEX(十五音韻母對照表,$B7,G$2+1))</f>
        <v>im</v>
      </c>
      <c r="H7" s="8" t="str" cm="1">
        <f t="array" ref="H7" xml:space="preserve"> IF( MOD($C$5,2)&lt;&gt;0,  INDEX(十五音韻母對照表,$B7,H$2),  INDEX(十五音韻母對照表,$B7,H$2+1))</f>
        <v>im</v>
      </c>
      <c r="I7" s="8" t="str" cm="1">
        <f t="array" ref="I7" xml:space="preserve"> IF( MOD($C$5,2)&lt;&gt;0,  INDEX(十五音韻母對照表,$B7,I$2),  INDEX(十五音韻母對照表,$B7,I$2+1))</f>
        <v>im</v>
      </c>
    </row>
    <row r="8" spans="2:9" ht="50.25">
      <c r="B8" s="46">
        <v>4</v>
      </c>
      <c r="C8" s="49">
        <f t="shared" si="0"/>
        <v>2</v>
      </c>
      <c r="D8" s="8" t="str" cm="1">
        <f t="array" ref="D8" xml:space="preserve"> INDEX(十五音韻母對照表,$B8,2)</f>
        <v>規</v>
      </c>
      <c r="E8" s="8" t="str" cm="1">
        <f t="array" ref="E8" xml:space="preserve"> IF( MOD($C$5,2)&lt;&gt;0,  INDEX(十五音韻母對照表,$B8,E$2),  INDEX(十五音韻母對照表,$B8,E$2+1))</f>
        <v>ui</v>
      </c>
      <c r="F8" s="8" t="str" cm="1">
        <f t="array" ref="F8" xml:space="preserve"> IF( MOD($C$5,2)&lt;&gt;0,  INDEX(十五音韻母對照表,$B8,F$2),  INDEX(十五音韻母對照表,$B8,F$2+1))</f>
        <v>ui</v>
      </c>
      <c r="G8" s="8" t="str" cm="1">
        <f t="array" ref="G8" xml:space="preserve"> IF( MOD($C$5,2)&lt;&gt;0,  INDEX(十五音韻母對照表,$B8,G$2),  INDEX(十五音韻母對照表,$B8,G$2+1))</f>
        <v>ui</v>
      </c>
      <c r="H8" s="8" t="str" cm="1">
        <f t="array" ref="H8" xml:space="preserve"> IF( MOD($C$5,2)&lt;&gt;0,  INDEX(十五音韻母對照表,$B8,H$2),  INDEX(十五音韻母對照表,$B8,H$2+1))</f>
        <v>ui</v>
      </c>
      <c r="I8" s="8" t="str" cm="1">
        <f t="array" ref="I8" xml:space="preserve"> IF( MOD($C$5,2)&lt;&gt;0,  INDEX(十五音韻母對照表,$B8,I$2),  INDEX(十五音韻母對照表,$B8,I$2+1))</f>
        <v>ui</v>
      </c>
    </row>
    <row r="9" spans="2:9" ht="50.25">
      <c r="B9" s="46">
        <v>5</v>
      </c>
      <c r="C9" s="49">
        <f t="shared" si="0"/>
        <v>3</v>
      </c>
      <c r="D9" s="8" t="str" cm="1">
        <f t="array" ref="D9" xml:space="preserve"> INDEX(十五音韻母對照表,$B9,2)</f>
        <v>嘉</v>
      </c>
      <c r="E9" s="8" t="str" cm="1">
        <f t="array" ref="E9" xml:space="preserve"> IF( MOD($C$5,2)&lt;&gt;0,  INDEX(十五音韻母對照表,$B9,E$2),  INDEX(十五音韻母對照表,$B9,E$2+1))</f>
        <v>ee</v>
      </c>
      <c r="F9" s="8" t="str" cm="1">
        <f t="array" ref="F9" xml:space="preserve"> IF( MOD($C$5,2)&lt;&gt;0,  INDEX(十五音韻母對照表,$B9,F$2),  INDEX(十五音韻母對照表,$B9,F$2+1))</f>
        <v>ɛ</v>
      </c>
      <c r="G9" s="8" t="str" cm="1">
        <f t="array" ref="G9" xml:space="preserve"> IF( MOD($C$5,2)&lt;&gt;0,  INDEX(十五音韻母對照表,$B9,G$2),  INDEX(十五音韻母對照表,$B9,G$2+1))</f>
        <v>ee</v>
      </c>
      <c r="H9" s="8" t="str" cm="1">
        <f t="array" ref="H9" xml:space="preserve"> IF( MOD($C$5,2)&lt;&gt;0,  INDEX(十五音韻母對照表,$B9,H$2),  INDEX(十五音韻母對照表,$B9,H$2+1))</f>
        <v>ee</v>
      </c>
      <c r="I9" s="8" t="str" cm="1">
        <f t="array" ref="I9" xml:space="preserve"> IF( MOD($C$5,2)&lt;&gt;0,  INDEX(十五音韻母對照表,$B9,I$2),  INDEX(十五音韻母對照表,$B9,I$2+1))</f>
        <v>e</v>
      </c>
    </row>
    <row r="10" spans="2:9" ht="50.25">
      <c r="B10" s="46">
        <v>6</v>
      </c>
      <c r="C10" s="49">
        <f t="shared" si="0"/>
        <v>3</v>
      </c>
      <c r="D10" s="8" t="str" cm="1">
        <f t="array" ref="D10" xml:space="preserve"> INDEX(十五音韻母對照表,$B10,2)</f>
        <v>干</v>
      </c>
      <c r="E10" s="8" t="str" cm="1">
        <f t="array" ref="E10" xml:space="preserve"> IF( MOD($C$5,2)&lt;&gt;0,  INDEX(十五音韻母對照表,$B10,E$2),  INDEX(十五音韻母對照表,$B10,E$2+1))</f>
        <v>an</v>
      </c>
      <c r="F10" s="8" t="str" cm="1">
        <f t="array" ref="F10" xml:space="preserve"> IF( MOD($C$5,2)&lt;&gt;0,  INDEX(十五音韻母對照表,$B10,F$2),  INDEX(十五音韻母對照表,$B10,F$2+1))</f>
        <v>an</v>
      </c>
      <c r="G10" s="8" t="str" cm="1">
        <f t="array" ref="G10" xml:space="preserve"> IF( MOD($C$5,2)&lt;&gt;0,  INDEX(十五音韻母對照表,$B10,G$2),  INDEX(十五音韻母對照表,$B10,G$2+1))</f>
        <v>an</v>
      </c>
      <c r="H10" s="8" t="str" cm="1">
        <f t="array" ref="H10" xml:space="preserve"> IF( MOD($C$5,2)&lt;&gt;0,  INDEX(十五音韻母對照表,$B10,H$2),  INDEX(十五音韻母對照表,$B10,H$2+1))</f>
        <v>an</v>
      </c>
      <c r="I10" s="8" t="str" cm="1">
        <f t="array" ref="I10" xml:space="preserve"> IF( MOD($C$5,2)&lt;&gt;0,  INDEX(十五音韻母對照表,$B10,I$2),  INDEX(十五音韻母對照表,$B10,I$2+1))</f>
        <v>an</v>
      </c>
    </row>
    <row r="11" spans="2:9" ht="50.25">
      <c r="B11" s="46">
        <v>7</v>
      </c>
      <c r="C11" s="49">
        <f t="shared" si="0"/>
        <v>4</v>
      </c>
      <c r="D11" s="8" t="str" cm="1">
        <f t="array" ref="D11" xml:space="preserve"> INDEX(十五音韻母對照表,$B11,2)</f>
        <v>公</v>
      </c>
      <c r="E11" s="8" t="str" cm="1">
        <f t="array" ref="E11" xml:space="preserve"> IF( MOD($C$5,2)&lt;&gt;0,  INDEX(十五音韻母對照表,$B11,E$2),  INDEX(十五音韻母對照表,$B11,E$2+1))</f>
        <v>ong</v>
      </c>
      <c r="F11" s="8" t="str" cm="1">
        <f t="array" ref="F11" xml:space="preserve"> IF( MOD($C$5,2)&lt;&gt;0,  INDEX(十五音韻母對照表,$B11,F$2),  INDEX(十五音韻母對照表,$B11,F$2+1))</f>
        <v>ɔŋ</v>
      </c>
      <c r="G11" s="8" t="str" cm="1">
        <f t="array" ref="G11" xml:space="preserve"> IF( MOD($C$5,2)&lt;&gt;0,  INDEX(十五音韻母對照表,$B11,G$2),  INDEX(十五音韻母對照表,$B11,G$2+1))</f>
        <v>ong</v>
      </c>
      <c r="H11" s="8" t="str" cm="1">
        <f t="array" ref="H11" xml:space="preserve"> IF( MOD($C$5,2)&lt;&gt;0,  INDEX(十五音韻母對照表,$B11,H$2),  INDEX(十五音韻母對照表,$B11,H$2+1))</f>
        <v>ong</v>
      </c>
      <c r="I11" s="8" t="str" cm="1">
        <f t="array" ref="I11" xml:space="preserve"> IF( MOD($C$5,2)&lt;&gt;0,  INDEX(十五音韻母對照表,$B11,I$2),  INDEX(十五音韻母對照表,$B11,I$2+1))</f>
        <v>ong</v>
      </c>
    </row>
    <row r="12" spans="2:9" ht="50.25">
      <c r="B12" s="46">
        <v>8</v>
      </c>
      <c r="C12" s="49">
        <f t="shared" si="0"/>
        <v>4</v>
      </c>
      <c r="D12" s="8" t="str" cm="1">
        <f t="array" ref="D12" xml:space="preserve"> INDEX(十五音韻母對照表,$B12,2)</f>
        <v>乖</v>
      </c>
      <c r="E12" s="8" t="str" cm="1">
        <f t="array" ref="E12" xml:space="preserve"> IF( MOD($C$5,2)&lt;&gt;0,  INDEX(十五音韻母對照表,$B12,E$2),  INDEX(十五音韻母對照表,$B12,E$2+1))</f>
        <v>uai</v>
      </c>
      <c r="F12" s="8" t="str" cm="1">
        <f t="array" ref="F12" xml:space="preserve"> IF( MOD($C$5,2)&lt;&gt;0,  INDEX(十五音韻母對照表,$B12,F$2),  INDEX(十五音韻母對照表,$B12,F$2+1))</f>
        <v>uai</v>
      </c>
      <c r="G12" s="8" t="str" cm="1">
        <f t="array" ref="G12" xml:space="preserve"> IF( MOD($C$5,2)&lt;&gt;0,  INDEX(十五音韻母對照表,$B12,G$2),  INDEX(十五音韻母對照表,$B12,G$2+1))</f>
        <v>oai</v>
      </c>
      <c r="H12" s="8" t="str" cm="1">
        <f t="array" ref="H12" xml:space="preserve"> IF( MOD($C$5,2)&lt;&gt;0,  INDEX(十五音韻母對照表,$B12,H$2),  INDEX(十五音韻母對照表,$B12,H$2+1))</f>
        <v>uai</v>
      </c>
      <c r="I12" s="8" t="str" cm="1">
        <f t="array" ref="I12" xml:space="preserve"> IF( MOD($C$5,2)&lt;&gt;0,  INDEX(十五音韻母對照表,$B12,I$2),  INDEX(十五音韻母對照表,$B12,I$2+1))</f>
        <v>uai</v>
      </c>
    </row>
    <row r="13" spans="2:9" ht="50.25">
      <c r="B13" s="46">
        <v>9</v>
      </c>
      <c r="C13" s="49">
        <f t="shared" si="0"/>
        <v>5</v>
      </c>
      <c r="D13" s="8" t="str" cm="1">
        <f t="array" ref="D13" xml:space="preserve"> INDEX(十五音韻母對照表,$B13,2)</f>
        <v>經</v>
      </c>
      <c r="E13" s="8" t="str" cm="1">
        <f t="array" ref="E13" xml:space="preserve"> IF( MOD($C$5,2)&lt;&gt;0,  INDEX(十五音韻母對照表,$B13,E$2),  INDEX(十五音韻母對照表,$B13,E$2+1))</f>
        <v>ing</v>
      </c>
      <c r="F13" s="8" t="str" cm="1">
        <f t="array" ref="F13" xml:space="preserve"> IF( MOD($C$5,2)&lt;&gt;0,  INDEX(十五音韻母對照表,$B13,F$2),  INDEX(十五音韻母對照表,$B13,F$2+1))</f>
        <v>ɪŋ</v>
      </c>
      <c r="G13" s="8" t="str" cm="1">
        <f t="array" ref="G13" xml:space="preserve"> IF( MOD($C$5,2)&lt;&gt;0,  INDEX(十五音韻母對照表,$B13,G$2),  INDEX(十五音韻母對照表,$B13,G$2+1))</f>
        <v>eng</v>
      </c>
      <c r="H13" s="8" t="str" cm="1">
        <f t="array" ref="H13" xml:space="preserve"> IF( MOD($C$5,2)&lt;&gt;0,  INDEX(十五音韻母對照表,$B13,H$2),  INDEX(十五音韻母對照表,$B13,H$2+1))</f>
        <v>ing</v>
      </c>
      <c r="I13" s="8" t="str" cm="1">
        <f t="array" ref="I13" xml:space="preserve"> IF( MOD($C$5,2)&lt;&gt;0,  INDEX(十五音韻母對照表,$B13,I$2),  INDEX(十五音韻母對照表,$B13,I$2+1))</f>
        <v>ing</v>
      </c>
    </row>
    <row r="14" spans="2:9" ht="50.25">
      <c r="B14" s="46">
        <v>10</v>
      </c>
      <c r="C14" s="49">
        <f t="shared" si="0"/>
        <v>5</v>
      </c>
      <c r="D14" s="8" t="str" cm="1">
        <f t="array" ref="D14" xml:space="preserve"> INDEX(十五音韻母對照表,$B14,2)</f>
        <v>觀</v>
      </c>
      <c r="E14" s="8" t="str" cm="1">
        <f t="array" ref="E14" xml:space="preserve"> IF( MOD($C$5,2)&lt;&gt;0,  INDEX(十五音韻母對照表,$B14,E$2),  INDEX(十五音韻母對照表,$B14,E$2+1))</f>
        <v>uan</v>
      </c>
      <c r="F14" s="8" t="str" cm="1">
        <f t="array" ref="F14" xml:space="preserve"> IF( MOD($C$5,2)&lt;&gt;0,  INDEX(十五音韻母對照表,$B14,F$2),  INDEX(十五音韻母對照表,$B14,F$2+1))</f>
        <v>uan</v>
      </c>
      <c r="G14" s="8" t="str" cm="1">
        <f t="array" ref="G14" xml:space="preserve"> IF( MOD($C$5,2)&lt;&gt;0,  INDEX(十五音韻母對照表,$B14,G$2),  INDEX(十五音韻母對照表,$B14,G$2+1))</f>
        <v>oan</v>
      </c>
      <c r="H14" s="8" t="str" cm="1">
        <f t="array" ref="H14" xml:space="preserve"> IF( MOD($C$5,2)&lt;&gt;0,  INDEX(十五音韻母對照表,$B14,H$2),  INDEX(十五音韻母對照表,$B14,H$2+1))</f>
        <v>uan</v>
      </c>
      <c r="I14" s="8" t="str" cm="1">
        <f t="array" ref="I14" xml:space="preserve"> IF( MOD($C$5,2)&lt;&gt;0,  INDEX(十五音韻母對照表,$B14,I$2),  INDEX(十五音韻母對照表,$B14,I$2+1))</f>
        <v>uan</v>
      </c>
    </row>
    <row r="15" spans="2:9" ht="50.25">
      <c r="B15" s="46">
        <v>11</v>
      </c>
      <c r="C15" s="49">
        <f t="shared" si="0"/>
        <v>6</v>
      </c>
      <c r="D15" s="8" t="str" cm="1">
        <f t="array" ref="D15" xml:space="preserve"> INDEX(十五音韻母對照表,$B15,2)</f>
        <v>沽</v>
      </c>
      <c r="E15" s="8" t="str" cm="1">
        <f t="array" ref="E15" xml:space="preserve"> IF( MOD($C$5,2)&lt;&gt;0,  INDEX(十五音韻母對照表,$B15,E$2),  INDEX(十五音韻母對照表,$B15,E$2+1))</f>
        <v>oo</v>
      </c>
      <c r="F15" s="8" t="str" cm="1">
        <f t="array" ref="F15" xml:space="preserve"> IF( MOD($C$5,2)&lt;&gt;0,  INDEX(十五音韻母對照表,$B15,F$2),  INDEX(十五音韻母對照表,$B15,F$2+1))</f>
        <v>ou</v>
      </c>
      <c r="G15" s="8" t="str" cm="1">
        <f t="array" ref="G15" xml:space="preserve"> IF( MOD($C$5,2)&lt;&gt;0,  INDEX(十五音韻母對照表,$B15,G$2),  INDEX(十五音韻母對照表,$B15,G$2+1))</f>
        <v>o͘</v>
      </c>
      <c r="H15" s="8" t="str" cm="1">
        <f t="array" ref="H15" xml:space="preserve"> IF( MOD($C$5,2)&lt;&gt;0,  INDEX(十五音韻母對照表,$B15,H$2),  INDEX(十五音韻母對照表,$B15,H$2+1))</f>
        <v>oo</v>
      </c>
      <c r="I15" s="8" t="str" cm="1">
        <f t="array" ref="I15" xml:space="preserve"> IF( MOD($C$5,2)&lt;&gt;0,  INDEX(十五音韻母對照表,$B15,I$2),  INDEX(十五音韻母對照表,$B15,I$2+1))</f>
        <v>oo</v>
      </c>
    </row>
    <row r="16" spans="2:9" ht="50.25">
      <c r="B16" s="46">
        <v>12</v>
      </c>
      <c r="C16" s="49">
        <f t="shared" si="0"/>
        <v>6</v>
      </c>
      <c r="D16" s="8" t="str" cm="1">
        <f t="array" ref="D16" xml:space="preserve"> INDEX(十五音韻母對照表,$B16,2)</f>
        <v>嬌</v>
      </c>
      <c r="E16" s="8" t="str" cm="1">
        <f t="array" ref="E16" xml:space="preserve"> IF( MOD($C$5,2)&lt;&gt;0,  INDEX(十五音韻母對照表,$B16,E$2),  INDEX(十五音韻母對照表,$B16,E$2+1))</f>
        <v>iau</v>
      </c>
      <c r="F16" s="8" t="str" cm="1">
        <f t="array" ref="F16" xml:space="preserve"> IF( MOD($C$5,2)&lt;&gt;0,  INDEX(十五音韻母對照表,$B16,F$2),  INDEX(十五音韻母對照表,$B16,F$2+1))</f>
        <v>iau</v>
      </c>
      <c r="G16" s="8" t="str" cm="1">
        <f t="array" ref="G16" xml:space="preserve"> IF( MOD($C$5,2)&lt;&gt;0,  INDEX(十五音韻母對照表,$B16,G$2),  INDEX(十五音韻母對照表,$B16,G$2+1))</f>
        <v>iau</v>
      </c>
      <c r="H16" s="8" t="str" cm="1">
        <f t="array" ref="H16" xml:space="preserve"> IF( MOD($C$5,2)&lt;&gt;0,  INDEX(十五音韻母對照表,$B16,H$2),  INDEX(十五音韻母對照表,$B16,H$2+1))</f>
        <v>iau</v>
      </c>
      <c r="I16" s="8" t="str" cm="1">
        <f t="array" ref="I16" xml:space="preserve"> IF( MOD($C$5,2)&lt;&gt;0,  INDEX(十五音韻母對照表,$B16,I$2),  INDEX(十五音韻母對照表,$B16,I$2+1))</f>
        <v>iao</v>
      </c>
    </row>
    <row r="17" spans="2:9" ht="50.25">
      <c r="B17" s="46">
        <v>13</v>
      </c>
      <c r="C17" s="49">
        <f t="shared" si="0"/>
        <v>7</v>
      </c>
      <c r="D17" s="8" t="str" cm="1">
        <f t="array" ref="D17" xml:space="preserve"> INDEX(十五音韻母對照表,$B17,2)</f>
        <v>稽</v>
      </c>
      <c r="E17" s="8" t="str" cm="1">
        <f t="array" ref="E17" xml:space="preserve"> IF( MOD($C$5,2)&lt;&gt;0,  INDEX(十五音韻母對照表,$B17,E$2),  INDEX(十五音韻母對照表,$B17,E$2+1))</f>
        <v>ei</v>
      </c>
      <c r="F17" s="8" t="str" cm="1">
        <f t="array" ref="F17" xml:space="preserve"> IF( MOD($C$5,2)&lt;&gt;0,  INDEX(十五音韻母對照表,$B17,F$2),  INDEX(十五音韻母對照表,$B17,F$2+1))</f>
        <v>ei</v>
      </c>
      <c r="G17" s="8" t="str" cm="1">
        <f t="array" ref="G17" xml:space="preserve"> IF( MOD($C$5,2)&lt;&gt;0,  INDEX(十五音韻母對照表,$B17,G$2),  INDEX(十五音韻母對照表,$B17,G$2+1))</f>
        <v>ei</v>
      </c>
      <c r="H17" s="8" t="str" cm="1">
        <f t="array" ref="H17" xml:space="preserve"> IF( MOD($C$5,2)&lt;&gt;0,  INDEX(十五音韻母對照表,$B17,H$2),  INDEX(十五音韻母對照表,$B17,H$2+1))</f>
        <v>ei</v>
      </c>
      <c r="I17" s="8" t="str" cm="1">
        <f t="array" ref="I17" xml:space="preserve"> IF( MOD($C$5,2)&lt;&gt;0,  INDEX(十五音韻母對照表,$B17,I$2),  INDEX(十五音韻母對照表,$B17,I$2+1))</f>
        <v>e</v>
      </c>
    </row>
    <row r="18" spans="2:9" ht="50.25">
      <c r="B18" s="46">
        <v>14</v>
      </c>
      <c r="C18" s="49">
        <f t="shared" si="0"/>
        <v>7</v>
      </c>
      <c r="D18" s="8" t="str" cm="1">
        <f t="array" ref="D18" xml:space="preserve"> INDEX(十五音韻母對照表,$B18,2)</f>
        <v>恭</v>
      </c>
      <c r="E18" s="8" t="str" cm="1">
        <f t="array" ref="E18" xml:space="preserve"> IF( MOD($C$5,2)&lt;&gt;0,  INDEX(十五音韻母對照表,$B18,E$2),  INDEX(十五音韻母對照表,$B18,E$2+1))</f>
        <v>iong</v>
      </c>
      <c r="F18" s="8" t="str" cm="1">
        <f t="array" ref="F18" xml:space="preserve"> IF( MOD($C$5,2)&lt;&gt;0,  INDEX(十五音韻母對照表,$B18,F$2),  INDEX(十五音韻母對照表,$B18,F$2+1))</f>
        <v>iɔŋ</v>
      </c>
      <c r="G18" s="8" t="str" cm="1">
        <f t="array" ref="G18" xml:space="preserve"> IF( MOD($C$5,2)&lt;&gt;0,  INDEX(十五音韻母對照表,$B18,G$2),  INDEX(十五音韻母對照表,$B18,G$2+1))</f>
        <v>iong</v>
      </c>
      <c r="H18" s="8" t="str" cm="1">
        <f t="array" ref="H18" xml:space="preserve"> IF( MOD($C$5,2)&lt;&gt;0,  INDEX(十五音韻母對照表,$B18,H$2),  INDEX(十五音韻母對照表,$B18,H$2+1))</f>
        <v>iong</v>
      </c>
      <c r="I18" s="8" t="str" cm="1">
        <f t="array" ref="I18" xml:space="preserve"> IF( MOD($C$5,2)&lt;&gt;0,  INDEX(十五音韻母對照表,$B18,I$2),  INDEX(十五音韻母對照表,$B18,I$2+1))</f>
        <v>iong</v>
      </c>
    </row>
    <row r="19" spans="2:9" ht="50.25">
      <c r="B19" s="46">
        <v>15</v>
      </c>
      <c r="C19" s="49">
        <f t="shared" si="0"/>
        <v>8</v>
      </c>
      <c r="D19" s="8" t="str" cm="1">
        <f t="array" ref="D19" xml:space="preserve"> INDEX(十五音韻母對照表,$B19,2)</f>
        <v>高</v>
      </c>
      <c r="E19" s="8" t="str" cm="1">
        <f t="array" ref="E19" xml:space="preserve"> IF( MOD($C$5,2)&lt;&gt;0,  INDEX(十五音韻母對照表,$B19,E$2),  INDEX(十五音韻母對照表,$B19,E$2+1))</f>
        <v>o</v>
      </c>
      <c r="F19" s="8" t="str" cm="1">
        <f t="array" ref="F19" xml:space="preserve"> IF( MOD($C$5,2)&lt;&gt;0,  INDEX(十五音韻母對照表,$B19,F$2),  INDEX(十五音韻母對照表,$B19,F$2+1))</f>
        <v>o</v>
      </c>
      <c r="G19" s="8" t="str" cm="1">
        <f t="array" ref="G19" xml:space="preserve"> IF( MOD($C$5,2)&lt;&gt;0,  INDEX(十五音韻母對照表,$B19,G$2),  INDEX(十五音韻母對照表,$B19,G$2+1))</f>
        <v>o</v>
      </c>
      <c r="H19" s="8" t="str" cm="1">
        <f t="array" ref="H19" xml:space="preserve"> IF( MOD($C$5,2)&lt;&gt;0,  INDEX(十五音韻母對照表,$B19,H$2),  INDEX(十五音韻母對照表,$B19,H$2+1))</f>
        <v>o</v>
      </c>
      <c r="I19" s="8" t="str" cm="1">
        <f t="array" ref="I19" xml:space="preserve"> IF( MOD($C$5,2)&lt;&gt;0,  INDEX(十五音韻母對照表,$B19,I$2),  INDEX(十五音韻母對照表,$B19,I$2+1))</f>
        <v>o</v>
      </c>
    </row>
    <row r="20" spans="2:9" ht="50.25">
      <c r="B20" s="46">
        <v>16</v>
      </c>
      <c r="C20" s="49">
        <f t="shared" si="0"/>
        <v>8</v>
      </c>
      <c r="D20" s="8" t="str" cm="1">
        <f t="array" ref="D20" xml:space="preserve"> INDEX(十五音韻母對照表,$B20,2)</f>
        <v>皆</v>
      </c>
      <c r="E20" s="8" t="str" cm="1">
        <f t="array" ref="E20" xml:space="preserve"> IF( MOD($C$5,2)&lt;&gt;0,  INDEX(十五音韻母對照表,$B20,E$2),  INDEX(十五音韻母對照表,$B20,E$2+1))</f>
        <v>ai</v>
      </c>
      <c r="F20" s="8" t="str" cm="1">
        <f t="array" ref="F20" xml:space="preserve"> IF( MOD($C$5,2)&lt;&gt;0,  INDEX(十五音韻母對照表,$B20,F$2),  INDEX(十五音韻母對照表,$B20,F$2+1))</f>
        <v>ai</v>
      </c>
      <c r="G20" s="8" t="str" cm="1">
        <f t="array" ref="G20" xml:space="preserve"> IF( MOD($C$5,2)&lt;&gt;0,  INDEX(十五音韻母對照表,$B20,G$2),  INDEX(十五音韻母對照表,$B20,G$2+1))</f>
        <v>ai</v>
      </c>
      <c r="H20" s="8" t="str" cm="1">
        <f t="array" ref="H20" xml:space="preserve"> IF( MOD($C$5,2)&lt;&gt;0,  INDEX(十五音韻母對照表,$B20,H$2),  INDEX(十五音韻母對照表,$B20,H$2+1))</f>
        <v>ai</v>
      </c>
      <c r="I20" s="8" t="str" cm="1">
        <f t="array" ref="I20" xml:space="preserve"> IF( MOD($C$5,2)&lt;&gt;0,  INDEX(十五音韻母對照表,$B20,I$2),  INDEX(十五音韻母對照表,$B20,I$2+1))</f>
        <v>ai</v>
      </c>
    </row>
    <row r="21" spans="2:9" ht="50.25">
      <c r="B21" s="46">
        <v>17</v>
      </c>
      <c r="C21" s="49">
        <f t="shared" si="0"/>
        <v>9</v>
      </c>
      <c r="D21" s="8" t="str" cm="1">
        <f t="array" ref="D21" xml:space="preserve"> INDEX(十五音韻母對照表,$B21,2)</f>
        <v>巾</v>
      </c>
      <c r="E21" s="8" t="str" cm="1">
        <f t="array" ref="E21" xml:space="preserve"> IF( MOD($C$5,2)&lt;&gt;0,  INDEX(十五音韻母對照表,$B21,E$2),  INDEX(十五音韻母對照表,$B21,E$2+1))</f>
        <v>in</v>
      </c>
      <c r="F21" s="8" t="str" cm="1">
        <f t="array" ref="F21" xml:space="preserve"> IF( MOD($C$5,2)&lt;&gt;0,  INDEX(十五音韻母對照表,$B21,F$2),  INDEX(十五音韻母對照表,$B21,F$2+1))</f>
        <v>in</v>
      </c>
      <c r="G21" s="8" t="str" cm="1">
        <f t="array" ref="G21" xml:space="preserve"> IF( MOD($C$5,2)&lt;&gt;0,  INDEX(十五音韻母對照表,$B21,G$2),  INDEX(十五音韻母對照表,$B21,G$2+1))</f>
        <v>in</v>
      </c>
      <c r="H21" s="8" t="str" cm="1">
        <f t="array" ref="H21" xml:space="preserve"> IF( MOD($C$5,2)&lt;&gt;0,  INDEX(十五音韻母對照表,$B21,H$2),  INDEX(十五音韻母對照表,$B21,H$2+1))</f>
        <v>in</v>
      </c>
      <c r="I21" s="8" t="str" cm="1">
        <f t="array" ref="I21" xml:space="preserve"> IF( MOD($C$5,2)&lt;&gt;0,  INDEX(十五音韻母對照表,$B21,I$2),  INDEX(十五音韻母對照表,$B21,I$2+1))</f>
        <v>in</v>
      </c>
    </row>
    <row r="22" spans="2:9" ht="50.25">
      <c r="B22" s="46">
        <v>18</v>
      </c>
      <c r="C22" s="49">
        <f t="shared" si="0"/>
        <v>9</v>
      </c>
      <c r="D22" s="8" t="str" cm="1">
        <f t="array" ref="D22" xml:space="preserve"> INDEX(十五音韻母對照表,$B22,2)</f>
        <v>姜</v>
      </c>
      <c r="E22" s="8" t="str" cm="1">
        <f t="array" ref="E22" xml:space="preserve"> IF( MOD($C$5,2)&lt;&gt;0,  INDEX(十五音韻母對照表,$B22,E$2),  INDEX(十五音韻母對照表,$B22,E$2+1))</f>
        <v>iang</v>
      </c>
      <c r="F22" s="8" t="str" cm="1">
        <f t="array" ref="F22" xml:space="preserve"> IF( MOD($C$5,2)&lt;&gt;0,  INDEX(十五音韻母對照表,$B22,F$2),  INDEX(十五音韻母對照表,$B22,F$2+1))</f>
        <v>iaŋ</v>
      </c>
      <c r="G22" s="8" t="str" cm="1">
        <f t="array" ref="G22" xml:space="preserve"> IF( MOD($C$5,2)&lt;&gt;0,  INDEX(十五音韻母對照表,$B22,G$2),  INDEX(十五音韻母對照表,$B22,G$2+1))</f>
        <v>iang</v>
      </c>
      <c r="H22" s="8" t="str" cm="1">
        <f t="array" ref="H22" xml:space="preserve"> IF( MOD($C$5,2)&lt;&gt;0,  INDEX(十五音韻母對照表,$B22,H$2),  INDEX(十五音韻母對照表,$B22,H$2+1))</f>
        <v>iang</v>
      </c>
      <c r="I22" s="8" t="str" cm="1">
        <f t="array" ref="I22" xml:space="preserve"> IF( MOD($C$5,2)&lt;&gt;0,  INDEX(十五音韻母對照表,$B22,I$2),  INDEX(十五音韻母對照表,$B22,I$2+1))</f>
        <v>iang</v>
      </c>
    </row>
    <row r="23" spans="2:9" ht="50.25">
      <c r="B23" s="46">
        <v>19</v>
      </c>
      <c r="C23" s="49">
        <f t="shared" si="0"/>
        <v>10</v>
      </c>
      <c r="D23" s="8" t="str" cm="1">
        <f t="array" ref="D23" xml:space="preserve"> INDEX(十五音韻母對照表,$B23,2)</f>
        <v>甘</v>
      </c>
      <c r="E23" s="8" t="str" cm="1">
        <f t="array" ref="E23" xml:space="preserve"> IF( MOD($C$5,2)&lt;&gt;0,  INDEX(十五音韻母對照表,$B23,E$2),  INDEX(十五音韻母對照表,$B23,E$2+1))</f>
        <v>am</v>
      </c>
      <c r="F23" s="8" t="str" cm="1">
        <f t="array" ref="F23" xml:space="preserve"> IF( MOD($C$5,2)&lt;&gt;0,  INDEX(十五音韻母對照表,$B23,F$2),  INDEX(十五音韻母對照表,$B23,F$2+1))</f>
        <v>am</v>
      </c>
      <c r="G23" s="8" t="str" cm="1">
        <f t="array" ref="G23" xml:space="preserve"> IF( MOD($C$5,2)&lt;&gt;0,  INDEX(十五音韻母對照表,$B23,G$2),  INDEX(十五音韻母對照表,$B23,G$2+1))</f>
        <v>am</v>
      </c>
      <c r="H23" s="8" t="str" cm="1">
        <f t="array" ref="H23" xml:space="preserve"> IF( MOD($C$5,2)&lt;&gt;0,  INDEX(十五音韻母對照表,$B23,H$2),  INDEX(十五音韻母對照表,$B23,H$2+1))</f>
        <v>am</v>
      </c>
      <c r="I23" s="8" t="str" cm="1">
        <f t="array" ref="I23" xml:space="preserve"> IF( MOD($C$5,2)&lt;&gt;0,  INDEX(十五音韻母對照表,$B23,I$2),  INDEX(十五音韻母對照表,$B23,I$2+1))</f>
        <v>am</v>
      </c>
    </row>
    <row r="24" spans="2:9" ht="50.25">
      <c r="B24" s="46">
        <v>20</v>
      </c>
      <c r="C24" s="49">
        <f t="shared" si="0"/>
        <v>10</v>
      </c>
      <c r="D24" s="8" t="str" cm="1">
        <f t="array" ref="D24" xml:space="preserve"> INDEX(十五音韻母對照表,$B24,2)</f>
        <v>瓜</v>
      </c>
      <c r="E24" s="8" t="str" cm="1">
        <f t="array" ref="E24" xml:space="preserve"> IF( MOD($C$5,2)&lt;&gt;0,  INDEX(十五音韻母對照表,$B24,E$2),  INDEX(十五音韻母對照表,$B24,E$2+1))</f>
        <v>ua</v>
      </c>
      <c r="F24" s="8" t="str" cm="1">
        <f t="array" ref="F24" xml:space="preserve"> IF( MOD($C$5,2)&lt;&gt;0,  INDEX(十五音韻母對照表,$B24,F$2),  INDEX(十五音韻母對照表,$B24,F$2+1))</f>
        <v>ua</v>
      </c>
      <c r="G24" s="8" t="str" cm="1">
        <f t="array" ref="G24" xml:space="preserve"> IF( MOD($C$5,2)&lt;&gt;0,  INDEX(十五音韻母對照表,$B24,G$2),  INDEX(十五音韻母對照表,$B24,G$2+1))</f>
        <v>oa</v>
      </c>
      <c r="H24" s="8" t="str" cm="1">
        <f t="array" ref="H24" xml:space="preserve"> IF( MOD($C$5,2)&lt;&gt;0,  INDEX(十五音韻母對照表,$B24,H$2),  INDEX(十五音韻母對照表,$B24,H$2+1))</f>
        <v>ua</v>
      </c>
      <c r="I24" s="8" t="str" cm="1">
        <f t="array" ref="I24" xml:space="preserve"> IF( MOD($C$5,2)&lt;&gt;0,  INDEX(十五音韻母對照表,$B24,I$2),  INDEX(十五音韻母對照表,$B24,I$2+1))</f>
        <v>ua</v>
      </c>
    </row>
    <row r="25" spans="2:9" ht="50.25">
      <c r="B25" s="46">
        <v>21</v>
      </c>
      <c r="C25" s="49">
        <f t="shared" si="0"/>
        <v>11</v>
      </c>
      <c r="D25" s="8" t="str" cm="1">
        <f t="array" ref="D25" xml:space="preserve"> INDEX(十五音韻母對照表,$B25,2)</f>
        <v>江</v>
      </c>
      <c r="E25" s="8" t="str" cm="1">
        <f t="array" ref="E25" xml:space="preserve"> IF( MOD($C$5,2)&lt;&gt;0,  INDEX(十五音韻母對照表,$B25,E$2),  INDEX(十五音韻母對照表,$B25,E$2+1))</f>
        <v>ang</v>
      </c>
      <c r="F25" s="8" t="str" cm="1">
        <f t="array" ref="F25" xml:space="preserve"> IF( MOD($C$5,2)&lt;&gt;0,  INDEX(十五音韻母對照表,$B25,F$2),  INDEX(十五音韻母對照表,$B25,F$2+1))</f>
        <v>aŋ</v>
      </c>
      <c r="G25" s="8" t="str" cm="1">
        <f t="array" ref="G25" xml:space="preserve"> IF( MOD($C$5,2)&lt;&gt;0,  INDEX(十五音韻母對照表,$B25,G$2),  INDEX(十五音韻母對照表,$B25,G$2+1))</f>
        <v>ang</v>
      </c>
      <c r="H25" s="8" t="str" cm="1">
        <f t="array" ref="H25" xml:space="preserve"> IF( MOD($C$5,2)&lt;&gt;0,  INDEX(十五音韻母對照表,$B25,H$2),  INDEX(十五音韻母對照表,$B25,H$2+1))</f>
        <v>ang</v>
      </c>
      <c r="I25" s="8" t="str" cm="1">
        <f t="array" ref="I25" xml:space="preserve"> IF( MOD($C$5,2)&lt;&gt;0,  INDEX(十五音韻母對照表,$B25,I$2),  INDEX(十五音韻母對照表,$B25,I$2+1))</f>
        <v>ang</v>
      </c>
    </row>
    <row r="26" spans="2:9" ht="50.25">
      <c r="B26" s="46">
        <v>22</v>
      </c>
      <c r="C26" s="49">
        <f t="shared" si="0"/>
        <v>11</v>
      </c>
      <c r="D26" s="8" t="str" cm="1">
        <f t="array" ref="D26" xml:space="preserve"> INDEX(十五音韻母對照表,$B26,2)</f>
        <v>兼</v>
      </c>
      <c r="E26" s="8" t="str" cm="1">
        <f t="array" ref="E26" xml:space="preserve"> IF( MOD($C$5,2)&lt;&gt;0,  INDEX(十五音韻母對照表,$B26,E$2),  INDEX(十五音韻母對照表,$B26,E$2+1))</f>
        <v>iam</v>
      </c>
      <c r="F26" s="8" t="str" cm="1">
        <f t="array" ref="F26" xml:space="preserve"> IF( MOD($C$5,2)&lt;&gt;0,  INDEX(十五音韻母對照表,$B26,F$2),  INDEX(十五音韻母對照表,$B26,F$2+1))</f>
        <v>iam</v>
      </c>
      <c r="G26" s="8" t="str" cm="1">
        <f t="array" ref="G26" xml:space="preserve"> IF( MOD($C$5,2)&lt;&gt;0,  INDEX(十五音韻母對照表,$B26,G$2),  INDEX(十五音韻母對照表,$B26,G$2+1))</f>
        <v>iam</v>
      </c>
      <c r="H26" s="8" t="str" cm="1">
        <f t="array" ref="H26" xml:space="preserve"> IF( MOD($C$5,2)&lt;&gt;0,  INDEX(十五音韻母對照表,$B26,H$2),  INDEX(十五音韻母對照表,$B26,H$2+1))</f>
        <v>iam</v>
      </c>
      <c r="I26" s="8" t="str" cm="1">
        <f t="array" ref="I26" xml:space="preserve"> IF( MOD($C$5,2)&lt;&gt;0,  INDEX(十五音韻母對照表,$B26,I$2),  INDEX(十五音韻母對照表,$B26,I$2+1))</f>
        <v>iam</v>
      </c>
    </row>
    <row r="27" spans="2:9" ht="50.25">
      <c r="B27" s="46">
        <v>23</v>
      </c>
      <c r="C27" s="49">
        <f t="shared" si="0"/>
        <v>12</v>
      </c>
      <c r="D27" s="8" t="str" cm="1">
        <f t="array" ref="D27" xml:space="preserve"> INDEX(十五音韻母對照表,$B27,2)</f>
        <v>交</v>
      </c>
      <c r="E27" s="8" t="str" cm="1">
        <f t="array" ref="E27" xml:space="preserve"> IF( MOD($C$5,2)&lt;&gt;0,  INDEX(十五音韻母對照表,$B27,E$2),  INDEX(十五音韻母對照表,$B27,E$2+1))</f>
        <v>au</v>
      </c>
      <c r="F27" s="8" t="str" cm="1">
        <f t="array" ref="F27" xml:space="preserve"> IF( MOD($C$5,2)&lt;&gt;0,  INDEX(十五音韻母對照表,$B27,F$2),  INDEX(十五音韻母對照表,$B27,F$2+1))</f>
        <v>au</v>
      </c>
      <c r="G27" s="8" t="str" cm="1">
        <f t="array" ref="G27" xml:space="preserve"> IF( MOD($C$5,2)&lt;&gt;0,  INDEX(十五音韻母對照表,$B27,G$2),  INDEX(十五音韻母對照表,$B27,G$2+1))</f>
        <v>au</v>
      </c>
      <c r="H27" s="8" t="str" cm="1">
        <f t="array" ref="H27" xml:space="preserve"> IF( MOD($C$5,2)&lt;&gt;0,  INDEX(十五音韻母對照表,$B27,H$2),  INDEX(十五音韻母對照表,$B27,H$2+1))</f>
        <v>au</v>
      </c>
      <c r="I27" s="8" t="str" cm="1">
        <f t="array" ref="I27" xml:space="preserve"> IF( MOD($C$5,2)&lt;&gt;0,  INDEX(十五音韻母對照表,$B27,I$2),  INDEX(十五音韻母對照表,$B27,I$2+1))</f>
        <v>ao</v>
      </c>
    </row>
    <row r="28" spans="2:9" ht="50.25">
      <c r="B28" s="46">
        <v>24</v>
      </c>
      <c r="C28" s="49">
        <f t="shared" si="0"/>
        <v>12</v>
      </c>
      <c r="D28" s="8" t="str" cm="1">
        <f t="array" ref="D28" xml:space="preserve"> INDEX(十五音韻母對照表,$B28,2)</f>
        <v>迦</v>
      </c>
      <c r="E28" s="8" t="str" cm="1">
        <f t="array" ref="E28" xml:space="preserve"> IF( MOD($C$5,2)&lt;&gt;0,  INDEX(十五音韻母對照表,$B28,E$2),  INDEX(十五音韻母對照表,$B28,E$2+1))</f>
        <v>ia</v>
      </c>
      <c r="F28" s="8" t="str" cm="1">
        <f t="array" ref="F28" xml:space="preserve"> IF( MOD($C$5,2)&lt;&gt;0,  INDEX(十五音韻母對照表,$B28,F$2),  INDEX(十五音韻母對照表,$B28,F$2+1))</f>
        <v>ia</v>
      </c>
      <c r="G28" s="8" t="str" cm="1">
        <f t="array" ref="G28" xml:space="preserve"> IF( MOD($C$5,2)&lt;&gt;0,  INDEX(十五音韻母對照表,$B28,G$2),  INDEX(十五音韻母對照表,$B28,G$2+1))</f>
        <v>ia</v>
      </c>
      <c r="H28" s="8" t="str" cm="1">
        <f t="array" ref="H28" xml:space="preserve"> IF( MOD($C$5,2)&lt;&gt;0,  INDEX(十五音韻母對照表,$B28,H$2),  INDEX(十五音韻母對照表,$B28,H$2+1))</f>
        <v>ia</v>
      </c>
      <c r="I28" s="8" t="str" cm="1">
        <f t="array" ref="I28" xml:space="preserve"> IF( MOD($C$5,2)&lt;&gt;0,  INDEX(十五音韻母對照表,$B28,I$2),  INDEX(十五音韻母對照表,$B28,I$2+1))</f>
        <v>ia</v>
      </c>
    </row>
    <row r="29" spans="2:9" ht="50.25">
      <c r="B29" s="46">
        <v>25</v>
      </c>
      <c r="C29" s="49">
        <f t="shared" si="0"/>
        <v>13</v>
      </c>
      <c r="D29" s="8" t="str" cm="1">
        <f t="array" ref="D29" xml:space="preserve"> INDEX(十五音韻母對照表,$B29,2)</f>
        <v>檜</v>
      </c>
      <c r="E29" s="8" t="str" cm="1">
        <f t="array" ref="E29" xml:space="preserve"> IF( MOD($C$5,2)&lt;&gt;0,  INDEX(十五音韻母對照表,$B29,E$2),  INDEX(十五音韻母對照表,$B29,E$2+1))</f>
        <v>ue</v>
      </c>
      <c r="F29" s="8" t="str" cm="1">
        <f t="array" ref="F29" xml:space="preserve"> IF( MOD($C$5,2)&lt;&gt;0,  INDEX(十五音韻母對照表,$B29,F$2),  INDEX(十五音韻母對照表,$B29,F$2+1))</f>
        <v>ue</v>
      </c>
      <c r="G29" s="8" t="str" cm="1">
        <f t="array" ref="G29" xml:space="preserve"> IF( MOD($C$5,2)&lt;&gt;0,  INDEX(十五音韻母對照表,$B29,G$2),  INDEX(十五音韻母對照表,$B29,G$2+1))</f>
        <v>oe</v>
      </c>
      <c r="H29" s="8" t="str" cm="1">
        <f t="array" ref="H29" xml:space="preserve"> IF( MOD($C$5,2)&lt;&gt;0,  INDEX(十五音韻母對照表,$B29,H$2),  INDEX(十五音韻母對照表,$B29,H$2+1))</f>
        <v>ue</v>
      </c>
      <c r="I29" s="8" t="str" cm="1">
        <f t="array" ref="I29" xml:space="preserve"> IF( MOD($C$5,2)&lt;&gt;0,  INDEX(十五音韻母對照表,$B29,I$2),  INDEX(十五音韻母對照表,$B29,I$2+1))</f>
        <v>ue</v>
      </c>
    </row>
    <row r="30" spans="2:9" ht="50.25">
      <c r="B30" s="46">
        <v>26</v>
      </c>
      <c r="C30" s="49">
        <f t="shared" si="0"/>
        <v>13</v>
      </c>
      <c r="D30" s="8" t="str" cm="1">
        <f t="array" ref="D30" xml:space="preserve"> INDEX(十五音韻母對照表,$B30,2)</f>
        <v>監</v>
      </c>
      <c r="E30" s="8" t="str" cm="1">
        <f t="array" ref="E30" xml:space="preserve"> IF( MOD($C$5,2)&lt;&gt;0,  INDEX(十五音韻母對照表,$B30,E$2),  INDEX(十五音韻母對照表,$B30,E$2+1))</f>
        <v>ann</v>
      </c>
      <c r="F30" s="8" t="str" cm="1">
        <f t="array" ref="F30" xml:space="preserve"> IF( MOD($C$5,2)&lt;&gt;0,  INDEX(十五音韻母對照表,$B30,F$2),  INDEX(十五音韻母對照表,$B30,F$2+1))</f>
        <v>ã</v>
      </c>
      <c r="G30" s="8" t="str" cm="1">
        <f t="array" ref="G30" xml:space="preserve"> IF( MOD($C$5,2)&lt;&gt;0,  INDEX(十五音韻母對照表,$B30,G$2),  INDEX(十五音韻母對照表,$B30,G$2+1))</f>
        <v>aⁿ</v>
      </c>
      <c r="H30" s="8" t="str" cm="1">
        <f t="array" ref="H30" xml:space="preserve"> IF( MOD($C$5,2)&lt;&gt;0,  INDEX(十五音韻母對照表,$B30,H$2),  INDEX(十五音韻母對照表,$B30,H$2+1))</f>
        <v>ann</v>
      </c>
      <c r="I30" s="8" t="str" cm="1">
        <f t="array" ref="I30" xml:space="preserve"> IF( MOD($C$5,2)&lt;&gt;0,  INDEX(十五音韻母對照表,$B30,I$2),  INDEX(十五音韻母對照表,$B30,I$2+1))</f>
        <v>na</v>
      </c>
    </row>
    <row r="31" spans="2:9" ht="50.25">
      <c r="B31" s="46">
        <v>27</v>
      </c>
      <c r="C31" s="49">
        <f t="shared" si="0"/>
        <v>14</v>
      </c>
      <c r="D31" s="8" t="str" cm="1">
        <f t="array" ref="D31" xml:space="preserve"> INDEX(十五音韻母對照表,$B31,2)</f>
        <v>艍</v>
      </c>
      <c r="E31" s="8" t="str" cm="1">
        <f t="array" ref="E31" xml:space="preserve"> IF( MOD($C$5,2)&lt;&gt;0,  INDEX(十五音韻母對照表,$B31,E$2),  INDEX(十五音韻母對照表,$B31,E$2+1))</f>
        <v>u</v>
      </c>
      <c r="F31" s="8" t="str" cm="1">
        <f t="array" ref="F31" xml:space="preserve"> IF( MOD($C$5,2)&lt;&gt;0,  INDEX(十五音韻母對照表,$B31,F$2),  INDEX(十五音韻母對照表,$B31,F$2+1))</f>
        <v>u</v>
      </c>
      <c r="G31" s="8" t="str" cm="1">
        <f t="array" ref="G31" xml:space="preserve"> IF( MOD($C$5,2)&lt;&gt;0,  INDEX(十五音韻母對照表,$B31,G$2),  INDEX(十五音韻母對照表,$B31,G$2+1))</f>
        <v>u</v>
      </c>
      <c r="H31" s="8" t="str" cm="1">
        <f t="array" ref="H31" xml:space="preserve"> IF( MOD($C$5,2)&lt;&gt;0,  INDEX(十五音韻母對照表,$B31,H$2),  INDEX(十五音韻母對照表,$B31,H$2+1))</f>
        <v>u</v>
      </c>
      <c r="I31" s="8" t="str" cm="1">
        <f t="array" ref="I31" xml:space="preserve"> IF( MOD($C$5,2)&lt;&gt;0,  INDEX(十五音韻母對照表,$B31,I$2),  INDEX(十五音韻母對照表,$B31,I$2+1))</f>
        <v>u</v>
      </c>
    </row>
    <row r="32" spans="2:9" ht="50.25">
      <c r="B32" s="46">
        <v>28</v>
      </c>
      <c r="C32" s="49">
        <f t="shared" si="0"/>
        <v>14</v>
      </c>
      <c r="D32" s="8" t="str" cm="1">
        <f t="array" ref="D32" xml:space="preserve"> INDEX(十五音韻母對照表,$B32,2)</f>
        <v>膠</v>
      </c>
      <c r="E32" s="8" t="str" cm="1">
        <f t="array" ref="E32" xml:space="preserve"> IF( MOD($C$5,2)&lt;&gt;0,  INDEX(十五音韻母對照表,$B32,E$2),  INDEX(十五音韻母對照表,$B32,E$2+1))</f>
        <v>a</v>
      </c>
      <c r="F32" s="8" t="str" cm="1">
        <f t="array" ref="F32" xml:space="preserve"> IF( MOD($C$5,2)&lt;&gt;0,  INDEX(十五音韻母對照表,$B32,F$2),  INDEX(十五音韻母對照表,$B32,F$2+1))</f>
        <v>a</v>
      </c>
      <c r="G32" s="8" t="str" cm="1">
        <f t="array" ref="G32" xml:space="preserve"> IF( MOD($C$5,2)&lt;&gt;0,  INDEX(十五音韻母對照表,$B32,G$2),  INDEX(十五音韻母對照表,$B32,G$2+1))</f>
        <v>a</v>
      </c>
      <c r="H32" s="8" t="str" cm="1">
        <f t="array" ref="H32" xml:space="preserve"> IF( MOD($C$5,2)&lt;&gt;0,  INDEX(十五音韻母對照表,$B32,H$2),  INDEX(十五音韻母對照表,$B32,H$2+1))</f>
        <v>a</v>
      </c>
      <c r="I32" s="8" t="str" cm="1">
        <f t="array" ref="I32" xml:space="preserve"> IF( MOD($C$5,2)&lt;&gt;0,  INDEX(十五音韻母對照表,$B32,I$2),  INDEX(十五音韻母對照表,$B32,I$2+1))</f>
        <v>a</v>
      </c>
    </row>
    <row r="33" spans="2:9" ht="50.25">
      <c r="B33" s="46">
        <v>29</v>
      </c>
      <c r="C33" s="49">
        <f t="shared" si="0"/>
        <v>15</v>
      </c>
      <c r="D33" s="8" t="str" cm="1">
        <f t="array" ref="D33" xml:space="preserve"> INDEX(十五音韻母對照表,$B33,2)</f>
        <v>居</v>
      </c>
      <c r="E33" s="8" t="str" cm="1">
        <f t="array" ref="E33" xml:space="preserve"> IF( MOD($C$5,2)&lt;&gt;0,  INDEX(十五音韻母對照表,$B33,E$2),  INDEX(十五音韻母對照表,$B33,E$2+1))</f>
        <v>i</v>
      </c>
      <c r="F33" s="8" t="str" cm="1">
        <f t="array" ref="F33" xml:space="preserve"> IF( MOD($C$5,2)&lt;&gt;0,  INDEX(十五音韻母對照表,$B33,F$2),  INDEX(十五音韻母對照表,$B33,F$2+1))</f>
        <v>i</v>
      </c>
      <c r="G33" s="8" t="str" cm="1">
        <f t="array" ref="G33" xml:space="preserve"> IF( MOD($C$5,2)&lt;&gt;0,  INDEX(十五音韻母對照表,$B33,G$2),  INDEX(十五音韻母對照表,$B33,G$2+1))</f>
        <v>i</v>
      </c>
      <c r="H33" s="8" t="str" cm="1">
        <f t="array" ref="H33" xml:space="preserve"> IF( MOD($C$5,2)&lt;&gt;0,  INDEX(十五音韻母對照表,$B33,H$2),  INDEX(十五音韻母對照表,$B33,H$2+1))</f>
        <v>i</v>
      </c>
      <c r="I33" s="8" t="str" cm="1">
        <f t="array" ref="I33" xml:space="preserve"> IF( MOD($C$5,2)&lt;&gt;0,  INDEX(十五音韻母對照表,$B33,I$2),  INDEX(十五音韻母對照表,$B33,I$2+1))</f>
        <v>i</v>
      </c>
    </row>
    <row r="34" spans="2:9" ht="50.25">
      <c r="B34" s="46">
        <v>30</v>
      </c>
      <c r="C34" s="49">
        <f t="shared" si="0"/>
        <v>15</v>
      </c>
      <c r="D34" s="8" t="str" cm="1">
        <f t="array" ref="D34" xml:space="preserve"> INDEX(十五音韻母對照表,$B34,2)</f>
        <v>丩</v>
      </c>
      <c r="E34" s="8" t="str" cm="1">
        <f t="array" ref="E34" xml:space="preserve"> IF( MOD($C$5,2)&lt;&gt;0,  INDEX(十五音韻母對照表,$B34,E$2),  INDEX(十五音韻母對照表,$B34,E$2+1))</f>
        <v>iu</v>
      </c>
      <c r="F34" s="8" t="str" cm="1">
        <f t="array" ref="F34" xml:space="preserve"> IF( MOD($C$5,2)&lt;&gt;0,  INDEX(十五音韻母對照表,$B34,F$2),  INDEX(十五音韻母對照表,$B34,F$2+1))</f>
        <v>iu</v>
      </c>
      <c r="G34" s="8" t="str" cm="1">
        <f t="array" ref="G34" xml:space="preserve"> IF( MOD($C$5,2)&lt;&gt;0,  INDEX(十五音韻母對照表,$B34,G$2),  INDEX(十五音韻母對照表,$B34,G$2+1))</f>
        <v>iu</v>
      </c>
      <c r="H34" s="8" t="str" cm="1">
        <f t="array" ref="H34" xml:space="preserve"> IF( MOD($C$5,2)&lt;&gt;0,  INDEX(十五音韻母對照表,$B34,H$2),  INDEX(十五音韻母對照表,$B34,H$2+1))</f>
        <v>iu</v>
      </c>
      <c r="I34" s="8" t="str" cm="1">
        <f t="array" ref="I34" xml:space="preserve"> IF( MOD($C$5,2)&lt;&gt;0,  INDEX(十五音韻母對照表,$B34,I$2),  INDEX(十五音韻母對照表,$B34,I$2+1))</f>
        <v>iu</v>
      </c>
    </row>
    <row r="35" spans="2:9" ht="50.25">
      <c r="B35" s="46">
        <v>31</v>
      </c>
      <c r="C35" s="49">
        <f t="shared" si="0"/>
        <v>16</v>
      </c>
      <c r="D35" s="8" t="str" cm="1">
        <f t="array" ref="D35" xml:space="preserve"> INDEX(十五音韻母對照表,$B35,2)</f>
        <v>更</v>
      </c>
      <c r="E35" s="8" t="str" cm="1">
        <f t="array" ref="E35" xml:space="preserve"> IF( MOD($C$5,2)&lt;&gt;0,  INDEX(十五音韻母對照表,$B35,E$2),  INDEX(十五音韻母對照表,$B35,E$2+1))</f>
        <v>enn</v>
      </c>
      <c r="F35" s="8" t="str" cm="1">
        <f t="array" ref="F35" xml:space="preserve"> IF( MOD($C$5,2)&lt;&gt;0,  INDEX(十五音韻母對照表,$B35,F$2),  INDEX(十五音韻母對照表,$B35,F$2+1))</f>
        <v>ɛ̃</v>
      </c>
      <c r="G35" s="8" t="str" cm="1">
        <f t="array" ref="G35" xml:space="preserve"> IF( MOD($C$5,2)&lt;&gt;0,  INDEX(十五音韻母對照表,$B35,G$2),  INDEX(十五音韻母對照表,$B35,G$2+1))</f>
        <v>eⁿ</v>
      </c>
      <c r="H35" s="8" t="str" cm="1">
        <f t="array" ref="H35" xml:space="preserve"> IF( MOD($C$5,2)&lt;&gt;0,  INDEX(十五音韻母對照表,$B35,H$2),  INDEX(十五音韻母對照表,$B35,H$2+1))</f>
        <v>enn</v>
      </c>
      <c r="I35" s="8" t="str" cm="1">
        <f t="array" ref="I35" xml:space="preserve"> IF( MOD($C$5,2)&lt;&gt;0,  INDEX(十五音韻母對照表,$B35,I$2),  INDEX(十五音韻母對照表,$B35,I$2+1))</f>
        <v>ne</v>
      </c>
    </row>
    <row r="36" spans="2:9" ht="50.25">
      <c r="B36" s="46">
        <v>32</v>
      </c>
      <c r="C36" s="49">
        <f t="shared" si="0"/>
        <v>16</v>
      </c>
      <c r="D36" s="8" t="str" cm="1">
        <f t="array" ref="D36" xml:space="preserve"> INDEX(十五音韻母對照表,$B36,2)</f>
        <v>褌</v>
      </c>
      <c r="E36" s="8" t="str" cm="1">
        <f t="array" ref="E36" xml:space="preserve"> IF( MOD($C$5,2)&lt;&gt;0,  INDEX(十五音韻母對照表,$B36,E$2),  INDEX(十五音韻母對照表,$B36,E$2+1))</f>
        <v>uinn</v>
      </c>
      <c r="F36" s="8" t="str" cm="1">
        <f t="array" ref="F36" xml:space="preserve"> IF( MOD($C$5,2)&lt;&gt;0,  INDEX(十五音韻母對照表,$B36,F$2),  INDEX(十五音韻母對照表,$B36,F$2+1))</f>
        <v>uĩ</v>
      </c>
      <c r="G36" s="8" t="str" cm="1">
        <f t="array" ref="G36" xml:space="preserve"> IF( MOD($C$5,2)&lt;&gt;0,  INDEX(十五音韻母對照表,$B36,G$2),  INDEX(十五音韻母對照表,$B36,G$2+1))</f>
        <v>uiⁿ</v>
      </c>
      <c r="H36" s="8" t="str" cm="1">
        <f t="array" ref="H36" xml:space="preserve"> IF( MOD($C$5,2)&lt;&gt;0,  INDEX(十五音韻母對照表,$B36,H$2),  INDEX(十五音韻母對照表,$B36,H$2+1))</f>
        <v>uinn</v>
      </c>
      <c r="I36" s="8" t="str" cm="1">
        <f t="array" ref="I36" xml:space="preserve"> IF( MOD($C$5,2)&lt;&gt;0,  INDEX(十五音韻母對照表,$B36,I$2),  INDEX(十五音韻母對照表,$B36,I$2+1))</f>
        <v>nui</v>
      </c>
    </row>
    <row r="37" spans="2:9" ht="50.25">
      <c r="B37" s="46">
        <v>33</v>
      </c>
      <c r="C37" s="49">
        <f t="shared" si="0"/>
        <v>17</v>
      </c>
      <c r="D37" s="8" t="str" cm="1">
        <f t="array" ref="D37" xml:space="preserve"> INDEX(十五音韻母對照表,$B37,2)</f>
        <v>茄</v>
      </c>
      <c r="E37" s="8" t="str" cm="1">
        <f t="array" ref="E37" xml:space="preserve"> IF( MOD($C$5,2)&lt;&gt;0,  INDEX(十五音韻母對照表,$B37,E$2),  INDEX(十五音韻母對照表,$B37,E$2+1))</f>
        <v>io</v>
      </c>
      <c r="F37" s="8" t="str" cm="1">
        <f t="array" ref="F37" xml:space="preserve"> IF( MOD($C$5,2)&lt;&gt;0,  INDEX(十五音韻母對照表,$B37,F$2),  INDEX(十五音韻母對照表,$B37,F$2+1))</f>
        <v>io</v>
      </c>
      <c r="G37" s="8" t="str" cm="1">
        <f t="array" ref="G37" xml:space="preserve"> IF( MOD($C$5,2)&lt;&gt;0,  INDEX(十五音韻母對照表,$B37,G$2),  INDEX(十五音韻母對照表,$B37,G$2+1))</f>
        <v>io</v>
      </c>
      <c r="H37" s="8" t="str" cm="1">
        <f t="array" ref="H37" xml:space="preserve"> IF( MOD($C$5,2)&lt;&gt;0,  INDEX(十五音韻母對照表,$B37,H$2),  INDEX(十五音韻母對照表,$B37,H$2+1))</f>
        <v>io</v>
      </c>
      <c r="I37" s="8" t="str" cm="1">
        <f t="array" ref="I37" xml:space="preserve"> IF( MOD($C$5,2)&lt;&gt;0,  INDEX(十五音韻母對照表,$B37,I$2),  INDEX(十五音韻母對照表,$B37,I$2+1))</f>
        <v>io</v>
      </c>
    </row>
    <row r="38" spans="2:9" ht="50.25">
      <c r="B38" s="46">
        <v>34</v>
      </c>
      <c r="C38" s="49">
        <f t="shared" si="0"/>
        <v>17</v>
      </c>
      <c r="D38" s="8" t="str" cm="1">
        <f t="array" ref="D38" xml:space="preserve"> INDEX(十五音韻母對照表,$B38,2)</f>
        <v>梔</v>
      </c>
      <c r="E38" s="8" t="str" cm="1">
        <f t="array" ref="E38" xml:space="preserve"> IF( MOD($C$5,2)&lt;&gt;0,  INDEX(十五音韻母對照表,$B38,E$2),  INDEX(十五音韻母對照表,$B38,E$2+1))</f>
        <v>inn</v>
      </c>
      <c r="F38" s="8" t="str" cm="1">
        <f t="array" ref="F38" xml:space="preserve"> IF( MOD($C$5,2)&lt;&gt;0,  INDEX(十五音韻母對照表,$B38,F$2),  INDEX(十五音韻母對照表,$B38,F$2+1))</f>
        <v>ĩ</v>
      </c>
      <c r="G38" s="8" t="str" cm="1">
        <f t="array" ref="G38" xml:space="preserve"> IF( MOD($C$5,2)&lt;&gt;0,  INDEX(十五音韻母對照表,$B38,G$2),  INDEX(十五音韻母對照表,$B38,G$2+1))</f>
        <v>iⁿ</v>
      </c>
      <c r="H38" s="8" t="str" cm="1">
        <f t="array" ref="H38" xml:space="preserve"> IF( MOD($C$5,2)&lt;&gt;0,  INDEX(十五音韻母對照表,$B38,H$2),  INDEX(十五音韻母對照表,$B38,H$2+1))</f>
        <v>inn</v>
      </c>
      <c r="I38" s="8" t="str" cm="1">
        <f t="array" ref="I38" xml:space="preserve"> IF( MOD($C$5,2)&lt;&gt;0,  INDEX(十五音韻母對照表,$B38,I$2),  INDEX(十五音韻母對照表,$B38,I$2+1))</f>
        <v>ni</v>
      </c>
    </row>
    <row r="39" spans="2:9" ht="50.25">
      <c r="B39" s="46">
        <v>35</v>
      </c>
      <c r="C39" s="49">
        <f t="shared" si="0"/>
        <v>18</v>
      </c>
      <c r="D39" s="8" t="str" cm="1">
        <f t="array" ref="D39" xml:space="preserve"> INDEX(十五音韻母對照表,$B39,2)</f>
        <v>薑</v>
      </c>
      <c r="E39" s="8" t="str" cm="1">
        <f t="array" ref="E39" xml:space="preserve"> IF( MOD($C$5,2)&lt;&gt;0,  INDEX(十五音韻母對照表,$B39,E$2),  INDEX(十五音韻母對照表,$B39,E$2+1))</f>
        <v>ionn</v>
      </c>
      <c r="F39" s="8" t="str" cm="1">
        <f t="array" ref="F39" xml:space="preserve"> IF( MOD($C$5,2)&lt;&gt;0,  INDEX(十五音韻母對照表,$B39,F$2),  INDEX(十五音韻母對照表,$B39,F$2+1))</f>
        <v>iɔ̃</v>
      </c>
      <c r="G39" s="8" t="str" cm="1">
        <f t="array" ref="G39" xml:space="preserve"> IF( MOD($C$5,2)&lt;&gt;0,  INDEX(十五音韻母對照表,$B39,G$2),  INDEX(十五音韻母對照表,$B39,G$2+1))</f>
        <v>ioⁿ</v>
      </c>
      <c r="H39" s="8" t="str" cm="1">
        <f t="array" ref="H39" xml:space="preserve"> IF( MOD($C$5,2)&lt;&gt;0,  INDEX(十五音韻母對照表,$B39,H$2),  INDEX(十五音韻母對照表,$B39,H$2+1))</f>
        <v>ionn</v>
      </c>
      <c r="I39" s="8" t="str" cm="1">
        <f t="array" ref="I39" xml:space="preserve"> IF( MOD($C$5,2)&lt;&gt;0,  INDEX(十五音韻母對照表,$B39,I$2),  INDEX(十五音韻母對照表,$B39,I$2+1))</f>
        <v>nioo</v>
      </c>
    </row>
    <row r="40" spans="2:9" ht="50.25">
      <c r="B40" s="46">
        <v>36</v>
      </c>
      <c r="C40" s="49">
        <f t="shared" si="0"/>
        <v>18</v>
      </c>
      <c r="D40" s="8" t="str" cm="1">
        <f t="array" ref="D40" xml:space="preserve"> INDEX(十五音韻母對照表,$B40,2)</f>
        <v>驚</v>
      </c>
      <c r="E40" s="8" t="str" cm="1">
        <f t="array" ref="E40" xml:space="preserve"> IF( MOD($C$5,2)&lt;&gt;0,  INDEX(十五音韻母對照表,$B40,E$2),  INDEX(十五音韻母對照表,$B40,E$2+1))</f>
        <v>iann</v>
      </c>
      <c r="F40" s="8" t="str" cm="1">
        <f t="array" ref="F40" xml:space="preserve"> IF( MOD($C$5,2)&lt;&gt;0,  INDEX(十五音韻母對照表,$B40,F$2),  INDEX(十五音韻母對照表,$B40,F$2+1))</f>
        <v>iã</v>
      </c>
      <c r="G40" s="8" t="str" cm="1">
        <f t="array" ref="G40" xml:space="preserve"> IF( MOD($C$5,2)&lt;&gt;0,  INDEX(十五音韻母對照表,$B40,G$2),  INDEX(十五音韻母對照表,$B40,G$2+1))</f>
        <v>iaⁿ</v>
      </c>
      <c r="H40" s="8" t="str" cm="1">
        <f t="array" ref="H40" xml:space="preserve"> IF( MOD($C$5,2)&lt;&gt;0,  INDEX(十五音韻母對照表,$B40,H$2),  INDEX(十五音韻母對照表,$B40,H$2+1))</f>
        <v>iann</v>
      </c>
      <c r="I40" s="8" t="str" cm="1">
        <f t="array" ref="I40" xml:space="preserve"> IF( MOD($C$5,2)&lt;&gt;0,  INDEX(十五音韻母對照表,$B40,I$2),  INDEX(十五音韻母對照表,$B40,I$2+1))</f>
        <v>nia</v>
      </c>
    </row>
    <row r="41" spans="2:9" ht="50.25">
      <c r="B41" s="46">
        <v>37</v>
      </c>
      <c r="C41" s="49">
        <f t="shared" si="0"/>
        <v>19</v>
      </c>
      <c r="D41" s="8" t="str" cm="1">
        <f t="array" ref="D41" xml:space="preserve"> INDEX(十五音韻母對照表,$B41,2)</f>
        <v>官</v>
      </c>
      <c r="E41" s="8" t="str" cm="1">
        <f t="array" ref="E41" xml:space="preserve"> IF( MOD($C$5,2)&lt;&gt;0,  INDEX(十五音韻母對照表,$B41,E$2),  INDEX(十五音韻母對照表,$B41,E$2+1))</f>
        <v>uann</v>
      </c>
      <c r="F41" s="8" t="str" cm="1">
        <f t="array" ref="F41" xml:space="preserve"> IF( MOD($C$5,2)&lt;&gt;0,  INDEX(十五音韻母對照表,$B41,F$2),  INDEX(十五音韻母對照表,$B41,F$2+1))</f>
        <v>uã</v>
      </c>
      <c r="G41" s="8" t="str" cm="1">
        <f t="array" ref="G41" xml:space="preserve"> IF( MOD($C$5,2)&lt;&gt;0,  INDEX(十五音韻母對照表,$B41,G$2),  INDEX(十五音韻母對照表,$B41,G$2+1))</f>
        <v>oaⁿ</v>
      </c>
      <c r="H41" s="8" t="str" cm="1">
        <f t="array" ref="H41" xml:space="preserve"> IF( MOD($C$5,2)&lt;&gt;0,  INDEX(十五音韻母對照表,$B41,H$2),  INDEX(十五音韻母對照表,$B41,H$2+1))</f>
        <v>uann</v>
      </c>
      <c r="I41" s="8" t="str" cm="1">
        <f t="array" ref="I41" xml:space="preserve"> IF( MOD($C$5,2)&lt;&gt;0,  INDEX(十五音韻母對照表,$B41,I$2),  INDEX(十五音韻母對照表,$B41,I$2+1))</f>
        <v>nua</v>
      </c>
    </row>
    <row r="42" spans="2:9" ht="50.25">
      <c r="B42" s="46">
        <v>38</v>
      </c>
      <c r="C42" s="49">
        <f t="shared" si="0"/>
        <v>19</v>
      </c>
      <c r="D42" s="8" t="str" cm="1">
        <f t="array" ref="D42" xml:space="preserve"> INDEX(十五音韻母對照表,$B42,2)</f>
        <v>鋼</v>
      </c>
      <c r="E42" s="8" t="str" cm="1">
        <f t="array" ref="E42" xml:space="preserve"> IF( MOD($C$5,2)&lt;&gt;0,  INDEX(十五音韻母對照表,$B42,E$2),  INDEX(十五音韻母對照表,$B42,E$2+1))</f>
        <v>ng</v>
      </c>
      <c r="F42" s="8" t="str" cm="1">
        <f t="array" ref="F42" xml:space="preserve"> IF( MOD($C$5,2)&lt;&gt;0,  INDEX(十五音韻母對照表,$B42,F$2),  INDEX(十五音韻母對照表,$B42,F$2+1))</f>
        <v>ŋ</v>
      </c>
      <c r="G42" s="8" t="str" cm="1">
        <f t="array" ref="G42" xml:space="preserve"> IF( MOD($C$5,2)&lt;&gt;0,  INDEX(十五音韻母對照表,$B42,G$2),  INDEX(十五音韻母對照表,$B42,G$2+1))</f>
        <v>ng</v>
      </c>
      <c r="H42" s="8" t="str" cm="1">
        <f t="array" ref="H42" xml:space="preserve"> IF( MOD($C$5,2)&lt;&gt;0,  INDEX(十五音韻母對照表,$B42,H$2),  INDEX(十五音韻母對照表,$B42,H$2+1))</f>
        <v>ng</v>
      </c>
      <c r="I42" s="8" t="str" cm="1">
        <f t="array" ref="I42" xml:space="preserve"> IF( MOD($C$5,2)&lt;&gt;0,  INDEX(十五音韻母對照表,$B42,I$2),  INDEX(十五音韻母對照表,$B42,I$2+1))</f>
        <v>ng</v>
      </c>
    </row>
    <row r="43" spans="2:9" ht="50.25">
      <c r="B43" s="46">
        <v>39</v>
      </c>
      <c r="C43" s="49">
        <f t="shared" si="0"/>
        <v>20</v>
      </c>
      <c r="D43" s="8" t="str" cm="1">
        <f t="array" ref="D43" xml:space="preserve"> INDEX(十五音韻母對照表,$B43,2)</f>
        <v>伽</v>
      </c>
      <c r="E43" s="8" t="str" cm="1">
        <f t="array" ref="E43" xml:space="preserve"> IF( MOD($C$5,2)&lt;&gt;0,  INDEX(十五音韻母對照表,$B43,E$2),  INDEX(十五音韻母對照表,$B43,E$2+1))</f>
        <v>e</v>
      </c>
      <c r="F43" s="8" t="str" cm="1">
        <f t="array" ref="F43" xml:space="preserve"> IF( MOD($C$5,2)&lt;&gt;0,  INDEX(十五音韻母對照表,$B43,F$2),  INDEX(十五音韻母對照表,$B43,F$2+1))</f>
        <v>e</v>
      </c>
      <c r="G43" s="8" t="str" cm="1">
        <f t="array" ref="G43" xml:space="preserve"> IF( MOD($C$5,2)&lt;&gt;0,  INDEX(十五音韻母對照表,$B43,G$2),  INDEX(十五音韻母對照表,$B43,G$2+1))</f>
        <v>e</v>
      </c>
      <c r="H43" s="8" t="str" cm="1">
        <f t="array" ref="H43" xml:space="preserve"> IF( MOD($C$5,2)&lt;&gt;0,  INDEX(十五音韻母對照表,$B43,H$2),  INDEX(十五音韻母對照表,$B43,H$2+1))</f>
        <v>e</v>
      </c>
      <c r="I43" s="8" t="str" cm="1">
        <f t="array" ref="I43" xml:space="preserve"> IF( MOD($C$5,2)&lt;&gt;0,  INDEX(十五音韻母對照表,$B43,I$2),  INDEX(十五音韻母對照表,$B43,I$2+1))</f>
        <v>e</v>
      </c>
    </row>
    <row r="44" spans="2:9" ht="50.25">
      <c r="B44" s="46">
        <v>40</v>
      </c>
      <c r="C44" s="49">
        <f t="shared" si="0"/>
        <v>20</v>
      </c>
      <c r="D44" s="8" t="str" cm="1">
        <f t="array" ref="D44" xml:space="preserve"> INDEX(十五音韻母對照表,$B44,2)</f>
        <v>閒</v>
      </c>
      <c r="E44" s="8" t="str" cm="1">
        <f t="array" ref="E44" xml:space="preserve"> IF( MOD($C$5,2)&lt;&gt;0,  INDEX(十五音韻母對照表,$B44,E$2),  INDEX(十五音韻母對照表,$B44,E$2+1))</f>
        <v>ainn</v>
      </c>
      <c r="F44" s="8" t="str" cm="1">
        <f t="array" ref="F44" xml:space="preserve"> IF( MOD($C$5,2)&lt;&gt;0,  INDEX(十五音韻母對照表,$B44,F$2),  INDEX(十五音韻母對照表,$B44,F$2+1))</f>
        <v>aĩ</v>
      </c>
      <c r="G44" s="8" t="str" cm="1">
        <f t="array" ref="G44" xml:space="preserve"> IF( MOD($C$5,2)&lt;&gt;0,  INDEX(十五音韻母對照表,$B44,G$2),  INDEX(十五音韻母對照表,$B44,G$2+1))</f>
        <v>aiⁿ</v>
      </c>
      <c r="H44" s="8" t="str" cm="1">
        <f t="array" ref="H44" xml:space="preserve"> IF( MOD($C$5,2)&lt;&gt;0,  INDEX(十五音韻母對照表,$B44,H$2),  INDEX(十五音韻母對照表,$B44,H$2+1))</f>
        <v>ainn</v>
      </c>
      <c r="I44" s="8" t="str" cm="1">
        <f t="array" ref="I44" xml:space="preserve"> IF( MOD($C$5,2)&lt;&gt;0,  INDEX(十五音韻母對照表,$B44,I$2),  INDEX(十五音韻母對照表,$B44,I$2+1))</f>
        <v>nai</v>
      </c>
    </row>
    <row r="45" spans="2:9" ht="50.25">
      <c r="B45" s="46">
        <v>41</v>
      </c>
      <c r="C45" s="49">
        <f t="shared" si="0"/>
        <v>21</v>
      </c>
      <c r="D45" s="8" t="str" cm="1">
        <f t="array" ref="D45" xml:space="preserve"> INDEX(十五音韻母對照表,$B45,2)</f>
        <v>姑</v>
      </c>
      <c r="E45" s="8" t="str" cm="1">
        <f t="array" ref="E45" xml:space="preserve"> IF( MOD($C$5,2)&lt;&gt;0,  INDEX(十五音韻母對照表,$B45,E$2),  INDEX(十五音韻母對照表,$B45,E$2+1))</f>
        <v>oonn</v>
      </c>
      <c r="F45" s="8" t="str" cm="1">
        <f t="array" ref="F45" xml:space="preserve"> IF( MOD($C$5,2)&lt;&gt;0,  INDEX(十五音韻母對照表,$B45,F$2),  INDEX(十五音韻母對照表,$B45,F$2+1))</f>
        <v>õu</v>
      </c>
      <c r="G45" s="8" t="str" cm="1">
        <f t="array" ref="G45" xml:space="preserve"> IF( MOD($C$5,2)&lt;&gt;0,  INDEX(十五音韻母對照表,$B45,G$2),  INDEX(十五音韻母對照表,$B45,G$2+1))</f>
        <v>oⁿ</v>
      </c>
      <c r="H45" s="8" t="str" cm="1">
        <f t="array" ref="H45" xml:space="preserve"> IF( MOD($C$5,2)&lt;&gt;0,  INDEX(十五音韻母對照表,$B45,H$2),  INDEX(十五音韻母對照表,$B45,H$2+1))</f>
        <v>onn</v>
      </c>
      <c r="I45" s="8" t="str" cm="1">
        <f t="array" ref="I45" xml:space="preserve"> IF( MOD($C$5,2)&lt;&gt;0,  INDEX(十五音韻母對照表,$B45,I$2),  INDEX(十五音韻母對照表,$B45,I$2+1))</f>
        <v>noo</v>
      </c>
    </row>
    <row r="46" spans="2:9" ht="50.25">
      <c r="B46" s="46">
        <v>42</v>
      </c>
      <c r="C46" s="49">
        <f t="shared" si="0"/>
        <v>21</v>
      </c>
      <c r="D46" s="8" t="str" cm="1">
        <f t="array" ref="D46" xml:space="preserve"> INDEX(十五音韻母對照表,$B46,2)</f>
        <v>姆</v>
      </c>
      <c r="E46" s="8" t="str" cm="1">
        <f t="array" ref="E46" xml:space="preserve"> IF( MOD($C$5,2)&lt;&gt;0,  INDEX(十五音韻母對照表,$B46,E$2),  INDEX(十五音韻母對照表,$B46,E$2+1))</f>
        <v>m</v>
      </c>
      <c r="F46" s="8" t="str" cm="1">
        <f t="array" ref="F46" xml:space="preserve"> IF( MOD($C$5,2)&lt;&gt;0,  INDEX(十五音韻母對照表,$B46,F$2),  INDEX(十五音韻母對照表,$B46,F$2+1))</f>
        <v>m</v>
      </c>
      <c r="G46" s="8" t="str" cm="1">
        <f t="array" ref="G46" xml:space="preserve"> IF( MOD($C$5,2)&lt;&gt;0,  INDEX(十五音韻母對照表,$B46,G$2),  INDEX(十五音韻母對照表,$B46,G$2+1))</f>
        <v>m</v>
      </c>
      <c r="H46" s="8" t="str" cm="1">
        <f t="array" ref="H46" xml:space="preserve"> IF( MOD($C$5,2)&lt;&gt;0,  INDEX(十五音韻母對照表,$B46,H$2),  INDEX(十五音韻母對照表,$B46,H$2+1))</f>
        <v>m</v>
      </c>
      <c r="I46" s="8" t="str" cm="1">
        <f t="array" ref="I46" xml:space="preserve"> IF( MOD($C$5,2)&lt;&gt;0,  INDEX(十五音韻母對照表,$B46,I$2),  INDEX(十五音韻母對照表,$B46,I$2+1))</f>
        <v>m</v>
      </c>
    </row>
    <row r="47" spans="2:9" ht="50.25">
      <c r="B47" s="46">
        <v>43</v>
      </c>
      <c r="C47" s="49">
        <f t="shared" si="0"/>
        <v>22</v>
      </c>
      <c r="D47" s="8" t="str" cm="1">
        <f t="array" ref="D47" xml:space="preserve"> INDEX(十五音韻母對照表,$B47,2)</f>
        <v>光</v>
      </c>
      <c r="E47" s="8" t="str" cm="1">
        <f t="array" ref="E47" xml:space="preserve"> IF( MOD($C$5,2)&lt;&gt;0,  INDEX(十五音韻母對照表,$B47,E$2),  INDEX(十五音韻母對照表,$B47,E$2+1))</f>
        <v>uang</v>
      </c>
      <c r="F47" s="8" t="str" cm="1">
        <f t="array" ref="F47" xml:space="preserve"> IF( MOD($C$5,2)&lt;&gt;0,  INDEX(十五音韻母對照表,$B47,F$2),  INDEX(十五音韻母對照表,$B47,F$2+1))</f>
        <v>uaŋ</v>
      </c>
      <c r="G47" s="8" t="str" cm="1">
        <f t="array" ref="G47" xml:space="preserve"> IF( MOD($C$5,2)&lt;&gt;0,  INDEX(十五音韻母對照表,$B47,G$2),  INDEX(十五音韻母對照表,$B47,G$2+1))</f>
        <v>oang</v>
      </c>
      <c r="H47" s="8" t="str" cm="1">
        <f t="array" ref="H47" xml:space="preserve"> IF( MOD($C$5,2)&lt;&gt;0,  INDEX(十五音韻母對照表,$B47,H$2),  INDEX(十五音韻母對照表,$B47,H$2+1))</f>
        <v>uang</v>
      </c>
      <c r="I47" s="8" t="str" cm="1">
        <f t="array" ref="I47" xml:space="preserve"> IF( MOD($C$5,2)&lt;&gt;0,  INDEX(十五音韻母對照表,$B47,I$2),  INDEX(十五音韻母對照表,$B47,I$2+1))</f>
        <v>uang</v>
      </c>
    </row>
    <row r="48" spans="2:9" ht="100.5">
      <c r="B48" s="46">
        <v>44</v>
      </c>
      <c r="C48" s="49">
        <f t="shared" si="0"/>
        <v>22</v>
      </c>
      <c r="D48" s="8" t="str" cm="1">
        <f t="array" ref="D48" xml:space="preserve"> INDEX(十五音韻母對照表,$B48,2)</f>
        <v>閂</v>
      </c>
      <c r="E48" s="8" t="str" cm="1">
        <f t="array" ref="E48" xml:space="preserve"> IF( MOD($C$5,2)&lt;&gt;0,  INDEX(十五音韻母對照表,$B48,E$2),  INDEX(十五音韻母對照表,$B48,E$2+1))</f>
        <v>uainn</v>
      </c>
      <c r="F48" s="8" t="str" cm="1">
        <f t="array" ref="F48" xml:space="preserve"> IF( MOD($C$5,2)&lt;&gt;0,  INDEX(十五音韻母對照表,$B48,F$2),  INDEX(十五音韻母對照表,$B48,F$2+1))</f>
        <v>uãi</v>
      </c>
      <c r="G48" s="8" t="str" cm="1">
        <f t="array" ref="G48" xml:space="preserve"> IF( MOD($C$5,2)&lt;&gt;0,  INDEX(十五音韻母對照表,$B48,G$2),  INDEX(十五音韻母對照表,$B48,G$2+1))</f>
        <v>oaiⁿ</v>
      </c>
      <c r="H48" s="8" t="str" cm="1">
        <f t="array" ref="H48" xml:space="preserve"> IF( MOD($C$5,2)&lt;&gt;0,  INDEX(十五音韻母對照表,$B48,H$2),  INDEX(十五音韻母對照表,$B48,H$2+1))</f>
        <v>uainn</v>
      </c>
      <c r="I48" s="8" t="str" cm="1">
        <f t="array" ref="I48" xml:space="preserve"> IF( MOD($C$5,2)&lt;&gt;0,  INDEX(十五音韻母對照表,$B48,I$2),  INDEX(十五音韻母對照表,$B48,I$2+1))</f>
        <v>nuai</v>
      </c>
    </row>
    <row r="49" spans="2:9" ht="50.25">
      <c r="B49" s="46">
        <v>45</v>
      </c>
      <c r="C49" s="49">
        <f t="shared" si="0"/>
        <v>23</v>
      </c>
      <c r="D49" s="8" t="str" cm="1">
        <f t="array" ref="D49" xml:space="preserve"> INDEX(十五音韻母對照表,$B49,2)</f>
        <v>糜</v>
      </c>
      <c r="E49" s="8" t="str" cm="1">
        <f t="array" ref="E49" xml:space="preserve"> IF( MOD($C$5,2)&lt;&gt;0,  INDEX(十五音韻母對照表,$B49,E$2),  INDEX(十五音韻母對照表,$B49,E$2+1))</f>
        <v>uenn</v>
      </c>
      <c r="F49" s="8" t="str" cm="1">
        <f t="array" ref="F49" xml:space="preserve"> IF( MOD($C$5,2)&lt;&gt;0,  INDEX(十五音韻母對照表,$B49,F$2),  INDEX(十五音韻母對照表,$B49,F$2+1))</f>
        <v>uẽi</v>
      </c>
      <c r="G49" s="8" t="str" cm="1">
        <f t="array" ref="G49" xml:space="preserve"> IF( MOD($C$5,2)&lt;&gt;0,  INDEX(十五音韻母對照表,$B49,G$2),  INDEX(十五音韻母對照表,$B49,G$2+1))</f>
        <v>oeⁿ</v>
      </c>
      <c r="H49" s="8" t="str" cm="1">
        <f t="array" ref="H49" xml:space="preserve"> IF( MOD($C$5,2)&lt;&gt;0,  INDEX(十五音韻母對照表,$B49,H$2),  INDEX(十五音韻母對照表,$B49,H$2+1))</f>
        <v>uenn</v>
      </c>
      <c r="I49" s="8" t="str" cm="1">
        <f t="array" ref="I49" xml:space="preserve"> IF( MOD($C$5,2)&lt;&gt;0,  INDEX(十五音韻母對照表,$B49,I$2),  INDEX(十五音韻母對照表,$B49,I$2+1))</f>
        <v>nue</v>
      </c>
    </row>
    <row r="50" spans="2:9" ht="100.5">
      <c r="B50" s="46">
        <v>46</v>
      </c>
      <c r="C50" s="49">
        <f t="shared" si="0"/>
        <v>23</v>
      </c>
      <c r="D50" s="8" t="str" cm="1">
        <f t="array" ref="D50" xml:space="preserve"> INDEX(十五音韻母對照表,$B50,2)</f>
        <v>嘄</v>
      </c>
      <c r="E50" s="8" t="str" cm="1">
        <f t="array" ref="E50" xml:space="preserve"> IF( MOD($C$5,2)&lt;&gt;0,  INDEX(十五音韻母對照表,$B50,E$2),  INDEX(十五音韻母對照表,$B50,E$2+1))</f>
        <v>iaunn</v>
      </c>
      <c r="F50" s="8" t="str" cm="1">
        <f t="array" ref="F50" xml:space="preserve"> IF( MOD($C$5,2)&lt;&gt;0,  INDEX(十五音韻母對照表,$B50,F$2),  INDEX(十五音韻母對照表,$B50,F$2+1))</f>
        <v>iãu</v>
      </c>
      <c r="G50" s="8" t="str" cm="1">
        <f t="array" ref="G50" xml:space="preserve"> IF( MOD($C$5,2)&lt;&gt;0,  INDEX(十五音韻母對照表,$B50,G$2),  INDEX(十五音韻母對照表,$B50,G$2+1))</f>
        <v>iauⁿ</v>
      </c>
      <c r="H50" s="8" t="str" cm="1">
        <f t="array" ref="H50" xml:space="preserve"> IF( MOD($C$5,2)&lt;&gt;0,  INDEX(十五音韻母對照表,$B50,H$2),  INDEX(十五音韻母對照表,$B50,H$2+1))</f>
        <v>iaunn</v>
      </c>
      <c r="I50" s="8" t="str" cm="1">
        <f t="array" ref="I50" xml:space="preserve"> IF( MOD($C$5,2)&lt;&gt;0,  INDEX(十五音韻母對照表,$B50,I$2),  INDEX(十五音韻母對照表,$B50,I$2+1))</f>
        <v>niao</v>
      </c>
    </row>
    <row r="51" spans="2:9" ht="50.25">
      <c r="B51" s="46">
        <v>47</v>
      </c>
      <c r="C51" s="49">
        <f t="shared" si="0"/>
        <v>24</v>
      </c>
      <c r="D51" s="8" t="str" cm="1">
        <f t="array" ref="D51" xml:space="preserve"> INDEX(十五音韻母對照表,$B51,2)</f>
        <v>箴</v>
      </c>
      <c r="E51" s="8" t="str" cm="1">
        <f t="array" ref="E51" xml:space="preserve"> IF( MOD($C$5,2)&lt;&gt;0,  INDEX(十五音韻母對照表,$B51,E$2),  INDEX(十五音韻母對照表,$B51,E$2+1))</f>
        <v>om</v>
      </c>
      <c r="F51" s="8" t="str" cm="1">
        <f t="array" ref="F51" xml:space="preserve"> IF( MOD($C$5,2)&lt;&gt;0,  INDEX(十五音韻母對照表,$B51,F$2),  INDEX(十五音韻母對照表,$B51,F$2+1))</f>
        <v>ɔm</v>
      </c>
      <c r="G51" s="8" t="str" cm="1">
        <f t="array" ref="G51" xml:space="preserve"> IF( MOD($C$5,2)&lt;&gt;0,  INDEX(十五音韻母對照表,$B51,G$2),  INDEX(十五音韻母對照表,$B51,G$2+1))</f>
        <v>om</v>
      </c>
      <c r="H51" s="8" t="str" cm="1">
        <f t="array" ref="H51" xml:space="preserve"> IF( MOD($C$5,2)&lt;&gt;0,  INDEX(十五音韻母對照表,$B51,H$2),  INDEX(十五音韻母對照表,$B51,H$2+1))</f>
        <v>om</v>
      </c>
      <c r="I51" s="8" t="str" cm="1">
        <f t="array" ref="I51" xml:space="preserve"> IF( MOD($C$5,2)&lt;&gt;0,  INDEX(十五音韻母對照表,$B51,I$2),  INDEX(十五音韻母對照表,$B51,I$2+1))</f>
        <v>om</v>
      </c>
    </row>
    <row r="52" spans="2:9" ht="50.25">
      <c r="B52" s="46">
        <v>48</v>
      </c>
      <c r="C52" s="49">
        <f t="shared" si="0"/>
        <v>24</v>
      </c>
      <c r="D52" s="8" t="str" cm="1">
        <f t="array" ref="D52" xml:space="preserve"> INDEX(十五音韻母對照表,$B52,2)</f>
        <v>爻</v>
      </c>
      <c r="E52" s="8" t="str" cm="1">
        <f t="array" ref="E52" xml:space="preserve"> IF( MOD($C$5,2)&lt;&gt;0,  INDEX(十五音韻母對照表,$B52,E$2),  INDEX(十五音韻母對照表,$B52,E$2+1))</f>
        <v>aunn</v>
      </c>
      <c r="F52" s="8" t="str" cm="1">
        <f t="array" ref="F52" xml:space="preserve"> IF( MOD($C$5,2)&lt;&gt;0,  INDEX(十五音韻母對照表,$B52,F$2),  INDEX(十五音韻母對照表,$B52,F$2+1))</f>
        <v>ãu</v>
      </c>
      <c r="G52" s="8" t="str" cm="1">
        <f t="array" ref="G52" xml:space="preserve"> IF( MOD($C$5,2)&lt;&gt;0,  INDEX(十五音韻母對照表,$B52,G$2),  INDEX(十五音韻母對照表,$B52,G$2+1))</f>
        <v>auⁿ</v>
      </c>
      <c r="H52" s="8" t="str" cm="1">
        <f t="array" ref="H52" xml:space="preserve"> IF( MOD($C$5,2)&lt;&gt;0,  INDEX(十五音韻母對照表,$B52,H$2),  INDEX(十五音韻母對照表,$B52,H$2+1))</f>
        <v>aunn</v>
      </c>
      <c r="I52" s="8" t="str" cm="1">
        <f t="array" ref="I52" xml:space="preserve"> IF( MOD($C$5,2)&lt;&gt;0,  INDEX(十五音韻母對照表,$B52,I$2),  INDEX(十五音韻母對照表,$B52,I$2+1))</f>
        <v>nao</v>
      </c>
    </row>
    <row r="53" spans="2:9" ht="50.25">
      <c r="B53" s="46">
        <v>49</v>
      </c>
      <c r="C53" s="49">
        <f t="shared" si="0"/>
        <v>25</v>
      </c>
      <c r="D53" s="8" t="str" cm="1">
        <f t="array" ref="D53" xml:space="preserve"> INDEX(十五音韻母對照表,$B53,2)</f>
        <v>扛</v>
      </c>
      <c r="E53" s="8" t="str" cm="1">
        <f t="array" ref="E53" xml:space="preserve"> IF( MOD($C$5,2)&lt;&gt;0,  INDEX(十五音韻母對照表,$B53,E$2),  INDEX(十五音韻母對照表,$B53,E$2+1))</f>
        <v>onn</v>
      </c>
      <c r="F53" s="8" t="str" cm="1">
        <f t="array" ref="F53" xml:space="preserve"> IF( MOD($C$5,2)&lt;&gt;0,  INDEX(十五音韻母對照表,$B53,F$2),  INDEX(十五音韻母對照表,$B53,F$2+1))</f>
        <v>ɔ̃</v>
      </c>
      <c r="G53" s="8" t="str" cm="1">
        <f t="array" ref="G53" xml:space="preserve"> IF( MOD($C$5,2)&lt;&gt;0,  INDEX(十五音韻母對照表,$B53,G$2),  INDEX(十五音韻母對照表,$B53,G$2+1))</f>
        <v>oⁿ</v>
      </c>
      <c r="H53" s="8" t="str" cm="1">
        <f t="array" ref="H53" xml:space="preserve"> IF( MOD($C$5,2)&lt;&gt;0,  INDEX(十五音韻母對照表,$B53,H$2),  INDEX(十五音韻母對照表,$B53,H$2+1))</f>
        <v>onn</v>
      </c>
      <c r="I53" s="8" t="str" cm="1">
        <f t="array" ref="I53" xml:space="preserve"> IF( MOD($C$5,2)&lt;&gt;0,  INDEX(十五音韻母對照表,$B53,I$2),  INDEX(十五音韻母對照表,$B53,I$2+1))</f>
        <v>no</v>
      </c>
    </row>
    <row r="54" spans="2:9" ht="50.25">
      <c r="B54" s="46">
        <v>50</v>
      </c>
      <c r="C54" s="49">
        <f t="shared" si="0"/>
        <v>25</v>
      </c>
      <c r="D54" s="8" t="str" cm="1">
        <f t="array" ref="D54" xml:space="preserve"> INDEX(十五音韻母對照表,$B54,2)</f>
        <v>牛</v>
      </c>
      <c r="E54" s="8" t="str" cm="1">
        <f t="array" ref="E54" xml:space="preserve"> IF( MOD($C$5,2)&lt;&gt;0,  INDEX(十五音韻母對照表,$B54,E$2),  INDEX(十五音韻母對照表,$B54,E$2+1))</f>
        <v>iunn</v>
      </c>
      <c r="F54" s="8" t="str" cm="1">
        <f t="array" ref="F54" xml:space="preserve"> IF( MOD($C$5,2)&lt;&gt;0,  INDEX(十五音韻母對照表,$B54,F$2),  INDEX(十五音韻母對照表,$B54,F$2+1))</f>
        <v>iũ</v>
      </c>
      <c r="G54" s="8" t="str" cm="1">
        <f t="array" ref="G54" xml:space="preserve"> IF( MOD($C$5,2)&lt;&gt;0,  INDEX(十五音韻母對照表,$B54,G$2),  INDEX(十五音韻母對照表,$B54,G$2+1))</f>
        <v>iuⁿ</v>
      </c>
      <c r="H54" s="8" t="str" cm="1">
        <f t="array" ref="H54" xml:space="preserve"> IF( MOD($C$5,2)&lt;&gt;0,  INDEX(十五音韻母對照表,$B54,H$2),  INDEX(十五音韻母對照表,$B54,H$2+1))</f>
        <v>iunn</v>
      </c>
      <c r="I54" s="8" t="str" cm="1">
        <f t="array" ref="I54" xml:space="preserve"> IF( MOD($C$5,2)&lt;&gt;0,  INDEX(十五音韻母對照表,$B54,I$2),  INDEX(十五音韻母對照表,$B54,I$2+1))</f>
        <v>niu</v>
      </c>
    </row>
    <row r="55" spans="2:9">
      <c r="B55" s="46">
        <v>51</v>
      </c>
    </row>
    <row r="56" spans="2:9">
      <c r="B56" s="46">
        <v>52</v>
      </c>
    </row>
    <row r="57" spans="2:9">
      <c r="B57" s="46">
        <v>53</v>
      </c>
    </row>
    <row r="58" spans="2:9">
      <c r="B58" s="46">
        <v>54</v>
      </c>
    </row>
    <row r="59" spans="2:9">
      <c r="B59" s="46">
        <v>55</v>
      </c>
    </row>
    <row r="60" spans="2:9">
      <c r="B60" s="46">
        <v>56</v>
      </c>
    </row>
    <row r="61" spans="2:9">
      <c r="B61" s="46">
        <v>57</v>
      </c>
    </row>
    <row r="62" spans="2:9">
      <c r="B62" s="46">
        <v>58</v>
      </c>
    </row>
    <row r="63" spans="2:9">
      <c r="B63" s="46">
        <v>59</v>
      </c>
    </row>
    <row r="64" spans="2:9">
      <c r="B64" s="46">
        <v>60</v>
      </c>
    </row>
    <row r="65" spans="2:2">
      <c r="B65" s="46">
        <v>61</v>
      </c>
    </row>
    <row r="66" spans="2:2">
      <c r="B66" s="46">
        <v>62</v>
      </c>
    </row>
    <row r="67" spans="2:2">
      <c r="B67" s="46">
        <v>63</v>
      </c>
    </row>
    <row r="68" spans="2:2">
      <c r="B68" s="46">
        <v>64</v>
      </c>
    </row>
    <row r="69" spans="2:2">
      <c r="B69" s="46">
        <v>65</v>
      </c>
    </row>
    <row r="70" spans="2:2">
      <c r="B70" s="46">
        <v>66</v>
      </c>
    </row>
    <row r="71" spans="2:2">
      <c r="B71" s="46">
        <v>67</v>
      </c>
    </row>
    <row r="72" spans="2:2">
      <c r="B72" s="46">
        <v>68</v>
      </c>
    </row>
    <row r="73" spans="2:2">
      <c r="B73" s="46">
        <v>69</v>
      </c>
    </row>
    <row r="74" spans="2:2">
      <c r="B74" s="46">
        <v>70</v>
      </c>
    </row>
    <row r="75" spans="2:2">
      <c r="B75" s="46">
        <v>71</v>
      </c>
    </row>
    <row r="76" spans="2:2">
      <c r="B76" s="46">
        <v>72</v>
      </c>
    </row>
    <row r="77" spans="2:2">
      <c r="B77" s="46">
        <v>73</v>
      </c>
    </row>
    <row r="78" spans="2:2">
      <c r="B78" s="46">
        <v>74</v>
      </c>
    </row>
    <row r="79" spans="2:2">
      <c r="B79" s="46">
        <v>75</v>
      </c>
    </row>
    <row r="80" spans="2:2">
      <c r="B80" s="46">
        <v>76</v>
      </c>
    </row>
    <row r="81" spans="2:2">
      <c r="B81" s="46">
        <v>77</v>
      </c>
    </row>
    <row r="82" spans="2:2">
      <c r="B82" s="46">
        <v>78</v>
      </c>
    </row>
    <row r="83" spans="2:2">
      <c r="B83" s="46">
        <v>79</v>
      </c>
    </row>
    <row r="84" spans="2:2">
      <c r="B84" s="46">
        <v>80</v>
      </c>
    </row>
    <row r="85" spans="2:2">
      <c r="B85" s="46">
        <v>81</v>
      </c>
    </row>
    <row r="86" spans="2:2">
      <c r="B86" s="46">
        <v>82</v>
      </c>
    </row>
    <row r="87" spans="2:2">
      <c r="B87" s="46">
        <v>83</v>
      </c>
    </row>
    <row r="88" spans="2:2">
      <c r="B88" s="46">
        <v>84</v>
      </c>
    </row>
    <row r="89" spans="2:2">
      <c r="B89" s="46">
        <v>85</v>
      </c>
    </row>
    <row r="90" spans="2:2">
      <c r="B90" s="46">
        <v>86</v>
      </c>
    </row>
    <row r="91" spans="2:2">
      <c r="B91" s="46">
        <v>87</v>
      </c>
    </row>
    <row r="92" spans="2:2">
      <c r="B92" s="46">
        <v>88</v>
      </c>
    </row>
    <row r="93" spans="2:2">
      <c r="B93" s="46">
        <v>89</v>
      </c>
    </row>
    <row r="94" spans="2:2">
      <c r="B94" s="46">
        <v>90</v>
      </c>
    </row>
    <row r="95" spans="2:2">
      <c r="B95" s="46">
        <v>91</v>
      </c>
    </row>
    <row r="96" spans="2:2">
      <c r="B96" s="46">
        <v>92</v>
      </c>
    </row>
    <row r="97" spans="2:2">
      <c r="B97" s="46">
        <v>93</v>
      </c>
    </row>
    <row r="98" spans="2:2">
      <c r="B98" s="46">
        <v>94</v>
      </c>
    </row>
    <row r="99" spans="2:2">
      <c r="B99" s="46">
        <v>95</v>
      </c>
    </row>
    <row r="100" spans="2:2">
      <c r="B100" s="46">
        <v>96</v>
      </c>
    </row>
    <row r="101" spans="2:2">
      <c r="B101" s="46">
        <v>97</v>
      </c>
    </row>
    <row r="102" spans="2:2">
      <c r="B102" s="46">
        <v>98</v>
      </c>
    </row>
    <row r="103" spans="2:2">
      <c r="B103" s="46">
        <v>99</v>
      </c>
    </row>
    <row r="104" spans="2:2">
      <c r="B104" s="46">
        <v>100</v>
      </c>
    </row>
  </sheetData>
  <sortState xmlns:xlrd2="http://schemas.microsoft.com/office/spreadsheetml/2017/richdata2" ref="B5:H54">
    <sortCondition ref="G5:G54" customList="a,ap,at,ak,ah,ann,oo,ok,onn,er,or,o,ee,ek,eeh,eng,e,eh,enn,i,ian,ing,ik,iat,inn,ai,ainn,au,am,om,m,ong,ng,ere,u,ua,ue,uai,uan,ir,(i)unn"/>
  </sortState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4A01-1B2C-9C47-A319-095A437BB5D3}">
  <sheetPr codeName="工作表31">
    <tabColor theme="9" tint="0.59999389629810485"/>
  </sheetPr>
  <dimension ref="A1:AJ54"/>
  <sheetViews>
    <sheetView topLeftCell="J1" workbookViewId="0">
      <selection activeCell="N5" sqref="N5:AJ54"/>
    </sheetView>
  </sheetViews>
  <sheetFormatPr defaultColWidth="10.90625" defaultRowHeight="25.5" outlineLevelCol="2"/>
  <cols>
    <col min="1" max="1" width="1.90625" style="300" customWidth="1" outlineLevel="2"/>
    <col min="2" max="11" width="4.26953125" style="300" customWidth="1" outlineLevel="1"/>
    <col min="12" max="12" width="2.08984375" style="300" customWidth="1"/>
    <col min="13" max="13" width="3.453125" style="300" customWidth="1"/>
    <col min="14" max="14" width="5.36328125" style="300" customWidth="1"/>
    <col min="15" max="16" width="11.08984375" style="300" customWidth="1"/>
    <col min="17" max="17" width="7.6328125" style="300" customWidth="1"/>
    <col min="18" max="25" width="7.1796875" style="300" customWidth="1"/>
    <col min="26" max="26" width="2.08984375" style="300" customWidth="1"/>
    <col min="27" max="28" width="8.453125" style="300" customWidth="1"/>
    <col min="29" max="36" width="5.453125" style="300" customWidth="1"/>
  </cols>
  <sheetData>
    <row r="1" spans="2:36">
      <c r="B1" s="299" t="s">
        <v>1601</v>
      </c>
      <c r="C1" s="284"/>
      <c r="D1" s="284"/>
      <c r="E1" s="298"/>
      <c r="F1" s="298"/>
      <c r="G1" s="298"/>
      <c r="H1" s="298"/>
      <c r="I1" s="298"/>
      <c r="J1" s="298"/>
      <c r="K1" s="298"/>
      <c r="L1" s="298"/>
      <c r="M1" s="299" t="s">
        <v>3460</v>
      </c>
      <c r="O1" s="102">
        <v>5</v>
      </c>
      <c r="R1" s="284">
        <v>12</v>
      </c>
      <c r="S1" s="298"/>
      <c r="T1" s="298"/>
      <c r="U1" s="298">
        <f>R1 + 1</f>
        <v>13</v>
      </c>
      <c r="V1" s="298"/>
      <c r="W1" s="298"/>
      <c r="X1" s="298"/>
      <c r="Y1" s="298"/>
      <c r="AA1" s="301"/>
      <c r="AB1" s="301"/>
      <c r="AC1" s="301"/>
      <c r="AD1" s="301"/>
    </row>
    <row r="2" spans="2:36"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02"/>
      <c r="R2" s="302"/>
      <c r="S2" s="302"/>
      <c r="T2" s="302"/>
      <c r="U2" s="302"/>
      <c r="V2" s="302"/>
      <c r="W2" s="302"/>
      <c r="X2" s="302"/>
      <c r="Y2" s="302"/>
      <c r="AA2" s="301"/>
      <c r="AB2" s="301"/>
      <c r="AC2" s="301"/>
      <c r="AD2" s="301"/>
    </row>
    <row r="3" spans="2:36">
      <c r="B3" s="465" t="s">
        <v>133</v>
      </c>
      <c r="C3" s="465" t="s">
        <v>1603</v>
      </c>
      <c r="D3" s="303" t="s">
        <v>372</v>
      </c>
      <c r="E3" s="303" t="s">
        <v>1122</v>
      </c>
      <c r="F3" s="303" t="s">
        <v>416</v>
      </c>
      <c r="G3" s="303" t="s">
        <v>440</v>
      </c>
      <c r="H3" s="303" t="s">
        <v>458</v>
      </c>
      <c r="I3" s="303" t="s">
        <v>1122</v>
      </c>
      <c r="J3" s="303" t="s">
        <v>487</v>
      </c>
      <c r="K3" s="303" t="s">
        <v>510</v>
      </c>
      <c r="L3" s="302"/>
      <c r="M3" s="479" t="s">
        <v>133</v>
      </c>
      <c r="N3" s="465" t="s">
        <v>4</v>
      </c>
      <c r="O3" s="465" t="s">
        <v>1119</v>
      </c>
      <c r="P3" s="465" t="s">
        <v>1120</v>
      </c>
      <c r="Q3" s="465" t="s">
        <v>1610</v>
      </c>
      <c r="R3" s="303" t="s">
        <v>372</v>
      </c>
      <c r="S3" s="303" t="s">
        <v>1122</v>
      </c>
      <c r="T3" s="303" t="s">
        <v>416</v>
      </c>
      <c r="U3" s="303" t="s">
        <v>440</v>
      </c>
      <c r="V3" s="303" t="s">
        <v>458</v>
      </c>
      <c r="W3" s="303" t="s">
        <v>1122</v>
      </c>
      <c r="X3" s="303" t="s">
        <v>487</v>
      </c>
      <c r="Y3" s="303" t="s">
        <v>510</v>
      </c>
      <c r="AA3" s="478" t="s">
        <v>1611</v>
      </c>
      <c r="AB3" s="478" t="s">
        <v>1612</v>
      </c>
      <c r="AC3" s="303" t="s">
        <v>372</v>
      </c>
      <c r="AD3" s="303" t="s">
        <v>1122</v>
      </c>
      <c r="AE3" s="303" t="s">
        <v>416</v>
      </c>
      <c r="AF3" s="303" t="s">
        <v>440</v>
      </c>
      <c r="AG3" s="303" t="s">
        <v>458</v>
      </c>
      <c r="AH3" s="303" t="s">
        <v>1122</v>
      </c>
      <c r="AI3" s="303" t="s">
        <v>487</v>
      </c>
      <c r="AJ3" s="303" t="s">
        <v>510</v>
      </c>
    </row>
    <row r="4" spans="2:36">
      <c r="B4" s="477"/>
      <c r="C4" s="477"/>
      <c r="D4" s="303">
        <v>1</v>
      </c>
      <c r="E4" s="303">
        <v>2</v>
      </c>
      <c r="F4" s="303">
        <v>3</v>
      </c>
      <c r="G4" s="303">
        <v>4</v>
      </c>
      <c r="H4" s="303">
        <v>5</v>
      </c>
      <c r="I4" s="303">
        <v>6</v>
      </c>
      <c r="J4" s="303">
        <v>7</v>
      </c>
      <c r="K4" s="303">
        <v>8</v>
      </c>
      <c r="L4" s="302"/>
      <c r="M4" s="480"/>
      <c r="N4" s="477"/>
      <c r="O4" s="477"/>
      <c r="P4" s="477"/>
      <c r="Q4" s="477"/>
      <c r="R4" s="303">
        <v>1</v>
      </c>
      <c r="S4" s="303">
        <v>2</v>
      </c>
      <c r="T4" s="303">
        <v>3</v>
      </c>
      <c r="U4" s="303">
        <v>4</v>
      </c>
      <c r="V4" s="303">
        <v>5</v>
      </c>
      <c r="W4" s="303">
        <v>6</v>
      </c>
      <c r="X4" s="303">
        <v>7</v>
      </c>
      <c r="Y4" s="303">
        <v>8</v>
      </c>
      <c r="AA4" s="477"/>
      <c r="AB4" s="477"/>
      <c r="AC4" s="303">
        <v>1</v>
      </c>
      <c r="AD4" s="303">
        <v>2</v>
      </c>
      <c r="AE4" s="303">
        <v>3</v>
      </c>
      <c r="AF4" s="303">
        <v>4</v>
      </c>
      <c r="AG4" s="303">
        <v>5</v>
      </c>
      <c r="AH4" s="303">
        <v>6</v>
      </c>
      <c r="AI4" s="303">
        <v>7</v>
      </c>
      <c r="AJ4" s="303">
        <v>8</v>
      </c>
    </row>
    <row r="5" spans="2:36" ht="32.25">
      <c r="B5" s="304">
        <v>1</v>
      </c>
      <c r="C5" s="305" t="s">
        <v>139</v>
      </c>
      <c r="D5" s="305" t="s">
        <v>139</v>
      </c>
      <c r="E5" s="305" t="s">
        <v>378</v>
      </c>
      <c r="F5" s="305" t="s">
        <v>399</v>
      </c>
      <c r="G5" s="306" t="str">
        <f t="shared" ref="G5:G8" si="0">D5</f>
        <v>a</v>
      </c>
      <c r="H5" s="305" t="s">
        <v>444</v>
      </c>
      <c r="I5" s="307" t="str">
        <f t="shared" ref="I5:I8" si="1">F5</f>
        <v>à</v>
      </c>
      <c r="J5" s="305" t="s">
        <v>471</v>
      </c>
      <c r="K5" s="306" t="s">
        <v>3474</v>
      </c>
      <c r="L5" s="302"/>
      <c r="M5" s="304">
        <v>1</v>
      </c>
      <c r="N5" s="308" t="s">
        <v>135</v>
      </c>
      <c r="O5" s="312" t="str" cm="1">
        <f t="array" ref="O5">INDEX(韻母對照表, (($M5-1)*2 +1), $O$1)</f>
        <v>un</v>
      </c>
      <c r="P5" s="312" t="str" cm="1">
        <f t="array" ref="P5">INDEX(韻母對照表, (($M5-1)*2 +2), $O$1)</f>
        <v>ut</v>
      </c>
      <c r="Q5" s="308" t="s">
        <v>245</v>
      </c>
      <c r="R5" s="313" t="str">
        <f xml:space="preserve"> IF(AND(R$4&lt;&gt;4,R$4&lt;&gt;8),  SUBSTITUTE($O5, $Q5,  INDEX($AC5:$AJ5, 1, R$4)),  SUBSTITUTE($P5, $Q5,  INDEX($AC5:$AJ5, 1, R$4)))</f>
        <v>un</v>
      </c>
      <c r="S5" s="313" t="str">
        <f t="shared" ref="S5:Y20" si="2" xml:space="preserve"> IF(AND(S$4&lt;&gt;4,S$4&lt;&gt;8),  SUBSTITUTE($O5, $Q5,  INDEX($AC5:$AJ5, 1, S$4)),  SUBSTITUTE($P5, $Q5,  INDEX($AC5:$AJ5, 1, S$4)))</f>
        <v>ún</v>
      </c>
      <c r="T5" s="313" t="str">
        <f t="shared" si="2"/>
        <v>ùn</v>
      </c>
      <c r="U5" s="314" t="str">
        <f t="shared" si="2"/>
        <v>ut</v>
      </c>
      <c r="V5" s="313" t="str">
        <f t="shared" si="2"/>
        <v>ûn</v>
      </c>
      <c r="W5" s="313" t="str">
        <f t="shared" si="2"/>
        <v>ùn</v>
      </c>
      <c r="X5" s="313" t="str">
        <f t="shared" si="2"/>
        <v>ūn</v>
      </c>
      <c r="Y5" s="314" t="str">
        <f t="shared" si="2"/>
        <v>u̍t</v>
      </c>
      <c r="AA5" s="301">
        <f t="shared" ref="AA5:AA54" si="3">FIND(Q5, O5, 1)</f>
        <v>1</v>
      </c>
      <c r="AB5" s="301">
        <f t="shared" ref="AB5:AB36" si="4">MATCH(Q5, $C$5:$C$12, 0)</f>
        <v>6</v>
      </c>
      <c r="AC5" s="301" t="str">
        <f t="shared" ref="AC5:AJ14" si="5">INDEX($D$5:$K$12, $AB5, AC$4)</f>
        <v>u</v>
      </c>
      <c r="AD5" s="301" t="str">
        <f t="shared" si="5"/>
        <v>ú</v>
      </c>
      <c r="AE5" s="301" t="str">
        <f t="shared" si="5"/>
        <v>ù</v>
      </c>
      <c r="AF5" s="301" t="str">
        <f t="shared" si="5"/>
        <v>u</v>
      </c>
      <c r="AG5" s="301" t="str">
        <f t="shared" si="5"/>
        <v>û</v>
      </c>
      <c r="AH5" s="301" t="str">
        <f t="shared" si="5"/>
        <v>ù</v>
      </c>
      <c r="AI5" s="301" t="str">
        <f t="shared" si="5"/>
        <v>ū</v>
      </c>
      <c r="AJ5" s="301" t="str">
        <f t="shared" si="5"/>
        <v>u̍</v>
      </c>
    </row>
    <row r="6" spans="2:36" ht="32.25">
      <c r="B6" s="304">
        <v>2</v>
      </c>
      <c r="C6" s="305" t="s">
        <v>160</v>
      </c>
      <c r="D6" s="305" t="s">
        <v>160</v>
      </c>
      <c r="E6" s="305" t="s">
        <v>1614</v>
      </c>
      <c r="F6" s="305" t="s">
        <v>1616</v>
      </c>
      <c r="G6" s="306" t="str">
        <f t="shared" si="0"/>
        <v>e</v>
      </c>
      <c r="H6" s="305" t="s">
        <v>1617</v>
      </c>
      <c r="I6" s="307" t="str">
        <f t="shared" si="1"/>
        <v>è</v>
      </c>
      <c r="J6" s="305" t="s">
        <v>1613</v>
      </c>
      <c r="K6" s="306" t="s">
        <v>3475</v>
      </c>
      <c r="L6" s="302"/>
      <c r="M6" s="304">
        <v>2</v>
      </c>
      <c r="N6" s="308" t="s">
        <v>141</v>
      </c>
      <c r="O6" s="312" t="str" cm="1">
        <f t="array" ref="O6">INDEX(韻母對照表, (($M6-1)*2 +1), $O$1)</f>
        <v>ian</v>
      </c>
      <c r="P6" s="312" t="str" cm="1">
        <f t="array" ref="P6">INDEX(韻母對照表, (($M6-1)*2 +2), $O$1)</f>
        <v>iat</v>
      </c>
      <c r="Q6" s="308" t="s">
        <v>139</v>
      </c>
      <c r="R6" s="313" t="str">
        <f t="shared" ref="R6:Y37" si="6" xml:space="preserve"> IF(AND(R$4&lt;&gt;4,R$4&lt;&gt;8),  SUBSTITUTE($O6, $Q6,  INDEX($AC6:$AJ6, 1, R$4)),  SUBSTITUTE($P6, $Q6,  INDEX($AC6:$AJ6, 1, R$4)))</f>
        <v>ian</v>
      </c>
      <c r="S6" s="313" t="str">
        <f t="shared" si="2"/>
        <v>ián</v>
      </c>
      <c r="T6" s="313" t="str">
        <f t="shared" si="2"/>
        <v>iàn</v>
      </c>
      <c r="U6" s="314" t="str">
        <f t="shared" si="2"/>
        <v>iat</v>
      </c>
      <c r="V6" s="313" t="str">
        <f t="shared" si="2"/>
        <v>iân</v>
      </c>
      <c r="W6" s="313" t="str">
        <f t="shared" si="2"/>
        <v>iàn</v>
      </c>
      <c r="X6" s="313" t="str">
        <f t="shared" si="2"/>
        <v>iān</v>
      </c>
      <c r="Y6" s="314" t="str">
        <f t="shared" si="2"/>
        <v>ia̍t</v>
      </c>
      <c r="AA6" s="301">
        <f t="shared" si="3"/>
        <v>2</v>
      </c>
      <c r="AB6" s="301">
        <f t="shared" si="4"/>
        <v>1</v>
      </c>
      <c r="AC6" s="301" t="str">
        <f t="shared" si="5"/>
        <v>a</v>
      </c>
      <c r="AD6" s="301" t="str">
        <f t="shared" si="5"/>
        <v>á</v>
      </c>
      <c r="AE6" s="301" t="str">
        <f t="shared" si="5"/>
        <v>à</v>
      </c>
      <c r="AF6" s="301" t="str">
        <f t="shared" si="5"/>
        <v>a</v>
      </c>
      <c r="AG6" s="301" t="str">
        <f t="shared" si="5"/>
        <v>â</v>
      </c>
      <c r="AH6" s="301" t="str">
        <f t="shared" si="5"/>
        <v>à</v>
      </c>
      <c r="AI6" s="301" t="str">
        <f t="shared" si="5"/>
        <v>ā</v>
      </c>
      <c r="AJ6" s="301" t="str">
        <f t="shared" si="5"/>
        <v>a̍</v>
      </c>
    </row>
    <row r="7" spans="2:36" ht="32.25">
      <c r="B7" s="304">
        <v>3</v>
      </c>
      <c r="C7" s="305" t="s">
        <v>200</v>
      </c>
      <c r="D7" s="305" t="s">
        <v>200</v>
      </c>
      <c r="E7" s="305" t="s">
        <v>1619</v>
      </c>
      <c r="F7" s="305" t="s">
        <v>1621</v>
      </c>
      <c r="G7" s="306" t="str">
        <f t="shared" si="0"/>
        <v>i</v>
      </c>
      <c r="H7" s="305" t="s">
        <v>1622</v>
      </c>
      <c r="I7" s="307" t="str">
        <f t="shared" si="1"/>
        <v>ì</v>
      </c>
      <c r="J7" s="305" t="s">
        <v>1618</v>
      </c>
      <c r="K7" s="306" t="s">
        <v>3476</v>
      </c>
      <c r="L7" s="302"/>
      <c r="M7" s="304">
        <v>3</v>
      </c>
      <c r="N7" s="308" t="s">
        <v>147</v>
      </c>
      <c r="O7" s="312" t="str" cm="1">
        <f t="array" ref="O7">INDEX(韻母對照表, (($M7-1)*2 +1), $O$1)</f>
        <v>im</v>
      </c>
      <c r="P7" s="312" t="str" cm="1">
        <f t="array" ref="P7">INDEX(韻母對照表, (($M7-1)*2 +2), $O$1)</f>
        <v>ip</v>
      </c>
      <c r="Q7" s="308" t="s">
        <v>200</v>
      </c>
      <c r="R7" s="313" t="str">
        <f t="shared" si="6"/>
        <v>im</v>
      </c>
      <c r="S7" s="313" t="str">
        <f t="shared" si="2"/>
        <v>ím</v>
      </c>
      <c r="T7" s="313" t="str">
        <f t="shared" si="2"/>
        <v>ìm</v>
      </c>
      <c r="U7" s="314" t="str">
        <f t="shared" si="2"/>
        <v>ip</v>
      </c>
      <c r="V7" s="313" t="str">
        <f t="shared" si="2"/>
        <v>îm</v>
      </c>
      <c r="W7" s="313" t="str">
        <f t="shared" si="2"/>
        <v>ìm</v>
      </c>
      <c r="X7" s="313" t="str">
        <f t="shared" si="2"/>
        <v>īm</v>
      </c>
      <c r="Y7" s="314" t="str">
        <f t="shared" si="2"/>
        <v>i̍p</v>
      </c>
      <c r="AA7" s="301">
        <f t="shared" si="3"/>
        <v>1</v>
      </c>
      <c r="AB7" s="301">
        <f t="shared" si="4"/>
        <v>3</v>
      </c>
      <c r="AC7" s="301" t="str">
        <f t="shared" si="5"/>
        <v>i</v>
      </c>
      <c r="AD7" s="301" t="str">
        <f t="shared" si="5"/>
        <v>í</v>
      </c>
      <c r="AE7" s="301" t="str">
        <f t="shared" si="5"/>
        <v>ì</v>
      </c>
      <c r="AF7" s="301" t="str">
        <f t="shared" si="5"/>
        <v>i</v>
      </c>
      <c r="AG7" s="301" t="str">
        <f t="shared" si="5"/>
        <v>î</v>
      </c>
      <c r="AH7" s="301" t="str">
        <f t="shared" si="5"/>
        <v>ì</v>
      </c>
      <c r="AI7" s="301" t="str">
        <f t="shared" si="5"/>
        <v>ī</v>
      </c>
      <c r="AJ7" s="301" t="str">
        <f t="shared" si="5"/>
        <v>i̍</v>
      </c>
    </row>
    <row r="8" spans="2:36" ht="32.25">
      <c r="B8" s="304">
        <v>4</v>
      </c>
      <c r="C8" s="305" t="s">
        <v>215</v>
      </c>
      <c r="D8" s="305" t="s">
        <v>215</v>
      </c>
      <c r="E8" s="305" t="s">
        <v>1624</v>
      </c>
      <c r="F8" s="305" t="s">
        <v>1626</v>
      </c>
      <c r="G8" s="306" t="str">
        <f t="shared" si="0"/>
        <v>o</v>
      </c>
      <c r="H8" s="305" t="s">
        <v>1627</v>
      </c>
      <c r="I8" s="307" t="str">
        <f t="shared" si="1"/>
        <v>ò</v>
      </c>
      <c r="J8" s="305" t="s">
        <v>1623</v>
      </c>
      <c r="K8" s="306" t="s">
        <v>3477</v>
      </c>
      <c r="L8" s="302"/>
      <c r="M8" s="304">
        <v>4</v>
      </c>
      <c r="N8" s="308" t="s">
        <v>153</v>
      </c>
      <c r="O8" s="312" t="str" cm="1">
        <f t="array" ref="O8">INDEX(韻母對照表, (($M8-1)*2 +1), $O$1)</f>
        <v>ui</v>
      </c>
      <c r="P8" s="312" t="str" cm="1">
        <f t="array" ref="P8">INDEX(韻母對照表, (($M8-1)*2 +2), $O$1)</f>
        <v>uih</v>
      </c>
      <c r="Q8" s="308" t="s">
        <v>245</v>
      </c>
      <c r="R8" s="313" t="str">
        <f t="shared" si="6"/>
        <v>ui</v>
      </c>
      <c r="S8" s="313" t="str">
        <f t="shared" si="2"/>
        <v>úi</v>
      </c>
      <c r="T8" s="313" t="str">
        <f t="shared" si="2"/>
        <v>ùi</v>
      </c>
      <c r="U8" s="314" t="str">
        <f t="shared" si="2"/>
        <v>uih</v>
      </c>
      <c r="V8" s="313" t="str">
        <f t="shared" si="2"/>
        <v>ûi</v>
      </c>
      <c r="W8" s="313" t="str">
        <f t="shared" si="2"/>
        <v>ùi</v>
      </c>
      <c r="X8" s="313" t="str">
        <f t="shared" si="2"/>
        <v>ūi</v>
      </c>
      <c r="Y8" s="314" t="str">
        <f t="shared" si="2"/>
        <v>u̍ih</v>
      </c>
      <c r="AA8" s="301">
        <f t="shared" si="3"/>
        <v>1</v>
      </c>
      <c r="AB8" s="301">
        <f t="shared" si="4"/>
        <v>6</v>
      </c>
      <c r="AC8" s="301" t="str">
        <f t="shared" si="5"/>
        <v>u</v>
      </c>
      <c r="AD8" s="301" t="str">
        <f t="shared" si="5"/>
        <v>ú</v>
      </c>
      <c r="AE8" s="301" t="str">
        <f t="shared" si="5"/>
        <v>ù</v>
      </c>
      <c r="AF8" s="301" t="str">
        <f t="shared" si="5"/>
        <v>u</v>
      </c>
      <c r="AG8" s="301" t="str">
        <f t="shared" si="5"/>
        <v>û</v>
      </c>
      <c r="AH8" s="301" t="str">
        <f t="shared" si="5"/>
        <v>ù</v>
      </c>
      <c r="AI8" s="301" t="str">
        <f t="shared" si="5"/>
        <v>ū</v>
      </c>
      <c r="AJ8" s="301" t="str">
        <f t="shared" si="5"/>
        <v>u̍</v>
      </c>
    </row>
    <row r="9" spans="2:36" ht="32.25">
      <c r="B9" s="304">
        <v>5</v>
      </c>
      <c r="C9" s="305" t="s">
        <v>191</v>
      </c>
      <c r="D9" s="305" t="s">
        <v>1469</v>
      </c>
      <c r="E9" s="305" t="s">
        <v>3478</v>
      </c>
      <c r="F9" s="305" t="s">
        <v>3479</v>
      </c>
      <c r="G9" s="306" t="s">
        <v>1469</v>
      </c>
      <c r="H9" s="305" t="s">
        <v>3480</v>
      </c>
      <c r="I9" s="307" t="s">
        <v>3481</v>
      </c>
      <c r="J9" s="305" t="s">
        <v>3482</v>
      </c>
      <c r="K9" s="306" t="s">
        <v>3483</v>
      </c>
      <c r="L9" s="302"/>
      <c r="M9" s="304">
        <v>5</v>
      </c>
      <c r="N9" s="308" t="s">
        <v>159</v>
      </c>
      <c r="O9" s="312" t="str" cm="1">
        <f t="array" ref="O9">INDEX(韻母對照表, (($M9-1)*2 +1), $O$1)</f>
        <v>ee</v>
      </c>
      <c r="P9" s="312" t="str" cm="1">
        <f t="array" ref="P9">INDEX(韻母對照表, (($M9-1)*2 +2), $O$1)</f>
        <v>eeh</v>
      </c>
      <c r="Q9" s="308" t="s">
        <v>160</v>
      </c>
      <c r="R9" s="313" t="str">
        <f t="shared" si="6"/>
        <v>ee</v>
      </c>
      <c r="S9" s="313" t="str">
        <f t="shared" si="2"/>
        <v>éé</v>
      </c>
      <c r="T9" s="313" t="str">
        <f t="shared" si="2"/>
        <v>èè</v>
      </c>
      <c r="U9" s="314" t="str">
        <f t="shared" si="2"/>
        <v>eeh</v>
      </c>
      <c r="V9" s="313" t="str">
        <f t="shared" si="2"/>
        <v>êê</v>
      </c>
      <c r="W9" s="313" t="str">
        <f t="shared" si="2"/>
        <v>èè</v>
      </c>
      <c r="X9" s="313" t="str">
        <f t="shared" si="2"/>
        <v>ēē</v>
      </c>
      <c r="Y9" s="314" t="str">
        <f t="shared" si="2"/>
        <v>e̍e̍h</v>
      </c>
      <c r="AA9" s="301">
        <f t="shared" si="3"/>
        <v>1</v>
      </c>
      <c r="AB9" s="301">
        <f t="shared" si="4"/>
        <v>2</v>
      </c>
      <c r="AC9" s="301" t="str">
        <f t="shared" si="5"/>
        <v>e</v>
      </c>
      <c r="AD9" s="301" t="str">
        <f t="shared" si="5"/>
        <v>é</v>
      </c>
      <c r="AE9" s="301" t="str">
        <f t="shared" si="5"/>
        <v>è</v>
      </c>
      <c r="AF9" s="301" t="str">
        <f t="shared" si="5"/>
        <v>e</v>
      </c>
      <c r="AG9" s="301" t="str">
        <f t="shared" si="5"/>
        <v>ê</v>
      </c>
      <c r="AH9" s="301" t="str">
        <f t="shared" si="5"/>
        <v>è</v>
      </c>
      <c r="AI9" s="301" t="str">
        <f t="shared" si="5"/>
        <v>ē</v>
      </c>
      <c r="AJ9" s="301" t="str">
        <f t="shared" si="5"/>
        <v>e̍</v>
      </c>
    </row>
    <row r="10" spans="2:36" ht="32.25">
      <c r="B10" s="304">
        <v>6</v>
      </c>
      <c r="C10" s="305" t="s">
        <v>245</v>
      </c>
      <c r="D10" s="305" t="s">
        <v>245</v>
      </c>
      <c r="E10" s="305" t="s">
        <v>1634</v>
      </c>
      <c r="F10" s="305" t="s">
        <v>1636</v>
      </c>
      <c r="G10" s="306" t="str">
        <f t="shared" ref="G10:G11" si="7">D10</f>
        <v>u</v>
      </c>
      <c r="H10" s="305" t="s">
        <v>1637</v>
      </c>
      <c r="I10" s="307" t="str">
        <f t="shared" ref="I10:I11" si="8">F10</f>
        <v>ù</v>
      </c>
      <c r="J10" s="305" t="s">
        <v>1633</v>
      </c>
      <c r="K10" s="306" t="s">
        <v>3484</v>
      </c>
      <c r="L10" s="302"/>
      <c r="M10" s="304">
        <v>6</v>
      </c>
      <c r="N10" s="308" t="s">
        <v>165</v>
      </c>
      <c r="O10" s="312" t="str" cm="1">
        <f t="array" ref="O10">INDEX(韻母對照表, (($M10-1)*2 +1), $O$1)</f>
        <v>an</v>
      </c>
      <c r="P10" s="312" t="str" cm="1">
        <f t="array" ref="P10">INDEX(韻母對照表, (($M10-1)*2 +2), $O$1)</f>
        <v>at</v>
      </c>
      <c r="Q10" s="308" t="s">
        <v>139</v>
      </c>
      <c r="R10" s="313" t="str">
        <f t="shared" si="6"/>
        <v>an</v>
      </c>
      <c r="S10" s="313" t="str">
        <f t="shared" si="2"/>
        <v>án</v>
      </c>
      <c r="T10" s="313" t="str">
        <f t="shared" si="2"/>
        <v>àn</v>
      </c>
      <c r="U10" s="314" t="str">
        <f t="shared" si="2"/>
        <v>at</v>
      </c>
      <c r="V10" s="313" t="str">
        <f t="shared" si="2"/>
        <v>ân</v>
      </c>
      <c r="W10" s="313" t="str">
        <f t="shared" si="2"/>
        <v>àn</v>
      </c>
      <c r="X10" s="313" t="str">
        <f t="shared" si="2"/>
        <v>ān</v>
      </c>
      <c r="Y10" s="314" t="str">
        <f t="shared" si="2"/>
        <v>a̍t</v>
      </c>
      <c r="AA10" s="301">
        <f t="shared" si="3"/>
        <v>1</v>
      </c>
      <c r="AB10" s="301">
        <f t="shared" si="4"/>
        <v>1</v>
      </c>
      <c r="AC10" s="301" t="str">
        <f t="shared" si="5"/>
        <v>a</v>
      </c>
      <c r="AD10" s="301" t="str">
        <f t="shared" si="5"/>
        <v>á</v>
      </c>
      <c r="AE10" s="301" t="str">
        <f t="shared" si="5"/>
        <v>à</v>
      </c>
      <c r="AF10" s="301" t="str">
        <f t="shared" si="5"/>
        <v>a</v>
      </c>
      <c r="AG10" s="301" t="str">
        <f t="shared" si="5"/>
        <v>â</v>
      </c>
      <c r="AH10" s="301" t="str">
        <f t="shared" si="5"/>
        <v>à</v>
      </c>
      <c r="AI10" s="301" t="str">
        <f t="shared" si="5"/>
        <v>ā</v>
      </c>
      <c r="AJ10" s="301" t="str">
        <f t="shared" si="5"/>
        <v>a̍</v>
      </c>
    </row>
    <row r="11" spans="2:36" ht="32.25">
      <c r="B11" s="304">
        <v>7</v>
      </c>
      <c r="C11" s="305" t="s">
        <v>27</v>
      </c>
      <c r="D11" s="305" t="s">
        <v>27</v>
      </c>
      <c r="E11" s="305" t="s">
        <v>3485</v>
      </c>
      <c r="F11" s="305" t="s">
        <v>3486</v>
      </c>
      <c r="G11" s="306" t="str">
        <f t="shared" si="7"/>
        <v>m</v>
      </c>
      <c r="H11" s="305" t="s">
        <v>1642</v>
      </c>
      <c r="I11" s="307" t="str">
        <f t="shared" si="8"/>
        <v>m̀</v>
      </c>
      <c r="J11" s="305" t="s">
        <v>1638</v>
      </c>
      <c r="K11" s="306" t="s">
        <v>3487</v>
      </c>
      <c r="L11" s="302"/>
      <c r="M11" s="304">
        <v>7</v>
      </c>
      <c r="N11" s="308" t="s">
        <v>168</v>
      </c>
      <c r="O11" s="312" t="str" cm="1">
        <f t="array" ref="O11">INDEX(韻母對照表, (($M11-1)*2 +1), $O$1)</f>
        <v>ong</v>
      </c>
      <c r="P11" s="312" t="str" cm="1">
        <f t="array" ref="P11">INDEX(韻母對照表, (($M11-1)*2 +2), $O$1)</f>
        <v>ok</v>
      </c>
      <c r="Q11" s="308" t="s">
        <v>215</v>
      </c>
      <c r="R11" s="313" t="str">
        <f t="shared" si="6"/>
        <v>ong</v>
      </c>
      <c r="S11" s="313" t="str">
        <f t="shared" si="2"/>
        <v>óng</v>
      </c>
      <c r="T11" s="313" t="str">
        <f t="shared" si="2"/>
        <v>òng</v>
      </c>
      <c r="U11" s="314" t="str">
        <f t="shared" si="2"/>
        <v>ok</v>
      </c>
      <c r="V11" s="313" t="str">
        <f t="shared" si="2"/>
        <v>ông</v>
      </c>
      <c r="W11" s="313" t="str">
        <f t="shared" si="2"/>
        <v>òng</v>
      </c>
      <c r="X11" s="313" t="str">
        <f t="shared" si="2"/>
        <v>ōng</v>
      </c>
      <c r="Y11" s="314" t="str">
        <f t="shared" si="2"/>
        <v>o̍k</v>
      </c>
      <c r="AA11" s="301">
        <f t="shared" si="3"/>
        <v>1</v>
      </c>
      <c r="AB11" s="301">
        <f t="shared" si="4"/>
        <v>4</v>
      </c>
      <c r="AC11" s="301" t="str">
        <f t="shared" si="5"/>
        <v>o</v>
      </c>
      <c r="AD11" s="301" t="str">
        <f t="shared" si="5"/>
        <v>ó</v>
      </c>
      <c r="AE11" s="301" t="str">
        <f t="shared" si="5"/>
        <v>ò</v>
      </c>
      <c r="AF11" s="301" t="str">
        <f t="shared" si="5"/>
        <v>o</v>
      </c>
      <c r="AG11" s="301" t="str">
        <f t="shared" si="5"/>
        <v>ô</v>
      </c>
      <c r="AH11" s="301" t="str">
        <f t="shared" si="5"/>
        <v>ò</v>
      </c>
      <c r="AI11" s="301" t="str">
        <f t="shared" si="5"/>
        <v>ō</v>
      </c>
      <c r="AJ11" s="301" t="str">
        <f t="shared" si="5"/>
        <v>o̍</v>
      </c>
    </row>
    <row r="12" spans="2:36" ht="32.25">
      <c r="B12" s="304">
        <v>8</v>
      </c>
      <c r="C12" s="305" t="s">
        <v>3488</v>
      </c>
      <c r="D12" s="305" t="s">
        <v>3488</v>
      </c>
      <c r="E12" s="305" t="s">
        <v>3489</v>
      </c>
      <c r="F12" s="305" t="s">
        <v>3490</v>
      </c>
      <c r="G12" s="306" t="str">
        <f>D12</f>
        <v>ng</v>
      </c>
      <c r="H12" s="309" t="s">
        <v>3491</v>
      </c>
      <c r="I12" s="307"/>
      <c r="J12" s="309" t="s">
        <v>3492</v>
      </c>
      <c r="K12" s="310" t="s">
        <v>3493</v>
      </c>
      <c r="L12" s="302"/>
      <c r="M12" s="304">
        <v>8</v>
      </c>
      <c r="N12" s="308" t="s">
        <v>174</v>
      </c>
      <c r="O12" s="312" t="str" cm="1">
        <f t="array" ref="O12">INDEX(韻母對照表, (($M12-1)*2 +1), $O$1)</f>
        <v>uai</v>
      </c>
      <c r="P12" s="312" t="str" cm="1">
        <f t="array" ref="P12">INDEX(韻母對照表, (($M12-1)*2 +2), $O$1)</f>
        <v>uaih</v>
      </c>
      <c r="Q12" s="308" t="s">
        <v>139</v>
      </c>
      <c r="R12" s="313" t="str">
        <f t="shared" si="6"/>
        <v>uai</v>
      </c>
      <c r="S12" s="313" t="str">
        <f t="shared" si="2"/>
        <v>uái</v>
      </c>
      <c r="T12" s="313" t="str">
        <f t="shared" si="2"/>
        <v>uài</v>
      </c>
      <c r="U12" s="314" t="str">
        <f t="shared" si="2"/>
        <v>uaih</v>
      </c>
      <c r="V12" s="313" t="str">
        <f t="shared" si="2"/>
        <v>uâi</v>
      </c>
      <c r="W12" s="313" t="str">
        <f t="shared" si="2"/>
        <v>uài</v>
      </c>
      <c r="X12" s="313" t="str">
        <f t="shared" si="2"/>
        <v>uāi</v>
      </c>
      <c r="Y12" s="314" t="str">
        <f t="shared" si="2"/>
        <v>ua̍ih</v>
      </c>
      <c r="AA12" s="301">
        <f t="shared" si="3"/>
        <v>2</v>
      </c>
      <c r="AB12" s="301">
        <f t="shared" si="4"/>
        <v>1</v>
      </c>
      <c r="AC12" s="301" t="str">
        <f t="shared" si="5"/>
        <v>a</v>
      </c>
      <c r="AD12" s="301" t="str">
        <f t="shared" si="5"/>
        <v>á</v>
      </c>
      <c r="AE12" s="301" t="str">
        <f t="shared" si="5"/>
        <v>à</v>
      </c>
      <c r="AF12" s="301" t="str">
        <f t="shared" si="5"/>
        <v>a</v>
      </c>
      <c r="AG12" s="301" t="str">
        <f t="shared" si="5"/>
        <v>â</v>
      </c>
      <c r="AH12" s="301" t="str">
        <f t="shared" si="5"/>
        <v>à</v>
      </c>
      <c r="AI12" s="301" t="str">
        <f t="shared" si="5"/>
        <v>ā</v>
      </c>
      <c r="AJ12" s="301" t="str">
        <f t="shared" si="5"/>
        <v>a̍</v>
      </c>
    </row>
    <row r="13" spans="2:36" ht="32.25">
      <c r="B13" s="302"/>
      <c r="L13" s="302"/>
      <c r="M13" s="304">
        <v>9</v>
      </c>
      <c r="N13" s="308" t="s">
        <v>180</v>
      </c>
      <c r="O13" s="312" t="str" cm="1">
        <f t="array" ref="O13">INDEX(韻母對照表, (($M13-1)*2 +1), $O$1)</f>
        <v>ing</v>
      </c>
      <c r="P13" s="312" t="str" cm="1">
        <f t="array" ref="P13">INDEX(韻母對照表, (($M13-1)*2 +2), $O$1)</f>
        <v>ik</v>
      </c>
      <c r="Q13" s="308" t="s">
        <v>160</v>
      </c>
      <c r="R13" s="313" t="str">
        <f t="shared" si="6"/>
        <v>ing</v>
      </c>
      <c r="S13" s="313" t="str">
        <f t="shared" si="2"/>
        <v>ing</v>
      </c>
      <c r="T13" s="313" t="str">
        <f t="shared" si="2"/>
        <v>ing</v>
      </c>
      <c r="U13" s="314" t="str">
        <f t="shared" si="2"/>
        <v>ik</v>
      </c>
      <c r="V13" s="313" t="str">
        <f t="shared" si="2"/>
        <v>ing</v>
      </c>
      <c r="W13" s="313" t="str">
        <f t="shared" si="2"/>
        <v>ing</v>
      </c>
      <c r="X13" s="313" t="str">
        <f t="shared" si="2"/>
        <v>ing</v>
      </c>
      <c r="Y13" s="314" t="str">
        <f t="shared" si="2"/>
        <v>ik</v>
      </c>
      <c r="AA13" s="301" t="e">
        <f t="shared" si="3"/>
        <v>#VALUE!</v>
      </c>
      <c r="AB13" s="301">
        <f t="shared" si="4"/>
        <v>2</v>
      </c>
      <c r="AC13" s="301" t="str">
        <f t="shared" si="5"/>
        <v>e</v>
      </c>
      <c r="AD13" s="301" t="str">
        <f t="shared" si="5"/>
        <v>é</v>
      </c>
      <c r="AE13" s="301" t="str">
        <f t="shared" si="5"/>
        <v>è</v>
      </c>
      <c r="AF13" s="301" t="str">
        <f t="shared" si="5"/>
        <v>e</v>
      </c>
      <c r="AG13" s="301" t="str">
        <f t="shared" si="5"/>
        <v>ê</v>
      </c>
      <c r="AH13" s="301" t="str">
        <f t="shared" si="5"/>
        <v>è</v>
      </c>
      <c r="AI13" s="301" t="str">
        <f t="shared" si="5"/>
        <v>ē</v>
      </c>
      <c r="AJ13" s="301" t="str">
        <f t="shared" si="5"/>
        <v>e̍</v>
      </c>
    </row>
    <row r="14" spans="2:36" ht="32.25">
      <c r="B14" s="302"/>
      <c r="C14" s="302"/>
      <c r="D14" s="302"/>
      <c r="E14" s="302"/>
      <c r="F14" s="302"/>
      <c r="G14" s="302"/>
      <c r="H14" s="302"/>
      <c r="I14" s="302"/>
      <c r="J14" s="302"/>
      <c r="K14" s="302"/>
      <c r="L14" s="311"/>
      <c r="M14" s="304">
        <v>10</v>
      </c>
      <c r="N14" s="308" t="s">
        <v>186</v>
      </c>
      <c r="O14" s="312" t="str" cm="1">
        <f t="array" ref="O14">INDEX(韻母對照表, (($M14-1)*2 +1), $O$1)</f>
        <v>uan</v>
      </c>
      <c r="P14" s="312" t="str" cm="1">
        <f t="array" ref="P14">INDEX(韻母對照表, (($M14-1)*2 +2), $O$1)</f>
        <v>uat</v>
      </c>
      <c r="Q14" s="308" t="s">
        <v>139</v>
      </c>
      <c r="R14" s="313" t="str">
        <f t="shared" si="6"/>
        <v>uan</v>
      </c>
      <c r="S14" s="313" t="str">
        <f t="shared" si="2"/>
        <v>uán</v>
      </c>
      <c r="T14" s="313" t="str">
        <f t="shared" si="2"/>
        <v>uàn</v>
      </c>
      <c r="U14" s="314" t="str">
        <f t="shared" si="2"/>
        <v>uat</v>
      </c>
      <c r="V14" s="313" t="str">
        <f t="shared" si="2"/>
        <v>uân</v>
      </c>
      <c r="W14" s="313" t="str">
        <f t="shared" si="2"/>
        <v>uàn</v>
      </c>
      <c r="X14" s="313" t="str">
        <f t="shared" si="2"/>
        <v>uān</v>
      </c>
      <c r="Y14" s="314" t="str">
        <f t="shared" si="2"/>
        <v>ua̍t</v>
      </c>
      <c r="AA14" s="301">
        <f t="shared" si="3"/>
        <v>2</v>
      </c>
      <c r="AB14" s="301">
        <f t="shared" si="4"/>
        <v>1</v>
      </c>
      <c r="AC14" s="301" t="str">
        <f t="shared" si="5"/>
        <v>a</v>
      </c>
      <c r="AD14" s="301" t="str">
        <f t="shared" si="5"/>
        <v>á</v>
      </c>
      <c r="AE14" s="301" t="str">
        <f t="shared" si="5"/>
        <v>à</v>
      </c>
      <c r="AF14" s="301" t="str">
        <f t="shared" si="5"/>
        <v>a</v>
      </c>
      <c r="AG14" s="301" t="str">
        <f t="shared" si="5"/>
        <v>â</v>
      </c>
      <c r="AH14" s="301" t="str">
        <f t="shared" si="5"/>
        <v>à</v>
      </c>
      <c r="AI14" s="301" t="str">
        <f t="shared" si="5"/>
        <v>ā</v>
      </c>
      <c r="AJ14" s="301" t="str">
        <f t="shared" si="5"/>
        <v>a̍</v>
      </c>
    </row>
    <row r="15" spans="2:36" ht="32.25">
      <c r="B15" s="302"/>
      <c r="C15" s="302"/>
      <c r="D15" s="302"/>
      <c r="E15" s="302"/>
      <c r="F15" s="302"/>
      <c r="G15" s="302"/>
      <c r="H15" s="302"/>
      <c r="I15" s="302"/>
      <c r="J15" s="302"/>
      <c r="K15" s="302"/>
      <c r="L15" s="302"/>
      <c r="M15" s="304">
        <v>11</v>
      </c>
      <c r="N15" s="308" t="s">
        <v>190</v>
      </c>
      <c r="O15" s="312" t="str" cm="1">
        <f t="array" ref="O15">INDEX(韻母對照表, (($M15-1)*2 +1), $O$1)</f>
        <v>oo</v>
      </c>
      <c r="P15" s="312" t="str" cm="1">
        <f t="array" ref="P15">INDEX(韻母對照表, (($M15-1)*2 +2), $O$1)</f>
        <v>ooh</v>
      </c>
      <c r="Q15" s="308" t="s">
        <v>191</v>
      </c>
      <c r="R15" s="313" t="str">
        <f t="shared" si="6"/>
        <v>o͘</v>
      </c>
      <c r="S15" s="313" t="str">
        <f t="shared" si="2"/>
        <v>ó͘</v>
      </c>
      <c r="T15" s="313" t="str">
        <f t="shared" si="2"/>
        <v>ò͘</v>
      </c>
      <c r="U15" s="314" t="str">
        <f t="shared" si="2"/>
        <v>o͘h</v>
      </c>
      <c r="V15" s="313" t="str">
        <f t="shared" si="2"/>
        <v>ô͘</v>
      </c>
      <c r="W15" s="313" t="str">
        <f t="shared" si="2"/>
        <v xml:space="preserve"> ò͘</v>
      </c>
      <c r="X15" s="313" t="str">
        <f t="shared" si="2"/>
        <v>ō͘</v>
      </c>
      <c r="Y15" s="314" t="str">
        <f t="shared" si="2"/>
        <v>o̍͘h</v>
      </c>
      <c r="AA15" s="301">
        <f t="shared" si="3"/>
        <v>1</v>
      </c>
      <c r="AB15" s="301">
        <f t="shared" si="4"/>
        <v>5</v>
      </c>
      <c r="AC15" s="301" t="str">
        <f t="shared" ref="AC15:AJ24" si="9">INDEX($D$5:$K$12, $AB15, AC$4)</f>
        <v>o͘</v>
      </c>
      <c r="AD15" s="301" t="str">
        <f t="shared" si="9"/>
        <v>ó͘</v>
      </c>
      <c r="AE15" s="301" t="str">
        <f t="shared" si="9"/>
        <v>ò͘</v>
      </c>
      <c r="AF15" s="301" t="str">
        <f t="shared" si="9"/>
        <v>o͘</v>
      </c>
      <c r="AG15" s="301" t="str">
        <f t="shared" si="9"/>
        <v>ô͘</v>
      </c>
      <c r="AH15" s="301" t="str">
        <f t="shared" si="9"/>
        <v xml:space="preserve"> ò͘</v>
      </c>
      <c r="AI15" s="301" t="str">
        <f t="shared" si="9"/>
        <v>ō͘</v>
      </c>
      <c r="AJ15" s="301" t="str">
        <f t="shared" si="9"/>
        <v>o̍͘</v>
      </c>
    </row>
    <row r="16" spans="2:36" ht="32.25">
      <c r="B16" s="302"/>
      <c r="C16" s="302"/>
      <c r="D16" s="302"/>
      <c r="E16" s="302"/>
      <c r="F16" s="302"/>
      <c r="G16" s="302"/>
      <c r="H16" s="302"/>
      <c r="I16" s="302"/>
      <c r="J16" s="302"/>
      <c r="K16" s="302"/>
      <c r="L16" s="302"/>
      <c r="M16" s="304">
        <v>12</v>
      </c>
      <c r="N16" s="308" t="s">
        <v>196</v>
      </c>
      <c r="O16" s="312" t="str" cm="1">
        <f t="array" ref="O16">INDEX(韻母對照表, (($M16-1)*2 +1), $O$1)</f>
        <v>iau</v>
      </c>
      <c r="P16" s="312" t="str" cm="1">
        <f t="array" ref="P16">INDEX(韻母對照表, (($M16-1)*2 +2), $O$1)</f>
        <v>iauh</v>
      </c>
      <c r="Q16" s="308" t="s">
        <v>139</v>
      </c>
      <c r="R16" s="313" t="str">
        <f t="shared" si="6"/>
        <v>iau</v>
      </c>
      <c r="S16" s="313" t="str">
        <f t="shared" si="2"/>
        <v>iáu</v>
      </c>
      <c r="T16" s="313" t="str">
        <f t="shared" si="2"/>
        <v>iàu</v>
      </c>
      <c r="U16" s="314" t="str">
        <f t="shared" si="2"/>
        <v>iauh</v>
      </c>
      <c r="V16" s="313" t="str">
        <f t="shared" si="2"/>
        <v>iâu</v>
      </c>
      <c r="W16" s="313" t="str">
        <f t="shared" si="2"/>
        <v>iàu</v>
      </c>
      <c r="X16" s="313" t="str">
        <f t="shared" si="2"/>
        <v>iāu</v>
      </c>
      <c r="Y16" s="314" t="str">
        <f t="shared" si="2"/>
        <v>ia̍uh</v>
      </c>
      <c r="AA16" s="301">
        <f t="shared" si="3"/>
        <v>2</v>
      </c>
      <c r="AB16" s="301">
        <f t="shared" si="4"/>
        <v>1</v>
      </c>
      <c r="AC16" s="301" t="str">
        <f t="shared" si="9"/>
        <v>a</v>
      </c>
      <c r="AD16" s="301" t="str">
        <f t="shared" si="9"/>
        <v>á</v>
      </c>
      <c r="AE16" s="301" t="str">
        <f t="shared" si="9"/>
        <v>à</v>
      </c>
      <c r="AF16" s="301" t="str">
        <f t="shared" si="9"/>
        <v>a</v>
      </c>
      <c r="AG16" s="301" t="str">
        <f t="shared" si="9"/>
        <v>â</v>
      </c>
      <c r="AH16" s="301" t="str">
        <f t="shared" si="9"/>
        <v>à</v>
      </c>
      <c r="AI16" s="301" t="str">
        <f t="shared" si="9"/>
        <v>ā</v>
      </c>
      <c r="AJ16" s="301" t="str">
        <f t="shared" si="9"/>
        <v>a̍</v>
      </c>
    </row>
    <row r="17" spans="13:36" ht="32.25">
      <c r="M17" s="304">
        <v>13</v>
      </c>
      <c r="N17" s="308" t="s">
        <v>206</v>
      </c>
      <c r="O17" s="312" t="str" cm="1">
        <f t="array" ref="O17">INDEX(韻母對照表, (($M17-1)*2 +1), $O$1)</f>
        <v>ei</v>
      </c>
      <c r="P17" s="312" t="str" cm="1">
        <f t="array" ref="P17">INDEX(韻母對照表, (($M17-1)*2 +2), $O$1)</f>
        <v>eih</v>
      </c>
      <c r="Q17" s="308" t="s">
        <v>160</v>
      </c>
      <c r="R17" s="313" t="str">
        <f t="shared" si="6"/>
        <v>ei</v>
      </c>
      <c r="S17" s="313" t="str">
        <f t="shared" si="2"/>
        <v>éi</v>
      </c>
      <c r="T17" s="313" t="str">
        <f t="shared" si="2"/>
        <v>èi</v>
      </c>
      <c r="U17" s="314" t="str">
        <f t="shared" si="2"/>
        <v>eih</v>
      </c>
      <c r="V17" s="313" t="str">
        <f t="shared" si="2"/>
        <v>êi</v>
      </c>
      <c r="W17" s="313" t="str">
        <f t="shared" si="2"/>
        <v>èi</v>
      </c>
      <c r="X17" s="313" t="str">
        <f t="shared" si="2"/>
        <v>ēi</v>
      </c>
      <c r="Y17" s="314" t="str">
        <f t="shared" si="2"/>
        <v>e̍ih</v>
      </c>
      <c r="AA17" s="301">
        <f t="shared" si="3"/>
        <v>1</v>
      </c>
      <c r="AB17" s="301">
        <f t="shared" si="4"/>
        <v>2</v>
      </c>
      <c r="AC17" s="301" t="str">
        <f t="shared" si="9"/>
        <v>e</v>
      </c>
      <c r="AD17" s="301" t="str">
        <f t="shared" si="9"/>
        <v>é</v>
      </c>
      <c r="AE17" s="301" t="str">
        <f t="shared" si="9"/>
        <v>è</v>
      </c>
      <c r="AF17" s="301" t="str">
        <f t="shared" si="9"/>
        <v>e</v>
      </c>
      <c r="AG17" s="301" t="str">
        <f t="shared" si="9"/>
        <v>ê</v>
      </c>
      <c r="AH17" s="301" t="str">
        <f t="shared" si="9"/>
        <v>è</v>
      </c>
      <c r="AI17" s="301" t="str">
        <f t="shared" si="9"/>
        <v>ē</v>
      </c>
      <c r="AJ17" s="301" t="str">
        <f t="shared" si="9"/>
        <v>e̍</v>
      </c>
    </row>
    <row r="18" spans="13:36" ht="32.25">
      <c r="M18" s="304">
        <v>14</v>
      </c>
      <c r="N18" s="308" t="s">
        <v>208</v>
      </c>
      <c r="O18" s="312" t="str" cm="1">
        <f t="array" ref="O18">INDEX(韻母對照表, (($M18-1)*2 +1), $O$1)</f>
        <v>iong</v>
      </c>
      <c r="P18" s="312" t="str" cm="1">
        <f t="array" ref="P18">INDEX(韻母對照表, (($M18-1)*2 +2), $O$1)</f>
        <v>iok</v>
      </c>
      <c r="Q18" s="308" t="s">
        <v>215</v>
      </c>
      <c r="R18" s="313" t="str">
        <f t="shared" si="6"/>
        <v>iong</v>
      </c>
      <c r="S18" s="313" t="str">
        <f t="shared" si="2"/>
        <v>ióng</v>
      </c>
      <c r="T18" s="313" t="str">
        <f t="shared" si="2"/>
        <v>iòng</v>
      </c>
      <c r="U18" s="314" t="str">
        <f t="shared" si="2"/>
        <v>iok</v>
      </c>
      <c r="V18" s="313" t="str">
        <f t="shared" si="2"/>
        <v>iông</v>
      </c>
      <c r="W18" s="313" t="str">
        <f t="shared" si="2"/>
        <v>iòng</v>
      </c>
      <c r="X18" s="313" t="str">
        <f t="shared" si="2"/>
        <v>iōng</v>
      </c>
      <c r="Y18" s="314" t="str">
        <f t="shared" si="2"/>
        <v>io̍k</v>
      </c>
      <c r="AA18" s="301">
        <f t="shared" si="3"/>
        <v>2</v>
      </c>
      <c r="AB18" s="301">
        <f t="shared" si="4"/>
        <v>4</v>
      </c>
      <c r="AC18" s="301" t="str">
        <f t="shared" si="9"/>
        <v>o</v>
      </c>
      <c r="AD18" s="301" t="str">
        <f t="shared" si="9"/>
        <v>ó</v>
      </c>
      <c r="AE18" s="301" t="str">
        <f t="shared" si="9"/>
        <v>ò</v>
      </c>
      <c r="AF18" s="301" t="str">
        <f t="shared" si="9"/>
        <v>o</v>
      </c>
      <c r="AG18" s="301" t="str">
        <f t="shared" si="9"/>
        <v>ô</v>
      </c>
      <c r="AH18" s="301" t="str">
        <f t="shared" si="9"/>
        <v>ò</v>
      </c>
      <c r="AI18" s="301" t="str">
        <f t="shared" si="9"/>
        <v>ō</v>
      </c>
      <c r="AJ18" s="301" t="str">
        <f t="shared" si="9"/>
        <v>o̍</v>
      </c>
    </row>
    <row r="19" spans="13:36" ht="32.25">
      <c r="M19" s="304">
        <v>15</v>
      </c>
      <c r="N19" s="308" t="s">
        <v>214</v>
      </c>
      <c r="O19" s="312" t="str" cm="1">
        <f t="array" ref="O19">INDEX(韻母對照表, (($M19-1)*2 +1), $O$1)</f>
        <v>o</v>
      </c>
      <c r="P19" s="312" t="str" cm="1">
        <f t="array" ref="P19">INDEX(韻母對照表, (($M19-1)*2 +2), $O$1)</f>
        <v>oh</v>
      </c>
      <c r="Q19" s="308" t="s">
        <v>215</v>
      </c>
      <c r="R19" s="313" t="str">
        <f t="shared" si="6"/>
        <v>o</v>
      </c>
      <c r="S19" s="313" t="str">
        <f t="shared" si="2"/>
        <v>ó</v>
      </c>
      <c r="T19" s="313" t="str">
        <f t="shared" si="2"/>
        <v>ò</v>
      </c>
      <c r="U19" s="314" t="str">
        <f t="shared" si="2"/>
        <v>oh</v>
      </c>
      <c r="V19" s="313" t="str">
        <f t="shared" si="2"/>
        <v>ô</v>
      </c>
      <c r="W19" s="313" t="str">
        <f t="shared" si="2"/>
        <v>ò</v>
      </c>
      <c r="X19" s="313" t="str">
        <f t="shared" si="2"/>
        <v>ō</v>
      </c>
      <c r="Y19" s="314" t="str">
        <f t="shared" si="2"/>
        <v>o̍h</v>
      </c>
      <c r="AA19" s="301">
        <f t="shared" si="3"/>
        <v>1</v>
      </c>
      <c r="AB19" s="301">
        <f t="shared" si="4"/>
        <v>4</v>
      </c>
      <c r="AC19" s="301" t="str">
        <f t="shared" si="9"/>
        <v>o</v>
      </c>
      <c r="AD19" s="301" t="str">
        <f t="shared" si="9"/>
        <v>ó</v>
      </c>
      <c r="AE19" s="301" t="str">
        <f t="shared" si="9"/>
        <v>ò</v>
      </c>
      <c r="AF19" s="301" t="str">
        <f t="shared" si="9"/>
        <v>o</v>
      </c>
      <c r="AG19" s="301" t="str">
        <f t="shared" si="9"/>
        <v>ô</v>
      </c>
      <c r="AH19" s="301" t="str">
        <f t="shared" si="9"/>
        <v>ò</v>
      </c>
      <c r="AI19" s="301" t="str">
        <f t="shared" si="9"/>
        <v>ō</v>
      </c>
      <c r="AJ19" s="301" t="str">
        <f t="shared" si="9"/>
        <v>o̍</v>
      </c>
    </row>
    <row r="20" spans="13:36" ht="32.25">
      <c r="M20" s="304">
        <v>16</v>
      </c>
      <c r="N20" s="308" t="s">
        <v>150</v>
      </c>
      <c r="O20" s="312" t="str" cm="1">
        <f t="array" ref="O20">INDEX(韻母對照表, (($M20-1)*2 +1), $O$1)</f>
        <v>ai</v>
      </c>
      <c r="P20" s="312" t="str" cm="1">
        <f t="array" ref="P20">INDEX(韻母對照表, (($M20-1)*2 +2), $O$1)</f>
        <v>aih</v>
      </c>
      <c r="Q20" s="308" t="s">
        <v>139</v>
      </c>
      <c r="R20" s="313" t="str">
        <f t="shared" si="6"/>
        <v>ai</v>
      </c>
      <c r="S20" s="313" t="str">
        <f t="shared" si="2"/>
        <v>ái</v>
      </c>
      <c r="T20" s="313" t="str">
        <f t="shared" si="2"/>
        <v>ài</v>
      </c>
      <c r="U20" s="314" t="str">
        <f t="shared" si="2"/>
        <v>aih</v>
      </c>
      <c r="V20" s="313" t="str">
        <f t="shared" si="2"/>
        <v>âi</v>
      </c>
      <c r="W20" s="313" t="str">
        <f t="shared" si="2"/>
        <v>ài</v>
      </c>
      <c r="X20" s="313" t="str">
        <f t="shared" si="2"/>
        <v>āi</v>
      </c>
      <c r="Y20" s="314" t="str">
        <f t="shared" si="2"/>
        <v>a̍ih</v>
      </c>
      <c r="AA20" s="301">
        <f t="shared" si="3"/>
        <v>1</v>
      </c>
      <c r="AB20" s="301">
        <f t="shared" si="4"/>
        <v>1</v>
      </c>
      <c r="AC20" s="301" t="str">
        <f t="shared" si="9"/>
        <v>a</v>
      </c>
      <c r="AD20" s="301" t="str">
        <f t="shared" si="9"/>
        <v>á</v>
      </c>
      <c r="AE20" s="301" t="str">
        <f t="shared" si="9"/>
        <v>à</v>
      </c>
      <c r="AF20" s="301" t="str">
        <f t="shared" si="9"/>
        <v>a</v>
      </c>
      <c r="AG20" s="301" t="str">
        <f t="shared" si="9"/>
        <v>â</v>
      </c>
      <c r="AH20" s="301" t="str">
        <f t="shared" si="9"/>
        <v>à</v>
      </c>
      <c r="AI20" s="301" t="str">
        <f t="shared" si="9"/>
        <v>ā</v>
      </c>
      <c r="AJ20" s="301" t="str">
        <f t="shared" si="9"/>
        <v>a̍</v>
      </c>
    </row>
    <row r="21" spans="13:36" ht="32.25">
      <c r="M21" s="304">
        <v>17</v>
      </c>
      <c r="N21" s="308" t="s">
        <v>223</v>
      </c>
      <c r="O21" s="312" t="str" cm="1">
        <f t="array" ref="O21">INDEX(韻母對照表, (($M21-1)*2 +1), $O$1)</f>
        <v>in</v>
      </c>
      <c r="P21" s="312" t="str" cm="1">
        <f t="array" ref="P21">INDEX(韻母對照表, (($M21-1)*2 +2), $O$1)</f>
        <v>it</v>
      </c>
      <c r="Q21" s="308" t="s">
        <v>200</v>
      </c>
      <c r="R21" s="313" t="str">
        <f t="shared" si="6"/>
        <v>in</v>
      </c>
      <c r="S21" s="313" t="str">
        <f t="shared" si="6"/>
        <v>ín</v>
      </c>
      <c r="T21" s="313" t="str">
        <f t="shared" si="6"/>
        <v>ìn</v>
      </c>
      <c r="U21" s="314" t="str">
        <f t="shared" si="6"/>
        <v>it</v>
      </c>
      <c r="V21" s="313" t="str">
        <f t="shared" si="6"/>
        <v>în</v>
      </c>
      <c r="W21" s="313" t="str">
        <f t="shared" si="6"/>
        <v>ìn</v>
      </c>
      <c r="X21" s="313" t="str">
        <f t="shared" si="6"/>
        <v>īn</v>
      </c>
      <c r="Y21" s="314" t="str">
        <f t="shared" si="6"/>
        <v>i̍t</v>
      </c>
      <c r="AA21" s="301">
        <f t="shared" si="3"/>
        <v>1</v>
      </c>
      <c r="AB21" s="301">
        <f t="shared" si="4"/>
        <v>3</v>
      </c>
      <c r="AC21" s="301" t="str">
        <f t="shared" si="9"/>
        <v>i</v>
      </c>
      <c r="AD21" s="301" t="str">
        <f t="shared" si="9"/>
        <v>í</v>
      </c>
      <c r="AE21" s="301" t="str">
        <f t="shared" si="9"/>
        <v>ì</v>
      </c>
      <c r="AF21" s="301" t="str">
        <f t="shared" si="9"/>
        <v>i</v>
      </c>
      <c r="AG21" s="301" t="str">
        <f t="shared" si="9"/>
        <v>î</v>
      </c>
      <c r="AH21" s="301" t="str">
        <f t="shared" si="9"/>
        <v>ì</v>
      </c>
      <c r="AI21" s="301" t="str">
        <f t="shared" si="9"/>
        <v>ī</v>
      </c>
      <c r="AJ21" s="301" t="str">
        <f t="shared" si="9"/>
        <v>i̍</v>
      </c>
    </row>
    <row r="22" spans="13:36" ht="32.25">
      <c r="M22" s="304">
        <v>18</v>
      </c>
      <c r="N22" s="308" t="s">
        <v>226</v>
      </c>
      <c r="O22" s="312" t="str" cm="1">
        <f t="array" ref="O22">INDEX(韻母對照表, (($M22-1)*2 +1), $O$1)</f>
        <v>iang</v>
      </c>
      <c r="P22" s="312" t="str" cm="1">
        <f t="array" ref="P22">INDEX(韻母對照表, (($M22-1)*2 +2), $O$1)</f>
        <v>iak</v>
      </c>
      <c r="Q22" s="308" t="s">
        <v>139</v>
      </c>
      <c r="R22" s="313" t="str">
        <f t="shared" si="6"/>
        <v>iang</v>
      </c>
      <c r="S22" s="313" t="str">
        <f t="shared" si="6"/>
        <v>iáng</v>
      </c>
      <c r="T22" s="313" t="str">
        <f t="shared" si="6"/>
        <v>iàng</v>
      </c>
      <c r="U22" s="314" t="str">
        <f t="shared" si="6"/>
        <v>iak</v>
      </c>
      <c r="V22" s="313" t="str">
        <f t="shared" si="6"/>
        <v>iâng</v>
      </c>
      <c r="W22" s="313" t="str">
        <f t="shared" si="6"/>
        <v>iàng</v>
      </c>
      <c r="X22" s="313" t="str">
        <f t="shared" si="6"/>
        <v>iāng</v>
      </c>
      <c r="Y22" s="314" t="str">
        <f t="shared" si="6"/>
        <v>ia̍k</v>
      </c>
      <c r="AA22" s="301">
        <f t="shared" si="3"/>
        <v>2</v>
      </c>
      <c r="AB22" s="301">
        <f t="shared" si="4"/>
        <v>1</v>
      </c>
      <c r="AC22" s="301" t="str">
        <f t="shared" si="9"/>
        <v>a</v>
      </c>
      <c r="AD22" s="301" t="str">
        <f t="shared" si="9"/>
        <v>á</v>
      </c>
      <c r="AE22" s="301" t="str">
        <f t="shared" si="9"/>
        <v>à</v>
      </c>
      <c r="AF22" s="301" t="str">
        <f t="shared" si="9"/>
        <v>a</v>
      </c>
      <c r="AG22" s="301" t="str">
        <f t="shared" si="9"/>
        <v>â</v>
      </c>
      <c r="AH22" s="301" t="str">
        <f t="shared" si="9"/>
        <v>à</v>
      </c>
      <c r="AI22" s="301" t="str">
        <f t="shared" si="9"/>
        <v>ā</v>
      </c>
      <c r="AJ22" s="301" t="str">
        <f t="shared" si="9"/>
        <v>a̍</v>
      </c>
    </row>
    <row r="23" spans="13:36" ht="32.25">
      <c r="M23" s="304">
        <v>19</v>
      </c>
      <c r="N23" s="308" t="s">
        <v>162</v>
      </c>
      <c r="O23" s="312" t="str" cm="1">
        <f t="array" ref="O23">INDEX(韻母對照表, (($M23-1)*2 +1), $O$1)</f>
        <v>am</v>
      </c>
      <c r="P23" s="312" t="str" cm="1">
        <f t="array" ref="P23">INDEX(韻母對照表, (($M23-1)*2 +2), $O$1)</f>
        <v>ap</v>
      </c>
      <c r="Q23" s="308" t="s">
        <v>139</v>
      </c>
      <c r="R23" s="313" t="str">
        <f t="shared" si="6"/>
        <v>am</v>
      </c>
      <c r="S23" s="313" t="str">
        <f t="shared" si="6"/>
        <v>ám</v>
      </c>
      <c r="T23" s="313" t="str">
        <f t="shared" si="6"/>
        <v>àm</v>
      </c>
      <c r="U23" s="314" t="str">
        <f t="shared" si="6"/>
        <v>ap</v>
      </c>
      <c r="V23" s="313" t="str">
        <f t="shared" si="6"/>
        <v>âm</v>
      </c>
      <c r="W23" s="313" t="str">
        <f t="shared" si="6"/>
        <v>àm</v>
      </c>
      <c r="X23" s="313" t="str">
        <f t="shared" si="6"/>
        <v>ām</v>
      </c>
      <c r="Y23" s="314" t="str">
        <f t="shared" si="6"/>
        <v>a̍p</v>
      </c>
      <c r="AA23" s="301">
        <f t="shared" si="3"/>
        <v>1</v>
      </c>
      <c r="AB23" s="301">
        <f t="shared" si="4"/>
        <v>1</v>
      </c>
      <c r="AC23" s="301" t="str">
        <f t="shared" si="9"/>
        <v>a</v>
      </c>
      <c r="AD23" s="301" t="str">
        <f t="shared" si="9"/>
        <v>á</v>
      </c>
      <c r="AE23" s="301" t="str">
        <f t="shared" si="9"/>
        <v>à</v>
      </c>
      <c r="AF23" s="301" t="str">
        <f t="shared" si="9"/>
        <v>a</v>
      </c>
      <c r="AG23" s="301" t="str">
        <f t="shared" si="9"/>
        <v>â</v>
      </c>
      <c r="AH23" s="301" t="str">
        <f t="shared" si="9"/>
        <v>à</v>
      </c>
      <c r="AI23" s="301" t="str">
        <f t="shared" si="9"/>
        <v>ā</v>
      </c>
      <c r="AJ23" s="301" t="str">
        <f t="shared" si="9"/>
        <v>a̍</v>
      </c>
    </row>
    <row r="24" spans="13:36" ht="32.25">
      <c r="M24" s="304">
        <v>20</v>
      </c>
      <c r="N24" s="308" t="s">
        <v>229</v>
      </c>
      <c r="O24" s="312" t="str" cm="1">
        <f t="array" ref="O24">INDEX(韻母對照表, (($M24-1)*2 +1), $O$1)</f>
        <v>ua</v>
      </c>
      <c r="P24" s="312" t="str" cm="1">
        <f t="array" ref="P24">INDEX(韻母對照表, (($M24-1)*2 +2), $O$1)</f>
        <v>uah</v>
      </c>
      <c r="Q24" s="308" t="s">
        <v>215</v>
      </c>
      <c r="R24" s="313" t="str">
        <f t="shared" si="6"/>
        <v>ua</v>
      </c>
      <c r="S24" s="313" t="str">
        <f t="shared" si="6"/>
        <v>ua</v>
      </c>
      <c r="T24" s="313" t="str">
        <f t="shared" si="6"/>
        <v>ua</v>
      </c>
      <c r="U24" s="314" t="str">
        <f t="shared" si="6"/>
        <v>uah</v>
      </c>
      <c r="V24" s="313" t="str">
        <f t="shared" si="6"/>
        <v>ua</v>
      </c>
      <c r="W24" s="313" t="str">
        <f t="shared" si="6"/>
        <v>ua</v>
      </c>
      <c r="X24" s="313" t="str">
        <f t="shared" si="6"/>
        <v>ua</v>
      </c>
      <c r="Y24" s="314" t="str">
        <f t="shared" si="6"/>
        <v>uah</v>
      </c>
      <c r="AA24" s="301" t="e">
        <f t="shared" si="3"/>
        <v>#VALUE!</v>
      </c>
      <c r="AB24" s="301">
        <f t="shared" si="4"/>
        <v>4</v>
      </c>
      <c r="AC24" s="301" t="str">
        <f t="shared" si="9"/>
        <v>o</v>
      </c>
      <c r="AD24" s="301" t="str">
        <f t="shared" si="9"/>
        <v>ó</v>
      </c>
      <c r="AE24" s="301" t="str">
        <f t="shared" si="9"/>
        <v>ò</v>
      </c>
      <c r="AF24" s="301" t="str">
        <f t="shared" si="9"/>
        <v>o</v>
      </c>
      <c r="AG24" s="301" t="str">
        <f t="shared" si="9"/>
        <v>ô</v>
      </c>
      <c r="AH24" s="301" t="str">
        <f t="shared" si="9"/>
        <v>ò</v>
      </c>
      <c r="AI24" s="301" t="str">
        <f t="shared" si="9"/>
        <v>ō</v>
      </c>
      <c r="AJ24" s="301" t="str">
        <f t="shared" si="9"/>
        <v>o̍</v>
      </c>
    </row>
    <row r="25" spans="13:36" ht="32.25">
      <c r="M25" s="304">
        <v>21</v>
      </c>
      <c r="N25" s="308" t="s">
        <v>171</v>
      </c>
      <c r="O25" s="312" t="str" cm="1">
        <f t="array" ref="O25">INDEX(韻母對照表, (($M25-1)*2 +1), $O$1)</f>
        <v>ang</v>
      </c>
      <c r="P25" s="312" t="str" cm="1">
        <f t="array" ref="P25">INDEX(韻母對照表, (($M25-1)*2 +2), $O$1)</f>
        <v>ak</v>
      </c>
      <c r="Q25" s="308" t="s">
        <v>139</v>
      </c>
      <c r="R25" s="313" t="str">
        <f t="shared" si="6"/>
        <v>ang</v>
      </c>
      <c r="S25" s="313" t="str">
        <f t="shared" si="6"/>
        <v>áng</v>
      </c>
      <c r="T25" s="313" t="str">
        <f t="shared" si="6"/>
        <v>àng</v>
      </c>
      <c r="U25" s="314" t="str">
        <f t="shared" si="6"/>
        <v>ak</v>
      </c>
      <c r="V25" s="313" t="str">
        <f t="shared" si="6"/>
        <v>âng</v>
      </c>
      <c r="W25" s="313" t="str">
        <f t="shared" si="6"/>
        <v>àng</v>
      </c>
      <c r="X25" s="313" t="str">
        <f t="shared" si="6"/>
        <v>āng</v>
      </c>
      <c r="Y25" s="314" t="str">
        <f t="shared" si="6"/>
        <v>a̍k</v>
      </c>
      <c r="AA25" s="301">
        <f t="shared" si="3"/>
        <v>1</v>
      </c>
      <c r="AB25" s="301">
        <f t="shared" si="4"/>
        <v>1</v>
      </c>
      <c r="AC25" s="301" t="str">
        <f t="shared" ref="AC25:AJ34" si="10">INDEX($D$5:$K$12, $AB25, AC$4)</f>
        <v>a</v>
      </c>
      <c r="AD25" s="301" t="str">
        <f t="shared" si="10"/>
        <v>á</v>
      </c>
      <c r="AE25" s="301" t="str">
        <f t="shared" si="10"/>
        <v>à</v>
      </c>
      <c r="AF25" s="301" t="str">
        <f t="shared" si="10"/>
        <v>a</v>
      </c>
      <c r="AG25" s="301" t="str">
        <f t="shared" si="10"/>
        <v>â</v>
      </c>
      <c r="AH25" s="301" t="str">
        <f t="shared" si="10"/>
        <v>à</v>
      </c>
      <c r="AI25" s="301" t="str">
        <f t="shared" si="10"/>
        <v>ā</v>
      </c>
      <c r="AJ25" s="301" t="str">
        <f t="shared" si="10"/>
        <v>a̍</v>
      </c>
    </row>
    <row r="26" spans="13:36" ht="32.25">
      <c r="M26" s="304">
        <v>22</v>
      </c>
      <c r="N26" s="308" t="s">
        <v>220</v>
      </c>
      <c r="O26" s="312" t="str" cm="1">
        <f t="array" ref="O26">INDEX(韻母對照表, (($M26-1)*2 +1), $O$1)</f>
        <v>iam</v>
      </c>
      <c r="P26" s="312" t="str" cm="1">
        <f t="array" ref="P26">INDEX(韻母對照表, (($M26-1)*2 +2), $O$1)</f>
        <v>iap</v>
      </c>
      <c r="Q26" s="308" t="s">
        <v>139</v>
      </c>
      <c r="R26" s="313" t="str">
        <f t="shared" si="6"/>
        <v>iam</v>
      </c>
      <c r="S26" s="313" t="str">
        <f t="shared" si="6"/>
        <v>iám</v>
      </c>
      <c r="T26" s="313" t="str">
        <f t="shared" si="6"/>
        <v>iàm</v>
      </c>
      <c r="U26" s="314" t="str">
        <f t="shared" si="6"/>
        <v>iap</v>
      </c>
      <c r="V26" s="313" t="str">
        <f t="shared" si="6"/>
        <v>iâm</v>
      </c>
      <c r="W26" s="313" t="str">
        <f t="shared" si="6"/>
        <v>iàm</v>
      </c>
      <c r="X26" s="313" t="str">
        <f t="shared" si="6"/>
        <v>iām</v>
      </c>
      <c r="Y26" s="314" t="str">
        <f t="shared" si="6"/>
        <v>ia̍p</v>
      </c>
      <c r="AA26" s="301">
        <f t="shared" si="3"/>
        <v>2</v>
      </c>
      <c r="AB26" s="301">
        <f t="shared" si="4"/>
        <v>1</v>
      </c>
      <c r="AC26" s="301" t="str">
        <f t="shared" si="10"/>
        <v>a</v>
      </c>
      <c r="AD26" s="301" t="str">
        <f t="shared" si="10"/>
        <v>á</v>
      </c>
      <c r="AE26" s="301" t="str">
        <f t="shared" si="10"/>
        <v>à</v>
      </c>
      <c r="AF26" s="301" t="str">
        <f t="shared" si="10"/>
        <v>a</v>
      </c>
      <c r="AG26" s="301" t="str">
        <f t="shared" si="10"/>
        <v>â</v>
      </c>
      <c r="AH26" s="301" t="str">
        <f t="shared" si="10"/>
        <v>à</v>
      </c>
      <c r="AI26" s="301" t="str">
        <f t="shared" si="10"/>
        <v>ā</v>
      </c>
      <c r="AJ26" s="301" t="str">
        <f t="shared" si="10"/>
        <v>a̍</v>
      </c>
    </row>
    <row r="27" spans="13:36" ht="32.25">
      <c r="M27" s="304">
        <v>23</v>
      </c>
      <c r="N27" s="308" t="s">
        <v>177</v>
      </c>
      <c r="O27" s="312" t="str" cm="1">
        <f t="array" ref="O27">INDEX(韻母對照表, (($M27-1)*2 +1), $O$1)</f>
        <v>au</v>
      </c>
      <c r="P27" s="312" t="str" cm="1">
        <f t="array" ref="P27">INDEX(韻母對照表, (($M27-1)*2 +2), $O$1)</f>
        <v>auh</v>
      </c>
      <c r="Q27" s="308" t="s">
        <v>139</v>
      </c>
      <c r="R27" s="313" t="str">
        <f t="shared" si="6"/>
        <v>au</v>
      </c>
      <c r="S27" s="313" t="str">
        <f t="shared" si="6"/>
        <v>áu</v>
      </c>
      <c r="T27" s="313" t="str">
        <f t="shared" si="6"/>
        <v>àu</v>
      </c>
      <c r="U27" s="314" t="str">
        <f t="shared" si="6"/>
        <v>auh</v>
      </c>
      <c r="V27" s="313" t="str">
        <f t="shared" si="6"/>
        <v>âu</v>
      </c>
      <c r="W27" s="313" t="str">
        <f t="shared" si="6"/>
        <v>àu</v>
      </c>
      <c r="X27" s="313" t="str">
        <f t="shared" si="6"/>
        <v>āu</v>
      </c>
      <c r="Y27" s="314" t="str">
        <f t="shared" si="6"/>
        <v>a̍uh</v>
      </c>
      <c r="AA27" s="301">
        <f t="shared" si="3"/>
        <v>1</v>
      </c>
      <c r="AB27" s="301">
        <f t="shared" si="4"/>
        <v>1</v>
      </c>
      <c r="AC27" s="301" t="str">
        <f t="shared" si="10"/>
        <v>a</v>
      </c>
      <c r="AD27" s="301" t="str">
        <f t="shared" si="10"/>
        <v>á</v>
      </c>
      <c r="AE27" s="301" t="str">
        <f t="shared" si="10"/>
        <v>à</v>
      </c>
      <c r="AF27" s="301" t="str">
        <f t="shared" si="10"/>
        <v>a</v>
      </c>
      <c r="AG27" s="301" t="str">
        <f t="shared" si="10"/>
        <v>â</v>
      </c>
      <c r="AH27" s="301" t="str">
        <f t="shared" si="10"/>
        <v>à</v>
      </c>
      <c r="AI27" s="301" t="str">
        <f t="shared" si="10"/>
        <v>ā</v>
      </c>
      <c r="AJ27" s="301" t="str">
        <f t="shared" si="10"/>
        <v>a̍</v>
      </c>
    </row>
    <row r="28" spans="13:36" ht="32.25">
      <c r="M28" s="304">
        <v>24</v>
      </c>
      <c r="N28" s="308" t="s">
        <v>211</v>
      </c>
      <c r="O28" s="312" t="str" cm="1">
        <f t="array" ref="O28">INDEX(韻母對照表, (($M28-1)*2 +1), $O$1)</f>
        <v>ia</v>
      </c>
      <c r="P28" s="312" t="str" cm="1">
        <f t="array" ref="P28">INDEX(韻母對照表, (($M28-1)*2 +2), $O$1)</f>
        <v>iah</v>
      </c>
      <c r="Q28" s="308" t="s">
        <v>139</v>
      </c>
      <c r="R28" s="313" t="str">
        <f t="shared" si="6"/>
        <v>ia</v>
      </c>
      <c r="S28" s="313" t="str">
        <f t="shared" si="6"/>
        <v>iá</v>
      </c>
      <c r="T28" s="313" t="str">
        <f t="shared" si="6"/>
        <v>ià</v>
      </c>
      <c r="U28" s="314" t="str">
        <f t="shared" si="6"/>
        <v>iah</v>
      </c>
      <c r="V28" s="313" t="str">
        <f t="shared" si="6"/>
        <v>iâ</v>
      </c>
      <c r="W28" s="313" t="str">
        <f t="shared" si="6"/>
        <v>ià</v>
      </c>
      <c r="X28" s="313" t="str">
        <f t="shared" si="6"/>
        <v>iā</v>
      </c>
      <c r="Y28" s="314" t="str">
        <f t="shared" si="6"/>
        <v>ia̍h</v>
      </c>
      <c r="AA28" s="301">
        <f t="shared" si="3"/>
        <v>2</v>
      </c>
      <c r="AB28" s="301">
        <f t="shared" si="4"/>
        <v>1</v>
      </c>
      <c r="AC28" s="301" t="str">
        <f t="shared" si="10"/>
        <v>a</v>
      </c>
      <c r="AD28" s="301" t="str">
        <f t="shared" si="10"/>
        <v>á</v>
      </c>
      <c r="AE28" s="301" t="str">
        <f t="shared" si="10"/>
        <v>à</v>
      </c>
      <c r="AF28" s="301" t="str">
        <f t="shared" si="10"/>
        <v>a</v>
      </c>
      <c r="AG28" s="301" t="str">
        <f t="shared" si="10"/>
        <v>â</v>
      </c>
      <c r="AH28" s="301" t="str">
        <f t="shared" si="10"/>
        <v>à</v>
      </c>
      <c r="AI28" s="301" t="str">
        <f t="shared" si="10"/>
        <v>ā</v>
      </c>
      <c r="AJ28" s="301" t="str">
        <f t="shared" si="10"/>
        <v>a̍</v>
      </c>
    </row>
    <row r="29" spans="13:36" ht="32.25">
      <c r="M29" s="304">
        <v>25</v>
      </c>
      <c r="N29" s="308" t="s">
        <v>238</v>
      </c>
      <c r="O29" s="312" t="str" cm="1">
        <f t="array" ref="O29">INDEX(韻母對照表, (($M29-1)*2 +1), $O$1)</f>
        <v>ue</v>
      </c>
      <c r="P29" s="312" t="str" cm="1">
        <f t="array" ref="P29">INDEX(韻母對照表, (($M29-1)*2 +2), $O$1)</f>
        <v>ueh</v>
      </c>
      <c r="Q29" s="308" t="s">
        <v>215</v>
      </c>
      <c r="R29" s="313" t="str">
        <f t="shared" si="6"/>
        <v>ue</v>
      </c>
      <c r="S29" s="313" t="str">
        <f t="shared" si="6"/>
        <v>ue</v>
      </c>
      <c r="T29" s="313" t="str">
        <f t="shared" si="6"/>
        <v>ue</v>
      </c>
      <c r="U29" s="314" t="str">
        <f t="shared" si="6"/>
        <v>ueh</v>
      </c>
      <c r="V29" s="313" t="str">
        <f t="shared" si="6"/>
        <v>ue</v>
      </c>
      <c r="W29" s="313" t="str">
        <f t="shared" si="6"/>
        <v>ue</v>
      </c>
      <c r="X29" s="313" t="str">
        <f t="shared" si="6"/>
        <v>ue</v>
      </c>
      <c r="Y29" s="314" t="str">
        <f t="shared" si="6"/>
        <v>ueh</v>
      </c>
      <c r="AA29" s="301" t="e">
        <f t="shared" si="3"/>
        <v>#VALUE!</v>
      </c>
      <c r="AB29" s="301">
        <f t="shared" si="4"/>
        <v>4</v>
      </c>
      <c r="AC29" s="301" t="str">
        <f t="shared" si="10"/>
        <v>o</v>
      </c>
      <c r="AD29" s="301" t="str">
        <f t="shared" si="10"/>
        <v>ó</v>
      </c>
      <c r="AE29" s="301" t="str">
        <f t="shared" si="10"/>
        <v>ò</v>
      </c>
      <c r="AF29" s="301" t="str">
        <f t="shared" si="10"/>
        <v>o</v>
      </c>
      <c r="AG29" s="301" t="str">
        <f t="shared" si="10"/>
        <v>ô</v>
      </c>
      <c r="AH29" s="301" t="str">
        <f t="shared" si="10"/>
        <v>ò</v>
      </c>
      <c r="AI29" s="301" t="str">
        <f t="shared" si="10"/>
        <v>ō</v>
      </c>
      <c r="AJ29" s="301" t="str">
        <f t="shared" si="10"/>
        <v>o̍</v>
      </c>
    </row>
    <row r="30" spans="13:36" ht="32.25">
      <c r="M30" s="304">
        <v>26</v>
      </c>
      <c r="N30" s="308" t="s">
        <v>144</v>
      </c>
      <c r="O30" s="312" t="str" cm="1">
        <f t="array" ref="O30">INDEX(韻母對照表, (($M30-1)*2 +1), $O$1)</f>
        <v>ann</v>
      </c>
      <c r="P30" s="312" t="str" cm="1">
        <f t="array" ref="P30">INDEX(韻母對照表, (($M30-1)*2 +2), $O$1)</f>
        <v>annh</v>
      </c>
      <c r="Q30" s="308" t="s">
        <v>139</v>
      </c>
      <c r="R30" s="313" t="str">
        <f t="shared" si="6"/>
        <v>ann</v>
      </c>
      <c r="S30" s="313" t="str">
        <f t="shared" si="6"/>
        <v>ánn</v>
      </c>
      <c r="T30" s="313" t="str">
        <f t="shared" si="6"/>
        <v>ànn</v>
      </c>
      <c r="U30" s="314" t="str">
        <f t="shared" si="6"/>
        <v>annh</v>
      </c>
      <c r="V30" s="313" t="str">
        <f t="shared" si="6"/>
        <v>ânn</v>
      </c>
      <c r="W30" s="313" t="str">
        <f t="shared" si="6"/>
        <v>ànn</v>
      </c>
      <c r="X30" s="313" t="str">
        <f t="shared" si="6"/>
        <v>ānn</v>
      </c>
      <c r="Y30" s="314" t="str">
        <f t="shared" si="6"/>
        <v>a̍nnh</v>
      </c>
      <c r="AA30" s="301">
        <f t="shared" si="3"/>
        <v>1</v>
      </c>
      <c r="AB30" s="301">
        <f t="shared" si="4"/>
        <v>1</v>
      </c>
      <c r="AC30" s="301" t="str">
        <f t="shared" si="10"/>
        <v>a</v>
      </c>
      <c r="AD30" s="301" t="str">
        <f t="shared" si="10"/>
        <v>á</v>
      </c>
      <c r="AE30" s="301" t="str">
        <f t="shared" si="10"/>
        <v>à</v>
      </c>
      <c r="AF30" s="301" t="str">
        <f t="shared" si="10"/>
        <v>a</v>
      </c>
      <c r="AG30" s="301" t="str">
        <f t="shared" si="10"/>
        <v>â</v>
      </c>
      <c r="AH30" s="301" t="str">
        <f t="shared" si="10"/>
        <v>à</v>
      </c>
      <c r="AI30" s="301" t="str">
        <f t="shared" si="10"/>
        <v>ā</v>
      </c>
      <c r="AJ30" s="301" t="str">
        <f t="shared" si="10"/>
        <v>a̍</v>
      </c>
    </row>
    <row r="31" spans="13:36" ht="32.25">
      <c r="M31" s="304">
        <v>27</v>
      </c>
      <c r="N31" s="308" t="s">
        <v>275</v>
      </c>
      <c r="O31" s="312" t="str" cm="1">
        <f t="array" ref="O31">INDEX(韻母對照表, (($M31-1)*2 +1), $O$1)</f>
        <v>u</v>
      </c>
      <c r="P31" s="312" t="str" cm="1">
        <f t="array" ref="P31">INDEX(韻母對照表, (($M31-1)*2 +2), $O$1)</f>
        <v>uh</v>
      </c>
      <c r="Q31" s="308" t="s">
        <v>245</v>
      </c>
      <c r="R31" s="313" t="str">
        <f t="shared" si="6"/>
        <v>u</v>
      </c>
      <c r="S31" s="313" t="str">
        <f t="shared" si="6"/>
        <v>ú</v>
      </c>
      <c r="T31" s="313" t="str">
        <f t="shared" si="6"/>
        <v>ù</v>
      </c>
      <c r="U31" s="314" t="str">
        <f t="shared" si="6"/>
        <v>uh</v>
      </c>
      <c r="V31" s="313" t="str">
        <f t="shared" si="6"/>
        <v>û</v>
      </c>
      <c r="W31" s="313" t="str">
        <f t="shared" si="6"/>
        <v>ù</v>
      </c>
      <c r="X31" s="313" t="str">
        <f t="shared" si="6"/>
        <v>ū</v>
      </c>
      <c r="Y31" s="314" t="str">
        <f t="shared" si="6"/>
        <v>u̍h</v>
      </c>
      <c r="AA31" s="301">
        <f t="shared" si="3"/>
        <v>1</v>
      </c>
      <c r="AB31" s="301">
        <f t="shared" si="4"/>
        <v>6</v>
      </c>
      <c r="AC31" s="301" t="str">
        <f t="shared" si="10"/>
        <v>u</v>
      </c>
      <c r="AD31" s="301" t="str">
        <f t="shared" si="10"/>
        <v>ú</v>
      </c>
      <c r="AE31" s="301" t="str">
        <f t="shared" si="10"/>
        <v>ù</v>
      </c>
      <c r="AF31" s="301" t="str">
        <f t="shared" si="10"/>
        <v>u</v>
      </c>
      <c r="AG31" s="301" t="str">
        <f t="shared" si="10"/>
        <v>û</v>
      </c>
      <c r="AH31" s="301" t="str">
        <f t="shared" si="10"/>
        <v>ù</v>
      </c>
      <c r="AI31" s="301" t="str">
        <f t="shared" si="10"/>
        <v>ū</v>
      </c>
      <c r="AJ31" s="301" t="str">
        <f t="shared" si="10"/>
        <v>u̍</v>
      </c>
    </row>
    <row r="32" spans="13:36" ht="32.25">
      <c r="M32" s="304">
        <v>28</v>
      </c>
      <c r="N32" s="308" t="s">
        <v>138</v>
      </c>
      <c r="O32" s="312" t="str" cm="1">
        <f t="array" ref="O32">INDEX(韻母對照表, (($M32-1)*2 +1), $O$1)</f>
        <v>a</v>
      </c>
      <c r="P32" s="312" t="str" cm="1">
        <f t="array" ref="P32">INDEX(韻母對照表, (($M32-1)*2 +2), $O$1)</f>
        <v>ah</v>
      </c>
      <c r="Q32" s="308" t="s">
        <v>139</v>
      </c>
      <c r="R32" s="313" t="str">
        <f t="shared" si="6"/>
        <v>a</v>
      </c>
      <c r="S32" s="313" t="str">
        <f t="shared" si="6"/>
        <v>á</v>
      </c>
      <c r="T32" s="313" t="str">
        <f t="shared" si="6"/>
        <v>à</v>
      </c>
      <c r="U32" s="314" t="str">
        <f t="shared" si="6"/>
        <v>ah</v>
      </c>
      <c r="V32" s="313" t="str">
        <f t="shared" si="6"/>
        <v>â</v>
      </c>
      <c r="W32" s="313" t="str">
        <f t="shared" si="6"/>
        <v>à</v>
      </c>
      <c r="X32" s="313" t="str">
        <f t="shared" si="6"/>
        <v>ā</v>
      </c>
      <c r="Y32" s="314" t="str">
        <f t="shared" si="6"/>
        <v>a̍h</v>
      </c>
      <c r="AA32" s="301">
        <f t="shared" si="3"/>
        <v>1</v>
      </c>
      <c r="AB32" s="301">
        <f t="shared" si="4"/>
        <v>1</v>
      </c>
      <c r="AC32" s="301" t="str">
        <f t="shared" si="10"/>
        <v>a</v>
      </c>
      <c r="AD32" s="301" t="str">
        <f t="shared" si="10"/>
        <v>á</v>
      </c>
      <c r="AE32" s="301" t="str">
        <f t="shared" si="10"/>
        <v>à</v>
      </c>
      <c r="AF32" s="301" t="str">
        <f t="shared" si="10"/>
        <v>a</v>
      </c>
      <c r="AG32" s="301" t="str">
        <f t="shared" si="10"/>
        <v>â</v>
      </c>
      <c r="AH32" s="301" t="str">
        <f t="shared" si="10"/>
        <v>à</v>
      </c>
      <c r="AI32" s="301" t="str">
        <f t="shared" si="10"/>
        <v>ā</v>
      </c>
      <c r="AJ32" s="301" t="str">
        <f t="shared" si="10"/>
        <v>a̍</v>
      </c>
    </row>
    <row r="33" spans="13:36" ht="32.25">
      <c r="M33" s="304">
        <v>29</v>
      </c>
      <c r="N33" s="308" t="s">
        <v>199</v>
      </c>
      <c r="O33" s="312" t="str" cm="1">
        <f t="array" ref="O33">INDEX(韻母對照表, (($M33-1)*2 +1), $O$1)</f>
        <v>i</v>
      </c>
      <c r="P33" s="312" t="str" cm="1">
        <f t="array" ref="P33">INDEX(韻母對照表, (($M33-1)*2 +2), $O$1)</f>
        <v>ih</v>
      </c>
      <c r="Q33" s="308" t="s">
        <v>200</v>
      </c>
      <c r="R33" s="313" t="str">
        <f t="shared" si="6"/>
        <v>i</v>
      </c>
      <c r="S33" s="313" t="str">
        <f t="shared" si="6"/>
        <v>í</v>
      </c>
      <c r="T33" s="313" t="str">
        <f t="shared" si="6"/>
        <v>ì</v>
      </c>
      <c r="U33" s="314" t="str">
        <f t="shared" si="6"/>
        <v>ih</v>
      </c>
      <c r="V33" s="313" t="str">
        <f t="shared" si="6"/>
        <v>î</v>
      </c>
      <c r="W33" s="313" t="str">
        <f t="shared" si="6"/>
        <v>ì</v>
      </c>
      <c r="X33" s="313" t="str">
        <f t="shared" si="6"/>
        <v>ī</v>
      </c>
      <c r="Y33" s="314" t="str">
        <f t="shared" si="6"/>
        <v>i̍h</v>
      </c>
      <c r="AA33" s="301">
        <f t="shared" si="3"/>
        <v>1</v>
      </c>
      <c r="AB33" s="301">
        <f t="shared" si="4"/>
        <v>3</v>
      </c>
      <c r="AC33" s="301" t="str">
        <f t="shared" si="10"/>
        <v>i</v>
      </c>
      <c r="AD33" s="301" t="str">
        <f t="shared" si="10"/>
        <v>í</v>
      </c>
      <c r="AE33" s="301" t="str">
        <f t="shared" si="10"/>
        <v>ì</v>
      </c>
      <c r="AF33" s="301" t="str">
        <f t="shared" si="10"/>
        <v>i</v>
      </c>
      <c r="AG33" s="301" t="str">
        <f t="shared" si="10"/>
        <v>î</v>
      </c>
      <c r="AH33" s="301" t="str">
        <f t="shared" si="10"/>
        <v>ì</v>
      </c>
      <c r="AI33" s="301" t="str">
        <f t="shared" si="10"/>
        <v>ī</v>
      </c>
      <c r="AJ33" s="301" t="str">
        <f t="shared" si="10"/>
        <v>i̍</v>
      </c>
    </row>
    <row r="34" spans="13:36" ht="32.25">
      <c r="M34" s="304">
        <v>30</v>
      </c>
      <c r="N34" s="308" t="s">
        <v>241</v>
      </c>
      <c r="O34" s="312" t="str" cm="1">
        <f t="array" ref="O34">INDEX(韻母對照表, (($M34-1)*2 +1), $O$1)</f>
        <v>iu</v>
      </c>
      <c r="P34" s="312" t="str" cm="1">
        <f t="array" ref="P34">INDEX(韻母對照表, (($M34-1)*2 +2), $O$1)</f>
        <v>iuh</v>
      </c>
      <c r="Q34" s="308" t="s">
        <v>245</v>
      </c>
      <c r="R34" s="313" t="str">
        <f t="shared" si="6"/>
        <v>iu</v>
      </c>
      <c r="S34" s="313" t="str">
        <f t="shared" si="6"/>
        <v>iú</v>
      </c>
      <c r="T34" s="313" t="str">
        <f t="shared" si="6"/>
        <v>iù</v>
      </c>
      <c r="U34" s="314" t="str">
        <f t="shared" si="6"/>
        <v>iuh</v>
      </c>
      <c r="V34" s="313" t="str">
        <f t="shared" si="6"/>
        <v>iû</v>
      </c>
      <c r="W34" s="313" t="str">
        <f t="shared" si="6"/>
        <v>iù</v>
      </c>
      <c r="X34" s="313" t="str">
        <f t="shared" si="6"/>
        <v>iū</v>
      </c>
      <c r="Y34" s="314" t="str">
        <f t="shared" si="6"/>
        <v>iu̍h</v>
      </c>
      <c r="AA34" s="301">
        <f t="shared" si="3"/>
        <v>2</v>
      </c>
      <c r="AB34" s="301">
        <f t="shared" si="4"/>
        <v>6</v>
      </c>
      <c r="AC34" s="301" t="str">
        <f t="shared" si="10"/>
        <v>u</v>
      </c>
      <c r="AD34" s="301" t="str">
        <f t="shared" si="10"/>
        <v>ú</v>
      </c>
      <c r="AE34" s="301" t="str">
        <f t="shared" si="10"/>
        <v>ù</v>
      </c>
      <c r="AF34" s="301" t="str">
        <f t="shared" si="10"/>
        <v>u</v>
      </c>
      <c r="AG34" s="301" t="str">
        <f t="shared" si="10"/>
        <v>û</v>
      </c>
      <c r="AH34" s="301" t="str">
        <f t="shared" si="10"/>
        <v>ù</v>
      </c>
      <c r="AI34" s="301" t="str">
        <f t="shared" si="10"/>
        <v>ū</v>
      </c>
      <c r="AJ34" s="301" t="str">
        <f t="shared" si="10"/>
        <v>u̍</v>
      </c>
    </row>
    <row r="35" spans="13:36" ht="32.25">
      <c r="M35" s="304">
        <v>31</v>
      </c>
      <c r="N35" s="308" t="s">
        <v>193</v>
      </c>
      <c r="O35" s="312" t="str" cm="1">
        <f t="array" ref="O35">INDEX(韻母對照表, (($M35-1)*2 +1), $O$1)</f>
        <v>enn</v>
      </c>
      <c r="P35" s="312" t="str" cm="1">
        <f t="array" ref="P35">INDEX(韻母對照表, (($M35-1)*2 +2), $O$1)</f>
        <v>ennh</v>
      </c>
      <c r="Q35" s="308" t="s">
        <v>160</v>
      </c>
      <c r="R35" s="313" t="str">
        <f t="shared" si="6"/>
        <v>enn</v>
      </c>
      <c r="S35" s="313" t="str">
        <f t="shared" si="6"/>
        <v>énn</v>
      </c>
      <c r="T35" s="313" t="str">
        <f t="shared" si="6"/>
        <v>ènn</v>
      </c>
      <c r="U35" s="314" t="str">
        <f t="shared" si="6"/>
        <v>ennh</v>
      </c>
      <c r="V35" s="313" t="str">
        <f t="shared" si="6"/>
        <v>ênn</v>
      </c>
      <c r="W35" s="313" t="str">
        <f t="shared" si="6"/>
        <v>ènn</v>
      </c>
      <c r="X35" s="313" t="str">
        <f t="shared" si="6"/>
        <v>ēnn</v>
      </c>
      <c r="Y35" s="314" t="str">
        <f t="shared" si="6"/>
        <v>e̍nnh</v>
      </c>
      <c r="AA35" s="301">
        <f t="shared" si="3"/>
        <v>1</v>
      </c>
      <c r="AB35" s="301">
        <f t="shared" si="4"/>
        <v>2</v>
      </c>
      <c r="AC35" s="301" t="str">
        <f t="shared" ref="AC35:AJ44" si="11">INDEX($D$5:$K$12, $AB35, AC$4)</f>
        <v>e</v>
      </c>
      <c r="AD35" s="301" t="str">
        <f t="shared" si="11"/>
        <v>é</v>
      </c>
      <c r="AE35" s="301" t="str">
        <f t="shared" si="11"/>
        <v>è</v>
      </c>
      <c r="AF35" s="301" t="str">
        <f t="shared" si="11"/>
        <v>e</v>
      </c>
      <c r="AG35" s="301" t="str">
        <f t="shared" si="11"/>
        <v>ê</v>
      </c>
      <c r="AH35" s="301" t="str">
        <f t="shared" si="11"/>
        <v>è</v>
      </c>
      <c r="AI35" s="301" t="str">
        <f t="shared" si="11"/>
        <v>ē</v>
      </c>
      <c r="AJ35" s="301" t="str">
        <f t="shared" si="11"/>
        <v>e̍</v>
      </c>
    </row>
    <row r="36" spans="13:36" ht="32.25">
      <c r="M36" s="304">
        <v>32</v>
      </c>
      <c r="N36" s="308" t="s">
        <v>253</v>
      </c>
      <c r="O36" s="312" t="str" cm="1">
        <f t="array" ref="O36">INDEX(韻母對照表, (($M36-1)*2 +1), $O$1)</f>
        <v>uinn</v>
      </c>
      <c r="P36" s="312" t="str" cm="1">
        <f t="array" ref="P36">INDEX(韻母對照表, (($M36-1)*2 +2), $O$1)</f>
        <v>uinnh</v>
      </c>
      <c r="Q36" s="308" t="s">
        <v>245</v>
      </c>
      <c r="R36" s="313" t="str">
        <f t="shared" si="6"/>
        <v>uinn</v>
      </c>
      <c r="S36" s="313" t="str">
        <f t="shared" si="6"/>
        <v>úinn</v>
      </c>
      <c r="T36" s="313" t="str">
        <f t="shared" si="6"/>
        <v>ùinn</v>
      </c>
      <c r="U36" s="314" t="str">
        <f t="shared" si="6"/>
        <v>uinnh</v>
      </c>
      <c r="V36" s="313" t="str">
        <f t="shared" si="6"/>
        <v>ûinn</v>
      </c>
      <c r="W36" s="313" t="str">
        <f t="shared" si="6"/>
        <v>ùinn</v>
      </c>
      <c r="X36" s="313" t="str">
        <f t="shared" si="6"/>
        <v>ūinn</v>
      </c>
      <c r="Y36" s="314" t="str">
        <f t="shared" si="6"/>
        <v>u̍innh</v>
      </c>
      <c r="AA36" s="301">
        <f t="shared" si="3"/>
        <v>1</v>
      </c>
      <c r="AB36" s="301">
        <f t="shared" si="4"/>
        <v>6</v>
      </c>
      <c r="AC36" s="301" t="str">
        <f t="shared" si="11"/>
        <v>u</v>
      </c>
      <c r="AD36" s="301" t="str">
        <f t="shared" si="11"/>
        <v>ú</v>
      </c>
      <c r="AE36" s="301" t="str">
        <f t="shared" si="11"/>
        <v>ù</v>
      </c>
      <c r="AF36" s="301" t="str">
        <f t="shared" si="11"/>
        <v>u</v>
      </c>
      <c r="AG36" s="301" t="str">
        <f t="shared" si="11"/>
        <v>û</v>
      </c>
      <c r="AH36" s="301" t="str">
        <f t="shared" si="11"/>
        <v>ù</v>
      </c>
      <c r="AI36" s="301" t="str">
        <f t="shared" si="11"/>
        <v>ū</v>
      </c>
      <c r="AJ36" s="301" t="str">
        <f t="shared" si="11"/>
        <v>u̍</v>
      </c>
    </row>
    <row r="37" spans="13:36" ht="32.25">
      <c r="M37" s="304">
        <v>33</v>
      </c>
      <c r="N37" s="308" t="s">
        <v>235</v>
      </c>
      <c r="O37" s="312" t="str" cm="1">
        <f t="array" ref="O37">INDEX(韻母對照表, (($M37-1)*2 +1), $O$1)</f>
        <v>io</v>
      </c>
      <c r="P37" s="312" t="str" cm="1">
        <f t="array" ref="P37">INDEX(韻母對照表, (($M37-1)*2 +2), $O$1)</f>
        <v>ioh</v>
      </c>
      <c r="Q37" s="308" t="s">
        <v>215</v>
      </c>
      <c r="R37" s="313" t="str">
        <f t="shared" si="6"/>
        <v>io</v>
      </c>
      <c r="S37" s="313" t="str">
        <f t="shared" si="6"/>
        <v>ió</v>
      </c>
      <c r="T37" s="313" t="str">
        <f t="shared" si="6"/>
        <v>iò</v>
      </c>
      <c r="U37" s="314" t="str">
        <f t="shared" si="6"/>
        <v>ioh</v>
      </c>
      <c r="V37" s="313" t="str">
        <f t="shared" si="6"/>
        <v>iô</v>
      </c>
      <c r="W37" s="313" t="str">
        <f t="shared" si="6"/>
        <v>iò</v>
      </c>
      <c r="X37" s="313" t="str">
        <f t="shared" si="6"/>
        <v>iō</v>
      </c>
      <c r="Y37" s="314" t="str">
        <f t="shared" si="6"/>
        <v>io̍h</v>
      </c>
      <c r="AA37" s="301">
        <f t="shared" si="3"/>
        <v>2</v>
      </c>
      <c r="AB37" s="301">
        <f t="shared" ref="AB37:AB54" si="12">MATCH(Q37, $C$5:$C$12, 0)</f>
        <v>4</v>
      </c>
      <c r="AC37" s="301" t="str">
        <f t="shared" si="11"/>
        <v>o</v>
      </c>
      <c r="AD37" s="301" t="str">
        <f t="shared" si="11"/>
        <v>ó</v>
      </c>
      <c r="AE37" s="301" t="str">
        <f t="shared" si="11"/>
        <v>ò</v>
      </c>
      <c r="AF37" s="301" t="str">
        <f t="shared" si="11"/>
        <v>o</v>
      </c>
      <c r="AG37" s="301" t="str">
        <f t="shared" si="11"/>
        <v>ô</v>
      </c>
      <c r="AH37" s="301" t="str">
        <f t="shared" si="11"/>
        <v>ò</v>
      </c>
      <c r="AI37" s="301" t="str">
        <f t="shared" si="11"/>
        <v>ō</v>
      </c>
      <c r="AJ37" s="301" t="str">
        <f t="shared" si="11"/>
        <v>o̍</v>
      </c>
    </row>
    <row r="38" spans="13:36" ht="32.25">
      <c r="M38" s="304">
        <v>34</v>
      </c>
      <c r="N38" s="308" t="s">
        <v>203</v>
      </c>
      <c r="O38" s="312" t="str" cm="1">
        <f t="array" ref="O38">INDEX(韻母對照表, (($M38-1)*2 +1), $O$1)</f>
        <v>inn</v>
      </c>
      <c r="P38" s="312" t="str" cm="1">
        <f t="array" ref="P38">INDEX(韻母對照表, (($M38-1)*2 +2), $O$1)</f>
        <v>innh</v>
      </c>
      <c r="Q38" s="308" t="s">
        <v>200</v>
      </c>
      <c r="R38" s="313" t="str">
        <f t="shared" ref="R38:Y54" si="13" xml:space="preserve"> IF(AND(R$4&lt;&gt;4,R$4&lt;&gt;8),  SUBSTITUTE($O38, $Q38,  INDEX($AC38:$AJ38, 1, R$4)),  SUBSTITUTE($P38, $Q38,  INDEX($AC38:$AJ38, 1, R$4)))</f>
        <v>inn</v>
      </c>
      <c r="S38" s="313" t="str">
        <f t="shared" si="13"/>
        <v>ínn</v>
      </c>
      <c r="T38" s="313" t="str">
        <f t="shared" si="13"/>
        <v>ìnn</v>
      </c>
      <c r="U38" s="314" t="str">
        <f t="shared" si="13"/>
        <v>innh</v>
      </c>
      <c r="V38" s="313" t="str">
        <f t="shared" si="13"/>
        <v>înn</v>
      </c>
      <c r="W38" s="313" t="str">
        <f t="shared" si="13"/>
        <v>ìnn</v>
      </c>
      <c r="X38" s="313" t="str">
        <f t="shared" si="13"/>
        <v>īnn</v>
      </c>
      <c r="Y38" s="314" t="str">
        <f t="shared" si="13"/>
        <v>i̍nnh</v>
      </c>
      <c r="AA38" s="301">
        <f t="shared" si="3"/>
        <v>1</v>
      </c>
      <c r="AB38" s="301">
        <f t="shared" si="12"/>
        <v>3</v>
      </c>
      <c r="AC38" s="301" t="str">
        <f t="shared" si="11"/>
        <v>i</v>
      </c>
      <c r="AD38" s="301" t="str">
        <f t="shared" si="11"/>
        <v>í</v>
      </c>
      <c r="AE38" s="301" t="str">
        <f t="shared" si="11"/>
        <v>ì</v>
      </c>
      <c r="AF38" s="301" t="str">
        <f t="shared" si="11"/>
        <v>i</v>
      </c>
      <c r="AG38" s="301" t="str">
        <f t="shared" si="11"/>
        <v>î</v>
      </c>
      <c r="AH38" s="301" t="str">
        <f t="shared" si="11"/>
        <v>ì</v>
      </c>
      <c r="AI38" s="301" t="str">
        <f t="shared" si="11"/>
        <v>ī</v>
      </c>
      <c r="AJ38" s="301" t="str">
        <f t="shared" si="11"/>
        <v>i̍</v>
      </c>
    </row>
    <row r="39" spans="13:36" ht="32.25">
      <c r="M39" s="304">
        <v>35</v>
      </c>
      <c r="N39" s="308" t="s">
        <v>247</v>
      </c>
      <c r="O39" s="312" t="str" cm="1">
        <f t="array" ref="O39">INDEX(韻母對照表, (($M39-1)*2 +1), $O$1)</f>
        <v>ionn</v>
      </c>
      <c r="P39" s="312" t="str" cm="1">
        <f t="array" ref="P39">INDEX(韻母對照表, (($M39-1)*2 +2), $O$1)</f>
        <v>ionnh</v>
      </c>
      <c r="Q39" s="308" t="s">
        <v>215</v>
      </c>
      <c r="R39" s="313" t="str">
        <f t="shared" si="13"/>
        <v>ionn</v>
      </c>
      <c r="S39" s="313" t="str">
        <f t="shared" si="13"/>
        <v>iónn</v>
      </c>
      <c r="T39" s="313" t="str">
        <f t="shared" si="13"/>
        <v>iònn</v>
      </c>
      <c r="U39" s="314" t="str">
        <f t="shared" si="13"/>
        <v>ionnh</v>
      </c>
      <c r="V39" s="313" t="str">
        <f t="shared" si="13"/>
        <v>iônn</v>
      </c>
      <c r="W39" s="313" t="str">
        <f t="shared" si="13"/>
        <v>iònn</v>
      </c>
      <c r="X39" s="313" t="str">
        <f t="shared" si="13"/>
        <v>iōnn</v>
      </c>
      <c r="Y39" s="314" t="str">
        <f t="shared" si="13"/>
        <v>io̍nnh</v>
      </c>
      <c r="AA39" s="301">
        <f t="shared" si="3"/>
        <v>2</v>
      </c>
      <c r="AB39" s="301">
        <f t="shared" si="12"/>
        <v>4</v>
      </c>
      <c r="AC39" s="301" t="str">
        <f t="shared" si="11"/>
        <v>o</v>
      </c>
      <c r="AD39" s="301" t="str">
        <f t="shared" si="11"/>
        <v>ó</v>
      </c>
      <c r="AE39" s="301" t="str">
        <f t="shared" si="11"/>
        <v>ò</v>
      </c>
      <c r="AF39" s="301" t="str">
        <f t="shared" si="11"/>
        <v>o</v>
      </c>
      <c r="AG39" s="301" t="str">
        <f t="shared" si="11"/>
        <v>ô</v>
      </c>
      <c r="AH39" s="301" t="str">
        <f t="shared" si="11"/>
        <v>ò</v>
      </c>
      <c r="AI39" s="301" t="str">
        <f t="shared" si="11"/>
        <v>ō</v>
      </c>
      <c r="AJ39" s="301" t="str">
        <f t="shared" si="11"/>
        <v>o̍</v>
      </c>
    </row>
    <row r="40" spans="13:36" ht="32.25">
      <c r="M40" s="304">
        <v>36</v>
      </c>
      <c r="N40" s="308" t="s">
        <v>217</v>
      </c>
      <c r="O40" s="312" t="str" cm="1">
        <f t="array" ref="O40">INDEX(韻母對照表, (($M40-1)*2 +1), $O$1)</f>
        <v>iann</v>
      </c>
      <c r="P40" s="312" t="str" cm="1">
        <f t="array" ref="P40">INDEX(韻母對照表, (($M40-1)*2 +2), $O$1)</f>
        <v>iannh</v>
      </c>
      <c r="Q40" s="308" t="s">
        <v>139</v>
      </c>
      <c r="R40" s="313" t="str">
        <f t="shared" si="13"/>
        <v>iann</v>
      </c>
      <c r="S40" s="313" t="str">
        <f t="shared" si="13"/>
        <v>iánn</v>
      </c>
      <c r="T40" s="313" t="str">
        <f t="shared" si="13"/>
        <v>iànn</v>
      </c>
      <c r="U40" s="314" t="str">
        <f t="shared" si="13"/>
        <v>iannh</v>
      </c>
      <c r="V40" s="313" t="str">
        <f t="shared" si="13"/>
        <v>iânn</v>
      </c>
      <c r="W40" s="313" t="str">
        <f t="shared" si="13"/>
        <v>iànn</v>
      </c>
      <c r="X40" s="313" t="str">
        <f t="shared" si="13"/>
        <v>iānn</v>
      </c>
      <c r="Y40" s="314" t="str">
        <f t="shared" si="13"/>
        <v>ia̍nnh</v>
      </c>
      <c r="AA40" s="301">
        <f t="shared" si="3"/>
        <v>2</v>
      </c>
      <c r="AB40" s="301">
        <f t="shared" si="12"/>
        <v>1</v>
      </c>
      <c r="AC40" s="301" t="str">
        <f t="shared" si="11"/>
        <v>a</v>
      </c>
      <c r="AD40" s="301" t="str">
        <f t="shared" si="11"/>
        <v>á</v>
      </c>
      <c r="AE40" s="301" t="str">
        <f t="shared" si="11"/>
        <v>à</v>
      </c>
      <c r="AF40" s="301" t="str">
        <f t="shared" si="11"/>
        <v>a</v>
      </c>
      <c r="AG40" s="301" t="str">
        <f t="shared" si="11"/>
        <v>â</v>
      </c>
      <c r="AH40" s="301" t="str">
        <f t="shared" si="11"/>
        <v>à</v>
      </c>
      <c r="AI40" s="301" t="str">
        <f t="shared" si="11"/>
        <v>ā</v>
      </c>
      <c r="AJ40" s="301" t="str">
        <f t="shared" si="11"/>
        <v>a̍</v>
      </c>
    </row>
    <row r="41" spans="13:36" ht="32.25">
      <c r="M41" s="304">
        <v>37</v>
      </c>
      <c r="N41" s="308" t="s">
        <v>264</v>
      </c>
      <c r="O41" s="312" t="str" cm="1">
        <f t="array" ref="O41">INDEX(韻母對照表, (($M41-1)*2 +1), $O$1)</f>
        <v>uann</v>
      </c>
      <c r="P41" s="312" t="str" cm="1">
        <f t="array" ref="P41">INDEX(韻母對照表, (($M41-1)*2 +2), $O$1)</f>
        <v>uannh</v>
      </c>
      <c r="Q41" s="308" t="s">
        <v>215</v>
      </c>
      <c r="R41" s="313" t="str">
        <f t="shared" si="13"/>
        <v>uann</v>
      </c>
      <c r="S41" s="313" t="str">
        <f t="shared" si="13"/>
        <v>uann</v>
      </c>
      <c r="T41" s="313" t="str">
        <f t="shared" si="13"/>
        <v>uann</v>
      </c>
      <c r="U41" s="314" t="str">
        <f t="shared" si="13"/>
        <v>uannh</v>
      </c>
      <c r="V41" s="313" t="str">
        <f t="shared" si="13"/>
        <v>uann</v>
      </c>
      <c r="W41" s="313" t="str">
        <f t="shared" si="13"/>
        <v>uann</v>
      </c>
      <c r="X41" s="313" t="str">
        <f t="shared" si="13"/>
        <v>uann</v>
      </c>
      <c r="Y41" s="314" t="str">
        <f t="shared" si="13"/>
        <v>uannh</v>
      </c>
      <c r="AA41" s="301" t="e">
        <f t="shared" si="3"/>
        <v>#VALUE!</v>
      </c>
      <c r="AB41" s="301">
        <f t="shared" si="12"/>
        <v>4</v>
      </c>
      <c r="AC41" s="301" t="str">
        <f t="shared" si="11"/>
        <v>o</v>
      </c>
      <c r="AD41" s="301" t="str">
        <f t="shared" si="11"/>
        <v>ó</v>
      </c>
      <c r="AE41" s="301" t="str">
        <f t="shared" si="11"/>
        <v>ò</v>
      </c>
      <c r="AF41" s="301" t="str">
        <f t="shared" si="11"/>
        <v>o</v>
      </c>
      <c r="AG41" s="301" t="str">
        <f t="shared" si="11"/>
        <v>ô</v>
      </c>
      <c r="AH41" s="301" t="str">
        <f t="shared" si="11"/>
        <v>ò</v>
      </c>
      <c r="AI41" s="301" t="str">
        <f t="shared" si="11"/>
        <v>ō</v>
      </c>
      <c r="AJ41" s="301" t="str">
        <f t="shared" si="11"/>
        <v>o̍</v>
      </c>
    </row>
    <row r="42" spans="13:36" ht="32.25">
      <c r="M42" s="304">
        <v>38</v>
      </c>
      <c r="N42" s="308" t="s">
        <v>260</v>
      </c>
      <c r="O42" s="312" t="str" cm="1">
        <f t="array" ref="O42">INDEX(韻母對照表, (($M42-1)*2 +1), $O$1)</f>
        <v>ng</v>
      </c>
      <c r="P42" s="312" t="str" cm="1">
        <f t="array" ref="P42">INDEX(韻母對照表, (($M42-1)*2 +2), $O$1)</f>
        <v>ngh</v>
      </c>
      <c r="Q42" s="308" t="s">
        <v>48</v>
      </c>
      <c r="R42" s="313" t="str">
        <f t="shared" si="13"/>
        <v>ng</v>
      </c>
      <c r="S42" s="313" t="str">
        <f t="shared" si="13"/>
        <v>ńg</v>
      </c>
      <c r="T42" s="313" t="str">
        <f t="shared" si="13"/>
        <v xml:space="preserve">ǹ </v>
      </c>
      <c r="U42" s="314" t="str">
        <f t="shared" si="13"/>
        <v>ngh</v>
      </c>
      <c r="V42" s="313" t="str">
        <f t="shared" si="13"/>
        <v>n̂g</v>
      </c>
      <c r="W42" s="313" t="str">
        <f t="shared" si="13"/>
        <v>0</v>
      </c>
      <c r="X42" s="313" t="str">
        <f t="shared" si="13"/>
        <v>n̄g</v>
      </c>
      <c r="Y42" s="314" t="str">
        <f t="shared" si="13"/>
        <v>n̍gh</v>
      </c>
      <c r="AA42" s="301">
        <f t="shared" si="3"/>
        <v>1</v>
      </c>
      <c r="AB42" s="301">
        <f t="shared" si="12"/>
        <v>8</v>
      </c>
      <c r="AC42" s="301" t="str">
        <f t="shared" si="11"/>
        <v>ng</v>
      </c>
      <c r="AD42" s="301" t="str">
        <f t="shared" si="11"/>
        <v>ńg</v>
      </c>
      <c r="AE42" s="301" t="str">
        <f t="shared" si="11"/>
        <v xml:space="preserve">ǹ </v>
      </c>
      <c r="AF42" s="301" t="str">
        <f t="shared" si="11"/>
        <v>ng</v>
      </c>
      <c r="AG42" s="301" t="str">
        <f t="shared" si="11"/>
        <v>n̂g</v>
      </c>
      <c r="AH42" s="301">
        <f t="shared" si="11"/>
        <v>0</v>
      </c>
      <c r="AI42" s="301" t="str">
        <f t="shared" si="11"/>
        <v>n̄g</v>
      </c>
      <c r="AJ42" s="301" t="str">
        <f t="shared" si="11"/>
        <v>n̍g</v>
      </c>
    </row>
    <row r="43" spans="13:36" ht="32.25">
      <c r="M43" s="304">
        <v>39</v>
      </c>
      <c r="N43" s="308" t="s">
        <v>189</v>
      </c>
      <c r="O43" s="312" t="str" cm="1">
        <f t="array" ref="O43">INDEX(韻母對照表, (($M43-1)*2 +1), $O$1)</f>
        <v>e</v>
      </c>
      <c r="P43" s="312" t="str" cm="1">
        <f t="array" ref="P43">INDEX(韻母對照表, (($M43-1)*2 +2), $O$1)</f>
        <v>eh</v>
      </c>
      <c r="Q43" s="308" t="s">
        <v>160</v>
      </c>
      <c r="R43" s="313" t="str">
        <f t="shared" si="13"/>
        <v>e</v>
      </c>
      <c r="S43" s="313" t="str">
        <f t="shared" si="13"/>
        <v>é</v>
      </c>
      <c r="T43" s="313" t="str">
        <f t="shared" si="13"/>
        <v>è</v>
      </c>
      <c r="U43" s="314" t="str">
        <f t="shared" si="13"/>
        <v>eh</v>
      </c>
      <c r="V43" s="313" t="str">
        <f t="shared" si="13"/>
        <v>ê</v>
      </c>
      <c r="W43" s="313" t="str">
        <f t="shared" si="13"/>
        <v>è</v>
      </c>
      <c r="X43" s="313" t="str">
        <f t="shared" si="13"/>
        <v>ē</v>
      </c>
      <c r="Y43" s="314" t="str">
        <f t="shared" si="13"/>
        <v>e̍h</v>
      </c>
      <c r="AA43" s="301">
        <f t="shared" si="3"/>
        <v>1</v>
      </c>
      <c r="AB43" s="301">
        <f t="shared" si="12"/>
        <v>2</v>
      </c>
      <c r="AC43" s="301" t="str">
        <f t="shared" si="11"/>
        <v>e</v>
      </c>
      <c r="AD43" s="301" t="str">
        <f t="shared" si="11"/>
        <v>é</v>
      </c>
      <c r="AE43" s="301" t="str">
        <f t="shared" si="11"/>
        <v>è</v>
      </c>
      <c r="AF43" s="301" t="str">
        <f t="shared" si="11"/>
        <v>e</v>
      </c>
      <c r="AG43" s="301" t="str">
        <f t="shared" si="11"/>
        <v>ê</v>
      </c>
      <c r="AH43" s="301" t="str">
        <f t="shared" si="11"/>
        <v>è</v>
      </c>
      <c r="AI43" s="301" t="str">
        <f t="shared" si="11"/>
        <v>ē</v>
      </c>
      <c r="AJ43" s="301" t="str">
        <f t="shared" si="11"/>
        <v>e̍</v>
      </c>
    </row>
    <row r="44" spans="13:36" ht="32.25">
      <c r="M44" s="304">
        <v>40</v>
      </c>
      <c r="N44" s="308" t="s">
        <v>156</v>
      </c>
      <c r="O44" s="312" t="str" cm="1">
        <f t="array" ref="O44">INDEX(韻母對照表, (($M44-1)*2 +1), $O$1)</f>
        <v>ainn</v>
      </c>
      <c r="P44" s="312" t="str" cm="1">
        <f t="array" ref="P44">INDEX(韻母對照表, (($M44-1)*2 +2), $O$1)</f>
        <v>ainnh</v>
      </c>
      <c r="Q44" s="308" t="s">
        <v>139</v>
      </c>
      <c r="R44" s="313" t="str">
        <f t="shared" si="13"/>
        <v>ainn</v>
      </c>
      <c r="S44" s="313" t="str">
        <f t="shared" si="13"/>
        <v>áinn</v>
      </c>
      <c r="T44" s="313" t="str">
        <f t="shared" si="13"/>
        <v>àinn</v>
      </c>
      <c r="U44" s="314" t="str">
        <f t="shared" si="13"/>
        <v>ainnh</v>
      </c>
      <c r="V44" s="313" t="str">
        <f t="shared" si="13"/>
        <v>âinn</v>
      </c>
      <c r="W44" s="313" t="str">
        <f t="shared" si="13"/>
        <v>àinn</v>
      </c>
      <c r="X44" s="313" t="str">
        <f t="shared" si="13"/>
        <v>āinn</v>
      </c>
      <c r="Y44" s="314" t="str">
        <f t="shared" si="13"/>
        <v>a̍innh</v>
      </c>
      <c r="AA44" s="301">
        <f t="shared" si="3"/>
        <v>1</v>
      </c>
      <c r="AB44" s="301">
        <f t="shared" si="12"/>
        <v>1</v>
      </c>
      <c r="AC44" s="301" t="str">
        <f t="shared" si="11"/>
        <v>a</v>
      </c>
      <c r="AD44" s="301" t="str">
        <f t="shared" si="11"/>
        <v>á</v>
      </c>
      <c r="AE44" s="301" t="str">
        <f t="shared" si="11"/>
        <v>à</v>
      </c>
      <c r="AF44" s="301" t="str">
        <f t="shared" si="11"/>
        <v>a</v>
      </c>
      <c r="AG44" s="301" t="str">
        <f t="shared" si="11"/>
        <v>â</v>
      </c>
      <c r="AH44" s="301" t="str">
        <f t="shared" si="11"/>
        <v>à</v>
      </c>
      <c r="AI44" s="301" t="str">
        <f t="shared" si="11"/>
        <v>ā</v>
      </c>
      <c r="AJ44" s="301" t="str">
        <f t="shared" si="11"/>
        <v>a̍</v>
      </c>
    </row>
    <row r="45" spans="13:36" ht="32.25">
      <c r="M45" s="304">
        <v>41</v>
      </c>
      <c r="N45" s="308" t="s">
        <v>256</v>
      </c>
      <c r="O45" s="312" t="str" cm="1">
        <f t="array" ref="O45">INDEX(韻母對照表, (($M45-1)*2 +1), $O$1)</f>
        <v>oonn</v>
      </c>
      <c r="P45" s="312" t="str" cm="1">
        <f t="array" ref="P45">INDEX(韻母對照表, (($M45-1)*2 +2), $O$1)</f>
        <v>oonnh</v>
      </c>
      <c r="Q45" s="308" t="s">
        <v>215</v>
      </c>
      <c r="R45" s="313" t="str">
        <f t="shared" si="13"/>
        <v>oonn</v>
      </c>
      <c r="S45" s="313" t="str">
        <f t="shared" si="13"/>
        <v>óónn</v>
      </c>
      <c r="T45" s="313" t="str">
        <f t="shared" si="13"/>
        <v>òònn</v>
      </c>
      <c r="U45" s="314" t="str">
        <f t="shared" si="13"/>
        <v>oonnh</v>
      </c>
      <c r="V45" s="313" t="str">
        <f t="shared" si="13"/>
        <v>ôônn</v>
      </c>
      <c r="W45" s="313" t="str">
        <f t="shared" si="13"/>
        <v>òònn</v>
      </c>
      <c r="X45" s="313" t="str">
        <f t="shared" si="13"/>
        <v>ōōnn</v>
      </c>
      <c r="Y45" s="314" t="str">
        <f t="shared" si="13"/>
        <v>o̍o̍nnh</v>
      </c>
      <c r="AA45" s="301">
        <f t="shared" si="3"/>
        <v>1</v>
      </c>
      <c r="AB45" s="301">
        <f t="shared" si="12"/>
        <v>4</v>
      </c>
      <c r="AC45" s="301" t="str">
        <f t="shared" ref="AC45:AJ54" si="14">INDEX($D$5:$K$12, $AB45, AC$4)</f>
        <v>o</v>
      </c>
      <c r="AD45" s="301" t="str">
        <f t="shared" si="14"/>
        <v>ó</v>
      </c>
      <c r="AE45" s="301" t="str">
        <f t="shared" si="14"/>
        <v>ò</v>
      </c>
      <c r="AF45" s="301" t="str">
        <f t="shared" si="14"/>
        <v>o</v>
      </c>
      <c r="AG45" s="301" t="str">
        <f t="shared" si="14"/>
        <v>ô</v>
      </c>
      <c r="AH45" s="301" t="str">
        <f t="shared" si="14"/>
        <v>ò</v>
      </c>
      <c r="AI45" s="301" t="str">
        <f t="shared" si="14"/>
        <v>ō</v>
      </c>
      <c r="AJ45" s="301" t="str">
        <f t="shared" si="14"/>
        <v>o̍</v>
      </c>
    </row>
    <row r="46" spans="13:36" ht="32.25">
      <c r="M46" s="304">
        <v>42</v>
      </c>
      <c r="N46" s="308" t="s">
        <v>251</v>
      </c>
      <c r="O46" s="312" t="str" cm="1">
        <f t="array" ref="O46">INDEX(韻母對照表, (($M46-1)*2 +1), $O$1)</f>
        <v>m</v>
      </c>
      <c r="P46" s="312" t="str" cm="1">
        <f t="array" ref="P46">INDEX(韻母對照表, (($M46-1)*2 +2), $O$1)</f>
        <v>mh</v>
      </c>
      <c r="Q46" s="308" t="s">
        <v>27</v>
      </c>
      <c r="R46" s="313" t="str">
        <f t="shared" si="13"/>
        <v>m</v>
      </c>
      <c r="S46" s="313" t="str">
        <f t="shared" si="13"/>
        <v xml:space="preserve"> ḿ</v>
      </c>
      <c r="T46" s="313" t="str">
        <f t="shared" si="13"/>
        <v>m̀</v>
      </c>
      <c r="U46" s="314" t="str">
        <f t="shared" si="13"/>
        <v>mh</v>
      </c>
      <c r="V46" s="313" t="str">
        <f t="shared" si="13"/>
        <v>m̂</v>
      </c>
      <c r="W46" s="313" t="str">
        <f t="shared" si="13"/>
        <v>m̀</v>
      </c>
      <c r="X46" s="313" t="str">
        <f t="shared" si="13"/>
        <v>m̄</v>
      </c>
      <c r="Y46" s="314" t="str">
        <f t="shared" si="13"/>
        <v>m̍hh</v>
      </c>
      <c r="AA46" s="301">
        <f t="shared" si="3"/>
        <v>1</v>
      </c>
      <c r="AB46" s="301">
        <f t="shared" si="12"/>
        <v>7</v>
      </c>
      <c r="AC46" s="301" t="str">
        <f t="shared" si="14"/>
        <v>m</v>
      </c>
      <c r="AD46" s="301" t="str">
        <f t="shared" si="14"/>
        <v xml:space="preserve"> ḿ</v>
      </c>
      <c r="AE46" s="301" t="str">
        <f t="shared" si="14"/>
        <v>m̀</v>
      </c>
      <c r="AF46" s="301" t="str">
        <f t="shared" si="14"/>
        <v>m</v>
      </c>
      <c r="AG46" s="301" t="str">
        <f t="shared" si="14"/>
        <v>m̂</v>
      </c>
      <c r="AH46" s="301" t="str">
        <f t="shared" si="14"/>
        <v>m̀</v>
      </c>
      <c r="AI46" s="301" t="str">
        <f t="shared" si="14"/>
        <v>m̄</v>
      </c>
      <c r="AJ46" s="301" t="str">
        <f t="shared" si="14"/>
        <v>m̍h</v>
      </c>
    </row>
    <row r="47" spans="13:36" ht="32.25">
      <c r="M47" s="304">
        <v>43</v>
      </c>
      <c r="N47" s="308" t="s">
        <v>269</v>
      </c>
      <c r="O47" s="312" t="str" cm="1">
        <f t="array" ref="O47">INDEX(韻母對照表, (($M47-1)*2 +1), $O$1)</f>
        <v>uang</v>
      </c>
      <c r="P47" s="312" t="str" cm="1">
        <f t="array" ref="P47">INDEX(韻母對照表, (($M47-1)*2 +2), $O$1)</f>
        <v>uak</v>
      </c>
      <c r="Q47" s="308" t="s">
        <v>139</v>
      </c>
      <c r="R47" s="313" t="str">
        <f t="shared" si="13"/>
        <v>uang</v>
      </c>
      <c r="S47" s="313" t="str">
        <f t="shared" si="13"/>
        <v>uáng</v>
      </c>
      <c r="T47" s="313" t="str">
        <f t="shared" si="13"/>
        <v>uàng</v>
      </c>
      <c r="U47" s="314" t="str">
        <f t="shared" si="13"/>
        <v>uak</v>
      </c>
      <c r="V47" s="313" t="str">
        <f t="shared" si="13"/>
        <v>uâng</v>
      </c>
      <c r="W47" s="313" t="str">
        <f t="shared" si="13"/>
        <v>uàng</v>
      </c>
      <c r="X47" s="313" t="str">
        <f t="shared" si="13"/>
        <v>uāng</v>
      </c>
      <c r="Y47" s="314" t="str">
        <f t="shared" si="13"/>
        <v>ua̍k</v>
      </c>
      <c r="AA47" s="301">
        <f t="shared" si="3"/>
        <v>2</v>
      </c>
      <c r="AB47" s="301">
        <f t="shared" si="12"/>
        <v>1</v>
      </c>
      <c r="AC47" s="301" t="str">
        <f t="shared" si="14"/>
        <v>a</v>
      </c>
      <c r="AD47" s="301" t="str">
        <f t="shared" si="14"/>
        <v>á</v>
      </c>
      <c r="AE47" s="301" t="str">
        <f t="shared" si="14"/>
        <v>à</v>
      </c>
      <c r="AF47" s="301" t="str">
        <f t="shared" si="14"/>
        <v>a</v>
      </c>
      <c r="AG47" s="301" t="str">
        <f t="shared" si="14"/>
        <v>â</v>
      </c>
      <c r="AH47" s="301" t="str">
        <f t="shared" si="14"/>
        <v>à</v>
      </c>
      <c r="AI47" s="301" t="str">
        <f t="shared" si="14"/>
        <v>ā</v>
      </c>
      <c r="AJ47" s="301" t="str">
        <f t="shared" si="14"/>
        <v>a̍</v>
      </c>
    </row>
    <row r="48" spans="13:36" ht="32.25">
      <c r="M48" s="304">
        <v>44</v>
      </c>
      <c r="N48" s="308" t="s">
        <v>276</v>
      </c>
      <c r="O48" s="312" t="str" cm="1">
        <f t="array" ref="O48">INDEX(韻母對照表, (($M48-1)*2 +1), $O$1)</f>
        <v>uainn</v>
      </c>
      <c r="P48" s="312" t="str" cm="1">
        <f t="array" ref="P48">INDEX(韻母對照表, (($M48-1)*2 +2), $O$1)</f>
        <v>uainnh</v>
      </c>
      <c r="Q48" s="308" t="s">
        <v>139</v>
      </c>
      <c r="R48" s="313" t="str">
        <f t="shared" si="13"/>
        <v>uainn</v>
      </c>
      <c r="S48" s="313" t="str">
        <f t="shared" si="13"/>
        <v>uáinn</v>
      </c>
      <c r="T48" s="313" t="str">
        <f t="shared" si="13"/>
        <v>uàinn</v>
      </c>
      <c r="U48" s="314" t="str">
        <f t="shared" si="13"/>
        <v>uainnh</v>
      </c>
      <c r="V48" s="313" t="str">
        <f t="shared" si="13"/>
        <v>uâinn</v>
      </c>
      <c r="W48" s="313" t="str">
        <f t="shared" si="13"/>
        <v>uàinn</v>
      </c>
      <c r="X48" s="313" t="str">
        <f t="shared" si="13"/>
        <v>uāinn</v>
      </c>
      <c r="Y48" s="314" t="str">
        <f t="shared" si="13"/>
        <v>ua̍innh</v>
      </c>
      <c r="AA48" s="301">
        <f t="shared" si="3"/>
        <v>2</v>
      </c>
      <c r="AB48" s="301">
        <f t="shared" si="12"/>
        <v>1</v>
      </c>
      <c r="AC48" s="301" t="str">
        <f t="shared" si="14"/>
        <v>a</v>
      </c>
      <c r="AD48" s="301" t="str">
        <f t="shared" si="14"/>
        <v>á</v>
      </c>
      <c r="AE48" s="301" t="str">
        <f t="shared" si="14"/>
        <v>à</v>
      </c>
      <c r="AF48" s="301" t="str">
        <f t="shared" si="14"/>
        <v>a</v>
      </c>
      <c r="AG48" s="301" t="str">
        <f t="shared" si="14"/>
        <v>â</v>
      </c>
      <c r="AH48" s="301" t="str">
        <f t="shared" si="14"/>
        <v>à</v>
      </c>
      <c r="AI48" s="301" t="str">
        <f t="shared" si="14"/>
        <v>ā</v>
      </c>
      <c r="AJ48" s="301" t="str">
        <f t="shared" si="14"/>
        <v>a̍</v>
      </c>
    </row>
    <row r="49" spans="13:36" ht="32.25">
      <c r="M49" s="304">
        <v>45</v>
      </c>
      <c r="N49" s="308" t="s">
        <v>272</v>
      </c>
      <c r="O49" s="312" t="str" cm="1">
        <f t="array" ref="O49">INDEX(韻母對照表, (($M49-1)*2 +1), $O$1)</f>
        <v>uenn</v>
      </c>
      <c r="P49" s="312" t="str" cm="1">
        <f t="array" ref="P49">INDEX(韻母對照表, (($M49-1)*2 +2), $O$1)</f>
        <v>uennh</v>
      </c>
      <c r="Q49" s="308" t="s">
        <v>215</v>
      </c>
      <c r="R49" s="313" t="str">
        <f t="shared" si="13"/>
        <v>uenn</v>
      </c>
      <c r="S49" s="313" t="str">
        <f t="shared" si="13"/>
        <v>uenn</v>
      </c>
      <c r="T49" s="313" t="str">
        <f t="shared" si="13"/>
        <v>uenn</v>
      </c>
      <c r="U49" s="314" t="str">
        <f t="shared" si="13"/>
        <v>uennh</v>
      </c>
      <c r="V49" s="313" t="str">
        <f t="shared" si="13"/>
        <v>uenn</v>
      </c>
      <c r="W49" s="313" t="str">
        <f t="shared" si="13"/>
        <v>uenn</v>
      </c>
      <c r="X49" s="313" t="str">
        <f t="shared" si="13"/>
        <v>uenn</v>
      </c>
      <c r="Y49" s="314" t="str">
        <f t="shared" si="13"/>
        <v>uennh</v>
      </c>
      <c r="AA49" s="301" t="e">
        <f t="shared" si="3"/>
        <v>#VALUE!</v>
      </c>
      <c r="AB49" s="301">
        <f t="shared" si="12"/>
        <v>4</v>
      </c>
      <c r="AC49" s="301" t="str">
        <f t="shared" si="14"/>
        <v>o</v>
      </c>
      <c r="AD49" s="301" t="str">
        <f t="shared" si="14"/>
        <v>ó</v>
      </c>
      <c r="AE49" s="301" t="str">
        <f t="shared" si="14"/>
        <v>ò</v>
      </c>
      <c r="AF49" s="301" t="str">
        <f t="shared" si="14"/>
        <v>o</v>
      </c>
      <c r="AG49" s="301" t="str">
        <f t="shared" si="14"/>
        <v>ô</v>
      </c>
      <c r="AH49" s="301" t="str">
        <f t="shared" si="14"/>
        <v>ò</v>
      </c>
      <c r="AI49" s="301" t="str">
        <f t="shared" si="14"/>
        <v>ō</v>
      </c>
      <c r="AJ49" s="301" t="str">
        <f t="shared" si="14"/>
        <v>o̍</v>
      </c>
    </row>
    <row r="50" spans="13:36" ht="32.25">
      <c r="M50" s="304">
        <v>46</v>
      </c>
      <c r="N50" s="308" t="s">
        <v>232</v>
      </c>
      <c r="O50" s="312" t="str" cm="1">
        <f t="array" ref="O50">INDEX(韻母對照表, (($M50-1)*2 +1), $O$1)</f>
        <v>iaunn</v>
      </c>
      <c r="P50" s="312" t="str" cm="1">
        <f t="array" ref="P50">INDEX(韻母對照表, (($M50-1)*2 +2), $O$1)</f>
        <v>iaunnh</v>
      </c>
      <c r="Q50" s="308" t="s">
        <v>139</v>
      </c>
      <c r="R50" s="313" t="str">
        <f t="shared" si="13"/>
        <v>iaunn</v>
      </c>
      <c r="S50" s="313" t="str">
        <f t="shared" si="13"/>
        <v>iáunn</v>
      </c>
      <c r="T50" s="313" t="str">
        <f t="shared" si="13"/>
        <v>iàunn</v>
      </c>
      <c r="U50" s="314" t="str">
        <f t="shared" si="13"/>
        <v>iaunnh</v>
      </c>
      <c r="V50" s="313" t="str">
        <f t="shared" si="13"/>
        <v>iâunn</v>
      </c>
      <c r="W50" s="313" t="str">
        <f t="shared" si="13"/>
        <v>iàunn</v>
      </c>
      <c r="X50" s="313" t="str">
        <f t="shared" si="13"/>
        <v>iāunn</v>
      </c>
      <c r="Y50" s="314" t="str">
        <f t="shared" si="13"/>
        <v>ia̍unnh</v>
      </c>
      <c r="AA50" s="301">
        <f t="shared" si="3"/>
        <v>2</v>
      </c>
      <c r="AB50" s="301">
        <f t="shared" si="12"/>
        <v>1</v>
      </c>
      <c r="AC50" s="301" t="str">
        <f t="shared" si="14"/>
        <v>a</v>
      </c>
      <c r="AD50" s="301" t="str">
        <f t="shared" si="14"/>
        <v>á</v>
      </c>
      <c r="AE50" s="301" t="str">
        <f t="shared" si="14"/>
        <v>à</v>
      </c>
      <c r="AF50" s="301" t="str">
        <f t="shared" si="14"/>
        <v>a</v>
      </c>
      <c r="AG50" s="301" t="str">
        <f t="shared" si="14"/>
        <v>â</v>
      </c>
      <c r="AH50" s="301" t="str">
        <f t="shared" si="14"/>
        <v>à</v>
      </c>
      <c r="AI50" s="301" t="str">
        <f t="shared" si="14"/>
        <v>ā</v>
      </c>
      <c r="AJ50" s="301" t="str">
        <f t="shared" si="14"/>
        <v>a̍</v>
      </c>
    </row>
    <row r="51" spans="13:36" ht="32.25">
      <c r="M51" s="304">
        <v>47</v>
      </c>
      <c r="N51" s="308" t="s">
        <v>261</v>
      </c>
      <c r="O51" s="312" t="str" cm="1">
        <f t="array" ref="O51">INDEX(韻母對照表, (($M51-1)*2 +1), $O$1)</f>
        <v>om</v>
      </c>
      <c r="P51" s="312" t="str" cm="1">
        <f t="array" ref="P51">INDEX(韻母對照表, (($M51-1)*2 +2), $O$1)</f>
        <v>op</v>
      </c>
      <c r="Q51" s="308" t="s">
        <v>215</v>
      </c>
      <c r="R51" s="313" t="str">
        <f t="shared" si="13"/>
        <v>om</v>
      </c>
      <c r="S51" s="313" t="str">
        <f t="shared" si="13"/>
        <v>óm</v>
      </c>
      <c r="T51" s="313" t="str">
        <f t="shared" si="13"/>
        <v>òm</v>
      </c>
      <c r="U51" s="314" t="str">
        <f t="shared" si="13"/>
        <v>op</v>
      </c>
      <c r="V51" s="313" t="str">
        <f t="shared" si="13"/>
        <v>ôm</v>
      </c>
      <c r="W51" s="313" t="str">
        <f t="shared" si="13"/>
        <v>òm</v>
      </c>
      <c r="X51" s="313" t="str">
        <f t="shared" si="13"/>
        <v>ōm</v>
      </c>
      <c r="Y51" s="314" t="str">
        <f t="shared" si="13"/>
        <v>o̍p</v>
      </c>
      <c r="AA51" s="301">
        <f t="shared" si="3"/>
        <v>1</v>
      </c>
      <c r="AB51" s="301">
        <f t="shared" si="12"/>
        <v>4</v>
      </c>
      <c r="AC51" s="301" t="str">
        <f t="shared" si="14"/>
        <v>o</v>
      </c>
      <c r="AD51" s="301" t="str">
        <f t="shared" si="14"/>
        <v>ó</v>
      </c>
      <c r="AE51" s="301" t="str">
        <f t="shared" si="14"/>
        <v>ò</v>
      </c>
      <c r="AF51" s="301" t="str">
        <f t="shared" si="14"/>
        <v>o</v>
      </c>
      <c r="AG51" s="301" t="str">
        <f t="shared" si="14"/>
        <v>ô</v>
      </c>
      <c r="AH51" s="301" t="str">
        <f t="shared" si="14"/>
        <v>ò</v>
      </c>
      <c r="AI51" s="301" t="str">
        <f t="shared" si="14"/>
        <v>ō</v>
      </c>
      <c r="AJ51" s="301" t="str">
        <f t="shared" si="14"/>
        <v>o̍</v>
      </c>
    </row>
    <row r="52" spans="13:36" ht="32.25">
      <c r="M52" s="304">
        <v>48</v>
      </c>
      <c r="N52" s="308" t="s">
        <v>183</v>
      </c>
      <c r="O52" s="312" t="str" cm="1">
        <f t="array" ref="O52">INDEX(韻母對照表, (($M52-1)*2 +1), $O$1)</f>
        <v>aunn</v>
      </c>
      <c r="P52" s="312" t="str" cm="1">
        <f t="array" ref="P52">INDEX(韻母對照表, (($M52-1)*2 +2), $O$1)</f>
        <v>aunnh</v>
      </c>
      <c r="Q52" s="308" t="s">
        <v>139</v>
      </c>
      <c r="R52" s="313" t="str">
        <f t="shared" si="13"/>
        <v>aunn</v>
      </c>
      <c r="S52" s="313" t="str">
        <f t="shared" si="13"/>
        <v>áunn</v>
      </c>
      <c r="T52" s="313" t="str">
        <f t="shared" si="13"/>
        <v>àunn</v>
      </c>
      <c r="U52" s="314" t="str">
        <f t="shared" si="13"/>
        <v>aunnh</v>
      </c>
      <c r="V52" s="313" t="str">
        <f t="shared" si="13"/>
        <v>âunn</v>
      </c>
      <c r="W52" s="313" t="str">
        <f t="shared" si="13"/>
        <v>àunn</v>
      </c>
      <c r="X52" s="313" t="str">
        <f t="shared" si="13"/>
        <v>āunn</v>
      </c>
      <c r="Y52" s="314" t="str">
        <f t="shared" si="13"/>
        <v>a̍unnh</v>
      </c>
      <c r="AA52" s="301">
        <f t="shared" si="3"/>
        <v>1</v>
      </c>
      <c r="AB52" s="301">
        <f t="shared" si="12"/>
        <v>1</v>
      </c>
      <c r="AC52" s="301" t="str">
        <f t="shared" si="14"/>
        <v>a</v>
      </c>
      <c r="AD52" s="301" t="str">
        <f t="shared" si="14"/>
        <v>á</v>
      </c>
      <c r="AE52" s="301" t="str">
        <f t="shared" si="14"/>
        <v>à</v>
      </c>
      <c r="AF52" s="301" t="str">
        <f t="shared" si="14"/>
        <v>a</v>
      </c>
      <c r="AG52" s="301" t="str">
        <f t="shared" si="14"/>
        <v>â</v>
      </c>
      <c r="AH52" s="301" t="str">
        <f t="shared" si="14"/>
        <v>à</v>
      </c>
      <c r="AI52" s="301" t="str">
        <f t="shared" si="14"/>
        <v>ā</v>
      </c>
      <c r="AJ52" s="301" t="str">
        <f t="shared" si="14"/>
        <v>a̍</v>
      </c>
    </row>
    <row r="53" spans="13:36" ht="32.25">
      <c r="M53" s="304">
        <v>49</v>
      </c>
      <c r="N53" s="308" t="s">
        <v>267</v>
      </c>
      <c r="O53" s="312" t="str" cm="1">
        <f t="array" ref="O53">INDEX(韻母對照表, (($M53-1)*2 +1), $O$1)</f>
        <v>onn</v>
      </c>
      <c r="P53" s="312" t="str" cm="1">
        <f t="array" ref="P53">INDEX(韻母對照表, (($M53-1)*2 +2), $O$1)</f>
        <v>onnh</v>
      </c>
      <c r="Q53" s="308" t="s">
        <v>215</v>
      </c>
      <c r="R53" s="313" t="str">
        <f t="shared" si="13"/>
        <v>onn</v>
      </c>
      <c r="S53" s="313" t="str">
        <f t="shared" si="13"/>
        <v>ónn</v>
      </c>
      <c r="T53" s="313" t="str">
        <f t="shared" si="13"/>
        <v>ònn</v>
      </c>
      <c r="U53" s="314" t="str">
        <f t="shared" si="13"/>
        <v>onnh</v>
      </c>
      <c r="V53" s="313" t="str">
        <f t="shared" si="13"/>
        <v>ônn</v>
      </c>
      <c r="W53" s="313" t="str">
        <f t="shared" si="13"/>
        <v>ònn</v>
      </c>
      <c r="X53" s="313" t="str">
        <f t="shared" si="13"/>
        <v>ōnn</v>
      </c>
      <c r="Y53" s="314" t="str">
        <f t="shared" si="13"/>
        <v>o̍nnh</v>
      </c>
      <c r="AA53" s="301">
        <f t="shared" si="3"/>
        <v>1</v>
      </c>
      <c r="AB53" s="301">
        <f t="shared" si="12"/>
        <v>4</v>
      </c>
      <c r="AC53" s="301" t="str">
        <f t="shared" si="14"/>
        <v>o</v>
      </c>
      <c r="AD53" s="301" t="str">
        <f t="shared" si="14"/>
        <v>ó</v>
      </c>
      <c r="AE53" s="301" t="str">
        <f t="shared" si="14"/>
        <v>ò</v>
      </c>
      <c r="AF53" s="301" t="str">
        <f t="shared" si="14"/>
        <v>o</v>
      </c>
      <c r="AG53" s="301" t="str">
        <f t="shared" si="14"/>
        <v>ô</v>
      </c>
      <c r="AH53" s="301" t="str">
        <f t="shared" si="14"/>
        <v>ò</v>
      </c>
      <c r="AI53" s="301" t="str">
        <f t="shared" si="14"/>
        <v>ō</v>
      </c>
      <c r="AJ53" s="301" t="str">
        <f t="shared" si="14"/>
        <v>o̍</v>
      </c>
    </row>
    <row r="54" spans="13:36" ht="32.25">
      <c r="M54" s="304">
        <v>50</v>
      </c>
      <c r="N54" s="308" t="s">
        <v>255</v>
      </c>
      <c r="O54" s="312" t="str" cm="1">
        <f t="array" ref="O54">INDEX(韻母對照表, (($M54-1)*2 +1), $O$1)</f>
        <v>iunn</v>
      </c>
      <c r="P54" s="312" t="str" cm="1">
        <f t="array" ref="P54">INDEX(韻母對照表, (($M54-1)*2 +2), $O$1)</f>
        <v>iunnh</v>
      </c>
      <c r="Q54" s="308" t="s">
        <v>245</v>
      </c>
      <c r="R54" s="313" t="str">
        <f t="shared" si="13"/>
        <v>iunn</v>
      </c>
      <c r="S54" s="313" t="str">
        <f t="shared" si="13"/>
        <v>iúnn</v>
      </c>
      <c r="T54" s="313" t="str">
        <f t="shared" si="13"/>
        <v>iùnn</v>
      </c>
      <c r="U54" s="314" t="str">
        <f t="shared" si="13"/>
        <v>iunnh</v>
      </c>
      <c r="V54" s="313" t="str">
        <f t="shared" si="13"/>
        <v>iûnn</v>
      </c>
      <c r="W54" s="313" t="str">
        <f t="shared" si="13"/>
        <v>iùnn</v>
      </c>
      <c r="X54" s="313" t="str">
        <f t="shared" si="13"/>
        <v>iūnn</v>
      </c>
      <c r="Y54" s="314" t="str">
        <f t="shared" si="13"/>
        <v>iu̍nnh</v>
      </c>
      <c r="AA54" s="301">
        <f t="shared" si="3"/>
        <v>2</v>
      </c>
      <c r="AB54" s="301">
        <f t="shared" si="12"/>
        <v>6</v>
      </c>
      <c r="AC54" s="301" t="str">
        <f t="shared" si="14"/>
        <v>u</v>
      </c>
      <c r="AD54" s="301" t="str">
        <f t="shared" si="14"/>
        <v>ú</v>
      </c>
      <c r="AE54" s="301" t="str">
        <f t="shared" si="14"/>
        <v>ù</v>
      </c>
      <c r="AF54" s="301" t="str">
        <f t="shared" si="14"/>
        <v>u</v>
      </c>
      <c r="AG54" s="301" t="str">
        <f t="shared" si="14"/>
        <v>û</v>
      </c>
      <c r="AH54" s="301" t="str">
        <f t="shared" si="14"/>
        <v>ù</v>
      </c>
      <c r="AI54" s="301" t="str">
        <f t="shared" si="14"/>
        <v>ū</v>
      </c>
      <c r="AJ54" s="301" t="str">
        <f t="shared" si="14"/>
        <v>u̍</v>
      </c>
    </row>
  </sheetData>
  <mergeCells count="9">
    <mergeCell ref="Q3:Q4"/>
    <mergeCell ref="AA3:AA4"/>
    <mergeCell ref="AB3:AB4"/>
    <mergeCell ref="B3:B4"/>
    <mergeCell ref="C3:C4"/>
    <mergeCell ref="M3:M4"/>
    <mergeCell ref="N3:N4"/>
    <mergeCell ref="O3:O4"/>
    <mergeCell ref="P3:P4"/>
  </mergeCells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295B-DC59-9745-9D09-84C8487243DA}">
  <sheetPr codeName="工作表32">
    <tabColor rgb="FFC00000"/>
  </sheetPr>
  <dimension ref="B2:V78"/>
  <sheetViews>
    <sheetView workbookViewId="0"/>
  </sheetViews>
  <sheetFormatPr defaultColWidth="3.453125" defaultRowHeight="25.5"/>
  <cols>
    <col min="1" max="2" width="3.453125" style="6"/>
    <col min="3" max="3" width="4.81640625" style="6" bestFit="1" customWidth="1"/>
    <col min="4" max="4" width="4.26953125" style="6" bestFit="1" customWidth="1"/>
    <col min="5" max="5" width="4" style="6" bestFit="1" customWidth="1"/>
    <col min="6" max="6" width="4.26953125" style="6" bestFit="1" customWidth="1"/>
    <col min="7" max="7" width="5" style="6" bestFit="1" customWidth="1"/>
    <col min="8" max="8" width="3.90625" style="6" bestFit="1" customWidth="1"/>
    <col min="9" max="9" width="5" style="6" bestFit="1" customWidth="1"/>
    <col min="10" max="10" width="5.36328125" style="6" bestFit="1" customWidth="1"/>
    <col min="11" max="11" width="3.90625" style="6" bestFit="1" customWidth="1"/>
    <col min="12" max="12" width="4.36328125" style="6" bestFit="1" customWidth="1"/>
    <col min="13" max="13" width="4" style="6" bestFit="1" customWidth="1"/>
    <col min="14" max="14" width="5" style="6" bestFit="1" customWidth="1"/>
    <col min="15" max="15" width="4.7265625" style="6" bestFit="1" customWidth="1"/>
    <col min="16" max="16" width="5.36328125" style="6" bestFit="1" customWidth="1"/>
    <col min="17" max="17" width="5" style="6" bestFit="1" customWidth="1"/>
    <col min="18" max="18" width="4.36328125" style="6" bestFit="1" customWidth="1"/>
    <col min="19" max="19" width="5.08984375" style="6" bestFit="1" customWidth="1"/>
    <col min="20" max="20" width="5.36328125" style="6" bestFit="1" customWidth="1"/>
    <col min="21" max="21" width="5.81640625" style="6" bestFit="1" customWidth="1"/>
    <col min="22" max="22" width="4.81640625" style="6" bestFit="1" customWidth="1"/>
    <col min="23" max="16384" width="3.453125" style="6"/>
  </cols>
  <sheetData>
    <row r="2" spans="2:22">
      <c r="C2" s="90"/>
      <c r="D2" s="91" t="s">
        <v>14</v>
      </c>
      <c r="E2" s="91" t="s">
        <v>19</v>
      </c>
      <c r="F2" s="91" t="s">
        <v>40</v>
      </c>
      <c r="G2" s="91" t="s">
        <v>116</v>
      </c>
      <c r="H2" s="91" t="s">
        <v>107</v>
      </c>
      <c r="I2" s="91" t="s">
        <v>37</v>
      </c>
      <c r="J2" s="91" t="s">
        <v>43</v>
      </c>
      <c r="K2" s="91" t="s">
        <v>75</v>
      </c>
      <c r="L2" s="91" t="s">
        <v>27</v>
      </c>
      <c r="M2" s="91" t="s">
        <v>69</v>
      </c>
      <c r="N2" s="91" t="s">
        <v>48</v>
      </c>
      <c r="O2" s="91" t="s">
        <v>16</v>
      </c>
      <c r="P2" s="91" t="s">
        <v>22</v>
      </c>
      <c r="Q2" s="91" t="s">
        <v>98</v>
      </c>
      <c r="R2" s="91" t="s">
        <v>58</v>
      </c>
      <c r="S2" s="91" t="s">
        <v>64</v>
      </c>
      <c r="T2" s="91" t="s">
        <v>79</v>
      </c>
      <c r="U2" s="91" t="s">
        <v>86</v>
      </c>
      <c r="V2" s="90"/>
    </row>
    <row r="3" spans="2:22">
      <c r="B3" s="6">
        <v>1</v>
      </c>
      <c r="C3" s="92" t="s">
        <v>139</v>
      </c>
      <c r="D3" s="93" t="s">
        <v>139</v>
      </c>
      <c r="E3" s="93" t="s">
        <v>1734</v>
      </c>
      <c r="F3" s="93" t="s">
        <v>1737</v>
      </c>
      <c r="G3" s="93" t="s">
        <v>1738</v>
      </c>
      <c r="H3" s="93"/>
      <c r="I3" s="93" t="s">
        <v>1739</v>
      </c>
      <c r="J3" s="93" t="s">
        <v>1740</v>
      </c>
      <c r="K3" s="93" t="s">
        <v>1741</v>
      </c>
      <c r="L3" s="93" t="s">
        <v>1742</v>
      </c>
      <c r="M3" s="93" t="s">
        <v>538</v>
      </c>
      <c r="N3" s="93" t="s">
        <v>1743</v>
      </c>
      <c r="O3" s="93" t="s">
        <v>1744</v>
      </c>
      <c r="P3" s="93" t="s">
        <v>1745</v>
      </c>
      <c r="Q3" s="93" t="s">
        <v>1746</v>
      </c>
      <c r="R3" s="93" t="s">
        <v>1747</v>
      </c>
      <c r="S3" s="93" t="s">
        <v>1748</v>
      </c>
      <c r="T3" s="93" t="s">
        <v>3494</v>
      </c>
      <c r="U3" s="93" t="s">
        <v>3495</v>
      </c>
      <c r="V3" s="92" t="s">
        <v>139</v>
      </c>
    </row>
    <row r="4" spans="2:22">
      <c r="B4" s="6">
        <v>2</v>
      </c>
      <c r="C4" s="92" t="s">
        <v>140</v>
      </c>
      <c r="D4" s="93" t="s">
        <v>140</v>
      </c>
      <c r="E4" s="93" t="s">
        <v>1760</v>
      </c>
      <c r="F4" s="93"/>
      <c r="G4" s="93" t="s">
        <v>1763</v>
      </c>
      <c r="H4" s="93"/>
      <c r="I4" s="93" t="s">
        <v>1764</v>
      </c>
      <c r="J4" s="93" t="s">
        <v>1765</v>
      </c>
      <c r="K4" s="93" t="s">
        <v>1766</v>
      </c>
      <c r="L4" s="93"/>
      <c r="M4" s="93" t="s">
        <v>895</v>
      </c>
      <c r="N4" s="93"/>
      <c r="O4" s="93" t="s">
        <v>1767</v>
      </c>
      <c r="P4" s="93" t="s">
        <v>1768</v>
      </c>
      <c r="Q4" s="93" t="s">
        <v>1769</v>
      </c>
      <c r="R4" s="93" t="s">
        <v>1770</v>
      </c>
      <c r="S4" s="93" t="s">
        <v>1771</v>
      </c>
      <c r="T4" s="93" t="s">
        <v>3496</v>
      </c>
      <c r="U4" s="93" t="s">
        <v>3497</v>
      </c>
      <c r="V4" s="92" t="s">
        <v>140</v>
      </c>
    </row>
    <row r="5" spans="2:22">
      <c r="B5" s="6">
        <v>3</v>
      </c>
      <c r="C5" s="92" t="s">
        <v>151</v>
      </c>
      <c r="D5" s="93" t="s">
        <v>151</v>
      </c>
      <c r="E5" s="93" t="s">
        <v>1775</v>
      </c>
      <c r="F5" s="93" t="s">
        <v>1778</v>
      </c>
      <c r="G5" s="93" t="s">
        <v>1779</v>
      </c>
      <c r="H5" s="93"/>
      <c r="I5" s="93" t="s">
        <v>1780</v>
      </c>
      <c r="J5" s="93" t="s">
        <v>1781</v>
      </c>
      <c r="K5" s="93" t="s">
        <v>1782</v>
      </c>
      <c r="L5" s="93" t="s">
        <v>1783</v>
      </c>
      <c r="M5" s="93" t="s">
        <v>1016</v>
      </c>
      <c r="N5" s="93" t="s">
        <v>1784</v>
      </c>
      <c r="O5" s="93" t="s">
        <v>1785</v>
      </c>
      <c r="P5" s="93" t="s">
        <v>1786</v>
      </c>
      <c r="Q5" s="93" t="s">
        <v>1787</v>
      </c>
      <c r="R5" s="93" t="s">
        <v>1788</v>
      </c>
      <c r="S5" s="93" t="s">
        <v>1789</v>
      </c>
      <c r="T5" s="93" t="s">
        <v>3498</v>
      </c>
      <c r="U5" s="93" t="s">
        <v>3499</v>
      </c>
      <c r="V5" s="92" t="s">
        <v>151</v>
      </c>
    </row>
    <row r="6" spans="2:22">
      <c r="B6" s="6">
        <v>4</v>
      </c>
      <c r="C6" s="92" t="s">
        <v>157</v>
      </c>
      <c r="D6" s="93" t="s">
        <v>157</v>
      </c>
      <c r="E6" s="93"/>
      <c r="F6" s="93"/>
      <c r="G6" s="93" t="s">
        <v>3500</v>
      </c>
      <c r="H6" s="93"/>
      <c r="I6" s="93" t="s">
        <v>3501</v>
      </c>
      <c r="J6" s="93" t="s">
        <v>3502</v>
      </c>
      <c r="K6" s="93"/>
      <c r="L6" s="93"/>
      <c r="M6" s="93"/>
      <c r="N6" s="93"/>
      <c r="O6" s="93"/>
      <c r="P6" s="93" t="s">
        <v>3503</v>
      </c>
      <c r="Q6" s="93"/>
      <c r="R6" s="93" t="s">
        <v>3504</v>
      </c>
      <c r="S6" s="93"/>
      <c r="T6" s="93" t="s">
        <v>3505</v>
      </c>
      <c r="U6" s="93"/>
      <c r="V6" s="92" t="s">
        <v>157</v>
      </c>
    </row>
    <row r="7" spans="2:22">
      <c r="B7" s="6">
        <v>5</v>
      </c>
      <c r="C7" s="92" t="s">
        <v>173</v>
      </c>
      <c r="D7" s="93" t="s">
        <v>173</v>
      </c>
      <c r="E7" s="93" t="s">
        <v>1798</v>
      </c>
      <c r="F7" s="93" t="s">
        <v>1801</v>
      </c>
      <c r="G7" s="93" t="s">
        <v>1802</v>
      </c>
      <c r="H7" s="93"/>
      <c r="I7" s="93" t="s">
        <v>1803</v>
      </c>
      <c r="J7" s="93" t="s">
        <v>1804</v>
      </c>
      <c r="K7" s="93" t="s">
        <v>1805</v>
      </c>
      <c r="L7" s="93"/>
      <c r="M7" s="93"/>
      <c r="N7" s="93"/>
      <c r="O7" s="93" t="s">
        <v>1806</v>
      </c>
      <c r="P7" s="93" t="s">
        <v>1807</v>
      </c>
      <c r="Q7" s="93" t="s">
        <v>1808</v>
      </c>
      <c r="R7" s="93" t="s">
        <v>1809</v>
      </c>
      <c r="S7" s="93" t="s">
        <v>1810</v>
      </c>
      <c r="T7" s="93" t="s">
        <v>3506</v>
      </c>
      <c r="U7" s="93" t="s">
        <v>3507</v>
      </c>
      <c r="V7" s="92" t="s">
        <v>173</v>
      </c>
    </row>
    <row r="8" spans="2:22">
      <c r="B8" s="6">
        <v>6</v>
      </c>
      <c r="C8" s="92" t="s">
        <v>163</v>
      </c>
      <c r="D8" s="93" t="s">
        <v>163</v>
      </c>
      <c r="E8" s="93"/>
      <c r="F8" s="93" t="s">
        <v>1813</v>
      </c>
      <c r="G8" s="93" t="s">
        <v>1814</v>
      </c>
      <c r="H8" s="93"/>
      <c r="I8" s="93" t="s">
        <v>1815</v>
      </c>
      <c r="J8" s="93" t="s">
        <v>1816</v>
      </c>
      <c r="K8" s="93" t="s">
        <v>1817</v>
      </c>
      <c r="L8" s="93"/>
      <c r="M8" s="93"/>
      <c r="N8" s="93"/>
      <c r="O8" s="93"/>
      <c r="P8" s="93"/>
      <c r="Q8" s="93" t="s">
        <v>1818</v>
      </c>
      <c r="R8" s="93" t="s">
        <v>1819</v>
      </c>
      <c r="S8" s="93" t="s">
        <v>1820</v>
      </c>
      <c r="T8" s="93" t="s">
        <v>3508</v>
      </c>
      <c r="U8" s="93" t="s">
        <v>3509</v>
      </c>
      <c r="V8" s="92" t="s">
        <v>163</v>
      </c>
    </row>
    <row r="9" spans="2:22">
      <c r="B9" s="6">
        <v>7</v>
      </c>
      <c r="C9" s="92" t="s">
        <v>166</v>
      </c>
      <c r="D9" s="93" t="s">
        <v>166</v>
      </c>
      <c r="E9" s="93" t="s">
        <v>1821</v>
      </c>
      <c r="F9" s="93" t="s">
        <v>1824</v>
      </c>
      <c r="G9" s="93" t="s">
        <v>1825</v>
      </c>
      <c r="H9" s="93"/>
      <c r="I9" s="93" t="s">
        <v>1826</v>
      </c>
      <c r="J9" s="93" t="s">
        <v>1827</v>
      </c>
      <c r="K9" s="93" t="s">
        <v>1828</v>
      </c>
      <c r="L9" s="93"/>
      <c r="M9" s="93"/>
      <c r="N9" s="93"/>
      <c r="O9" s="93" t="s">
        <v>1829</v>
      </c>
      <c r="P9" s="93" t="s">
        <v>1830</v>
      </c>
      <c r="Q9" s="93" t="s">
        <v>1831</v>
      </c>
      <c r="R9" s="93" t="s">
        <v>1832</v>
      </c>
      <c r="S9" s="93" t="s">
        <v>1833</v>
      </c>
      <c r="T9" s="93" t="s">
        <v>3510</v>
      </c>
      <c r="U9" s="93" t="s">
        <v>3511</v>
      </c>
      <c r="V9" s="92" t="s">
        <v>166</v>
      </c>
    </row>
    <row r="10" spans="2:22">
      <c r="B10" s="6">
        <v>8</v>
      </c>
      <c r="C10" s="92" t="s">
        <v>172</v>
      </c>
      <c r="D10" s="93" t="s">
        <v>172</v>
      </c>
      <c r="E10" s="93" t="s">
        <v>1834</v>
      </c>
      <c r="F10" s="93" t="s">
        <v>1837</v>
      </c>
      <c r="G10" s="93" t="s">
        <v>1838</v>
      </c>
      <c r="H10" s="93"/>
      <c r="I10" s="93" t="s">
        <v>1839</v>
      </c>
      <c r="J10" s="93" t="s">
        <v>1840</v>
      </c>
      <c r="K10" s="93" t="s">
        <v>1841</v>
      </c>
      <c r="L10" s="93"/>
      <c r="M10" s="93"/>
      <c r="N10" s="93"/>
      <c r="O10" s="93" t="s">
        <v>1842</v>
      </c>
      <c r="P10" s="93" t="s">
        <v>1843</v>
      </c>
      <c r="Q10" s="93" t="s">
        <v>1844</v>
      </c>
      <c r="R10" s="93" t="s">
        <v>1845</v>
      </c>
      <c r="S10" s="93" t="s">
        <v>1846</v>
      </c>
      <c r="T10" s="93" t="s">
        <v>3512</v>
      </c>
      <c r="U10" s="93" t="s">
        <v>3513</v>
      </c>
      <c r="V10" s="92" t="s">
        <v>172</v>
      </c>
    </row>
    <row r="11" spans="2:22">
      <c r="B11" s="6">
        <v>9</v>
      </c>
      <c r="C11" s="92" t="s">
        <v>145</v>
      </c>
      <c r="D11" s="93" t="s">
        <v>145</v>
      </c>
      <c r="E11" s="93"/>
      <c r="F11" s="93"/>
      <c r="G11" s="93" t="s">
        <v>3514</v>
      </c>
      <c r="H11" s="93"/>
      <c r="I11" s="93" t="s">
        <v>3515</v>
      </c>
      <c r="J11" s="93" t="s">
        <v>3516</v>
      </c>
      <c r="K11" s="93"/>
      <c r="L11" s="93"/>
      <c r="M11" s="93"/>
      <c r="N11" s="93"/>
      <c r="O11" s="93"/>
      <c r="P11" s="93" t="s">
        <v>3517</v>
      </c>
      <c r="Q11" s="93" t="s">
        <v>3518</v>
      </c>
      <c r="R11" s="93" t="s">
        <v>3519</v>
      </c>
      <c r="S11" s="93" t="s">
        <v>3520</v>
      </c>
      <c r="T11" s="93" t="s">
        <v>3521</v>
      </c>
      <c r="U11" s="93" t="s">
        <v>3522</v>
      </c>
      <c r="V11" s="92" t="s">
        <v>145</v>
      </c>
    </row>
    <row r="12" spans="2:22">
      <c r="B12" s="6">
        <v>10</v>
      </c>
      <c r="C12" s="92" t="s">
        <v>146</v>
      </c>
      <c r="D12" s="93"/>
      <c r="E12" s="93"/>
      <c r="F12" s="93"/>
      <c r="G12" s="93" t="s">
        <v>3523</v>
      </c>
      <c r="H12" s="93"/>
      <c r="I12" s="93"/>
      <c r="J12" s="93"/>
      <c r="K12" s="93"/>
      <c r="L12" s="93"/>
      <c r="M12" s="93"/>
      <c r="N12" s="93"/>
      <c r="O12" s="93"/>
      <c r="P12" s="93"/>
      <c r="Q12" s="93" t="s">
        <v>3524</v>
      </c>
      <c r="R12" s="93"/>
      <c r="S12" s="93"/>
      <c r="T12" s="93"/>
      <c r="U12" s="93"/>
      <c r="V12" s="92" t="s">
        <v>146</v>
      </c>
    </row>
    <row r="13" spans="2:22">
      <c r="B13" s="6">
        <v>11</v>
      </c>
      <c r="C13" s="92" t="s">
        <v>164</v>
      </c>
      <c r="D13" s="93" t="s">
        <v>164</v>
      </c>
      <c r="E13" s="93"/>
      <c r="F13" s="93"/>
      <c r="G13" s="93" t="s">
        <v>1849</v>
      </c>
      <c r="H13" s="93"/>
      <c r="I13" s="93" t="s">
        <v>1850</v>
      </c>
      <c r="J13" s="93" t="s">
        <v>1851</v>
      </c>
      <c r="K13" s="93" t="s">
        <v>1852</v>
      </c>
      <c r="L13" s="93"/>
      <c r="M13" s="93"/>
      <c r="N13" s="93"/>
      <c r="O13" s="93"/>
      <c r="P13" s="93"/>
      <c r="Q13" s="93" t="s">
        <v>1853</v>
      </c>
      <c r="R13" s="93" t="s">
        <v>1854</v>
      </c>
      <c r="S13" s="93" t="s">
        <v>1855</v>
      </c>
      <c r="T13" s="93" t="s">
        <v>3525</v>
      </c>
      <c r="U13" s="93" t="s">
        <v>3526</v>
      </c>
      <c r="V13" s="92" t="s">
        <v>164</v>
      </c>
    </row>
    <row r="14" spans="2:22">
      <c r="B14" s="6">
        <v>12</v>
      </c>
      <c r="C14" s="92" t="s">
        <v>167</v>
      </c>
      <c r="D14" s="93" t="s">
        <v>167</v>
      </c>
      <c r="E14" s="93" t="s">
        <v>1856</v>
      </c>
      <c r="F14" s="93"/>
      <c r="G14" s="93" t="s">
        <v>1859</v>
      </c>
      <c r="H14" s="93"/>
      <c r="I14" s="93" t="s">
        <v>1860</v>
      </c>
      <c r="J14" s="93" t="s">
        <v>1861</v>
      </c>
      <c r="K14" s="93" t="s">
        <v>1862</v>
      </c>
      <c r="L14" s="93"/>
      <c r="M14" s="93"/>
      <c r="N14" s="93"/>
      <c r="O14" s="93" t="s">
        <v>1863</v>
      </c>
      <c r="P14" s="93"/>
      <c r="Q14" s="93" t="s">
        <v>1864</v>
      </c>
      <c r="R14" s="93" t="s">
        <v>1865</v>
      </c>
      <c r="S14" s="93" t="s">
        <v>1866</v>
      </c>
      <c r="T14" s="93" t="s">
        <v>3527</v>
      </c>
      <c r="U14" s="93" t="s">
        <v>3528</v>
      </c>
      <c r="V14" s="92" t="s">
        <v>167</v>
      </c>
    </row>
    <row r="15" spans="2:22">
      <c r="B15" s="6">
        <v>13</v>
      </c>
      <c r="C15" s="92" t="s">
        <v>178</v>
      </c>
      <c r="D15" s="93" t="s">
        <v>178</v>
      </c>
      <c r="E15" s="93" t="s">
        <v>1867</v>
      </c>
      <c r="F15" s="93" t="s">
        <v>1870</v>
      </c>
      <c r="G15" s="93" t="s">
        <v>1871</v>
      </c>
      <c r="H15" s="93"/>
      <c r="I15" s="93" t="s">
        <v>1872</v>
      </c>
      <c r="J15" s="93" t="s">
        <v>1873</v>
      </c>
      <c r="K15" s="93" t="s">
        <v>1874</v>
      </c>
      <c r="L15" s="93" t="s">
        <v>1875</v>
      </c>
      <c r="M15" s="93" t="s">
        <v>1876</v>
      </c>
      <c r="N15" s="93" t="s">
        <v>1877</v>
      </c>
      <c r="O15" s="93" t="s">
        <v>1878</v>
      </c>
      <c r="P15" s="93" t="s">
        <v>1879</v>
      </c>
      <c r="Q15" s="93" t="s">
        <v>1880</v>
      </c>
      <c r="R15" s="93" t="s">
        <v>1881</v>
      </c>
      <c r="S15" s="93" t="s">
        <v>1882</v>
      </c>
      <c r="T15" s="93" t="s">
        <v>3529</v>
      </c>
      <c r="U15" s="93" t="s">
        <v>3530</v>
      </c>
      <c r="V15" s="92" t="s">
        <v>178</v>
      </c>
    </row>
    <row r="16" spans="2:22">
      <c r="B16" s="6">
        <v>14</v>
      </c>
      <c r="C16" s="92" t="s">
        <v>179</v>
      </c>
      <c r="D16" s="93"/>
      <c r="E16" s="93"/>
      <c r="F16" s="93"/>
      <c r="G16" s="93"/>
      <c r="H16" s="93"/>
      <c r="I16" s="93" t="s">
        <v>1884</v>
      </c>
      <c r="J16" s="93"/>
      <c r="K16" s="93" t="s">
        <v>1885</v>
      </c>
      <c r="L16" s="93" t="s">
        <v>1886</v>
      </c>
      <c r="M16" s="93" t="s">
        <v>1887</v>
      </c>
      <c r="N16" s="93"/>
      <c r="O16" s="93"/>
      <c r="P16" s="93" t="s">
        <v>1888</v>
      </c>
      <c r="Q16" s="93"/>
      <c r="R16" s="93" t="s">
        <v>1889</v>
      </c>
      <c r="S16" s="93"/>
      <c r="T16" s="93"/>
      <c r="U16" s="93" t="s">
        <v>3531</v>
      </c>
      <c r="V16" s="92" t="s">
        <v>179</v>
      </c>
    </row>
    <row r="17" spans="2:22">
      <c r="B17" s="6">
        <v>15</v>
      </c>
      <c r="C17" s="92" t="s">
        <v>160</v>
      </c>
      <c r="D17" s="93" t="s">
        <v>160</v>
      </c>
      <c r="E17" s="93" t="s">
        <v>1890</v>
      </c>
      <c r="F17" s="93" t="s">
        <v>1893</v>
      </c>
      <c r="G17" s="93" t="s">
        <v>1894</v>
      </c>
      <c r="H17" s="93"/>
      <c r="I17" s="93" t="s">
        <v>1895</v>
      </c>
      <c r="J17" s="93" t="s">
        <v>1896</v>
      </c>
      <c r="K17" s="93" t="s">
        <v>1897</v>
      </c>
      <c r="L17" s="93" t="s">
        <v>1898</v>
      </c>
      <c r="M17" s="93" t="s">
        <v>930</v>
      </c>
      <c r="N17" s="93" t="s">
        <v>1899</v>
      </c>
      <c r="O17" s="93" t="s">
        <v>1900</v>
      </c>
      <c r="P17" s="93" t="s">
        <v>1901</v>
      </c>
      <c r="Q17" s="93" t="s">
        <v>1902</v>
      </c>
      <c r="R17" s="93" t="s">
        <v>1903</v>
      </c>
      <c r="S17" s="93" t="s">
        <v>1904</v>
      </c>
      <c r="T17" s="93" t="s">
        <v>3532</v>
      </c>
      <c r="U17" s="93" t="s">
        <v>3533</v>
      </c>
      <c r="V17" s="92" t="s">
        <v>160</v>
      </c>
    </row>
    <row r="18" spans="2:22">
      <c r="B18" s="6">
        <v>16</v>
      </c>
      <c r="C18" s="92" t="s">
        <v>161</v>
      </c>
      <c r="D18" s="93" t="s">
        <v>161</v>
      </c>
      <c r="E18" s="93" t="s">
        <v>1917</v>
      </c>
      <c r="F18" s="93"/>
      <c r="G18" s="93" t="s">
        <v>1920</v>
      </c>
      <c r="H18" s="93"/>
      <c r="I18" s="93" t="s">
        <v>1921</v>
      </c>
      <c r="J18" s="93" t="s">
        <v>1922</v>
      </c>
      <c r="K18" s="93" t="s">
        <v>1923</v>
      </c>
      <c r="L18" s="93" t="s">
        <v>1924</v>
      </c>
      <c r="M18" s="93" t="s">
        <v>931</v>
      </c>
      <c r="N18" s="93" t="s">
        <v>1925</v>
      </c>
      <c r="O18" s="93" t="s">
        <v>1926</v>
      </c>
      <c r="P18" s="93"/>
      <c r="Q18" s="93" t="s">
        <v>1927</v>
      </c>
      <c r="R18" s="93" t="s">
        <v>1928</v>
      </c>
      <c r="S18" s="93" t="s">
        <v>1929</v>
      </c>
      <c r="T18" s="93" t="s">
        <v>3534</v>
      </c>
      <c r="U18" s="93" t="s">
        <v>3535</v>
      </c>
      <c r="V18" s="92" t="s">
        <v>161</v>
      </c>
    </row>
    <row r="19" spans="2:22">
      <c r="B19" s="6">
        <v>17</v>
      </c>
      <c r="C19" s="92" t="s">
        <v>194</v>
      </c>
      <c r="D19" s="93" t="s">
        <v>194</v>
      </c>
      <c r="E19" s="93"/>
      <c r="F19" s="93"/>
      <c r="G19" s="93" t="s">
        <v>3536</v>
      </c>
      <c r="H19" s="93"/>
      <c r="I19" s="93" t="s">
        <v>3537</v>
      </c>
      <c r="J19" s="93" t="s">
        <v>3538</v>
      </c>
      <c r="K19" s="93"/>
      <c r="L19" s="93"/>
      <c r="M19" s="93"/>
      <c r="N19" s="93"/>
      <c r="O19" s="93" t="s">
        <v>3539</v>
      </c>
      <c r="P19" s="93" t="s">
        <v>3540</v>
      </c>
      <c r="Q19" s="93" t="s">
        <v>3541</v>
      </c>
      <c r="R19" s="93" t="s">
        <v>3542</v>
      </c>
      <c r="S19" s="93" t="s">
        <v>3543</v>
      </c>
      <c r="T19" s="93" t="s">
        <v>3544</v>
      </c>
      <c r="U19" s="93" t="s">
        <v>3545</v>
      </c>
      <c r="V19" s="92" t="s">
        <v>194</v>
      </c>
    </row>
    <row r="20" spans="2:22">
      <c r="B20" s="6">
        <v>18</v>
      </c>
      <c r="C20" s="92" t="s">
        <v>195</v>
      </c>
      <c r="D20" s="93"/>
      <c r="E20" s="93"/>
      <c r="F20" s="93"/>
      <c r="G20" s="93" t="s">
        <v>3546</v>
      </c>
      <c r="H20" s="93"/>
      <c r="I20" s="93"/>
      <c r="J20" s="93" t="s">
        <v>3547</v>
      </c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2" t="s">
        <v>195</v>
      </c>
    </row>
    <row r="21" spans="2:22">
      <c r="B21" s="6">
        <v>19</v>
      </c>
      <c r="C21" s="92" t="s">
        <v>200</v>
      </c>
      <c r="D21" s="93" t="s">
        <v>200</v>
      </c>
      <c r="E21" s="93" t="s">
        <v>1958</v>
      </c>
      <c r="F21" s="93" t="s">
        <v>1961</v>
      </c>
      <c r="G21" s="93" t="s">
        <v>1962</v>
      </c>
      <c r="H21" s="93" t="s">
        <v>649</v>
      </c>
      <c r="I21" s="93" t="s">
        <v>1963</v>
      </c>
      <c r="J21" s="93" t="s">
        <v>1964</v>
      </c>
      <c r="K21" s="93" t="s">
        <v>1965</v>
      </c>
      <c r="L21" s="93" t="s">
        <v>1966</v>
      </c>
      <c r="M21" s="93" t="s">
        <v>960</v>
      </c>
      <c r="N21" s="93"/>
      <c r="O21" s="93" t="s">
        <v>1967</v>
      </c>
      <c r="P21" s="93" t="s">
        <v>1968</v>
      </c>
      <c r="Q21" s="93" t="s">
        <v>655</v>
      </c>
      <c r="R21" s="93" t="s">
        <v>1969</v>
      </c>
      <c r="S21" s="93" t="s">
        <v>1970</v>
      </c>
      <c r="T21" s="93" t="s">
        <v>641</v>
      </c>
      <c r="U21" s="93" t="s">
        <v>669</v>
      </c>
      <c r="V21" s="92" t="s">
        <v>200</v>
      </c>
    </row>
    <row r="22" spans="2:22">
      <c r="B22" s="6">
        <v>20</v>
      </c>
      <c r="C22" s="92" t="s">
        <v>212</v>
      </c>
      <c r="D22" s="93" t="s">
        <v>212</v>
      </c>
      <c r="E22" s="93"/>
      <c r="F22" s="93" t="s">
        <v>1983</v>
      </c>
      <c r="G22" s="93" t="s">
        <v>1984</v>
      </c>
      <c r="H22" s="93" t="s">
        <v>1985</v>
      </c>
      <c r="I22" s="93" t="s">
        <v>1986</v>
      </c>
      <c r="J22" s="93" t="s">
        <v>1987</v>
      </c>
      <c r="K22" s="93"/>
      <c r="L22" s="93" t="s">
        <v>1988</v>
      </c>
      <c r="M22" s="93" t="s">
        <v>982</v>
      </c>
      <c r="N22" s="93" t="s">
        <v>1989</v>
      </c>
      <c r="O22" s="93"/>
      <c r="P22" s="93"/>
      <c r="Q22" s="93" t="s">
        <v>1990</v>
      </c>
      <c r="R22" s="93" t="s">
        <v>1991</v>
      </c>
      <c r="S22" s="93"/>
      <c r="T22" s="93" t="s">
        <v>3548</v>
      </c>
      <c r="U22" s="93" t="s">
        <v>3549</v>
      </c>
      <c r="V22" s="92" t="s">
        <v>212</v>
      </c>
    </row>
    <row r="23" spans="2:22">
      <c r="B23" s="6">
        <v>21</v>
      </c>
      <c r="C23" s="92" t="s">
        <v>213</v>
      </c>
      <c r="D23" s="93" t="s">
        <v>213</v>
      </c>
      <c r="E23" s="93"/>
      <c r="F23" s="93" t="s">
        <v>2004</v>
      </c>
      <c r="G23" s="93" t="s">
        <v>2005</v>
      </c>
      <c r="H23" s="93"/>
      <c r="I23" s="93" t="s">
        <v>2006</v>
      </c>
      <c r="J23" s="93" t="s">
        <v>2007</v>
      </c>
      <c r="K23" s="93" t="s">
        <v>2008</v>
      </c>
      <c r="L23" s="93"/>
      <c r="M23" s="93"/>
      <c r="N23" s="93"/>
      <c r="O23" s="93" t="s">
        <v>2009</v>
      </c>
      <c r="P23" s="93" t="s">
        <v>2010</v>
      </c>
      <c r="Q23" s="93" t="s">
        <v>2011</v>
      </c>
      <c r="R23" s="93" t="s">
        <v>2012</v>
      </c>
      <c r="S23" s="93" t="s">
        <v>2013</v>
      </c>
      <c r="T23" s="93" t="s">
        <v>3550</v>
      </c>
      <c r="U23" s="93" t="s">
        <v>3551</v>
      </c>
      <c r="V23" s="92" t="s">
        <v>213</v>
      </c>
    </row>
    <row r="24" spans="2:22">
      <c r="B24" s="6">
        <v>22</v>
      </c>
      <c r="C24" s="92" t="s">
        <v>228</v>
      </c>
      <c r="D24" s="93"/>
      <c r="E24" s="93"/>
      <c r="F24" s="93"/>
      <c r="G24" s="93"/>
      <c r="H24" s="93"/>
      <c r="I24" s="93"/>
      <c r="J24" s="93" t="s">
        <v>2017</v>
      </c>
      <c r="K24" s="93"/>
      <c r="L24" s="93"/>
      <c r="M24" s="93"/>
      <c r="N24" s="93"/>
      <c r="O24" s="93" t="s">
        <v>2018</v>
      </c>
      <c r="P24" s="93" t="s">
        <v>2019</v>
      </c>
      <c r="Q24" s="93" t="s">
        <v>2020</v>
      </c>
      <c r="R24" s="93" t="s">
        <v>2021</v>
      </c>
      <c r="S24" s="93"/>
      <c r="T24" s="93"/>
      <c r="U24" s="93" t="s">
        <v>3552</v>
      </c>
      <c r="V24" s="92" t="s">
        <v>228</v>
      </c>
    </row>
    <row r="25" spans="2:22">
      <c r="B25" s="6">
        <v>23</v>
      </c>
      <c r="C25" s="92" t="s">
        <v>221</v>
      </c>
      <c r="D25" s="93" t="s">
        <v>221</v>
      </c>
      <c r="E25" s="93"/>
      <c r="F25" s="93" t="s">
        <v>2024</v>
      </c>
      <c r="G25" s="93" t="s">
        <v>2025</v>
      </c>
      <c r="H25" s="93" t="s">
        <v>2026</v>
      </c>
      <c r="I25" s="93" t="s">
        <v>2027</v>
      </c>
      <c r="J25" s="93" t="s">
        <v>2028</v>
      </c>
      <c r="K25" s="93" t="s">
        <v>2029</v>
      </c>
      <c r="L25" s="93"/>
      <c r="M25" s="93"/>
      <c r="N25" s="93"/>
      <c r="O25" s="93"/>
      <c r="P25" s="93"/>
      <c r="Q25" s="93" t="s">
        <v>2030</v>
      </c>
      <c r="R25" s="93" t="s">
        <v>2031</v>
      </c>
      <c r="S25" s="93" t="s">
        <v>2032</v>
      </c>
      <c r="T25" s="93" t="s">
        <v>3553</v>
      </c>
      <c r="U25" s="93" t="s">
        <v>3554</v>
      </c>
      <c r="V25" s="92" t="s">
        <v>221</v>
      </c>
    </row>
    <row r="26" spans="2:22">
      <c r="B26" s="6">
        <v>24</v>
      </c>
      <c r="C26" s="92" t="s">
        <v>142</v>
      </c>
      <c r="D26" s="93" t="s">
        <v>142</v>
      </c>
      <c r="E26" s="93" t="s">
        <v>2033</v>
      </c>
      <c r="F26" s="93" t="s">
        <v>2036</v>
      </c>
      <c r="G26" s="93" t="s">
        <v>2037</v>
      </c>
      <c r="H26" s="93" t="s">
        <v>2038</v>
      </c>
      <c r="I26" s="93" t="s">
        <v>2039</v>
      </c>
      <c r="J26" s="93" t="s">
        <v>2040</v>
      </c>
      <c r="K26" s="93" t="s">
        <v>2041</v>
      </c>
      <c r="L26" s="93"/>
      <c r="M26" s="93"/>
      <c r="N26" s="93"/>
      <c r="O26" s="93" t="s">
        <v>2042</v>
      </c>
      <c r="P26" s="93" t="s">
        <v>2043</v>
      </c>
      <c r="Q26" s="93" t="s">
        <v>2044</v>
      </c>
      <c r="R26" s="93" t="s">
        <v>2045</v>
      </c>
      <c r="S26" s="93" t="s">
        <v>2046</v>
      </c>
      <c r="T26" s="93" t="s">
        <v>3555</v>
      </c>
      <c r="U26" s="93" t="s">
        <v>3556</v>
      </c>
      <c r="V26" s="92" t="s">
        <v>142</v>
      </c>
    </row>
    <row r="27" spans="2:22">
      <c r="B27" s="6">
        <v>25</v>
      </c>
      <c r="C27" s="92" t="s">
        <v>227</v>
      </c>
      <c r="D27" s="93" t="s">
        <v>227</v>
      </c>
      <c r="E27" s="93"/>
      <c r="F27" s="93" t="s">
        <v>2049</v>
      </c>
      <c r="G27" s="93" t="s">
        <v>2050</v>
      </c>
      <c r="H27" s="93" t="s">
        <v>2051</v>
      </c>
      <c r="I27" s="93"/>
      <c r="J27" s="93" t="s">
        <v>2052</v>
      </c>
      <c r="K27" s="93" t="s">
        <v>2053</v>
      </c>
      <c r="L27" s="93"/>
      <c r="M27" s="93"/>
      <c r="N27" s="93"/>
      <c r="O27" s="93" t="s">
        <v>2054</v>
      </c>
      <c r="P27" s="93" t="s">
        <v>2055</v>
      </c>
      <c r="Q27" s="93" t="s">
        <v>2056</v>
      </c>
      <c r="R27" s="93"/>
      <c r="S27" s="93"/>
      <c r="T27" s="93" t="s">
        <v>3557</v>
      </c>
      <c r="U27" s="93" t="s">
        <v>3558</v>
      </c>
      <c r="V27" s="92" t="s">
        <v>227</v>
      </c>
    </row>
    <row r="28" spans="2:22">
      <c r="B28" s="6">
        <v>26</v>
      </c>
      <c r="C28" s="92" t="s">
        <v>218</v>
      </c>
      <c r="D28" s="93" t="s">
        <v>218</v>
      </c>
      <c r="E28" s="93"/>
      <c r="F28" s="93"/>
      <c r="G28" s="93" t="s">
        <v>3559</v>
      </c>
      <c r="H28" s="93"/>
      <c r="I28" s="93" t="s">
        <v>3560</v>
      </c>
      <c r="J28" s="93"/>
      <c r="K28" s="93"/>
      <c r="L28" s="93"/>
      <c r="M28" s="93"/>
      <c r="N28" s="93"/>
      <c r="O28" s="93" t="s">
        <v>3561</v>
      </c>
      <c r="P28" s="93"/>
      <c r="Q28" s="93" t="s">
        <v>3562</v>
      </c>
      <c r="R28" s="93" t="s">
        <v>3563</v>
      </c>
      <c r="S28" s="93" t="s">
        <v>3564</v>
      </c>
      <c r="T28" s="93" t="s">
        <v>3565</v>
      </c>
      <c r="U28" s="93" t="s">
        <v>3566</v>
      </c>
      <c r="V28" s="92" t="s">
        <v>218</v>
      </c>
    </row>
    <row r="29" spans="2:22">
      <c r="B29" s="6">
        <v>27</v>
      </c>
      <c r="C29" s="92" t="s">
        <v>219</v>
      </c>
      <c r="D29" s="93"/>
      <c r="E29" s="93"/>
      <c r="F29" s="93"/>
      <c r="G29" s="93" t="s">
        <v>3567</v>
      </c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2" t="s">
        <v>219</v>
      </c>
    </row>
    <row r="30" spans="2:22">
      <c r="B30" s="6">
        <v>28</v>
      </c>
      <c r="C30" s="92" t="s">
        <v>222</v>
      </c>
      <c r="D30" s="93" t="s">
        <v>222</v>
      </c>
      <c r="E30" s="93"/>
      <c r="F30" s="93" t="s">
        <v>2059</v>
      </c>
      <c r="G30" s="93" t="s">
        <v>2060</v>
      </c>
      <c r="H30" s="93" t="s">
        <v>2061</v>
      </c>
      <c r="I30" s="93" t="s">
        <v>2062</v>
      </c>
      <c r="J30" s="93" t="s">
        <v>2063</v>
      </c>
      <c r="K30" s="93" t="s">
        <v>2064</v>
      </c>
      <c r="L30" s="93"/>
      <c r="M30" s="93"/>
      <c r="N30" s="93"/>
      <c r="O30" s="93"/>
      <c r="P30" s="93"/>
      <c r="Q30" s="93" t="s">
        <v>2065</v>
      </c>
      <c r="R30" s="93" t="s">
        <v>2066</v>
      </c>
      <c r="S30" s="93" t="s">
        <v>2067</v>
      </c>
      <c r="T30" s="93" t="s">
        <v>3568</v>
      </c>
      <c r="U30" s="93" t="s">
        <v>3569</v>
      </c>
      <c r="V30" s="92" t="s">
        <v>222</v>
      </c>
    </row>
    <row r="31" spans="2:22">
      <c r="B31" s="6">
        <v>29</v>
      </c>
      <c r="C31" s="92" t="s">
        <v>143</v>
      </c>
      <c r="D31" s="93" t="s">
        <v>143</v>
      </c>
      <c r="E31" s="93" t="s">
        <v>2068</v>
      </c>
      <c r="F31" s="93" t="s">
        <v>2071</v>
      </c>
      <c r="G31" s="93" t="s">
        <v>2072</v>
      </c>
      <c r="H31" s="93" t="s">
        <v>2073</v>
      </c>
      <c r="I31" s="93" t="s">
        <v>2074</v>
      </c>
      <c r="J31" s="93" t="s">
        <v>2075</v>
      </c>
      <c r="K31" s="93" t="s">
        <v>2076</v>
      </c>
      <c r="L31" s="93"/>
      <c r="M31" s="93"/>
      <c r="N31" s="93"/>
      <c r="O31" s="93" t="s">
        <v>2077</v>
      </c>
      <c r="P31" s="93" t="s">
        <v>2078</v>
      </c>
      <c r="Q31" s="93" t="s">
        <v>2079</v>
      </c>
      <c r="R31" s="93" t="s">
        <v>2080</v>
      </c>
      <c r="S31" s="93" t="s">
        <v>2081</v>
      </c>
      <c r="T31" s="93" t="s">
        <v>3570</v>
      </c>
      <c r="U31" s="93" t="s">
        <v>3571</v>
      </c>
      <c r="V31" s="92" t="s">
        <v>143</v>
      </c>
    </row>
    <row r="32" spans="2:22">
      <c r="B32" s="6">
        <v>30</v>
      </c>
      <c r="C32" s="92" t="s">
        <v>197</v>
      </c>
      <c r="D32" s="93" t="s">
        <v>197</v>
      </c>
      <c r="E32" s="93" t="s">
        <v>2082</v>
      </c>
      <c r="F32" s="93" t="s">
        <v>2085</v>
      </c>
      <c r="G32" s="93" t="s">
        <v>2086</v>
      </c>
      <c r="H32" s="93" t="s">
        <v>2087</v>
      </c>
      <c r="I32" s="93" t="s">
        <v>2088</v>
      </c>
      <c r="J32" s="93" t="s">
        <v>2089</v>
      </c>
      <c r="K32" s="93" t="s">
        <v>2090</v>
      </c>
      <c r="L32" s="93" t="s">
        <v>2091</v>
      </c>
      <c r="M32" s="93" t="s">
        <v>2092</v>
      </c>
      <c r="N32" s="93" t="s">
        <v>2093</v>
      </c>
      <c r="O32" s="93" t="s">
        <v>2094</v>
      </c>
      <c r="P32" s="93" t="s">
        <v>2095</v>
      </c>
      <c r="Q32" s="93" t="s">
        <v>2096</v>
      </c>
      <c r="R32" s="93" t="s">
        <v>2097</v>
      </c>
      <c r="S32" s="93" t="s">
        <v>2098</v>
      </c>
      <c r="T32" s="93" t="s">
        <v>3572</v>
      </c>
      <c r="U32" s="93" t="s">
        <v>3573</v>
      </c>
      <c r="V32" s="92" t="s">
        <v>197</v>
      </c>
    </row>
    <row r="33" spans="2:22">
      <c r="B33" s="6">
        <v>31</v>
      </c>
      <c r="C33" s="92" t="s">
        <v>198</v>
      </c>
      <c r="D33" s="93"/>
      <c r="E33" s="93"/>
      <c r="F33" s="93"/>
      <c r="G33" s="93" t="s">
        <v>2101</v>
      </c>
      <c r="H33" s="93"/>
      <c r="I33" s="93"/>
      <c r="J33" s="93" t="s">
        <v>2102</v>
      </c>
      <c r="K33" s="93"/>
      <c r="L33" s="93"/>
      <c r="M33" s="93"/>
      <c r="N33" s="93" t="s">
        <v>2103</v>
      </c>
      <c r="O33" s="93"/>
      <c r="P33" s="93"/>
      <c r="Q33" s="93"/>
      <c r="R33" s="93"/>
      <c r="S33" s="93"/>
      <c r="T33" s="93"/>
      <c r="U33" s="93"/>
      <c r="V33" s="92" t="s">
        <v>198</v>
      </c>
    </row>
    <row r="34" spans="2:22">
      <c r="B34" s="6">
        <v>32</v>
      </c>
      <c r="C34" s="92" t="s">
        <v>233</v>
      </c>
      <c r="D34" s="93" t="s">
        <v>233</v>
      </c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2" t="s">
        <v>233</v>
      </c>
    </row>
    <row r="35" spans="2:22">
      <c r="B35" s="6">
        <v>33</v>
      </c>
      <c r="C35" s="92" t="s">
        <v>201</v>
      </c>
      <c r="D35" s="93"/>
      <c r="E35" s="93" t="s">
        <v>2104</v>
      </c>
      <c r="F35" s="93"/>
      <c r="G35" s="93"/>
      <c r="H35" s="93"/>
      <c r="I35" s="93"/>
      <c r="J35" s="93" t="s">
        <v>2107</v>
      </c>
      <c r="K35" s="93"/>
      <c r="L35" s="93" t="s">
        <v>2108</v>
      </c>
      <c r="M35" s="93" t="s">
        <v>961</v>
      </c>
      <c r="N35" s="93"/>
      <c r="O35" s="93" t="s">
        <v>2109</v>
      </c>
      <c r="P35" s="93" t="s">
        <v>2110</v>
      </c>
      <c r="Q35" s="93" t="s">
        <v>2111</v>
      </c>
      <c r="R35" s="93" t="s">
        <v>2112</v>
      </c>
      <c r="S35" s="93" t="s">
        <v>2113</v>
      </c>
      <c r="T35" s="93" t="s">
        <v>3574</v>
      </c>
      <c r="U35" s="93" t="s">
        <v>3575</v>
      </c>
      <c r="V35" s="92" t="s">
        <v>201</v>
      </c>
    </row>
    <row r="36" spans="2:22">
      <c r="B36" s="6">
        <v>34</v>
      </c>
      <c r="C36" s="92" t="s">
        <v>182</v>
      </c>
      <c r="D36" s="93" t="s">
        <v>182</v>
      </c>
      <c r="E36" s="93" t="s">
        <v>3576</v>
      </c>
      <c r="F36" s="93" t="s">
        <v>3577</v>
      </c>
      <c r="G36" s="93" t="s">
        <v>3578</v>
      </c>
      <c r="H36" s="93"/>
      <c r="I36" s="93" t="s">
        <v>3579</v>
      </c>
      <c r="J36" s="93"/>
      <c r="K36" s="93" t="s">
        <v>3580</v>
      </c>
      <c r="L36" s="93"/>
      <c r="M36" s="93"/>
      <c r="N36" s="93"/>
      <c r="O36" s="93" t="s">
        <v>3581</v>
      </c>
      <c r="P36" s="93" t="s">
        <v>3582</v>
      </c>
      <c r="Q36" s="93" t="s">
        <v>3583</v>
      </c>
      <c r="R36" s="93" t="s">
        <v>3584</v>
      </c>
      <c r="S36" s="93" t="s">
        <v>3585</v>
      </c>
      <c r="T36" s="93" t="s">
        <v>3586</v>
      </c>
      <c r="U36" s="93" t="s">
        <v>3587</v>
      </c>
      <c r="V36" s="92" t="s">
        <v>182</v>
      </c>
    </row>
    <row r="37" spans="2:22">
      <c r="B37" s="6">
        <v>35</v>
      </c>
      <c r="C37" s="92" t="s">
        <v>148</v>
      </c>
      <c r="D37" s="93" t="s">
        <v>148</v>
      </c>
      <c r="E37" s="93"/>
      <c r="F37" s="93" t="s">
        <v>2116</v>
      </c>
      <c r="G37" s="93" t="s">
        <v>2117</v>
      </c>
      <c r="H37" s="93" t="s">
        <v>2118</v>
      </c>
      <c r="I37" s="93" t="s">
        <v>2119</v>
      </c>
      <c r="J37" s="93" t="s">
        <v>2120</v>
      </c>
      <c r="K37" s="93" t="s">
        <v>2121</v>
      </c>
      <c r="L37" s="93"/>
      <c r="M37" s="93"/>
      <c r="N37" s="93"/>
      <c r="O37" s="93"/>
      <c r="P37" s="93"/>
      <c r="Q37" s="93" t="s">
        <v>2122</v>
      </c>
      <c r="R37" s="93" t="s">
        <v>2123</v>
      </c>
      <c r="S37" s="93" t="s">
        <v>2124</v>
      </c>
      <c r="T37" s="93" t="s">
        <v>3588</v>
      </c>
      <c r="U37" s="93" t="s">
        <v>3589</v>
      </c>
      <c r="V37" s="92" t="s">
        <v>148</v>
      </c>
    </row>
    <row r="38" spans="2:22">
      <c r="B38" s="6">
        <v>36</v>
      </c>
      <c r="C38" s="92" t="s">
        <v>224</v>
      </c>
      <c r="D38" s="93" t="s">
        <v>224</v>
      </c>
      <c r="E38" s="93" t="s">
        <v>2125</v>
      </c>
      <c r="F38" s="93" t="s">
        <v>2128</v>
      </c>
      <c r="G38" s="93" t="s">
        <v>2129</v>
      </c>
      <c r="H38" s="93" t="s">
        <v>2130</v>
      </c>
      <c r="I38" s="93" t="s">
        <v>2131</v>
      </c>
      <c r="J38" s="93" t="s">
        <v>2132</v>
      </c>
      <c r="K38" s="93" t="s">
        <v>2133</v>
      </c>
      <c r="L38" s="93"/>
      <c r="M38" s="93"/>
      <c r="N38" s="93"/>
      <c r="O38" s="93" t="s">
        <v>2134</v>
      </c>
      <c r="P38" s="93" t="s">
        <v>2135</v>
      </c>
      <c r="Q38" s="93" t="s">
        <v>2136</v>
      </c>
      <c r="R38" s="93" t="s">
        <v>2137</v>
      </c>
      <c r="S38" s="93" t="s">
        <v>2138</v>
      </c>
      <c r="T38" s="93" t="s">
        <v>3590</v>
      </c>
      <c r="U38" s="93" t="s">
        <v>3591</v>
      </c>
      <c r="V38" s="92" t="s">
        <v>224</v>
      </c>
    </row>
    <row r="39" spans="2:22">
      <c r="B39" s="6">
        <v>37</v>
      </c>
      <c r="C39" s="92" t="s">
        <v>181</v>
      </c>
      <c r="D39" s="93" t="s">
        <v>181</v>
      </c>
      <c r="E39" s="93" t="s">
        <v>3592</v>
      </c>
      <c r="F39" s="93" t="s">
        <v>3593</v>
      </c>
      <c r="G39" s="93" t="s">
        <v>3594</v>
      </c>
      <c r="H39" s="93"/>
      <c r="I39" s="93" t="s">
        <v>3595</v>
      </c>
      <c r="J39" s="93" t="s">
        <v>3596</v>
      </c>
      <c r="K39" s="93" t="s">
        <v>3597</v>
      </c>
      <c r="L39" s="93"/>
      <c r="M39" s="93"/>
      <c r="N39" s="93"/>
      <c r="O39" s="93" t="s">
        <v>3598</v>
      </c>
      <c r="P39" s="93" t="s">
        <v>3599</v>
      </c>
      <c r="Q39" s="93" t="s">
        <v>3600</v>
      </c>
      <c r="R39" s="93" t="s">
        <v>3601</v>
      </c>
      <c r="S39" s="93" t="s">
        <v>3602</v>
      </c>
      <c r="T39" s="93" t="s">
        <v>3603</v>
      </c>
      <c r="U39" s="93" t="s">
        <v>3604</v>
      </c>
      <c r="V39" s="92" t="s">
        <v>181</v>
      </c>
    </row>
    <row r="40" spans="2:22">
      <c r="B40" s="6">
        <v>38</v>
      </c>
      <c r="C40" s="92" t="s">
        <v>204</v>
      </c>
      <c r="D40" s="93" t="s">
        <v>204</v>
      </c>
      <c r="E40" s="93"/>
      <c r="F40" s="93"/>
      <c r="G40" s="93" t="s">
        <v>3605</v>
      </c>
      <c r="H40" s="93"/>
      <c r="I40" s="93" t="s">
        <v>3606</v>
      </c>
      <c r="J40" s="93" t="s">
        <v>3607</v>
      </c>
      <c r="K40" s="93"/>
      <c r="L40" s="93"/>
      <c r="M40" s="93"/>
      <c r="N40" s="93"/>
      <c r="O40" s="93"/>
      <c r="P40" s="93"/>
      <c r="Q40" s="93" t="s">
        <v>3608</v>
      </c>
      <c r="R40" s="93" t="s">
        <v>3609</v>
      </c>
      <c r="S40" s="93" t="s">
        <v>3610</v>
      </c>
      <c r="T40" s="93" t="s">
        <v>3611</v>
      </c>
      <c r="U40" s="93" t="s">
        <v>3612</v>
      </c>
      <c r="V40" s="92" t="s">
        <v>204</v>
      </c>
    </row>
    <row r="41" spans="2:22">
      <c r="B41" s="6">
        <v>39</v>
      </c>
      <c r="C41" s="92" t="s">
        <v>236</v>
      </c>
      <c r="D41" s="93" t="s">
        <v>236</v>
      </c>
      <c r="E41" s="93" t="s">
        <v>2139</v>
      </c>
      <c r="F41" s="93" t="s">
        <v>2142</v>
      </c>
      <c r="G41" s="93" t="s">
        <v>2143</v>
      </c>
      <c r="H41" s="93" t="s">
        <v>2144</v>
      </c>
      <c r="I41" s="93" t="s">
        <v>2145</v>
      </c>
      <c r="J41" s="93" t="s">
        <v>2146</v>
      </c>
      <c r="K41" s="93" t="s">
        <v>2147</v>
      </c>
      <c r="L41" s="93"/>
      <c r="M41" s="93"/>
      <c r="N41" s="93"/>
      <c r="O41" s="93" t="s">
        <v>2148</v>
      </c>
      <c r="P41" s="93" t="s">
        <v>2149</v>
      </c>
      <c r="Q41" s="93" t="s">
        <v>2150</v>
      </c>
      <c r="R41" s="93" t="s">
        <v>2151</v>
      </c>
      <c r="S41" s="93" t="s">
        <v>2152</v>
      </c>
      <c r="T41" s="93" t="s">
        <v>3613</v>
      </c>
      <c r="U41" s="93" t="s">
        <v>3614</v>
      </c>
      <c r="V41" s="92" t="s">
        <v>236</v>
      </c>
    </row>
    <row r="42" spans="2:22">
      <c r="B42" s="6">
        <v>40</v>
      </c>
      <c r="C42" s="92" t="s">
        <v>237</v>
      </c>
      <c r="D42" s="93" t="s">
        <v>237</v>
      </c>
      <c r="E42" s="93"/>
      <c r="F42" s="93" t="s">
        <v>2155</v>
      </c>
      <c r="G42" s="93" t="s">
        <v>2156</v>
      </c>
      <c r="H42" s="93"/>
      <c r="I42" s="93" t="s">
        <v>2157</v>
      </c>
      <c r="J42" s="93" t="s">
        <v>2158</v>
      </c>
      <c r="K42" s="93" t="s">
        <v>2159</v>
      </c>
      <c r="L42" s="93"/>
      <c r="M42" s="93"/>
      <c r="N42" s="93"/>
      <c r="O42" s="93"/>
      <c r="P42" s="93"/>
      <c r="Q42" s="93" t="s">
        <v>2160</v>
      </c>
      <c r="R42" s="93" t="s">
        <v>2161</v>
      </c>
      <c r="S42" s="93"/>
      <c r="T42" s="93" t="s">
        <v>3615</v>
      </c>
      <c r="U42" s="93" t="s">
        <v>3616</v>
      </c>
      <c r="V42" s="92" t="s">
        <v>237</v>
      </c>
    </row>
    <row r="43" spans="2:22">
      <c r="B43" s="6">
        <v>41</v>
      </c>
      <c r="C43" s="92" t="s">
        <v>210</v>
      </c>
      <c r="D43" s="93" t="s">
        <v>210</v>
      </c>
      <c r="E43" s="93"/>
      <c r="F43" s="93" t="s">
        <v>2164</v>
      </c>
      <c r="G43" s="93" t="s">
        <v>2165</v>
      </c>
      <c r="H43" s="93" t="s">
        <v>2166</v>
      </c>
      <c r="I43" s="93" t="s">
        <v>2167</v>
      </c>
      <c r="J43" s="93" t="s">
        <v>2168</v>
      </c>
      <c r="K43" s="93" t="s">
        <v>2169</v>
      </c>
      <c r="L43" s="93"/>
      <c r="M43" s="93"/>
      <c r="N43" s="93"/>
      <c r="O43" s="93"/>
      <c r="P43" s="93"/>
      <c r="Q43" s="93" t="s">
        <v>2170</v>
      </c>
      <c r="R43" s="93" t="s">
        <v>2171</v>
      </c>
      <c r="S43" s="93" t="s">
        <v>2172</v>
      </c>
      <c r="T43" s="93" t="s">
        <v>3617</v>
      </c>
      <c r="U43" s="93" t="s">
        <v>3618</v>
      </c>
      <c r="V43" s="92" t="s">
        <v>210</v>
      </c>
    </row>
    <row r="44" spans="2:22">
      <c r="B44" s="6">
        <v>42</v>
      </c>
      <c r="C44" s="92" t="s">
        <v>209</v>
      </c>
      <c r="D44" s="93" t="s">
        <v>209</v>
      </c>
      <c r="E44" s="93"/>
      <c r="F44" s="93" t="s">
        <v>2175</v>
      </c>
      <c r="G44" s="93" t="s">
        <v>2176</v>
      </c>
      <c r="H44" s="93" t="s">
        <v>2177</v>
      </c>
      <c r="I44" s="93" t="s">
        <v>2178</v>
      </c>
      <c r="J44" s="93" t="s">
        <v>2179</v>
      </c>
      <c r="K44" s="93" t="s">
        <v>2180</v>
      </c>
      <c r="L44" s="93"/>
      <c r="M44" s="93"/>
      <c r="N44" s="93"/>
      <c r="O44" s="93"/>
      <c r="P44" s="93"/>
      <c r="Q44" s="93" t="s">
        <v>2181</v>
      </c>
      <c r="R44" s="93" t="s">
        <v>2182</v>
      </c>
      <c r="S44" s="93" t="s">
        <v>2183</v>
      </c>
      <c r="T44" s="93" t="s">
        <v>3619</v>
      </c>
      <c r="U44" s="93" t="s">
        <v>3620</v>
      </c>
      <c r="V44" s="92" t="s">
        <v>209</v>
      </c>
    </row>
    <row r="45" spans="2:22">
      <c r="B45" s="6">
        <v>43</v>
      </c>
      <c r="C45" s="92" t="s">
        <v>149</v>
      </c>
      <c r="D45" s="93" t="s">
        <v>149</v>
      </c>
      <c r="E45" s="93"/>
      <c r="F45" s="93"/>
      <c r="G45" s="93" t="s">
        <v>2186</v>
      </c>
      <c r="H45" s="93" t="s">
        <v>2187</v>
      </c>
      <c r="I45" s="93" t="s">
        <v>2188</v>
      </c>
      <c r="J45" s="93" t="s">
        <v>2189</v>
      </c>
      <c r="K45" s="93" t="s">
        <v>2190</v>
      </c>
      <c r="L45" s="93"/>
      <c r="M45" s="93"/>
      <c r="N45" s="93"/>
      <c r="O45" s="93"/>
      <c r="P45" s="93"/>
      <c r="Q45" s="93" t="s">
        <v>2191</v>
      </c>
      <c r="R45" s="93"/>
      <c r="S45" s="93"/>
      <c r="T45" s="93" t="s">
        <v>3621</v>
      </c>
      <c r="U45" s="93" t="s">
        <v>3622</v>
      </c>
      <c r="V45" s="92" t="s">
        <v>149</v>
      </c>
    </row>
    <row r="46" spans="2:22">
      <c r="B46" s="6">
        <v>44</v>
      </c>
      <c r="C46" s="92" t="s">
        <v>225</v>
      </c>
      <c r="D46" s="93" t="s">
        <v>225</v>
      </c>
      <c r="E46" s="93" t="s">
        <v>2192</v>
      </c>
      <c r="F46" s="93"/>
      <c r="G46" s="93" t="s">
        <v>2195</v>
      </c>
      <c r="H46" s="93" t="s">
        <v>2196</v>
      </c>
      <c r="I46" s="93" t="s">
        <v>2197</v>
      </c>
      <c r="J46" s="93" t="s">
        <v>2198</v>
      </c>
      <c r="K46" s="93"/>
      <c r="L46" s="93"/>
      <c r="M46" s="93"/>
      <c r="N46" s="93"/>
      <c r="O46" s="93" t="s">
        <v>2199</v>
      </c>
      <c r="P46" s="93" t="s">
        <v>2200</v>
      </c>
      <c r="Q46" s="93" t="s">
        <v>2201</v>
      </c>
      <c r="R46" s="93" t="s">
        <v>2202</v>
      </c>
      <c r="S46" s="93"/>
      <c r="T46" s="93" t="s">
        <v>3623</v>
      </c>
      <c r="U46" s="93" t="s">
        <v>3624</v>
      </c>
      <c r="V46" s="92" t="s">
        <v>225</v>
      </c>
    </row>
    <row r="47" spans="2:22">
      <c r="B47" s="6">
        <v>45</v>
      </c>
      <c r="C47" s="92" t="s">
        <v>242</v>
      </c>
      <c r="D47" s="93" t="s">
        <v>242</v>
      </c>
      <c r="E47" s="93" t="s">
        <v>2203</v>
      </c>
      <c r="F47" s="93" t="s">
        <v>2206</v>
      </c>
      <c r="G47" s="93" t="s">
        <v>2207</v>
      </c>
      <c r="H47" s="93" t="s">
        <v>2208</v>
      </c>
      <c r="I47" s="93" t="s">
        <v>2209</v>
      </c>
      <c r="J47" s="93" t="s">
        <v>2210</v>
      </c>
      <c r="K47" s="93" t="s">
        <v>2211</v>
      </c>
      <c r="L47" s="93"/>
      <c r="M47" s="93" t="s">
        <v>1108</v>
      </c>
      <c r="N47" s="93"/>
      <c r="O47" s="93" t="s">
        <v>2212</v>
      </c>
      <c r="P47" s="93"/>
      <c r="Q47" s="93" t="s">
        <v>2213</v>
      </c>
      <c r="R47" s="93" t="s">
        <v>2214</v>
      </c>
      <c r="S47" s="93" t="s">
        <v>2215</v>
      </c>
      <c r="T47" s="93" t="s">
        <v>3625</v>
      </c>
      <c r="U47" s="93" t="s">
        <v>3626</v>
      </c>
      <c r="V47" s="92" t="s">
        <v>242</v>
      </c>
    </row>
    <row r="48" spans="2:22">
      <c r="B48" s="6">
        <v>46</v>
      </c>
      <c r="C48" s="92" t="s">
        <v>248</v>
      </c>
      <c r="D48" s="93" t="s">
        <v>248</v>
      </c>
      <c r="E48" s="93"/>
      <c r="F48" s="93"/>
      <c r="G48" s="93" t="s">
        <v>3627</v>
      </c>
      <c r="H48" s="93"/>
      <c r="I48" s="93" t="s">
        <v>3628</v>
      </c>
      <c r="J48" s="93" t="s">
        <v>3629</v>
      </c>
      <c r="K48" s="93"/>
      <c r="L48" s="93"/>
      <c r="M48" s="93"/>
      <c r="N48" s="93"/>
      <c r="O48" s="93"/>
      <c r="P48" s="93"/>
      <c r="Q48" s="93" t="s">
        <v>3630</v>
      </c>
      <c r="R48" s="93" t="s">
        <v>3631</v>
      </c>
      <c r="S48" s="93"/>
      <c r="T48" s="93" t="s">
        <v>3632</v>
      </c>
      <c r="U48" s="93" t="s">
        <v>3633</v>
      </c>
      <c r="V48" s="92" t="s">
        <v>248</v>
      </c>
    </row>
    <row r="49" spans="2:22">
      <c r="B49" s="6">
        <v>47</v>
      </c>
      <c r="C49" s="92" t="s">
        <v>249</v>
      </c>
      <c r="D49" s="93" t="s">
        <v>249</v>
      </c>
      <c r="E49" s="93"/>
      <c r="F49" s="93"/>
      <c r="G49" s="93" t="s">
        <v>3634</v>
      </c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2" t="s">
        <v>249</v>
      </c>
    </row>
    <row r="50" spans="2:22">
      <c r="B50" s="6">
        <v>48</v>
      </c>
      <c r="C50" s="92" t="s">
        <v>27</v>
      </c>
      <c r="D50" s="93" t="s">
        <v>27</v>
      </c>
      <c r="E50" s="93"/>
      <c r="F50" s="93"/>
      <c r="G50" s="93" t="s">
        <v>2228</v>
      </c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2" t="s">
        <v>27</v>
      </c>
    </row>
    <row r="51" spans="2:22">
      <c r="B51" s="6">
        <v>49</v>
      </c>
      <c r="C51" s="92" t="s">
        <v>252</v>
      </c>
      <c r="D51" s="93"/>
      <c r="E51" s="93"/>
      <c r="F51" s="93"/>
      <c r="G51" s="93" t="s">
        <v>2229</v>
      </c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2" t="s">
        <v>252</v>
      </c>
    </row>
    <row r="52" spans="2:22">
      <c r="B52" s="6">
        <v>50</v>
      </c>
      <c r="C52" s="92" t="s">
        <v>48</v>
      </c>
      <c r="D52" s="93" t="s">
        <v>48</v>
      </c>
      <c r="E52" s="93"/>
      <c r="F52" s="93"/>
      <c r="G52" s="93" t="s">
        <v>2232</v>
      </c>
      <c r="H52" s="93"/>
      <c r="I52" s="93" t="s">
        <v>2233</v>
      </c>
      <c r="J52" s="93" t="s">
        <v>2234</v>
      </c>
      <c r="K52" s="93"/>
      <c r="L52" s="93" t="s">
        <v>2235</v>
      </c>
      <c r="M52" s="93" t="s">
        <v>2236</v>
      </c>
      <c r="N52" s="93"/>
      <c r="O52" s="93" t="s">
        <v>2237</v>
      </c>
      <c r="P52" s="93"/>
      <c r="Q52" s="93" t="s">
        <v>2238</v>
      </c>
      <c r="R52" s="93" t="s">
        <v>2239</v>
      </c>
      <c r="S52" s="93" t="s">
        <v>2240</v>
      </c>
      <c r="T52" s="93" t="s">
        <v>3635</v>
      </c>
      <c r="U52" s="93" t="s">
        <v>3636</v>
      </c>
      <c r="V52" s="92" t="s">
        <v>48</v>
      </c>
    </row>
    <row r="53" spans="2:22">
      <c r="B53" s="6">
        <v>51</v>
      </c>
      <c r="C53" s="92" t="s">
        <v>254</v>
      </c>
      <c r="D53" s="93"/>
      <c r="E53" s="93"/>
      <c r="F53" s="93"/>
      <c r="G53" s="93" t="s">
        <v>2242</v>
      </c>
      <c r="H53" s="93"/>
      <c r="I53" s="93"/>
      <c r="J53" s="93"/>
      <c r="K53" s="93"/>
      <c r="L53" s="93"/>
      <c r="M53" s="93"/>
      <c r="N53" s="93"/>
      <c r="O53" s="93"/>
      <c r="P53" s="93" t="s">
        <v>2243</v>
      </c>
      <c r="Q53" s="93" t="s">
        <v>2244</v>
      </c>
      <c r="R53" s="93"/>
      <c r="S53" s="93"/>
      <c r="T53" s="93"/>
      <c r="U53" s="93" t="s">
        <v>3637</v>
      </c>
      <c r="V53" s="92" t="s">
        <v>254</v>
      </c>
    </row>
    <row r="54" spans="2:22">
      <c r="B54" s="6">
        <v>52</v>
      </c>
      <c r="C54" s="92" t="s">
        <v>215</v>
      </c>
      <c r="D54" s="93" t="s">
        <v>215</v>
      </c>
      <c r="E54" s="93" t="s">
        <v>2245</v>
      </c>
      <c r="F54" s="93" t="s">
        <v>2248</v>
      </c>
      <c r="G54" s="93" t="s">
        <v>2249</v>
      </c>
      <c r="H54" s="93"/>
      <c r="I54" s="93" t="s">
        <v>2250</v>
      </c>
      <c r="J54" s="93" t="s">
        <v>2251</v>
      </c>
      <c r="K54" s="93" t="s">
        <v>2252</v>
      </c>
      <c r="L54" s="93"/>
      <c r="M54" s="93"/>
      <c r="N54" s="93"/>
      <c r="O54" s="93" t="s">
        <v>2253</v>
      </c>
      <c r="P54" s="93" t="s">
        <v>2254</v>
      </c>
      <c r="Q54" s="93" t="s">
        <v>2255</v>
      </c>
      <c r="R54" s="93" t="s">
        <v>2256</v>
      </c>
      <c r="S54" s="93" t="s">
        <v>2257</v>
      </c>
      <c r="T54" s="93" t="s">
        <v>3638</v>
      </c>
      <c r="U54" s="93" t="s">
        <v>3639</v>
      </c>
      <c r="V54" s="92" t="s">
        <v>215</v>
      </c>
    </row>
    <row r="55" spans="2:22">
      <c r="B55" s="6">
        <v>53</v>
      </c>
      <c r="C55" s="92" t="s">
        <v>216</v>
      </c>
      <c r="D55" s="93" t="s">
        <v>216</v>
      </c>
      <c r="E55" s="93"/>
      <c r="F55" s="93"/>
      <c r="G55" s="93" t="s">
        <v>2375</v>
      </c>
      <c r="H55" s="93"/>
      <c r="I55" s="93" t="s">
        <v>2376</v>
      </c>
      <c r="J55" s="93"/>
      <c r="K55" s="93" t="s">
        <v>2377</v>
      </c>
      <c r="L55" s="93"/>
      <c r="M55" s="93"/>
      <c r="N55" s="93"/>
      <c r="O55" s="93" t="s">
        <v>2378</v>
      </c>
      <c r="P55" s="93" t="s">
        <v>2379</v>
      </c>
      <c r="Q55" s="93" t="s">
        <v>2380</v>
      </c>
      <c r="R55" s="93" t="s">
        <v>2381</v>
      </c>
      <c r="S55" s="93" t="s">
        <v>2382</v>
      </c>
      <c r="T55" s="93" t="s">
        <v>3640</v>
      </c>
      <c r="U55" s="93" t="s">
        <v>3641</v>
      </c>
      <c r="V55" s="92" t="s">
        <v>216</v>
      </c>
    </row>
    <row r="56" spans="2:22">
      <c r="B56" s="6">
        <v>54</v>
      </c>
      <c r="C56" s="92" t="s">
        <v>170</v>
      </c>
      <c r="D56" s="93" t="s">
        <v>170</v>
      </c>
      <c r="E56" s="93" t="s">
        <v>2388</v>
      </c>
      <c r="F56" s="93" t="s">
        <v>2391</v>
      </c>
      <c r="G56" s="93" t="s">
        <v>2392</v>
      </c>
      <c r="H56" s="93"/>
      <c r="I56" s="93" t="s">
        <v>2393</v>
      </c>
      <c r="J56" s="93" t="s">
        <v>2394</v>
      </c>
      <c r="K56" s="93" t="s">
        <v>2395</v>
      </c>
      <c r="L56" s="93"/>
      <c r="M56" s="93"/>
      <c r="N56" s="93"/>
      <c r="O56" s="93" t="s">
        <v>2396</v>
      </c>
      <c r="P56" s="93" t="s">
        <v>2397</v>
      </c>
      <c r="Q56" s="93" t="s">
        <v>2398</v>
      </c>
      <c r="R56" s="93" t="s">
        <v>2399</v>
      </c>
      <c r="S56" s="93" t="s">
        <v>2400</v>
      </c>
      <c r="T56" s="93" t="s">
        <v>3642</v>
      </c>
      <c r="U56" s="93" t="s">
        <v>3643</v>
      </c>
      <c r="V56" s="92" t="s">
        <v>170</v>
      </c>
    </row>
    <row r="57" spans="2:22">
      <c r="B57" s="6">
        <v>55</v>
      </c>
      <c r="C57" s="92" t="s">
        <v>262</v>
      </c>
      <c r="D57" s="93" t="s">
        <v>262</v>
      </c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 t="s">
        <v>2401</v>
      </c>
      <c r="R57" s="93" t="s">
        <v>2402</v>
      </c>
      <c r="S57" s="93"/>
      <c r="T57" s="93"/>
      <c r="U57" s="93"/>
      <c r="V57" s="92" t="s">
        <v>262</v>
      </c>
    </row>
    <row r="58" spans="2:22">
      <c r="B58" s="6">
        <v>56</v>
      </c>
      <c r="C58" s="92" t="s">
        <v>169</v>
      </c>
      <c r="D58" s="93" t="s">
        <v>169</v>
      </c>
      <c r="E58" s="93" t="s">
        <v>2403</v>
      </c>
      <c r="F58" s="93" t="s">
        <v>2406</v>
      </c>
      <c r="G58" s="93" t="s">
        <v>2407</v>
      </c>
      <c r="H58" s="93"/>
      <c r="I58" s="93" t="s">
        <v>2408</v>
      </c>
      <c r="J58" s="93" t="s">
        <v>2409</v>
      </c>
      <c r="K58" s="93" t="s">
        <v>2410</v>
      </c>
      <c r="L58" s="93"/>
      <c r="M58" s="93"/>
      <c r="N58" s="93"/>
      <c r="O58" s="93" t="s">
        <v>2411</v>
      </c>
      <c r="P58" s="93" t="s">
        <v>2412</v>
      </c>
      <c r="Q58" s="93" t="s">
        <v>2413</v>
      </c>
      <c r="R58" s="93" t="s">
        <v>2414</v>
      </c>
      <c r="S58" s="93" t="s">
        <v>2415</v>
      </c>
      <c r="T58" s="93" t="s">
        <v>3644</v>
      </c>
      <c r="U58" s="93" t="s">
        <v>3645</v>
      </c>
      <c r="V58" s="92" t="s">
        <v>169</v>
      </c>
    </row>
    <row r="59" spans="2:22">
      <c r="B59" s="6">
        <v>57</v>
      </c>
      <c r="C59" s="92" t="s">
        <v>258</v>
      </c>
      <c r="D59" s="93" t="s">
        <v>258</v>
      </c>
      <c r="E59" s="93"/>
      <c r="F59" s="93"/>
      <c r="G59" s="93" t="s">
        <v>3646</v>
      </c>
      <c r="H59" s="93"/>
      <c r="I59" s="93" t="s">
        <v>3647</v>
      </c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2" t="s">
        <v>258</v>
      </c>
    </row>
    <row r="60" spans="2:22">
      <c r="B60" s="6">
        <v>58</v>
      </c>
      <c r="C60" s="92" t="s">
        <v>259</v>
      </c>
      <c r="D60" s="93" t="s">
        <v>259</v>
      </c>
      <c r="E60" s="93"/>
      <c r="F60" s="93"/>
      <c r="G60" s="93" t="s">
        <v>3648</v>
      </c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2" t="s">
        <v>259</v>
      </c>
    </row>
    <row r="61" spans="2:22">
      <c r="B61" s="6">
        <v>59</v>
      </c>
      <c r="C61" s="92" t="s">
        <v>191</v>
      </c>
      <c r="D61" s="93" t="s">
        <v>191</v>
      </c>
      <c r="E61" s="93" t="s">
        <v>3649</v>
      </c>
      <c r="F61" s="93" t="s">
        <v>3650</v>
      </c>
      <c r="G61" s="93" t="s">
        <v>3651</v>
      </c>
      <c r="H61" s="93"/>
      <c r="I61" s="93" t="s">
        <v>3652</v>
      </c>
      <c r="J61" s="93" t="s">
        <v>3653</v>
      </c>
      <c r="K61" s="93" t="s">
        <v>3654</v>
      </c>
      <c r="L61" s="93" t="s">
        <v>3655</v>
      </c>
      <c r="M61" s="93" t="s">
        <v>1029</v>
      </c>
      <c r="N61" s="93" t="s">
        <v>3656</v>
      </c>
      <c r="O61" s="93" t="s">
        <v>3657</v>
      </c>
      <c r="P61" s="93" t="s">
        <v>3658</v>
      </c>
      <c r="Q61" s="93" t="s">
        <v>3659</v>
      </c>
      <c r="R61" s="93" t="s">
        <v>3660</v>
      </c>
      <c r="S61" s="93" t="s">
        <v>3661</v>
      </c>
      <c r="T61" s="93" t="s">
        <v>3662</v>
      </c>
      <c r="U61" s="93" t="s">
        <v>3663</v>
      </c>
      <c r="V61" s="92" t="s">
        <v>191</v>
      </c>
    </row>
    <row r="62" spans="2:22">
      <c r="B62" s="6">
        <v>60</v>
      </c>
      <c r="C62" s="92" t="s">
        <v>192</v>
      </c>
      <c r="D62" s="93"/>
      <c r="E62" s="93"/>
      <c r="F62" s="93"/>
      <c r="G62" s="93"/>
      <c r="H62" s="93"/>
      <c r="I62" s="93"/>
      <c r="J62" s="93"/>
      <c r="K62" s="93"/>
      <c r="L62" s="93" t="s">
        <v>3664</v>
      </c>
      <c r="M62" s="93"/>
      <c r="N62" s="93"/>
      <c r="O62" s="93"/>
      <c r="P62" s="93"/>
      <c r="Q62" s="93"/>
      <c r="R62" s="93"/>
      <c r="S62" s="93"/>
      <c r="T62" s="93"/>
      <c r="U62" s="93"/>
      <c r="V62" s="92" t="s">
        <v>192</v>
      </c>
    </row>
    <row r="63" spans="2:22">
      <c r="B63" s="6">
        <v>61</v>
      </c>
      <c r="C63" s="92" t="s">
        <v>245</v>
      </c>
      <c r="D63" s="93" t="s">
        <v>245</v>
      </c>
      <c r="E63" s="93" t="s">
        <v>2416</v>
      </c>
      <c r="F63" s="93" t="s">
        <v>2419</v>
      </c>
      <c r="G63" s="93" t="s">
        <v>2420</v>
      </c>
      <c r="H63" s="93" t="s">
        <v>2421</v>
      </c>
      <c r="I63" s="93" t="s">
        <v>2422</v>
      </c>
      <c r="J63" s="93" t="s">
        <v>2423</v>
      </c>
      <c r="K63" s="93" t="s">
        <v>2424</v>
      </c>
      <c r="L63" s="93"/>
      <c r="M63" s="93"/>
      <c r="N63" s="93"/>
      <c r="O63" s="93" t="s">
        <v>2425</v>
      </c>
      <c r="P63" s="93" t="s">
        <v>2426</v>
      </c>
      <c r="Q63" s="93" t="s">
        <v>2427</v>
      </c>
      <c r="R63" s="93" t="s">
        <v>2428</v>
      </c>
      <c r="S63" s="93" t="s">
        <v>2429</v>
      </c>
      <c r="T63" s="93" t="s">
        <v>3665</v>
      </c>
      <c r="U63" s="93" t="s">
        <v>3666</v>
      </c>
      <c r="V63" s="92" t="s">
        <v>245</v>
      </c>
    </row>
    <row r="64" spans="2:22">
      <c r="B64" s="6">
        <v>62</v>
      </c>
      <c r="C64" s="92" t="s">
        <v>230</v>
      </c>
      <c r="D64" s="93" t="s">
        <v>230</v>
      </c>
      <c r="E64" s="93" t="s">
        <v>3667</v>
      </c>
      <c r="F64" s="93" t="s">
        <v>3668</v>
      </c>
      <c r="G64" s="93" t="s">
        <v>3669</v>
      </c>
      <c r="H64" s="93"/>
      <c r="I64" s="93" t="s">
        <v>3670</v>
      </c>
      <c r="J64" s="93" t="s">
        <v>3671</v>
      </c>
      <c r="K64" s="93" t="s">
        <v>3672</v>
      </c>
      <c r="L64" s="93" t="s">
        <v>3673</v>
      </c>
      <c r="M64" s="93" t="s">
        <v>993</v>
      </c>
      <c r="N64" s="93"/>
      <c r="O64" s="93" t="s">
        <v>3674</v>
      </c>
      <c r="P64" s="93" t="s">
        <v>3675</v>
      </c>
      <c r="Q64" s="93" t="s">
        <v>3676</v>
      </c>
      <c r="R64" s="93" t="s">
        <v>3677</v>
      </c>
      <c r="S64" s="93" t="s">
        <v>3678</v>
      </c>
      <c r="T64" s="93" t="s">
        <v>3679</v>
      </c>
      <c r="U64" s="93" t="s">
        <v>3680</v>
      </c>
      <c r="V64" s="92" t="s">
        <v>230</v>
      </c>
    </row>
    <row r="65" spans="2:22">
      <c r="B65" s="6">
        <v>63</v>
      </c>
      <c r="C65" s="92" t="s">
        <v>231</v>
      </c>
      <c r="D65" s="93" t="s">
        <v>231</v>
      </c>
      <c r="E65" s="93" t="s">
        <v>3681</v>
      </c>
      <c r="F65" s="93"/>
      <c r="G65" s="93" t="s">
        <v>3682</v>
      </c>
      <c r="H65" s="93" t="s">
        <v>3683</v>
      </c>
      <c r="I65" s="93" t="s">
        <v>3684</v>
      </c>
      <c r="J65" s="93" t="s">
        <v>3685</v>
      </c>
      <c r="K65" s="93" t="s">
        <v>3686</v>
      </c>
      <c r="L65" s="93"/>
      <c r="M65" s="93"/>
      <c r="N65" s="93"/>
      <c r="O65" s="93" t="s">
        <v>3687</v>
      </c>
      <c r="P65" s="93" t="s">
        <v>3688</v>
      </c>
      <c r="Q65" s="93" t="s">
        <v>3689</v>
      </c>
      <c r="R65" s="93"/>
      <c r="S65" s="93" t="s">
        <v>3690</v>
      </c>
      <c r="T65" s="93" t="s">
        <v>3691</v>
      </c>
      <c r="U65" s="93" t="s">
        <v>3692</v>
      </c>
      <c r="V65" s="92" t="s">
        <v>231</v>
      </c>
    </row>
    <row r="66" spans="2:22">
      <c r="B66" s="6">
        <v>64</v>
      </c>
      <c r="C66" s="92" t="s">
        <v>175</v>
      </c>
      <c r="D66" s="93" t="s">
        <v>175</v>
      </c>
      <c r="E66" s="93"/>
      <c r="F66" s="93"/>
      <c r="G66" s="93" t="s">
        <v>3693</v>
      </c>
      <c r="H66" s="93"/>
      <c r="I66" s="93" t="s">
        <v>3694</v>
      </c>
      <c r="J66" s="93" t="s">
        <v>3695</v>
      </c>
      <c r="K66" s="93"/>
      <c r="L66" s="93"/>
      <c r="M66" s="93"/>
      <c r="N66" s="93"/>
      <c r="O66" s="93"/>
      <c r="P66" s="93"/>
      <c r="Q66" s="93" t="s">
        <v>3696</v>
      </c>
      <c r="R66" s="93"/>
      <c r="S66" s="93"/>
      <c r="T66" s="93"/>
      <c r="U66" s="93"/>
      <c r="V66" s="92" t="s">
        <v>175</v>
      </c>
    </row>
    <row r="67" spans="2:22">
      <c r="B67" s="6">
        <v>65</v>
      </c>
      <c r="C67" s="92" t="s">
        <v>273</v>
      </c>
      <c r="D67" s="93" t="s">
        <v>273</v>
      </c>
      <c r="E67" s="93"/>
      <c r="F67" s="93"/>
      <c r="G67" s="93" t="s">
        <v>3697</v>
      </c>
      <c r="H67" s="93"/>
      <c r="I67" s="93" t="s">
        <v>3698</v>
      </c>
      <c r="J67" s="93"/>
      <c r="K67" s="93"/>
      <c r="L67" s="93"/>
      <c r="M67" s="93"/>
      <c r="N67" s="93"/>
      <c r="O67" s="93"/>
      <c r="P67" s="93"/>
      <c r="Q67" s="93" t="s">
        <v>3699</v>
      </c>
      <c r="R67" s="93"/>
      <c r="S67" s="93"/>
      <c r="T67" s="93" t="s">
        <v>3700</v>
      </c>
      <c r="U67" s="93"/>
      <c r="V67" s="92" t="s">
        <v>273</v>
      </c>
    </row>
    <row r="68" spans="2:22">
      <c r="B68" s="6">
        <v>66</v>
      </c>
      <c r="C68" s="92" t="s">
        <v>187</v>
      </c>
      <c r="D68" s="93" t="s">
        <v>187</v>
      </c>
      <c r="E68" s="93" t="s">
        <v>3701</v>
      </c>
      <c r="F68" s="93" t="s">
        <v>3702</v>
      </c>
      <c r="G68" s="93" t="s">
        <v>3703</v>
      </c>
      <c r="H68" s="93"/>
      <c r="I68" s="93" t="s">
        <v>3704</v>
      </c>
      <c r="J68" s="93" t="s">
        <v>3705</v>
      </c>
      <c r="K68" s="93" t="s">
        <v>3706</v>
      </c>
      <c r="L68" s="93"/>
      <c r="M68" s="93"/>
      <c r="N68" s="93"/>
      <c r="O68" s="93" t="s">
        <v>3707</v>
      </c>
      <c r="P68" s="93" t="s">
        <v>3708</v>
      </c>
      <c r="Q68" s="93" t="s">
        <v>3709</v>
      </c>
      <c r="R68" s="93" t="s">
        <v>3710</v>
      </c>
      <c r="S68" s="93" t="s">
        <v>3711</v>
      </c>
      <c r="T68" s="93" t="s">
        <v>3712</v>
      </c>
      <c r="U68" s="93" t="s">
        <v>3713</v>
      </c>
      <c r="V68" s="92" t="s">
        <v>187</v>
      </c>
    </row>
    <row r="69" spans="2:22">
      <c r="B69" s="6">
        <v>67</v>
      </c>
      <c r="C69" s="92" t="s">
        <v>270</v>
      </c>
      <c r="D69" s="93" t="s">
        <v>270</v>
      </c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 t="s">
        <v>3714</v>
      </c>
      <c r="V69" s="92" t="s">
        <v>270</v>
      </c>
    </row>
    <row r="70" spans="2:22">
      <c r="B70" s="6">
        <v>68</v>
      </c>
      <c r="C70" s="92" t="s">
        <v>265</v>
      </c>
      <c r="D70" s="93" t="s">
        <v>265</v>
      </c>
      <c r="E70" s="93"/>
      <c r="F70" s="93"/>
      <c r="G70" s="93" t="s">
        <v>3715</v>
      </c>
      <c r="H70" s="93"/>
      <c r="I70" s="93" t="s">
        <v>3716</v>
      </c>
      <c r="J70" s="93" t="s">
        <v>3717</v>
      </c>
      <c r="K70" s="93"/>
      <c r="L70" s="93"/>
      <c r="M70" s="93"/>
      <c r="N70" s="93"/>
      <c r="O70" s="93" t="s">
        <v>3718</v>
      </c>
      <c r="P70" s="93" t="s">
        <v>3719</v>
      </c>
      <c r="Q70" s="93" t="s">
        <v>3720</v>
      </c>
      <c r="R70" s="93" t="s">
        <v>3721</v>
      </c>
      <c r="S70" s="93" t="s">
        <v>3722</v>
      </c>
      <c r="T70" s="93"/>
      <c r="U70" s="93" t="s">
        <v>3723</v>
      </c>
      <c r="V70" s="92" t="s">
        <v>265</v>
      </c>
    </row>
    <row r="71" spans="2:22">
      <c r="B71" s="6">
        <v>69</v>
      </c>
      <c r="C71" s="92" t="s">
        <v>188</v>
      </c>
      <c r="D71" s="93" t="s">
        <v>188</v>
      </c>
      <c r="E71" s="93" t="s">
        <v>3724</v>
      </c>
      <c r="F71" s="93" t="s">
        <v>3725</v>
      </c>
      <c r="G71" s="93" t="s">
        <v>3726</v>
      </c>
      <c r="H71" s="93"/>
      <c r="I71" s="93" t="s">
        <v>3727</v>
      </c>
      <c r="J71" s="93" t="s">
        <v>3728</v>
      </c>
      <c r="K71" s="93" t="s">
        <v>3729</v>
      </c>
      <c r="L71" s="93"/>
      <c r="M71" s="93"/>
      <c r="N71" s="93"/>
      <c r="O71" s="93" t="s">
        <v>3730</v>
      </c>
      <c r="P71" s="93" t="s">
        <v>3731</v>
      </c>
      <c r="Q71" s="93" t="s">
        <v>3732</v>
      </c>
      <c r="R71" s="93" t="s">
        <v>3733</v>
      </c>
      <c r="S71" s="93" t="s">
        <v>3734</v>
      </c>
      <c r="T71" s="93" t="s">
        <v>3735</v>
      </c>
      <c r="U71" s="93"/>
      <c r="V71" s="92" t="s">
        <v>188</v>
      </c>
    </row>
    <row r="72" spans="2:22">
      <c r="B72" s="6">
        <v>70</v>
      </c>
      <c r="C72" s="92" t="s">
        <v>239</v>
      </c>
      <c r="D72" s="93" t="s">
        <v>239</v>
      </c>
      <c r="E72" s="93" t="s">
        <v>3736</v>
      </c>
      <c r="F72" s="93" t="s">
        <v>3737</v>
      </c>
      <c r="G72" s="93" t="s">
        <v>3738</v>
      </c>
      <c r="H72" s="93" t="s">
        <v>3739</v>
      </c>
      <c r="I72" s="93" t="s">
        <v>3740</v>
      </c>
      <c r="J72" s="93" t="s">
        <v>3741</v>
      </c>
      <c r="K72" s="93" t="s">
        <v>3742</v>
      </c>
      <c r="L72" s="93"/>
      <c r="M72" s="93"/>
      <c r="N72" s="93"/>
      <c r="O72" s="93" t="s">
        <v>3743</v>
      </c>
      <c r="P72" s="93" t="s">
        <v>3744</v>
      </c>
      <c r="Q72" s="93" t="s">
        <v>3745</v>
      </c>
      <c r="R72" s="93" t="s">
        <v>3746</v>
      </c>
      <c r="S72" s="93"/>
      <c r="T72" s="93" t="s">
        <v>3747</v>
      </c>
      <c r="U72" s="93" t="s">
        <v>3748</v>
      </c>
      <c r="V72" s="92" t="s">
        <v>239</v>
      </c>
    </row>
    <row r="73" spans="2:22">
      <c r="B73" s="6">
        <v>71</v>
      </c>
      <c r="C73" s="92" t="s">
        <v>240</v>
      </c>
      <c r="D73" s="93" t="s">
        <v>240</v>
      </c>
      <c r="E73" s="93" t="s">
        <v>3749</v>
      </c>
      <c r="F73" s="93" t="s">
        <v>3750</v>
      </c>
      <c r="G73" s="93" t="s">
        <v>3751</v>
      </c>
      <c r="H73" s="93"/>
      <c r="I73" s="93" t="s">
        <v>3752</v>
      </c>
      <c r="J73" s="93" t="s">
        <v>3753</v>
      </c>
      <c r="K73" s="93"/>
      <c r="L73" s="93"/>
      <c r="M73" s="93"/>
      <c r="N73" s="93"/>
      <c r="O73" s="93" t="s">
        <v>3754</v>
      </c>
      <c r="P73" s="93" t="s">
        <v>3755</v>
      </c>
      <c r="Q73" s="93" t="s">
        <v>3756</v>
      </c>
      <c r="R73" s="93"/>
      <c r="S73" s="93"/>
      <c r="T73" s="93"/>
      <c r="U73" s="93"/>
      <c r="V73" s="92" t="s">
        <v>240</v>
      </c>
    </row>
    <row r="74" spans="2:22">
      <c r="B74" s="6">
        <v>72</v>
      </c>
      <c r="C74" s="92" t="s">
        <v>246</v>
      </c>
      <c r="D74" s="93" t="s">
        <v>246</v>
      </c>
      <c r="E74" s="93"/>
      <c r="F74" s="93"/>
      <c r="G74" s="93"/>
      <c r="H74" s="93"/>
      <c r="I74" s="93"/>
      <c r="J74" s="93" t="s">
        <v>2432</v>
      </c>
      <c r="K74" s="93"/>
      <c r="L74" s="93"/>
      <c r="M74" s="93"/>
      <c r="N74" s="93"/>
      <c r="O74" s="93" t="s">
        <v>2433</v>
      </c>
      <c r="P74" s="93" t="s">
        <v>2434</v>
      </c>
      <c r="Q74" s="93"/>
      <c r="R74" s="93" t="s">
        <v>2435</v>
      </c>
      <c r="S74" s="93" t="s">
        <v>2436</v>
      </c>
      <c r="T74" s="93" t="s">
        <v>3757</v>
      </c>
      <c r="U74" s="93" t="s">
        <v>3758</v>
      </c>
      <c r="V74" s="92" t="s">
        <v>246</v>
      </c>
    </row>
    <row r="75" spans="2:22">
      <c r="B75" s="6">
        <v>73</v>
      </c>
      <c r="C75" s="92" t="s">
        <v>154</v>
      </c>
      <c r="D75" s="93" t="s">
        <v>154</v>
      </c>
      <c r="E75" s="93" t="s">
        <v>2437</v>
      </c>
      <c r="F75" s="93" t="s">
        <v>2440</v>
      </c>
      <c r="G75" s="93" t="s">
        <v>2441</v>
      </c>
      <c r="H75" s="93"/>
      <c r="I75" s="93" t="s">
        <v>2442</v>
      </c>
      <c r="J75" s="93" t="s">
        <v>2443</v>
      </c>
      <c r="K75" s="93" t="s">
        <v>2444</v>
      </c>
      <c r="L75" s="93" t="s">
        <v>2445</v>
      </c>
      <c r="M75" s="93"/>
      <c r="N75" s="93"/>
      <c r="O75" s="93" t="s">
        <v>2446</v>
      </c>
      <c r="P75" s="93" t="s">
        <v>2447</v>
      </c>
      <c r="Q75" s="93" t="s">
        <v>2448</v>
      </c>
      <c r="R75" s="93" t="s">
        <v>2449</v>
      </c>
      <c r="S75" s="93" t="s">
        <v>2450</v>
      </c>
      <c r="T75" s="93" t="s">
        <v>3759</v>
      </c>
      <c r="U75" s="93" t="s">
        <v>3760</v>
      </c>
      <c r="V75" s="92" t="s">
        <v>154</v>
      </c>
    </row>
    <row r="76" spans="2:22">
      <c r="B76" s="6">
        <v>74</v>
      </c>
      <c r="C76" s="92" t="s">
        <v>136</v>
      </c>
      <c r="D76" s="93" t="s">
        <v>136</v>
      </c>
      <c r="E76" s="93" t="s">
        <v>2451</v>
      </c>
      <c r="F76" s="93" t="s">
        <v>2454</v>
      </c>
      <c r="G76" s="93" t="s">
        <v>2455</v>
      </c>
      <c r="H76" s="93" t="s">
        <v>2456</v>
      </c>
      <c r="I76" s="93" t="s">
        <v>2457</v>
      </c>
      <c r="J76" s="93" t="s">
        <v>2458</v>
      </c>
      <c r="K76" s="93" t="s">
        <v>2459</v>
      </c>
      <c r="L76" s="93"/>
      <c r="M76" s="93"/>
      <c r="N76" s="93"/>
      <c r="O76" s="93" t="s">
        <v>2460</v>
      </c>
      <c r="P76" s="93" t="s">
        <v>2461</v>
      </c>
      <c r="Q76" s="93" t="s">
        <v>2462</v>
      </c>
      <c r="R76" s="93" t="s">
        <v>2463</v>
      </c>
      <c r="S76" s="93" t="s">
        <v>2464</v>
      </c>
      <c r="T76" s="93" t="s">
        <v>3761</v>
      </c>
      <c r="U76" s="93" t="s">
        <v>3762</v>
      </c>
      <c r="V76" s="92" t="s">
        <v>136</v>
      </c>
    </row>
    <row r="77" spans="2:22">
      <c r="B77" s="6">
        <v>75</v>
      </c>
      <c r="C77" s="92" t="s">
        <v>137</v>
      </c>
      <c r="D77" s="93" t="s">
        <v>137</v>
      </c>
      <c r="E77" s="93" t="s">
        <v>2465</v>
      </c>
      <c r="F77" s="93"/>
      <c r="G77" s="93" t="s">
        <v>2468</v>
      </c>
      <c r="H77" s="93"/>
      <c r="I77" s="93" t="s">
        <v>2469</v>
      </c>
      <c r="J77" s="93" t="s">
        <v>2470</v>
      </c>
      <c r="K77" s="93" t="s">
        <v>2471</v>
      </c>
      <c r="L77" s="93"/>
      <c r="M77" s="93"/>
      <c r="N77" s="93"/>
      <c r="O77" s="93" t="s">
        <v>2472</v>
      </c>
      <c r="P77" s="93" t="s">
        <v>2473</v>
      </c>
      <c r="Q77" s="93" t="s">
        <v>2474</v>
      </c>
      <c r="R77" s="93" t="s">
        <v>2475</v>
      </c>
      <c r="S77" s="93" t="s">
        <v>2476</v>
      </c>
      <c r="T77" s="93" t="s">
        <v>3763</v>
      </c>
      <c r="U77" s="93" t="s">
        <v>3764</v>
      </c>
      <c r="V77" s="92" t="s">
        <v>137</v>
      </c>
    </row>
    <row r="78" spans="2:22">
      <c r="C78" s="90"/>
      <c r="D78" s="91" t="s">
        <v>14</v>
      </c>
      <c r="E78" s="91" t="s">
        <v>19</v>
      </c>
      <c r="F78" s="91" t="s">
        <v>40</v>
      </c>
      <c r="G78" s="91" t="s">
        <v>116</v>
      </c>
      <c r="H78" s="91" t="s">
        <v>107</v>
      </c>
      <c r="I78" s="91" t="s">
        <v>37</v>
      </c>
      <c r="J78" s="91" t="s">
        <v>43</v>
      </c>
      <c r="K78" s="91" t="s">
        <v>75</v>
      </c>
      <c r="L78" s="91" t="s">
        <v>27</v>
      </c>
      <c r="M78" s="91" t="s">
        <v>69</v>
      </c>
      <c r="N78" s="91" t="s">
        <v>48</v>
      </c>
      <c r="O78" s="91" t="s">
        <v>16</v>
      </c>
      <c r="P78" s="91" t="s">
        <v>22</v>
      </c>
      <c r="Q78" s="91" t="s">
        <v>98</v>
      </c>
      <c r="R78" s="91" t="s">
        <v>58</v>
      </c>
      <c r="S78" s="91" t="s">
        <v>64</v>
      </c>
      <c r="T78" s="91" t="s">
        <v>79</v>
      </c>
      <c r="U78" s="91" t="s">
        <v>86</v>
      </c>
      <c r="V78" s="90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1C64-3F0E-624F-8DA5-7FF97C6F0F51}">
  <sheetPr codeName="工作表33">
    <tabColor rgb="FFC00000"/>
  </sheetPr>
  <dimension ref="A1:AM54"/>
  <sheetViews>
    <sheetView workbookViewId="0">
      <selection activeCell="R8" sqref="R8"/>
    </sheetView>
  </sheetViews>
  <sheetFormatPr defaultColWidth="10.90625" defaultRowHeight="25.5" outlineLevelCol="2"/>
  <cols>
    <col min="1" max="1" width="1.90625" style="300" customWidth="1" outlineLevel="2"/>
    <col min="2" max="11" width="4.26953125" style="300" customWidth="1" outlineLevel="1"/>
    <col min="12" max="12" width="2.08984375" style="300" customWidth="1"/>
    <col min="13" max="13" width="3.453125" style="300" customWidth="1"/>
    <col min="14" max="14" width="5.36328125" style="300" customWidth="1"/>
    <col min="15" max="16" width="11.08984375" style="300" customWidth="1"/>
    <col min="17" max="17" width="7.6328125" style="300" customWidth="1"/>
    <col min="18" max="25" width="8.36328125" style="300" customWidth="1"/>
    <col min="26" max="26" width="2.08984375" style="300" customWidth="1"/>
    <col min="27" max="28" width="8.453125" style="300" customWidth="1"/>
    <col min="29" max="36" width="5.453125" style="300" customWidth="1"/>
  </cols>
  <sheetData>
    <row r="1" spans="2:39">
      <c r="B1" s="299" t="s">
        <v>1601</v>
      </c>
      <c r="C1" s="284"/>
      <c r="D1" s="284"/>
      <c r="E1" s="298"/>
      <c r="F1" s="298"/>
      <c r="G1" s="298"/>
      <c r="H1" s="298"/>
      <c r="I1" s="298"/>
      <c r="J1" s="298"/>
      <c r="K1" s="298"/>
      <c r="L1" s="298"/>
      <c r="M1" s="299" t="s">
        <v>3765</v>
      </c>
      <c r="O1" s="102">
        <v>8</v>
      </c>
      <c r="R1" s="284">
        <v>12</v>
      </c>
      <c r="S1" s="298"/>
      <c r="T1" s="298"/>
      <c r="U1" s="298">
        <f>R1 + 1</f>
        <v>13</v>
      </c>
      <c r="V1" s="298"/>
      <c r="W1" s="298"/>
      <c r="X1" s="298"/>
      <c r="Y1" s="298"/>
      <c r="AA1" s="301"/>
      <c r="AB1" s="301"/>
      <c r="AC1" s="301"/>
      <c r="AD1" s="301"/>
    </row>
    <row r="2" spans="2:39"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02"/>
      <c r="R2" s="302"/>
      <c r="S2" s="302"/>
      <c r="T2" s="302"/>
      <c r="U2" s="302"/>
      <c r="V2" s="302"/>
      <c r="W2" s="302"/>
      <c r="X2" s="302"/>
      <c r="Y2" s="302"/>
      <c r="AA2" s="301"/>
      <c r="AB2" s="301"/>
      <c r="AC2" s="301"/>
      <c r="AD2" s="301"/>
    </row>
    <row r="3" spans="2:39">
      <c r="B3" s="465" t="s">
        <v>133</v>
      </c>
      <c r="C3" s="465" t="s">
        <v>1603</v>
      </c>
      <c r="D3" s="303" t="s">
        <v>372</v>
      </c>
      <c r="E3" s="303" t="s">
        <v>1122</v>
      </c>
      <c r="F3" s="303" t="s">
        <v>416</v>
      </c>
      <c r="G3" s="303" t="s">
        <v>440</v>
      </c>
      <c r="H3" s="303" t="s">
        <v>458</v>
      </c>
      <c r="I3" s="303" t="s">
        <v>1122</v>
      </c>
      <c r="J3" s="303" t="s">
        <v>487</v>
      </c>
      <c r="K3" s="303" t="s">
        <v>510</v>
      </c>
      <c r="L3" s="302"/>
      <c r="M3" s="479" t="s">
        <v>133</v>
      </c>
      <c r="N3" s="465" t="s">
        <v>4</v>
      </c>
      <c r="O3" s="465" t="s">
        <v>1119</v>
      </c>
      <c r="P3" s="465" t="s">
        <v>1120</v>
      </c>
      <c r="Q3" s="465" t="s">
        <v>1610</v>
      </c>
      <c r="R3" s="303" t="s">
        <v>372</v>
      </c>
      <c r="S3" s="303" t="s">
        <v>1122</v>
      </c>
      <c r="T3" s="303" t="s">
        <v>416</v>
      </c>
      <c r="U3" s="303" t="s">
        <v>440</v>
      </c>
      <c r="V3" s="303" t="s">
        <v>458</v>
      </c>
      <c r="W3" s="303" t="s">
        <v>1122</v>
      </c>
      <c r="X3" s="303" t="s">
        <v>487</v>
      </c>
      <c r="Y3" s="303" t="s">
        <v>510</v>
      </c>
      <c r="AA3" s="478" t="s">
        <v>1611</v>
      </c>
      <c r="AB3" s="478" t="s">
        <v>1612</v>
      </c>
      <c r="AC3" s="303" t="s">
        <v>372</v>
      </c>
      <c r="AD3" s="303" t="s">
        <v>1122</v>
      </c>
      <c r="AE3" s="303" t="s">
        <v>416</v>
      </c>
      <c r="AF3" s="303" t="s">
        <v>440</v>
      </c>
      <c r="AG3" s="303" t="s">
        <v>458</v>
      </c>
      <c r="AH3" s="303" t="s">
        <v>1122</v>
      </c>
      <c r="AI3" s="303" t="s">
        <v>487</v>
      </c>
      <c r="AJ3" s="303" t="s">
        <v>510</v>
      </c>
    </row>
    <row r="4" spans="2:39">
      <c r="B4" s="477"/>
      <c r="C4" s="477"/>
      <c r="D4" s="303">
        <v>1</v>
      </c>
      <c r="E4" s="303">
        <v>2</v>
      </c>
      <c r="F4" s="303">
        <v>3</v>
      </c>
      <c r="G4" s="303">
        <v>4</v>
      </c>
      <c r="H4" s="303">
        <v>5</v>
      </c>
      <c r="I4" s="303">
        <v>6</v>
      </c>
      <c r="J4" s="303">
        <v>7</v>
      </c>
      <c r="K4" s="303">
        <v>8</v>
      </c>
      <c r="L4" s="302"/>
      <c r="M4" s="480"/>
      <c r="N4" s="477"/>
      <c r="O4" s="477"/>
      <c r="P4" s="477"/>
      <c r="Q4" s="477"/>
      <c r="R4" s="303">
        <v>1</v>
      </c>
      <c r="S4" s="303">
        <v>2</v>
      </c>
      <c r="T4" s="303">
        <v>3</v>
      </c>
      <c r="U4" s="303">
        <v>4</v>
      </c>
      <c r="V4" s="303">
        <v>5</v>
      </c>
      <c r="W4" s="303">
        <v>6</v>
      </c>
      <c r="X4" s="303">
        <v>7</v>
      </c>
      <c r="Y4" s="303">
        <v>8</v>
      </c>
      <c r="AA4" s="477"/>
      <c r="AB4" s="477"/>
      <c r="AC4" s="303">
        <v>1</v>
      </c>
      <c r="AD4" s="303">
        <v>2</v>
      </c>
      <c r="AE4" s="303">
        <v>3</v>
      </c>
      <c r="AF4" s="303">
        <v>4</v>
      </c>
      <c r="AG4" s="303">
        <v>5</v>
      </c>
      <c r="AH4" s="303">
        <v>6</v>
      </c>
      <c r="AI4" s="303">
        <v>7</v>
      </c>
      <c r="AJ4" s="303">
        <v>8</v>
      </c>
    </row>
    <row r="5" spans="2:39" ht="32.25">
      <c r="B5" s="304">
        <v>1</v>
      </c>
      <c r="C5" s="305" t="s">
        <v>139</v>
      </c>
      <c r="D5" s="305" t="s">
        <v>139</v>
      </c>
      <c r="E5" s="305" t="s">
        <v>378</v>
      </c>
      <c r="F5" s="305" t="s">
        <v>399</v>
      </c>
      <c r="G5" s="306" t="s">
        <v>713</v>
      </c>
      <c r="H5" s="305" t="s">
        <v>444</v>
      </c>
      <c r="I5" s="307" t="str">
        <f t="shared" ref="I5:I8" si="0">F5</f>
        <v>à</v>
      </c>
      <c r="J5" s="305" t="s">
        <v>471</v>
      </c>
      <c r="K5" s="306" t="s">
        <v>3766</v>
      </c>
      <c r="L5" s="302"/>
      <c r="M5" s="304">
        <v>1</v>
      </c>
      <c r="N5" s="308" t="s">
        <v>135</v>
      </c>
      <c r="O5" s="312" t="str" cm="1">
        <f t="array" ref="O5">INDEX(韻母對照表, (($M5-1)*2 +1), $O$1)</f>
        <v>un</v>
      </c>
      <c r="P5" s="312" t="str" cm="1">
        <f t="array" ref="P5">INDEX(韻母對照表, (($M5-1)*2 +2), $O$1)</f>
        <v>ut</v>
      </c>
      <c r="Q5" s="308" t="s">
        <v>245</v>
      </c>
      <c r="R5" s="313" t="str">
        <f xml:space="preserve"> IF(AND(R$4&lt;&gt;4,R$4&lt;&gt;8),  SUBSTITUTE($O5, $Q5,  INDEX($AC5:$AJ5, 1, R$4)),  SUBSTITUTE($P5, $Q5,  INDEX($AC5:$AJ5, 1, R$4)))</f>
        <v>un</v>
      </c>
      <c r="S5" s="313" t="str">
        <f t="shared" ref="S5:Y20" si="1" xml:space="preserve"> IF(AND(S$4&lt;&gt;4,S$4&lt;&gt;8),  SUBSTITUTE($O5, $Q5,  INDEX($AC5:$AJ5, 1, S$4)),  SUBSTITUTE($P5, $Q5,  INDEX($AC5:$AJ5, 1, S$4)))</f>
        <v>ún</v>
      </c>
      <c r="T5" s="313" t="str">
        <f t="shared" si="1"/>
        <v>ùn</v>
      </c>
      <c r="U5" s="314" t="str">
        <f t="shared" si="1"/>
        <v>ut</v>
      </c>
      <c r="V5" s="313" t="str">
        <f t="shared" si="1"/>
        <v>ûn</v>
      </c>
      <c r="W5" s="313" t="str">
        <f t="shared" si="1"/>
        <v>ùn</v>
      </c>
      <c r="X5" s="313" t="str">
        <f t="shared" si="1"/>
        <v>ūn</v>
      </c>
      <c r="Y5" s="314" t="str">
        <f t="shared" si="1"/>
        <v>u̍t</v>
      </c>
      <c r="AA5" s="301">
        <f t="shared" ref="AA5:AA54" si="2">FIND(Q5, O5, 1)</f>
        <v>1</v>
      </c>
      <c r="AB5" s="301">
        <f t="shared" ref="AB5:AB36" si="3">MATCH(Q5, $C$5:$C$12, 0)</f>
        <v>6</v>
      </c>
      <c r="AC5" s="301" t="str">
        <f t="shared" ref="AC5:AJ14" si="4">INDEX($D$5:$K$12, $AB5, AC$4)</f>
        <v>u</v>
      </c>
      <c r="AD5" s="301" t="str">
        <f t="shared" si="4"/>
        <v>ú</v>
      </c>
      <c r="AE5" s="301" t="str">
        <f t="shared" si="4"/>
        <v>ù</v>
      </c>
      <c r="AF5" s="301" t="str">
        <f t="shared" si="4"/>
        <v>u</v>
      </c>
      <c r="AG5" s="301" t="str">
        <f t="shared" si="4"/>
        <v>û</v>
      </c>
      <c r="AH5" s="301" t="str">
        <f t="shared" si="4"/>
        <v>ù</v>
      </c>
      <c r="AI5" s="301" t="str">
        <f t="shared" si="4"/>
        <v>ū</v>
      </c>
      <c r="AJ5" s="301" t="str">
        <f t="shared" si="4"/>
        <v>u̍</v>
      </c>
    </row>
    <row r="6" spans="2:39" ht="32.25">
      <c r="B6" s="304">
        <v>2</v>
      </c>
      <c r="C6" s="305" t="s">
        <v>160</v>
      </c>
      <c r="D6" s="305" t="s">
        <v>160</v>
      </c>
      <c r="E6" s="305" t="s">
        <v>1614</v>
      </c>
      <c r="F6" s="305" t="s">
        <v>1616</v>
      </c>
      <c r="G6" s="306" t="s">
        <v>739</v>
      </c>
      <c r="H6" s="305" t="s">
        <v>1617</v>
      </c>
      <c r="I6" s="307" t="str">
        <f t="shared" si="0"/>
        <v>è</v>
      </c>
      <c r="J6" s="305" t="s">
        <v>1613</v>
      </c>
      <c r="K6" s="306" t="s">
        <v>3767</v>
      </c>
      <c r="L6" s="302"/>
      <c r="M6" s="304">
        <v>2</v>
      </c>
      <c r="N6" s="308" t="s">
        <v>141</v>
      </c>
      <c r="O6" s="312" t="str" cm="1">
        <f t="array" ref="O6">INDEX(韻母對照表, (($M6-1)*2 +1), $O$1)</f>
        <v>ian</v>
      </c>
      <c r="P6" s="312" t="str" cm="1">
        <f t="array" ref="P6">INDEX(韻母對照表, (($M6-1)*2 +2), $O$1)</f>
        <v>iat</v>
      </c>
      <c r="Q6" s="308" t="s">
        <v>139</v>
      </c>
      <c r="R6" s="313" t="str">
        <f t="shared" ref="R6:Y37" si="5" xml:space="preserve"> IF(AND(R$4&lt;&gt;4,R$4&lt;&gt;8),  SUBSTITUTE($O6, $Q6,  INDEX($AC6:$AJ6, 1, R$4)),  SUBSTITUTE($P6, $Q6,  INDEX($AC6:$AJ6, 1, R$4)))</f>
        <v>ian</v>
      </c>
      <c r="S6" s="313" t="str">
        <f t="shared" si="1"/>
        <v>ián</v>
      </c>
      <c r="T6" s="313" t="str">
        <f t="shared" si="1"/>
        <v>iàn</v>
      </c>
      <c r="U6" s="314" t="str">
        <f t="shared" si="1"/>
        <v>iat</v>
      </c>
      <c r="V6" s="313" t="str">
        <f t="shared" si="1"/>
        <v>iân</v>
      </c>
      <c r="W6" s="313" t="str">
        <f t="shared" si="1"/>
        <v>iàn</v>
      </c>
      <c r="X6" s="313" t="str">
        <f t="shared" si="1"/>
        <v>iān</v>
      </c>
      <c r="Y6" s="314" t="str">
        <f t="shared" si="1"/>
        <v>ia̍t</v>
      </c>
      <c r="AA6" s="301">
        <f t="shared" si="2"/>
        <v>2</v>
      </c>
      <c r="AB6" s="301">
        <f t="shared" si="3"/>
        <v>1</v>
      </c>
      <c r="AC6" s="301" t="str">
        <f t="shared" si="4"/>
        <v>a</v>
      </c>
      <c r="AD6" s="301" t="str">
        <f t="shared" si="4"/>
        <v>á</v>
      </c>
      <c r="AE6" s="301" t="str">
        <f t="shared" si="4"/>
        <v>à</v>
      </c>
      <c r="AF6" s="301" t="str">
        <f t="shared" si="4"/>
        <v>a</v>
      </c>
      <c r="AG6" s="301" t="str">
        <f t="shared" si="4"/>
        <v>â</v>
      </c>
      <c r="AH6" s="301" t="str">
        <f t="shared" si="4"/>
        <v>à</v>
      </c>
      <c r="AI6" s="301" t="str">
        <f t="shared" si="4"/>
        <v>ā</v>
      </c>
      <c r="AJ6" s="301" t="str">
        <f t="shared" si="4"/>
        <v>a̍</v>
      </c>
      <c r="AK6" t="s">
        <v>85</v>
      </c>
      <c r="AL6" s="301" t="str">
        <f>AK6 &amp; Y7</f>
        <v>si̍p</v>
      </c>
    </row>
    <row r="7" spans="2:39" ht="32.25">
      <c r="B7" s="304">
        <v>3</v>
      </c>
      <c r="C7" s="305" t="s">
        <v>200</v>
      </c>
      <c r="D7" s="305" t="s">
        <v>200</v>
      </c>
      <c r="E7" s="305" t="s">
        <v>1619</v>
      </c>
      <c r="F7" s="305" t="s">
        <v>1621</v>
      </c>
      <c r="G7" s="306" t="s">
        <v>800</v>
      </c>
      <c r="H7" s="305" t="s">
        <v>1622</v>
      </c>
      <c r="I7" s="307" t="str">
        <f t="shared" si="0"/>
        <v>ì</v>
      </c>
      <c r="J7" s="305" t="s">
        <v>1618</v>
      </c>
      <c r="K7" s="306" t="s">
        <v>3768</v>
      </c>
      <c r="L7" s="302"/>
      <c r="M7" s="304">
        <v>3</v>
      </c>
      <c r="N7" s="308" t="s">
        <v>147</v>
      </c>
      <c r="O7" s="312" t="str" cm="1">
        <f t="array" ref="O7">INDEX(韻母對照表, (($M7-1)*2 +1), $O$1)</f>
        <v>im</v>
      </c>
      <c r="P7" s="312" t="str" cm="1">
        <f t="array" ref="P7">INDEX(韻母對照表, (($M7-1)*2 +2), $O$1)</f>
        <v>ip</v>
      </c>
      <c r="Q7" s="308" t="s">
        <v>200</v>
      </c>
      <c r="R7" s="313" t="str">
        <f t="shared" si="5"/>
        <v>im</v>
      </c>
      <c r="S7" s="313" t="str">
        <f t="shared" si="1"/>
        <v>ím</v>
      </c>
      <c r="T7" s="313" t="str">
        <f t="shared" si="1"/>
        <v>ìm</v>
      </c>
      <c r="U7" s="314" t="str">
        <f t="shared" si="1"/>
        <v>ip</v>
      </c>
      <c r="V7" s="313" t="str">
        <f t="shared" si="1"/>
        <v>îm</v>
      </c>
      <c r="W7" s="313" t="str">
        <f t="shared" si="1"/>
        <v>ìm</v>
      </c>
      <c r="X7" s="313" t="str">
        <f t="shared" si="1"/>
        <v>īm</v>
      </c>
      <c r="Y7" s="314" t="str">
        <f t="shared" si="1"/>
        <v>i̍p</v>
      </c>
      <c r="AA7" s="301">
        <f t="shared" si="2"/>
        <v>1</v>
      </c>
      <c r="AB7" s="301">
        <f t="shared" si="3"/>
        <v>3</v>
      </c>
      <c r="AC7" s="301" t="str">
        <f t="shared" si="4"/>
        <v>i</v>
      </c>
      <c r="AD7" s="301" t="str">
        <f t="shared" si="4"/>
        <v>í</v>
      </c>
      <c r="AE7" s="301" t="str">
        <f t="shared" si="4"/>
        <v>ì</v>
      </c>
      <c r="AF7" s="301" t="str">
        <f t="shared" si="4"/>
        <v>i</v>
      </c>
      <c r="AG7" s="301" t="str">
        <f t="shared" si="4"/>
        <v>î</v>
      </c>
      <c r="AH7" s="301" t="str">
        <f t="shared" si="4"/>
        <v>ì</v>
      </c>
      <c r="AI7" s="301" t="str">
        <f t="shared" si="4"/>
        <v>ī</v>
      </c>
      <c r="AJ7" s="301" t="str">
        <f t="shared" si="4"/>
        <v>i̍</v>
      </c>
      <c r="AK7" s="301" t="str">
        <f xml:space="preserve"> AK6&amp;Y7</f>
        <v>si̍p</v>
      </c>
      <c r="AL7" s="301">
        <f xml:space="preserve"> LEN(AK7)</f>
        <v>4</v>
      </c>
      <c r="AM7" t="str">
        <f xml:space="preserve"> RIGHT(AJ7,1)</f>
        <v>̍</v>
      </c>
    </row>
    <row r="8" spans="2:39" ht="32.25">
      <c r="B8" s="304">
        <v>4</v>
      </c>
      <c r="C8" s="305" t="s">
        <v>215</v>
      </c>
      <c r="D8" s="305" t="s">
        <v>215</v>
      </c>
      <c r="E8" s="305" t="s">
        <v>1624</v>
      </c>
      <c r="F8" s="305" t="s">
        <v>1626</v>
      </c>
      <c r="G8" s="306" t="s">
        <v>938</v>
      </c>
      <c r="H8" s="305" t="s">
        <v>1627</v>
      </c>
      <c r="I8" s="307" t="str">
        <f t="shared" si="0"/>
        <v>ò</v>
      </c>
      <c r="J8" s="305" t="s">
        <v>1623</v>
      </c>
      <c r="K8" s="306" t="s">
        <v>3769</v>
      </c>
      <c r="L8" s="302"/>
      <c r="M8" s="304">
        <v>4</v>
      </c>
      <c r="N8" s="308" t="s">
        <v>153</v>
      </c>
      <c r="O8" s="312" t="str" cm="1">
        <f t="array" ref="O8">INDEX(韻母對照表, (($M8-1)*2 +1), $O$1)</f>
        <v>ui</v>
      </c>
      <c r="P8" s="312" t="str" cm="1">
        <f t="array" ref="P8">INDEX(韻母對照表, (($M8-1)*2 +2), $O$1)</f>
        <v>uih</v>
      </c>
      <c r="Q8" s="308" t="s">
        <v>245</v>
      </c>
      <c r="R8" s="313" t="str">
        <f t="shared" si="5"/>
        <v>ui</v>
      </c>
      <c r="S8" s="313" t="str">
        <f t="shared" si="1"/>
        <v>úi</v>
      </c>
      <c r="T8" s="313" t="str">
        <f t="shared" si="1"/>
        <v>ùi</v>
      </c>
      <c r="U8" s="314" t="str">
        <f t="shared" si="1"/>
        <v>uih</v>
      </c>
      <c r="V8" s="313" t="str">
        <f t="shared" si="1"/>
        <v>ûi</v>
      </c>
      <c r="W8" s="313" t="str">
        <f t="shared" si="1"/>
        <v>ùi</v>
      </c>
      <c r="X8" s="313" t="str">
        <f t="shared" si="1"/>
        <v>ūi</v>
      </c>
      <c r="Y8" s="314" t="str">
        <f t="shared" si="1"/>
        <v>u̍ih</v>
      </c>
      <c r="AA8" s="301">
        <f t="shared" si="2"/>
        <v>1</v>
      </c>
      <c r="AB8" s="301">
        <f t="shared" si="3"/>
        <v>6</v>
      </c>
      <c r="AC8" s="301" t="str">
        <f t="shared" si="4"/>
        <v>u</v>
      </c>
      <c r="AD8" s="301" t="str">
        <f t="shared" si="4"/>
        <v>ú</v>
      </c>
      <c r="AE8" s="301" t="str">
        <f t="shared" si="4"/>
        <v>ù</v>
      </c>
      <c r="AF8" s="301" t="str">
        <f t="shared" si="4"/>
        <v>u</v>
      </c>
      <c r="AG8" s="301" t="str">
        <f t="shared" si="4"/>
        <v>û</v>
      </c>
      <c r="AH8" s="301" t="str">
        <f t="shared" si="4"/>
        <v>ù</v>
      </c>
      <c r="AI8" s="301" t="str">
        <f t="shared" si="4"/>
        <v>ū</v>
      </c>
      <c r="AJ8" s="301" t="str">
        <f t="shared" si="4"/>
        <v>u̍</v>
      </c>
      <c r="AK8" s="301">
        <v>1</v>
      </c>
      <c r="AL8" s="301" t="str">
        <f xml:space="preserve"> MID($AK$7,AK8,1)</f>
        <v>s</v>
      </c>
    </row>
    <row r="9" spans="2:39" ht="32.25">
      <c r="B9" s="304">
        <v>5</v>
      </c>
      <c r="C9" s="305" t="s">
        <v>191</v>
      </c>
      <c r="D9" s="305" t="s">
        <v>191</v>
      </c>
      <c r="E9" s="305" t="s">
        <v>1629</v>
      </c>
      <c r="F9" s="305" t="s">
        <v>1631</v>
      </c>
      <c r="G9" s="306" t="s">
        <v>781</v>
      </c>
      <c r="H9" s="305" t="s">
        <v>1632</v>
      </c>
      <c r="I9" s="307"/>
      <c r="J9" s="305" t="s">
        <v>1628</v>
      </c>
      <c r="K9" s="306" t="s">
        <v>3770</v>
      </c>
      <c r="L9" s="302"/>
      <c r="M9" s="304">
        <v>5</v>
      </c>
      <c r="N9" s="308" t="s">
        <v>159</v>
      </c>
      <c r="O9" s="312" t="str" cm="1">
        <f t="array" ref="O9">INDEX(韻母對照表, (($M9-1)*2 +1), $O$1)</f>
        <v>ee</v>
      </c>
      <c r="P9" s="312" t="str" cm="1">
        <f t="array" ref="P9">INDEX(韻母對照表, (($M9-1)*2 +2), $O$1)</f>
        <v>eh</v>
      </c>
      <c r="Q9" s="308" t="s">
        <v>160</v>
      </c>
      <c r="R9" s="313" t="str">
        <f t="shared" si="5"/>
        <v>ee</v>
      </c>
      <c r="S9" s="313" t="str">
        <f t="shared" si="1"/>
        <v>éé</v>
      </c>
      <c r="T9" s="313" t="str">
        <f t="shared" si="1"/>
        <v>èè</v>
      </c>
      <c r="U9" s="314" t="str">
        <f t="shared" si="1"/>
        <v>eh</v>
      </c>
      <c r="V9" s="313" t="str">
        <f t="shared" si="1"/>
        <v>êê</v>
      </c>
      <c r="W9" s="313" t="str">
        <f t="shared" si="1"/>
        <v>èè</v>
      </c>
      <c r="X9" s="313" t="str">
        <f t="shared" si="1"/>
        <v>ēē</v>
      </c>
      <c r="Y9" s="314" t="str">
        <f t="shared" si="1"/>
        <v>e̍h</v>
      </c>
      <c r="AA9" s="301">
        <f t="shared" si="2"/>
        <v>1</v>
      </c>
      <c r="AB9" s="301">
        <f t="shared" si="3"/>
        <v>2</v>
      </c>
      <c r="AC9" s="301" t="str">
        <f t="shared" si="4"/>
        <v>e</v>
      </c>
      <c r="AD9" s="301" t="str">
        <f t="shared" si="4"/>
        <v>é</v>
      </c>
      <c r="AE9" s="301" t="str">
        <f t="shared" si="4"/>
        <v>è</v>
      </c>
      <c r="AF9" s="301" t="str">
        <f t="shared" si="4"/>
        <v>e</v>
      </c>
      <c r="AG9" s="301" t="str">
        <f t="shared" si="4"/>
        <v>ê</v>
      </c>
      <c r="AH9" s="301" t="str">
        <f t="shared" si="4"/>
        <v>è</v>
      </c>
      <c r="AI9" s="301" t="str">
        <f t="shared" si="4"/>
        <v>ē</v>
      </c>
      <c r="AJ9" s="301" t="str">
        <f t="shared" si="4"/>
        <v>e̍</v>
      </c>
      <c r="AK9" s="301">
        <v>2</v>
      </c>
      <c r="AL9" s="301" t="str">
        <f t="shared" ref="AL9:AL11" si="6" xml:space="preserve"> MID($AK$7,AK9,1)</f>
        <v>i</v>
      </c>
    </row>
    <row r="10" spans="2:39" ht="32.25">
      <c r="B10" s="304">
        <v>6</v>
      </c>
      <c r="C10" s="305" t="s">
        <v>245</v>
      </c>
      <c r="D10" s="305" t="s">
        <v>245</v>
      </c>
      <c r="E10" s="305" t="s">
        <v>1634</v>
      </c>
      <c r="F10" s="305" t="s">
        <v>1636</v>
      </c>
      <c r="G10" s="306" t="s">
        <v>989</v>
      </c>
      <c r="H10" s="305" t="s">
        <v>1637</v>
      </c>
      <c r="I10" s="307" t="str">
        <f t="shared" ref="I10:I11" si="7">F10</f>
        <v>ù</v>
      </c>
      <c r="J10" s="305" t="s">
        <v>1633</v>
      </c>
      <c r="K10" s="306" t="s">
        <v>3771</v>
      </c>
      <c r="L10" s="302"/>
      <c r="M10" s="304">
        <v>6</v>
      </c>
      <c r="N10" s="308" t="s">
        <v>165</v>
      </c>
      <c r="O10" s="312" t="str" cm="1">
        <f t="array" ref="O10">INDEX(韻母對照表, (($M10-1)*2 +1), $O$1)</f>
        <v>an</v>
      </c>
      <c r="P10" s="312" t="str" cm="1">
        <f t="array" ref="P10">INDEX(韻母對照表, (($M10-1)*2 +2), $O$1)</f>
        <v>ap</v>
      </c>
      <c r="Q10" s="308" t="s">
        <v>139</v>
      </c>
      <c r="R10" s="313" t="str">
        <f t="shared" si="5"/>
        <v>an</v>
      </c>
      <c r="S10" s="313" t="str">
        <f t="shared" si="1"/>
        <v>án</v>
      </c>
      <c r="T10" s="313" t="str">
        <f t="shared" si="1"/>
        <v>àn</v>
      </c>
      <c r="U10" s="314" t="str">
        <f t="shared" si="1"/>
        <v>ap</v>
      </c>
      <c r="V10" s="313" t="str">
        <f t="shared" si="1"/>
        <v>ân</v>
      </c>
      <c r="W10" s="313" t="str">
        <f t="shared" si="1"/>
        <v>àn</v>
      </c>
      <c r="X10" s="313" t="str">
        <f t="shared" si="1"/>
        <v>ān</v>
      </c>
      <c r="Y10" s="314" t="str">
        <f t="shared" si="1"/>
        <v>a̍p</v>
      </c>
      <c r="AA10" s="301">
        <f t="shared" si="2"/>
        <v>1</v>
      </c>
      <c r="AB10" s="301">
        <f t="shared" si="3"/>
        <v>1</v>
      </c>
      <c r="AC10" s="301" t="str">
        <f t="shared" si="4"/>
        <v>a</v>
      </c>
      <c r="AD10" s="301" t="str">
        <f t="shared" si="4"/>
        <v>á</v>
      </c>
      <c r="AE10" s="301" t="str">
        <f t="shared" si="4"/>
        <v>à</v>
      </c>
      <c r="AF10" s="301" t="str">
        <f t="shared" si="4"/>
        <v>a</v>
      </c>
      <c r="AG10" s="301" t="str">
        <f t="shared" si="4"/>
        <v>â</v>
      </c>
      <c r="AH10" s="301" t="str">
        <f t="shared" si="4"/>
        <v>à</v>
      </c>
      <c r="AI10" s="301" t="str">
        <f t="shared" si="4"/>
        <v>ā</v>
      </c>
      <c r="AJ10" s="301" t="str">
        <f t="shared" si="4"/>
        <v>a̍</v>
      </c>
      <c r="AK10" s="301">
        <v>3</v>
      </c>
      <c r="AL10" s="301" t="str">
        <f t="shared" si="6"/>
        <v>̍</v>
      </c>
      <c r="AM10">
        <f xml:space="preserve"> _xlfn.UNICODE(AL10)</f>
        <v>781</v>
      </c>
    </row>
    <row r="11" spans="2:39" ht="32.25">
      <c r="B11" s="304">
        <v>7</v>
      </c>
      <c r="C11" s="305" t="s">
        <v>27</v>
      </c>
      <c r="D11" s="305" t="s">
        <v>27</v>
      </c>
      <c r="E11" s="305" t="s">
        <v>3485</v>
      </c>
      <c r="F11" s="305" t="s">
        <v>3486</v>
      </c>
      <c r="G11" s="306" t="s">
        <v>36</v>
      </c>
      <c r="H11" s="305" t="s">
        <v>1642</v>
      </c>
      <c r="I11" s="307" t="str">
        <f t="shared" si="7"/>
        <v>m̀</v>
      </c>
      <c r="J11" s="305" t="s">
        <v>1638</v>
      </c>
      <c r="K11" s="306" t="s">
        <v>3772</v>
      </c>
      <c r="L11" s="302"/>
      <c r="M11" s="304">
        <v>7</v>
      </c>
      <c r="N11" s="308" t="s">
        <v>168</v>
      </c>
      <c r="O11" s="312" t="str" cm="1">
        <f t="array" ref="O11">INDEX(韻母對照表, (($M11-1)*2 +1), $O$1)</f>
        <v>ong</v>
      </c>
      <c r="P11" s="312" t="str" cm="1">
        <f t="array" ref="P11">INDEX(韻母對照表, (($M11-1)*2 +2), $O$1)</f>
        <v>ok</v>
      </c>
      <c r="Q11" s="308" t="s">
        <v>215</v>
      </c>
      <c r="R11" s="313" t="str">
        <f t="shared" si="5"/>
        <v>ong</v>
      </c>
      <c r="S11" s="313" t="str">
        <f t="shared" si="1"/>
        <v>óng</v>
      </c>
      <c r="T11" s="313" t="str">
        <f t="shared" si="1"/>
        <v>òng</v>
      </c>
      <c r="U11" s="314" t="str">
        <f t="shared" si="1"/>
        <v>ok</v>
      </c>
      <c r="V11" s="313" t="str">
        <f t="shared" si="1"/>
        <v>ông</v>
      </c>
      <c r="W11" s="313" t="str">
        <f t="shared" si="1"/>
        <v>òng</v>
      </c>
      <c r="X11" s="313" t="str">
        <f t="shared" si="1"/>
        <v>ōng</v>
      </c>
      <c r="Y11" s="314" t="str">
        <f t="shared" si="1"/>
        <v>o̍k</v>
      </c>
      <c r="AA11" s="301">
        <f t="shared" si="2"/>
        <v>1</v>
      </c>
      <c r="AB11" s="301">
        <f t="shared" si="3"/>
        <v>4</v>
      </c>
      <c r="AC11" s="301" t="str">
        <f t="shared" si="4"/>
        <v>o</v>
      </c>
      <c r="AD11" s="301" t="str">
        <f t="shared" si="4"/>
        <v>ó</v>
      </c>
      <c r="AE11" s="301" t="str">
        <f t="shared" si="4"/>
        <v>ò</v>
      </c>
      <c r="AF11" s="301" t="str">
        <f t="shared" si="4"/>
        <v>o</v>
      </c>
      <c r="AG11" s="301" t="str">
        <f t="shared" si="4"/>
        <v>ô</v>
      </c>
      <c r="AH11" s="301" t="str">
        <f t="shared" si="4"/>
        <v>ò</v>
      </c>
      <c r="AI11" s="301" t="str">
        <f t="shared" si="4"/>
        <v>ō</v>
      </c>
      <c r="AJ11" s="301" t="str">
        <f t="shared" si="4"/>
        <v>o̍</v>
      </c>
      <c r="AK11" s="301">
        <v>4</v>
      </c>
      <c r="AL11" s="301" t="str">
        <f t="shared" si="6"/>
        <v>p</v>
      </c>
    </row>
    <row r="12" spans="2:39" ht="32.25">
      <c r="B12" s="304">
        <v>8</v>
      </c>
      <c r="C12" s="305" t="s">
        <v>3488</v>
      </c>
      <c r="D12" s="305" t="s">
        <v>3488</v>
      </c>
      <c r="E12" s="305" t="s">
        <v>3489</v>
      </c>
      <c r="F12" s="305" t="s">
        <v>3490</v>
      </c>
      <c r="G12" s="306" t="str">
        <f t="shared" ref="G12" si="8">D12</f>
        <v>ng</v>
      </c>
      <c r="H12" s="309" t="s">
        <v>3773</v>
      </c>
      <c r="I12" s="307"/>
      <c r="J12" s="309" t="s">
        <v>3492</v>
      </c>
      <c r="K12" s="310" t="s">
        <v>3493</v>
      </c>
      <c r="L12" s="302"/>
      <c r="M12" s="304">
        <v>8</v>
      </c>
      <c r="N12" s="308" t="s">
        <v>174</v>
      </c>
      <c r="O12" s="312" t="str" cm="1">
        <f t="array" ref="O12">INDEX(韻母對照表, (($M12-1)*2 +1), $O$1)</f>
        <v>uai</v>
      </c>
      <c r="P12" s="312" t="str" cm="1">
        <f t="array" ref="P12">INDEX(韻母對照表, (($M12-1)*2 +2), $O$1)</f>
        <v>uaih</v>
      </c>
      <c r="Q12" s="308" t="s">
        <v>139</v>
      </c>
      <c r="R12" s="313" t="str">
        <f t="shared" si="5"/>
        <v>uai</v>
      </c>
      <c r="S12" s="313" t="str">
        <f t="shared" si="1"/>
        <v>uái</v>
      </c>
      <c r="T12" s="313" t="str">
        <f t="shared" si="1"/>
        <v>uài</v>
      </c>
      <c r="U12" s="314" t="str">
        <f t="shared" si="1"/>
        <v>uaih</v>
      </c>
      <c r="V12" s="313" t="str">
        <f t="shared" si="1"/>
        <v>uâi</v>
      </c>
      <c r="W12" s="313" t="str">
        <f t="shared" si="1"/>
        <v>uài</v>
      </c>
      <c r="X12" s="313" t="str">
        <f t="shared" si="1"/>
        <v>uāi</v>
      </c>
      <c r="Y12" s="314" t="str">
        <f t="shared" si="1"/>
        <v>ua̍ih</v>
      </c>
      <c r="AA12" s="301">
        <f t="shared" si="2"/>
        <v>2</v>
      </c>
      <c r="AB12" s="301">
        <f t="shared" si="3"/>
        <v>1</v>
      </c>
      <c r="AC12" s="301" t="str">
        <f t="shared" si="4"/>
        <v>a</v>
      </c>
      <c r="AD12" s="301" t="str">
        <f t="shared" si="4"/>
        <v>á</v>
      </c>
      <c r="AE12" s="301" t="str">
        <f t="shared" si="4"/>
        <v>à</v>
      </c>
      <c r="AF12" s="301" t="str">
        <f t="shared" si="4"/>
        <v>a</v>
      </c>
      <c r="AG12" s="301" t="str">
        <f t="shared" si="4"/>
        <v>â</v>
      </c>
      <c r="AH12" s="301" t="str">
        <f t="shared" si="4"/>
        <v>à</v>
      </c>
      <c r="AI12" s="301" t="str">
        <f t="shared" si="4"/>
        <v>ā</v>
      </c>
      <c r="AJ12" s="301" t="str">
        <f t="shared" si="4"/>
        <v>a̍</v>
      </c>
    </row>
    <row r="13" spans="2:39" ht="32.25">
      <c r="B13" s="302"/>
      <c r="C13" s="302"/>
      <c r="D13" s="302"/>
      <c r="E13" s="302"/>
      <c r="F13" s="302"/>
      <c r="G13" s="302"/>
      <c r="H13" s="302"/>
      <c r="I13" s="302"/>
      <c r="J13" s="302"/>
      <c r="K13" s="302"/>
      <c r="L13" s="302"/>
      <c r="M13" s="304">
        <v>9</v>
      </c>
      <c r="N13" s="308" t="s">
        <v>180</v>
      </c>
      <c r="O13" s="312" t="str" cm="1">
        <f t="array" ref="O13">INDEX(韻母對照表, (($M13-1)*2 +1), $O$1)</f>
        <v>ing</v>
      </c>
      <c r="P13" s="312" t="str" cm="1">
        <f t="array" ref="P13">INDEX(韻母對照表, (($M13-1)*2 +2), $O$1)</f>
        <v>ik</v>
      </c>
      <c r="Q13" s="308" t="s">
        <v>800</v>
      </c>
      <c r="R13" s="313" t="str">
        <f t="shared" si="5"/>
        <v>ing</v>
      </c>
      <c r="S13" s="313" t="str">
        <f t="shared" si="1"/>
        <v>íng</v>
      </c>
      <c r="T13" s="313" t="str">
        <f t="shared" si="1"/>
        <v>ìng</v>
      </c>
      <c r="U13" s="314" t="str">
        <f t="shared" si="1"/>
        <v>ik</v>
      </c>
      <c r="V13" s="313" t="str">
        <f t="shared" si="1"/>
        <v>îng</v>
      </c>
      <c r="W13" s="313" t="str">
        <f t="shared" si="1"/>
        <v>ìng</v>
      </c>
      <c r="X13" s="313" t="str">
        <f t="shared" si="1"/>
        <v>īng</v>
      </c>
      <c r="Y13" s="314" t="str">
        <f t="shared" si="1"/>
        <v>i̍k</v>
      </c>
      <c r="AA13" s="301">
        <f>FIND(Q13, O13, 1)</f>
        <v>1</v>
      </c>
      <c r="AB13" s="301">
        <f t="shared" si="3"/>
        <v>3</v>
      </c>
      <c r="AC13" s="301" t="str">
        <f t="shared" si="4"/>
        <v>i</v>
      </c>
      <c r="AD13" s="301" t="str">
        <f t="shared" si="4"/>
        <v>í</v>
      </c>
      <c r="AE13" s="301" t="str">
        <f t="shared" si="4"/>
        <v>ì</v>
      </c>
      <c r="AF13" s="301" t="str">
        <f t="shared" si="4"/>
        <v>i</v>
      </c>
      <c r="AG13" s="301" t="str">
        <f t="shared" si="4"/>
        <v>î</v>
      </c>
      <c r="AH13" s="301" t="str">
        <f t="shared" si="4"/>
        <v>ì</v>
      </c>
      <c r="AI13" s="301" t="str">
        <f t="shared" si="4"/>
        <v>ī</v>
      </c>
      <c r="AJ13" s="301" t="str">
        <f t="shared" si="4"/>
        <v>i̍</v>
      </c>
    </row>
    <row r="14" spans="2:39" ht="32.25">
      <c r="B14" s="302"/>
      <c r="C14" s="302"/>
      <c r="D14" s="302"/>
      <c r="E14" s="302"/>
      <c r="F14" s="302"/>
      <c r="G14" s="302"/>
      <c r="H14" s="302"/>
      <c r="I14" s="302"/>
      <c r="J14" s="302"/>
      <c r="K14" s="302"/>
      <c r="L14" s="311"/>
      <c r="M14" s="304">
        <v>10</v>
      </c>
      <c r="N14" s="308" t="s">
        <v>186</v>
      </c>
      <c r="O14" s="312" t="str" cm="1">
        <f t="array" ref="O14">INDEX(韻母對照表, (($M14-1)*2 +1), $O$1)</f>
        <v>uan</v>
      </c>
      <c r="P14" s="312" t="str" cm="1">
        <f t="array" ref="P14">INDEX(韻母對照表, (($M14-1)*2 +2), $O$1)</f>
        <v>uat</v>
      </c>
      <c r="Q14" s="308" t="s">
        <v>139</v>
      </c>
      <c r="R14" s="313" t="str">
        <f t="shared" si="5"/>
        <v>uan</v>
      </c>
      <c r="S14" s="313" t="str">
        <f t="shared" si="1"/>
        <v>uán</v>
      </c>
      <c r="T14" s="313" t="str">
        <f t="shared" si="1"/>
        <v>uàn</v>
      </c>
      <c r="U14" s="314" t="str">
        <f t="shared" si="1"/>
        <v>uat</v>
      </c>
      <c r="V14" s="313" t="str">
        <f t="shared" si="1"/>
        <v>uân</v>
      </c>
      <c r="W14" s="313" t="str">
        <f t="shared" si="1"/>
        <v>uàn</v>
      </c>
      <c r="X14" s="313" t="str">
        <f t="shared" si="1"/>
        <v>uān</v>
      </c>
      <c r="Y14" s="314" t="str">
        <f t="shared" si="1"/>
        <v>ua̍t</v>
      </c>
      <c r="AA14" s="301">
        <f t="shared" si="2"/>
        <v>2</v>
      </c>
      <c r="AB14" s="301">
        <f t="shared" si="3"/>
        <v>1</v>
      </c>
      <c r="AC14" s="301" t="str">
        <f t="shared" si="4"/>
        <v>a</v>
      </c>
      <c r="AD14" s="301" t="str">
        <f t="shared" si="4"/>
        <v>á</v>
      </c>
      <c r="AE14" s="301" t="str">
        <f t="shared" si="4"/>
        <v>à</v>
      </c>
      <c r="AF14" s="301" t="str">
        <f t="shared" si="4"/>
        <v>a</v>
      </c>
      <c r="AG14" s="301" t="str">
        <f t="shared" si="4"/>
        <v>â</v>
      </c>
      <c r="AH14" s="301" t="str">
        <f t="shared" si="4"/>
        <v>à</v>
      </c>
      <c r="AI14" s="301" t="str">
        <f t="shared" si="4"/>
        <v>ā</v>
      </c>
      <c r="AJ14" s="301" t="str">
        <f t="shared" si="4"/>
        <v>a̍</v>
      </c>
      <c r="AK14" s="318" t="s">
        <v>3474</v>
      </c>
      <c r="AL14" s="301">
        <f xml:space="preserve"> LEN(AK14)</f>
        <v>2</v>
      </c>
    </row>
    <row r="15" spans="2:39" ht="32.25">
      <c r="B15" s="302"/>
      <c r="C15" s="302"/>
      <c r="D15" s="302"/>
      <c r="E15" s="302"/>
      <c r="F15" s="302"/>
      <c r="G15" s="302"/>
      <c r="H15" s="302"/>
      <c r="I15" s="302"/>
      <c r="J15" s="302"/>
      <c r="K15" s="302"/>
      <c r="L15" s="302"/>
      <c r="M15" s="304">
        <v>11</v>
      </c>
      <c r="N15" s="308" t="s">
        <v>190</v>
      </c>
      <c r="O15" s="312" t="str" cm="1">
        <f t="array" ref="O15">INDEX(韻母對照表, (($M15-1)*2 +1), $O$1)</f>
        <v>oo</v>
      </c>
      <c r="P15" s="312" t="str" cm="1">
        <f t="array" ref="P15">INDEX(韻母對照表, (($M15-1)*2 +2), $O$1)</f>
        <v>ooh</v>
      </c>
      <c r="Q15" s="308" t="s">
        <v>191</v>
      </c>
      <c r="R15" s="313" t="str">
        <f t="shared" si="5"/>
        <v>oo</v>
      </c>
      <c r="S15" s="313" t="str">
        <f t="shared" si="1"/>
        <v>óo</v>
      </c>
      <c r="T15" s="313" t="str">
        <f t="shared" si="1"/>
        <v>òo</v>
      </c>
      <c r="U15" s="314" t="str">
        <f t="shared" si="1"/>
        <v>ooh</v>
      </c>
      <c r="V15" s="313" t="str">
        <f t="shared" si="1"/>
        <v>ôo</v>
      </c>
      <c r="W15" s="313" t="str">
        <f t="shared" si="1"/>
        <v>0</v>
      </c>
      <c r="X15" s="313" t="str">
        <f t="shared" si="1"/>
        <v>ōo</v>
      </c>
      <c r="Y15" s="314" t="str">
        <f t="shared" si="1"/>
        <v>o̍oh</v>
      </c>
      <c r="AA15" s="301">
        <f t="shared" si="2"/>
        <v>1</v>
      </c>
      <c r="AB15" s="301">
        <f t="shared" si="3"/>
        <v>5</v>
      </c>
      <c r="AC15" s="301" t="str">
        <f t="shared" ref="AC15:AJ24" si="9">INDEX($D$5:$K$12, $AB15, AC$4)</f>
        <v>oo</v>
      </c>
      <c r="AD15" s="301" t="str">
        <f t="shared" si="9"/>
        <v>óo</v>
      </c>
      <c r="AE15" s="301" t="str">
        <f t="shared" si="9"/>
        <v>òo</v>
      </c>
      <c r="AF15" s="301" t="str">
        <f t="shared" si="9"/>
        <v>oo</v>
      </c>
      <c r="AG15" s="301" t="str">
        <f t="shared" si="9"/>
        <v>ôo</v>
      </c>
      <c r="AH15" s="301">
        <f t="shared" si="9"/>
        <v>0</v>
      </c>
      <c r="AI15" s="301" t="str">
        <f t="shared" si="9"/>
        <v>ōo</v>
      </c>
      <c r="AJ15" s="301" t="str">
        <f t="shared" si="9"/>
        <v>o̍o</v>
      </c>
      <c r="AK15" s="301">
        <v>1</v>
      </c>
      <c r="AL15" s="301" t="str">
        <f xml:space="preserve"> MID($AK$14,AK15,1)</f>
        <v>a</v>
      </c>
    </row>
    <row r="16" spans="2:39" ht="32.25">
      <c r="B16" s="302"/>
      <c r="C16" s="302"/>
      <c r="D16" s="302"/>
      <c r="E16" s="302"/>
      <c r="F16" s="302"/>
      <c r="G16" s="302"/>
      <c r="H16" s="302"/>
      <c r="I16" s="302"/>
      <c r="J16" s="302"/>
      <c r="K16" s="302"/>
      <c r="L16" s="302"/>
      <c r="M16" s="304">
        <v>12</v>
      </c>
      <c r="N16" s="308" t="s">
        <v>196</v>
      </c>
      <c r="O16" s="312" t="str" cm="1">
        <f t="array" ref="O16">INDEX(韻母對照表, (($M16-1)*2 +1), $O$1)</f>
        <v>iau</v>
      </c>
      <c r="P16" s="312" t="str" cm="1">
        <f t="array" ref="P16">INDEX(韻母對照表, (($M16-1)*2 +2), $O$1)</f>
        <v>iauh</v>
      </c>
      <c r="Q16" s="308" t="s">
        <v>139</v>
      </c>
      <c r="R16" s="313" t="str">
        <f t="shared" si="5"/>
        <v>iau</v>
      </c>
      <c r="S16" s="313" t="str">
        <f t="shared" si="1"/>
        <v>iáu</v>
      </c>
      <c r="T16" s="313" t="str">
        <f t="shared" si="1"/>
        <v>iàu</v>
      </c>
      <c r="U16" s="314" t="str">
        <f t="shared" si="1"/>
        <v>iauh</v>
      </c>
      <c r="V16" s="313" t="str">
        <f t="shared" si="1"/>
        <v>iâu</v>
      </c>
      <c r="W16" s="313" t="str">
        <f t="shared" si="1"/>
        <v>iàu</v>
      </c>
      <c r="X16" s="313" t="str">
        <f t="shared" si="1"/>
        <v>iāu</v>
      </c>
      <c r="Y16" s="314" t="str">
        <f t="shared" si="1"/>
        <v>ia̍uh</v>
      </c>
      <c r="AA16" s="301">
        <f t="shared" si="2"/>
        <v>2</v>
      </c>
      <c r="AB16" s="301">
        <f t="shared" si="3"/>
        <v>1</v>
      </c>
      <c r="AC16" s="301" t="str">
        <f t="shared" si="9"/>
        <v>a</v>
      </c>
      <c r="AD16" s="301" t="str">
        <f t="shared" si="9"/>
        <v>á</v>
      </c>
      <c r="AE16" s="301" t="str">
        <f t="shared" si="9"/>
        <v>à</v>
      </c>
      <c r="AF16" s="301" t="str">
        <f t="shared" si="9"/>
        <v>a</v>
      </c>
      <c r="AG16" s="301" t="str">
        <f t="shared" si="9"/>
        <v>â</v>
      </c>
      <c r="AH16" s="301" t="str">
        <f t="shared" si="9"/>
        <v>à</v>
      </c>
      <c r="AI16" s="301" t="str">
        <f t="shared" si="9"/>
        <v>ā</v>
      </c>
      <c r="AJ16" s="301" t="str">
        <f t="shared" si="9"/>
        <v>a̍</v>
      </c>
      <c r="AK16" s="301">
        <v>2</v>
      </c>
      <c r="AL16" s="301" t="str">
        <f xml:space="preserve"> MID($AK$14,AK16,1)</f>
        <v>̍</v>
      </c>
      <c r="AM16">
        <f xml:space="preserve"> _xlfn.UNICODE(AL16)</f>
        <v>781</v>
      </c>
    </row>
    <row r="17" spans="13:39" ht="32.25">
      <c r="M17" s="304">
        <v>13</v>
      </c>
      <c r="N17" s="308" t="s">
        <v>206</v>
      </c>
      <c r="O17" s="312" t="str" cm="1">
        <f t="array" ref="O17">INDEX(韻母對照表, (($M17-1)*2 +1), $O$1)</f>
        <v>ei</v>
      </c>
      <c r="P17" s="312" t="str" cm="1">
        <f t="array" ref="P17">INDEX(韻母對照表, (($M17-1)*2 +2), $O$1)</f>
        <v>eih</v>
      </c>
      <c r="Q17" s="308" t="s">
        <v>160</v>
      </c>
      <c r="R17" s="313" t="str">
        <f t="shared" si="5"/>
        <v>ei</v>
      </c>
      <c r="S17" s="313" t="str">
        <f t="shared" si="1"/>
        <v>éi</v>
      </c>
      <c r="T17" s="313" t="str">
        <f t="shared" si="1"/>
        <v>èi</v>
      </c>
      <c r="U17" s="314" t="str">
        <f t="shared" si="1"/>
        <v>eih</v>
      </c>
      <c r="V17" s="313" t="str">
        <f t="shared" si="1"/>
        <v>êi</v>
      </c>
      <c r="W17" s="313" t="str">
        <f t="shared" si="1"/>
        <v>èi</v>
      </c>
      <c r="X17" s="313" t="str">
        <f t="shared" si="1"/>
        <v>ēi</v>
      </c>
      <c r="Y17" s="314" t="str">
        <f t="shared" si="1"/>
        <v>e̍ih</v>
      </c>
      <c r="AA17" s="301">
        <f t="shared" si="2"/>
        <v>1</v>
      </c>
      <c r="AB17" s="301">
        <f t="shared" si="3"/>
        <v>2</v>
      </c>
      <c r="AC17" s="301" t="str">
        <f t="shared" si="9"/>
        <v>e</v>
      </c>
      <c r="AD17" s="301" t="str">
        <f t="shared" si="9"/>
        <v>é</v>
      </c>
      <c r="AE17" s="301" t="str">
        <f t="shared" si="9"/>
        <v>è</v>
      </c>
      <c r="AF17" s="301" t="str">
        <f t="shared" si="9"/>
        <v>e</v>
      </c>
      <c r="AG17" s="301" t="str">
        <f t="shared" si="9"/>
        <v>ê</v>
      </c>
      <c r="AH17" s="301" t="str">
        <f t="shared" si="9"/>
        <v>è</v>
      </c>
      <c r="AI17" s="301" t="str">
        <f t="shared" si="9"/>
        <v>ē</v>
      </c>
      <c r="AJ17" s="301" t="str">
        <f t="shared" si="9"/>
        <v>e̍</v>
      </c>
    </row>
    <row r="18" spans="13:39" ht="32.25">
      <c r="M18" s="304">
        <v>14</v>
      </c>
      <c r="N18" s="308" t="s">
        <v>208</v>
      </c>
      <c r="O18" s="312" t="str" cm="1">
        <f t="array" ref="O18">INDEX(韻母對照表, (($M18-1)*2 +1), $O$1)</f>
        <v>iong</v>
      </c>
      <c r="P18" s="312" t="str" cm="1">
        <f t="array" ref="P18">INDEX(韻母對照表, (($M18-1)*2 +2), $O$1)</f>
        <v>iok</v>
      </c>
      <c r="Q18" s="308" t="s">
        <v>215</v>
      </c>
      <c r="R18" s="313" t="str">
        <f t="shared" si="5"/>
        <v>iong</v>
      </c>
      <c r="S18" s="313" t="str">
        <f t="shared" si="1"/>
        <v>ióng</v>
      </c>
      <c r="T18" s="313" t="str">
        <f t="shared" si="1"/>
        <v>iòng</v>
      </c>
      <c r="U18" s="314" t="str">
        <f t="shared" si="1"/>
        <v>iok</v>
      </c>
      <c r="V18" s="313" t="str">
        <f t="shared" si="1"/>
        <v>iông</v>
      </c>
      <c r="W18" s="313" t="str">
        <f t="shared" si="1"/>
        <v>iòng</v>
      </c>
      <c r="X18" s="313" t="str">
        <f t="shared" si="1"/>
        <v>iōng</v>
      </c>
      <c r="Y18" s="314" t="str">
        <f t="shared" si="1"/>
        <v>io̍k</v>
      </c>
      <c r="AA18" s="301">
        <f t="shared" si="2"/>
        <v>2</v>
      </c>
      <c r="AB18" s="301">
        <f t="shared" si="3"/>
        <v>4</v>
      </c>
      <c r="AC18" s="301" t="str">
        <f t="shared" si="9"/>
        <v>o</v>
      </c>
      <c r="AD18" s="301" t="str">
        <f t="shared" si="9"/>
        <v>ó</v>
      </c>
      <c r="AE18" s="301" t="str">
        <f t="shared" si="9"/>
        <v>ò</v>
      </c>
      <c r="AF18" s="301" t="str">
        <f t="shared" si="9"/>
        <v>o</v>
      </c>
      <c r="AG18" s="301" t="str">
        <f t="shared" si="9"/>
        <v>ô</v>
      </c>
      <c r="AH18" s="301" t="str">
        <f t="shared" si="9"/>
        <v>ò</v>
      </c>
      <c r="AI18" s="301" t="str">
        <f t="shared" si="9"/>
        <v>ō</v>
      </c>
      <c r="AJ18" s="301" t="str">
        <f t="shared" si="9"/>
        <v>o̍</v>
      </c>
      <c r="AM18" t="str">
        <f xml:space="preserve"> "a" &amp; _xlfn.UNICHAR(AM16)</f>
        <v>a̍</v>
      </c>
    </row>
    <row r="19" spans="13:39" ht="32.25">
      <c r="M19" s="304">
        <v>15</v>
      </c>
      <c r="N19" s="308" t="s">
        <v>214</v>
      </c>
      <c r="O19" s="312" t="str" cm="1">
        <f t="array" ref="O19">INDEX(韻母對照表, (($M19-1)*2 +1), $O$1)</f>
        <v>o</v>
      </c>
      <c r="P19" s="312" t="str" cm="1">
        <f t="array" ref="P19">INDEX(韻母對照表, (($M19-1)*2 +2), $O$1)</f>
        <v>oh</v>
      </c>
      <c r="Q19" s="308" t="s">
        <v>215</v>
      </c>
      <c r="R19" s="313" t="str">
        <f t="shared" si="5"/>
        <v>o</v>
      </c>
      <c r="S19" s="313" t="str">
        <f t="shared" si="1"/>
        <v>ó</v>
      </c>
      <c r="T19" s="313" t="str">
        <f t="shared" si="1"/>
        <v>ò</v>
      </c>
      <c r="U19" s="314" t="str">
        <f t="shared" si="1"/>
        <v>oh</v>
      </c>
      <c r="V19" s="313" t="str">
        <f t="shared" si="1"/>
        <v>ô</v>
      </c>
      <c r="W19" s="313" t="str">
        <f t="shared" si="1"/>
        <v>ò</v>
      </c>
      <c r="X19" s="313" t="str">
        <f t="shared" si="1"/>
        <v>ō</v>
      </c>
      <c r="Y19" s="314" t="str">
        <f t="shared" si="1"/>
        <v>o̍h</v>
      </c>
      <c r="AA19" s="301">
        <f t="shared" si="2"/>
        <v>1</v>
      </c>
      <c r="AB19" s="301">
        <f t="shared" si="3"/>
        <v>4</v>
      </c>
      <c r="AC19" s="301" t="str">
        <f t="shared" si="9"/>
        <v>o</v>
      </c>
      <c r="AD19" s="301" t="str">
        <f t="shared" si="9"/>
        <v>ó</v>
      </c>
      <c r="AE19" s="301" t="str">
        <f t="shared" si="9"/>
        <v>ò</v>
      </c>
      <c r="AF19" s="301" t="str">
        <f t="shared" si="9"/>
        <v>o</v>
      </c>
      <c r="AG19" s="301" t="str">
        <f t="shared" si="9"/>
        <v>ô</v>
      </c>
      <c r="AH19" s="301" t="str">
        <f t="shared" si="9"/>
        <v>ò</v>
      </c>
      <c r="AI19" s="301" t="str">
        <f t="shared" si="9"/>
        <v>ō</v>
      </c>
      <c r="AJ19" s="301" t="str">
        <f t="shared" si="9"/>
        <v>o̍</v>
      </c>
    </row>
    <row r="20" spans="13:39" ht="32.25">
      <c r="M20" s="304">
        <v>16</v>
      </c>
      <c r="N20" s="308" t="s">
        <v>150</v>
      </c>
      <c r="O20" s="312" t="str" cm="1">
        <f t="array" ref="O20">INDEX(韻母對照表, (($M20-1)*2 +1), $O$1)</f>
        <v>ai</v>
      </c>
      <c r="P20" s="312" t="str" cm="1">
        <f t="array" ref="P20">INDEX(韻母對照表, (($M20-1)*2 +2), $O$1)</f>
        <v>aih</v>
      </c>
      <c r="Q20" s="308" t="s">
        <v>139</v>
      </c>
      <c r="R20" s="313" t="str">
        <f t="shared" si="5"/>
        <v>ai</v>
      </c>
      <c r="S20" s="313" t="str">
        <f t="shared" si="1"/>
        <v>ái</v>
      </c>
      <c r="T20" s="313" t="str">
        <f t="shared" si="1"/>
        <v>ài</v>
      </c>
      <c r="U20" s="314" t="str">
        <f t="shared" si="1"/>
        <v>aih</v>
      </c>
      <c r="V20" s="313" t="str">
        <f t="shared" si="1"/>
        <v>âi</v>
      </c>
      <c r="W20" s="313" t="str">
        <f t="shared" si="1"/>
        <v>ài</v>
      </c>
      <c r="X20" s="313" t="str">
        <f t="shared" si="1"/>
        <v>āi</v>
      </c>
      <c r="Y20" s="314" t="str">
        <f t="shared" si="1"/>
        <v>a̍ih</v>
      </c>
      <c r="AA20" s="301">
        <f t="shared" si="2"/>
        <v>1</v>
      </c>
      <c r="AB20" s="301">
        <f t="shared" si="3"/>
        <v>1</v>
      </c>
      <c r="AC20" s="301" t="str">
        <f t="shared" si="9"/>
        <v>a</v>
      </c>
      <c r="AD20" s="301" t="str">
        <f t="shared" si="9"/>
        <v>á</v>
      </c>
      <c r="AE20" s="301" t="str">
        <f t="shared" si="9"/>
        <v>à</v>
      </c>
      <c r="AF20" s="301" t="str">
        <f t="shared" si="9"/>
        <v>a</v>
      </c>
      <c r="AG20" s="301" t="str">
        <f t="shared" si="9"/>
        <v>â</v>
      </c>
      <c r="AH20" s="301" t="str">
        <f t="shared" si="9"/>
        <v>à</v>
      </c>
      <c r="AI20" s="301" t="str">
        <f t="shared" si="9"/>
        <v>ā</v>
      </c>
      <c r="AJ20" s="301" t="str">
        <f t="shared" si="9"/>
        <v>a̍</v>
      </c>
    </row>
    <row r="21" spans="13:39" ht="32.25">
      <c r="M21" s="304">
        <v>17</v>
      </c>
      <c r="N21" s="308" t="s">
        <v>223</v>
      </c>
      <c r="O21" s="312" t="str" cm="1">
        <f t="array" ref="O21">INDEX(韻母對照表, (($M21-1)*2 +1), $O$1)</f>
        <v>in</v>
      </c>
      <c r="P21" s="312" t="str" cm="1">
        <f t="array" ref="P21">INDEX(韻母對照表, (($M21-1)*2 +2), $O$1)</f>
        <v>it</v>
      </c>
      <c r="Q21" s="308" t="s">
        <v>200</v>
      </c>
      <c r="R21" s="313" t="str">
        <f t="shared" si="5"/>
        <v>in</v>
      </c>
      <c r="S21" s="313" t="str">
        <f t="shared" si="5"/>
        <v>ín</v>
      </c>
      <c r="T21" s="313" t="str">
        <f t="shared" si="5"/>
        <v>ìn</v>
      </c>
      <c r="U21" s="314" t="str">
        <f t="shared" si="5"/>
        <v>it</v>
      </c>
      <c r="V21" s="313" t="str">
        <f t="shared" si="5"/>
        <v>în</v>
      </c>
      <c r="W21" s="313" t="str">
        <f t="shared" si="5"/>
        <v>ìn</v>
      </c>
      <c r="X21" s="313" t="str">
        <f t="shared" si="5"/>
        <v>īn</v>
      </c>
      <c r="Y21" s="314" t="str">
        <f t="shared" si="5"/>
        <v>i̍t</v>
      </c>
      <c r="AA21" s="301">
        <f t="shared" si="2"/>
        <v>1</v>
      </c>
      <c r="AB21" s="301">
        <f t="shared" si="3"/>
        <v>3</v>
      </c>
      <c r="AC21" s="301" t="str">
        <f t="shared" si="9"/>
        <v>i</v>
      </c>
      <c r="AD21" s="301" t="str">
        <f t="shared" si="9"/>
        <v>í</v>
      </c>
      <c r="AE21" s="301" t="str">
        <f t="shared" si="9"/>
        <v>ì</v>
      </c>
      <c r="AF21" s="301" t="str">
        <f t="shared" si="9"/>
        <v>i</v>
      </c>
      <c r="AG21" s="301" t="str">
        <f t="shared" si="9"/>
        <v>î</v>
      </c>
      <c r="AH21" s="301" t="str">
        <f t="shared" si="9"/>
        <v>ì</v>
      </c>
      <c r="AI21" s="301" t="str">
        <f t="shared" si="9"/>
        <v>ī</v>
      </c>
      <c r="AJ21" s="301" t="str">
        <f t="shared" si="9"/>
        <v>i̍</v>
      </c>
    </row>
    <row r="22" spans="13:39" ht="32.25">
      <c r="M22" s="304">
        <v>18</v>
      </c>
      <c r="N22" s="308" t="s">
        <v>226</v>
      </c>
      <c r="O22" s="312" t="str" cm="1">
        <f t="array" ref="O22">INDEX(韻母對照表, (($M22-1)*2 +1), $O$1)</f>
        <v>iang</v>
      </c>
      <c r="P22" s="312" t="str" cm="1">
        <f t="array" ref="P22">INDEX(韻母對照表, (($M22-1)*2 +2), $O$1)</f>
        <v>iak</v>
      </c>
      <c r="Q22" s="308" t="s">
        <v>139</v>
      </c>
      <c r="R22" s="313" t="str">
        <f t="shared" si="5"/>
        <v>iang</v>
      </c>
      <c r="S22" s="313" t="str">
        <f t="shared" si="5"/>
        <v>iáng</v>
      </c>
      <c r="T22" s="313" t="str">
        <f t="shared" si="5"/>
        <v>iàng</v>
      </c>
      <c r="U22" s="314" t="str">
        <f t="shared" si="5"/>
        <v>iak</v>
      </c>
      <c r="V22" s="313" t="str">
        <f t="shared" si="5"/>
        <v>iâng</v>
      </c>
      <c r="W22" s="313" t="str">
        <f t="shared" si="5"/>
        <v>iàng</v>
      </c>
      <c r="X22" s="313" t="str">
        <f t="shared" si="5"/>
        <v>iāng</v>
      </c>
      <c r="Y22" s="314" t="str">
        <f t="shared" si="5"/>
        <v>ia̍k</v>
      </c>
      <c r="AA22" s="301">
        <f t="shared" si="2"/>
        <v>2</v>
      </c>
      <c r="AB22" s="301">
        <f t="shared" si="3"/>
        <v>1</v>
      </c>
      <c r="AC22" s="301" t="str">
        <f t="shared" si="9"/>
        <v>a</v>
      </c>
      <c r="AD22" s="301" t="str">
        <f t="shared" si="9"/>
        <v>á</v>
      </c>
      <c r="AE22" s="301" t="str">
        <f t="shared" si="9"/>
        <v>à</v>
      </c>
      <c r="AF22" s="301" t="str">
        <f t="shared" si="9"/>
        <v>a</v>
      </c>
      <c r="AG22" s="301" t="str">
        <f t="shared" si="9"/>
        <v>â</v>
      </c>
      <c r="AH22" s="301" t="str">
        <f t="shared" si="9"/>
        <v>à</v>
      </c>
      <c r="AI22" s="301" t="str">
        <f t="shared" si="9"/>
        <v>ā</v>
      </c>
      <c r="AJ22" s="301" t="str">
        <f t="shared" si="9"/>
        <v>a̍</v>
      </c>
    </row>
    <row r="23" spans="13:39" ht="32.25">
      <c r="M23" s="304">
        <v>19</v>
      </c>
      <c r="N23" s="308" t="s">
        <v>162</v>
      </c>
      <c r="O23" s="312" t="str" cm="1">
        <f t="array" ref="O23">INDEX(韻母對照表, (($M23-1)*2 +1), $O$1)</f>
        <v>am</v>
      </c>
      <c r="P23" s="312" t="str" cm="1">
        <f t="array" ref="P23">INDEX(韻母對照表, (($M23-1)*2 +2), $O$1)</f>
        <v>ap</v>
      </c>
      <c r="Q23" s="308" t="s">
        <v>139</v>
      </c>
      <c r="R23" s="313" t="str">
        <f t="shared" si="5"/>
        <v>am</v>
      </c>
      <c r="S23" s="313" t="str">
        <f t="shared" si="5"/>
        <v>ám</v>
      </c>
      <c r="T23" s="313" t="str">
        <f t="shared" si="5"/>
        <v>àm</v>
      </c>
      <c r="U23" s="314" t="str">
        <f t="shared" si="5"/>
        <v>ap</v>
      </c>
      <c r="V23" s="313" t="str">
        <f t="shared" si="5"/>
        <v>âm</v>
      </c>
      <c r="W23" s="313" t="str">
        <f t="shared" si="5"/>
        <v>àm</v>
      </c>
      <c r="X23" s="313" t="str">
        <f t="shared" si="5"/>
        <v>ām</v>
      </c>
      <c r="Y23" s="314" t="str">
        <f t="shared" si="5"/>
        <v>a̍p</v>
      </c>
      <c r="AA23" s="301">
        <f t="shared" si="2"/>
        <v>1</v>
      </c>
      <c r="AB23" s="301">
        <f t="shared" si="3"/>
        <v>1</v>
      </c>
      <c r="AC23" s="301" t="str">
        <f t="shared" si="9"/>
        <v>a</v>
      </c>
      <c r="AD23" s="301" t="str">
        <f t="shared" si="9"/>
        <v>á</v>
      </c>
      <c r="AE23" s="301" t="str">
        <f t="shared" si="9"/>
        <v>à</v>
      </c>
      <c r="AF23" s="301" t="str">
        <f t="shared" si="9"/>
        <v>a</v>
      </c>
      <c r="AG23" s="301" t="str">
        <f t="shared" si="9"/>
        <v>â</v>
      </c>
      <c r="AH23" s="301" t="str">
        <f t="shared" si="9"/>
        <v>à</v>
      </c>
      <c r="AI23" s="301" t="str">
        <f t="shared" si="9"/>
        <v>ā</v>
      </c>
      <c r="AJ23" s="301" t="str">
        <f t="shared" si="9"/>
        <v>a̍</v>
      </c>
    </row>
    <row r="24" spans="13:39" ht="32.25">
      <c r="M24" s="304">
        <v>20</v>
      </c>
      <c r="N24" s="308" t="s">
        <v>229</v>
      </c>
      <c r="O24" s="312" t="str" cm="1">
        <f t="array" ref="O24">INDEX(韻母對照表, (($M24-1)*2 +1), $O$1)</f>
        <v>ua</v>
      </c>
      <c r="P24" s="312" t="str" cm="1">
        <f t="array" ref="P24">INDEX(韻母對照表, (($M24-1)*2 +2), $O$1)</f>
        <v>uah</v>
      </c>
      <c r="Q24" s="308" t="s">
        <v>989</v>
      </c>
      <c r="R24" s="313" t="str">
        <f t="shared" si="5"/>
        <v>ua</v>
      </c>
      <c r="S24" s="313" t="str">
        <f t="shared" si="5"/>
        <v>úa</v>
      </c>
      <c r="T24" s="313" t="str">
        <f t="shared" si="5"/>
        <v>ùa</v>
      </c>
      <c r="U24" s="314" t="str">
        <f t="shared" si="5"/>
        <v>uah</v>
      </c>
      <c r="V24" s="313" t="str">
        <f t="shared" si="5"/>
        <v>ûa</v>
      </c>
      <c r="W24" s="313" t="str">
        <f t="shared" si="5"/>
        <v>ùa</v>
      </c>
      <c r="X24" s="313" t="str">
        <f t="shared" si="5"/>
        <v>ūa</v>
      </c>
      <c r="Y24" s="314" t="str">
        <f t="shared" si="5"/>
        <v>u̍ah</v>
      </c>
      <c r="AA24" s="301">
        <f t="shared" si="2"/>
        <v>1</v>
      </c>
      <c r="AB24" s="301">
        <f t="shared" si="3"/>
        <v>6</v>
      </c>
      <c r="AC24" s="301" t="str">
        <f t="shared" si="9"/>
        <v>u</v>
      </c>
      <c r="AD24" s="301" t="str">
        <f t="shared" si="9"/>
        <v>ú</v>
      </c>
      <c r="AE24" s="301" t="str">
        <f t="shared" si="9"/>
        <v>ù</v>
      </c>
      <c r="AF24" s="301" t="str">
        <f t="shared" si="9"/>
        <v>u</v>
      </c>
      <c r="AG24" s="301" t="str">
        <f t="shared" si="9"/>
        <v>û</v>
      </c>
      <c r="AH24" s="301" t="str">
        <f t="shared" si="9"/>
        <v>ù</v>
      </c>
      <c r="AI24" s="301" t="str">
        <f t="shared" si="9"/>
        <v>ū</v>
      </c>
      <c r="AJ24" s="301" t="str">
        <f t="shared" si="9"/>
        <v>u̍</v>
      </c>
    </row>
    <row r="25" spans="13:39" ht="32.25">
      <c r="M25" s="304">
        <v>21</v>
      </c>
      <c r="N25" s="308" t="s">
        <v>171</v>
      </c>
      <c r="O25" s="312" t="str" cm="1">
        <f t="array" ref="O25">INDEX(韻母對照表, (($M25-1)*2 +1), $O$1)</f>
        <v>ang</v>
      </c>
      <c r="P25" s="312" t="str" cm="1">
        <f t="array" ref="P25">INDEX(韻母對照表, (($M25-1)*2 +2), $O$1)</f>
        <v>ak</v>
      </c>
      <c r="Q25" s="308" t="s">
        <v>139</v>
      </c>
      <c r="R25" s="313" t="str">
        <f t="shared" si="5"/>
        <v>ang</v>
      </c>
      <c r="S25" s="313" t="str">
        <f t="shared" si="5"/>
        <v>áng</v>
      </c>
      <c r="T25" s="313" t="str">
        <f t="shared" si="5"/>
        <v>àng</v>
      </c>
      <c r="U25" s="314" t="str">
        <f t="shared" si="5"/>
        <v>ak</v>
      </c>
      <c r="V25" s="313" t="str">
        <f t="shared" si="5"/>
        <v>âng</v>
      </c>
      <c r="W25" s="313" t="str">
        <f t="shared" si="5"/>
        <v>àng</v>
      </c>
      <c r="X25" s="313" t="str">
        <f t="shared" si="5"/>
        <v>āng</v>
      </c>
      <c r="Y25" s="314" t="str">
        <f t="shared" si="5"/>
        <v>a̍k</v>
      </c>
      <c r="AA25" s="301">
        <f t="shared" si="2"/>
        <v>1</v>
      </c>
      <c r="AB25" s="301">
        <f t="shared" si="3"/>
        <v>1</v>
      </c>
      <c r="AC25" s="301" t="str">
        <f t="shared" ref="AC25:AJ34" si="10">INDEX($D$5:$K$12, $AB25, AC$4)</f>
        <v>a</v>
      </c>
      <c r="AD25" s="301" t="str">
        <f t="shared" si="10"/>
        <v>á</v>
      </c>
      <c r="AE25" s="301" t="str">
        <f t="shared" si="10"/>
        <v>à</v>
      </c>
      <c r="AF25" s="301" t="str">
        <f t="shared" si="10"/>
        <v>a</v>
      </c>
      <c r="AG25" s="301" t="str">
        <f t="shared" si="10"/>
        <v>â</v>
      </c>
      <c r="AH25" s="301" t="str">
        <f t="shared" si="10"/>
        <v>à</v>
      </c>
      <c r="AI25" s="301" t="str">
        <f t="shared" si="10"/>
        <v>ā</v>
      </c>
      <c r="AJ25" s="301" t="str">
        <f t="shared" si="10"/>
        <v>a̍</v>
      </c>
    </row>
    <row r="26" spans="13:39" ht="32.25">
      <c r="M26" s="304">
        <v>22</v>
      </c>
      <c r="N26" s="308" t="s">
        <v>220</v>
      </c>
      <c r="O26" s="312" t="str" cm="1">
        <f t="array" ref="O26">INDEX(韻母對照表, (($M26-1)*2 +1), $O$1)</f>
        <v>iam</v>
      </c>
      <c r="P26" s="312" t="str" cm="1">
        <f t="array" ref="P26">INDEX(韻母對照表, (($M26-1)*2 +2), $O$1)</f>
        <v>iap</v>
      </c>
      <c r="Q26" s="308" t="s">
        <v>139</v>
      </c>
      <c r="R26" s="313" t="str">
        <f t="shared" si="5"/>
        <v>iam</v>
      </c>
      <c r="S26" s="313" t="str">
        <f t="shared" si="5"/>
        <v>iám</v>
      </c>
      <c r="T26" s="313" t="str">
        <f t="shared" si="5"/>
        <v>iàm</v>
      </c>
      <c r="U26" s="314" t="str">
        <f t="shared" si="5"/>
        <v>iap</v>
      </c>
      <c r="V26" s="313" t="str">
        <f t="shared" si="5"/>
        <v>iâm</v>
      </c>
      <c r="W26" s="313" t="str">
        <f t="shared" si="5"/>
        <v>iàm</v>
      </c>
      <c r="X26" s="313" t="str">
        <f t="shared" si="5"/>
        <v>iām</v>
      </c>
      <c r="Y26" s="314" t="str">
        <f t="shared" si="5"/>
        <v>ia̍p</v>
      </c>
      <c r="AA26" s="301">
        <f t="shared" si="2"/>
        <v>2</v>
      </c>
      <c r="AB26" s="301">
        <f t="shared" si="3"/>
        <v>1</v>
      </c>
      <c r="AC26" s="301" t="str">
        <f t="shared" si="10"/>
        <v>a</v>
      </c>
      <c r="AD26" s="301" t="str">
        <f t="shared" si="10"/>
        <v>á</v>
      </c>
      <c r="AE26" s="301" t="str">
        <f t="shared" si="10"/>
        <v>à</v>
      </c>
      <c r="AF26" s="301" t="str">
        <f t="shared" si="10"/>
        <v>a</v>
      </c>
      <c r="AG26" s="301" t="str">
        <f t="shared" si="10"/>
        <v>â</v>
      </c>
      <c r="AH26" s="301" t="str">
        <f t="shared" si="10"/>
        <v>à</v>
      </c>
      <c r="AI26" s="301" t="str">
        <f t="shared" si="10"/>
        <v>ā</v>
      </c>
      <c r="AJ26" s="301" t="str">
        <f t="shared" si="10"/>
        <v>a̍</v>
      </c>
    </row>
    <row r="27" spans="13:39" ht="32.25">
      <c r="M27" s="304">
        <v>23</v>
      </c>
      <c r="N27" s="308" t="s">
        <v>177</v>
      </c>
      <c r="O27" s="312" t="str" cm="1">
        <f t="array" ref="O27">INDEX(韻母對照表, (($M27-1)*2 +1), $O$1)</f>
        <v>au</v>
      </c>
      <c r="P27" s="312" t="str" cm="1">
        <f t="array" ref="P27">INDEX(韻母對照表, (($M27-1)*2 +2), $O$1)</f>
        <v>auh</v>
      </c>
      <c r="Q27" s="308" t="s">
        <v>139</v>
      </c>
      <c r="R27" s="313" t="str">
        <f t="shared" si="5"/>
        <v>au</v>
      </c>
      <c r="S27" s="313" t="str">
        <f t="shared" si="5"/>
        <v>áu</v>
      </c>
      <c r="T27" s="313" t="str">
        <f t="shared" si="5"/>
        <v>àu</v>
      </c>
      <c r="U27" s="314" t="str">
        <f t="shared" si="5"/>
        <v>auh</v>
      </c>
      <c r="V27" s="313" t="str">
        <f t="shared" si="5"/>
        <v>âu</v>
      </c>
      <c r="W27" s="313" t="str">
        <f t="shared" si="5"/>
        <v>àu</v>
      </c>
      <c r="X27" s="313" t="str">
        <f t="shared" si="5"/>
        <v>āu</v>
      </c>
      <c r="Y27" s="314" t="str">
        <f t="shared" si="5"/>
        <v>a̍uh</v>
      </c>
      <c r="AA27" s="301">
        <f t="shared" si="2"/>
        <v>1</v>
      </c>
      <c r="AB27" s="301">
        <f t="shared" si="3"/>
        <v>1</v>
      </c>
      <c r="AC27" s="301" t="str">
        <f t="shared" si="10"/>
        <v>a</v>
      </c>
      <c r="AD27" s="301" t="str">
        <f t="shared" si="10"/>
        <v>á</v>
      </c>
      <c r="AE27" s="301" t="str">
        <f t="shared" si="10"/>
        <v>à</v>
      </c>
      <c r="AF27" s="301" t="str">
        <f t="shared" si="10"/>
        <v>a</v>
      </c>
      <c r="AG27" s="301" t="str">
        <f t="shared" si="10"/>
        <v>â</v>
      </c>
      <c r="AH27" s="301" t="str">
        <f t="shared" si="10"/>
        <v>à</v>
      </c>
      <c r="AI27" s="301" t="str">
        <f t="shared" si="10"/>
        <v>ā</v>
      </c>
      <c r="AJ27" s="301" t="str">
        <f t="shared" si="10"/>
        <v>a̍</v>
      </c>
    </row>
    <row r="28" spans="13:39" ht="32.25">
      <c r="M28" s="304">
        <v>24</v>
      </c>
      <c r="N28" s="308" t="s">
        <v>211</v>
      </c>
      <c r="O28" s="312" t="str" cm="1">
        <f t="array" ref="O28">INDEX(韻母對照表, (($M28-1)*2 +1), $O$1)</f>
        <v>ia</v>
      </c>
      <c r="P28" s="312" t="str" cm="1">
        <f t="array" ref="P28">INDEX(韻母對照表, (($M28-1)*2 +2), $O$1)</f>
        <v>iah</v>
      </c>
      <c r="Q28" s="308" t="s">
        <v>139</v>
      </c>
      <c r="R28" s="313" t="str">
        <f t="shared" si="5"/>
        <v>ia</v>
      </c>
      <c r="S28" s="313" t="str">
        <f t="shared" si="5"/>
        <v>iá</v>
      </c>
      <c r="T28" s="313" t="str">
        <f t="shared" si="5"/>
        <v>ià</v>
      </c>
      <c r="U28" s="314" t="str">
        <f t="shared" si="5"/>
        <v>iah</v>
      </c>
      <c r="V28" s="313" t="str">
        <f t="shared" si="5"/>
        <v>iâ</v>
      </c>
      <c r="W28" s="313" t="str">
        <f t="shared" si="5"/>
        <v>ià</v>
      </c>
      <c r="X28" s="313" t="str">
        <f t="shared" si="5"/>
        <v>iā</v>
      </c>
      <c r="Y28" s="314" t="str">
        <f t="shared" si="5"/>
        <v>ia̍h</v>
      </c>
      <c r="AA28" s="301">
        <f t="shared" si="2"/>
        <v>2</v>
      </c>
      <c r="AB28" s="301">
        <f t="shared" si="3"/>
        <v>1</v>
      </c>
      <c r="AC28" s="301" t="str">
        <f t="shared" si="10"/>
        <v>a</v>
      </c>
      <c r="AD28" s="301" t="str">
        <f t="shared" si="10"/>
        <v>á</v>
      </c>
      <c r="AE28" s="301" t="str">
        <f t="shared" si="10"/>
        <v>à</v>
      </c>
      <c r="AF28" s="301" t="str">
        <f t="shared" si="10"/>
        <v>a</v>
      </c>
      <c r="AG28" s="301" t="str">
        <f t="shared" si="10"/>
        <v>â</v>
      </c>
      <c r="AH28" s="301" t="str">
        <f t="shared" si="10"/>
        <v>à</v>
      </c>
      <c r="AI28" s="301" t="str">
        <f t="shared" si="10"/>
        <v>ā</v>
      </c>
      <c r="AJ28" s="301" t="str">
        <f t="shared" si="10"/>
        <v>a̍</v>
      </c>
    </row>
    <row r="29" spans="13:39" ht="32.25">
      <c r="M29" s="304">
        <v>25</v>
      </c>
      <c r="N29" s="308" t="s">
        <v>238</v>
      </c>
      <c r="O29" s="312" t="str" cm="1">
        <f t="array" ref="O29">INDEX(韻母對照表, (($M29-1)*2 +1), $O$1)</f>
        <v>ue</v>
      </c>
      <c r="P29" s="312" t="str" cm="1">
        <f t="array" ref="P29">INDEX(韻母對照表, (($M29-1)*2 +2), $O$1)</f>
        <v>ueh</v>
      </c>
      <c r="Q29" s="308" t="s">
        <v>989</v>
      </c>
      <c r="R29" s="313" t="str">
        <f t="shared" si="5"/>
        <v>ue</v>
      </c>
      <c r="S29" s="313" t="str">
        <f t="shared" si="5"/>
        <v>úe</v>
      </c>
      <c r="T29" s="313" t="str">
        <f t="shared" si="5"/>
        <v>ùe</v>
      </c>
      <c r="U29" s="314" t="str">
        <f t="shared" si="5"/>
        <v>ueh</v>
      </c>
      <c r="V29" s="313" t="str">
        <f t="shared" si="5"/>
        <v>ûe</v>
      </c>
      <c r="W29" s="313" t="str">
        <f t="shared" si="5"/>
        <v>ùe</v>
      </c>
      <c r="X29" s="313" t="str">
        <f t="shared" si="5"/>
        <v>ūe</v>
      </c>
      <c r="Y29" s="314" t="str">
        <f t="shared" si="5"/>
        <v>u̍eh</v>
      </c>
      <c r="AA29" s="301">
        <f t="shared" si="2"/>
        <v>1</v>
      </c>
      <c r="AB29" s="301">
        <f t="shared" si="3"/>
        <v>6</v>
      </c>
      <c r="AC29" s="301" t="str">
        <f t="shared" si="10"/>
        <v>u</v>
      </c>
      <c r="AD29" s="301" t="str">
        <f t="shared" si="10"/>
        <v>ú</v>
      </c>
      <c r="AE29" s="301" t="str">
        <f t="shared" si="10"/>
        <v>ù</v>
      </c>
      <c r="AF29" s="301" t="str">
        <f t="shared" si="10"/>
        <v>u</v>
      </c>
      <c r="AG29" s="301" t="str">
        <f t="shared" si="10"/>
        <v>û</v>
      </c>
      <c r="AH29" s="301" t="str">
        <f t="shared" si="10"/>
        <v>ù</v>
      </c>
      <c r="AI29" s="301" t="str">
        <f t="shared" si="10"/>
        <v>ū</v>
      </c>
      <c r="AJ29" s="301" t="str">
        <f t="shared" si="10"/>
        <v>u̍</v>
      </c>
    </row>
    <row r="30" spans="13:39" ht="32.25">
      <c r="M30" s="304">
        <v>26</v>
      </c>
      <c r="N30" s="308" t="s">
        <v>144</v>
      </c>
      <c r="O30" s="312" t="str" cm="1">
        <f t="array" ref="O30">INDEX(韻母對照表, (($M30-1)*2 +1), $O$1)</f>
        <v>ann</v>
      </c>
      <c r="P30" s="312" t="str" cm="1">
        <f t="array" ref="P30">INDEX(韻母對照表, (($M30-1)*2 +2), $O$1)</f>
        <v>annh</v>
      </c>
      <c r="Q30" s="308" t="s">
        <v>139</v>
      </c>
      <c r="R30" s="313" t="str">
        <f t="shared" si="5"/>
        <v>ann</v>
      </c>
      <c r="S30" s="313" t="str">
        <f t="shared" si="5"/>
        <v>ánn</v>
      </c>
      <c r="T30" s="313" t="str">
        <f t="shared" si="5"/>
        <v>ànn</v>
      </c>
      <c r="U30" s="314" t="str">
        <f t="shared" si="5"/>
        <v>annh</v>
      </c>
      <c r="V30" s="313" t="str">
        <f t="shared" si="5"/>
        <v>ânn</v>
      </c>
      <c r="W30" s="313" t="str">
        <f t="shared" si="5"/>
        <v>ànn</v>
      </c>
      <c r="X30" s="313" t="str">
        <f t="shared" si="5"/>
        <v>ānn</v>
      </c>
      <c r="Y30" s="314" t="str">
        <f t="shared" si="5"/>
        <v>a̍nnh</v>
      </c>
      <c r="AA30" s="301">
        <f t="shared" si="2"/>
        <v>1</v>
      </c>
      <c r="AB30" s="301">
        <f t="shared" si="3"/>
        <v>1</v>
      </c>
      <c r="AC30" s="301" t="str">
        <f t="shared" si="10"/>
        <v>a</v>
      </c>
      <c r="AD30" s="301" t="str">
        <f t="shared" si="10"/>
        <v>á</v>
      </c>
      <c r="AE30" s="301" t="str">
        <f t="shared" si="10"/>
        <v>à</v>
      </c>
      <c r="AF30" s="301" t="str">
        <f t="shared" si="10"/>
        <v>a</v>
      </c>
      <c r="AG30" s="301" t="str">
        <f t="shared" si="10"/>
        <v>â</v>
      </c>
      <c r="AH30" s="301" t="str">
        <f t="shared" si="10"/>
        <v>à</v>
      </c>
      <c r="AI30" s="301" t="str">
        <f t="shared" si="10"/>
        <v>ā</v>
      </c>
      <c r="AJ30" s="301" t="str">
        <f t="shared" si="10"/>
        <v>a̍</v>
      </c>
    </row>
    <row r="31" spans="13:39" ht="32.25">
      <c r="M31" s="304">
        <v>27</v>
      </c>
      <c r="N31" s="308" t="s">
        <v>275</v>
      </c>
      <c r="O31" s="312" t="str" cm="1">
        <f t="array" ref="O31">INDEX(韻母對照表, (($M31-1)*2 +1), $O$1)</f>
        <v>u</v>
      </c>
      <c r="P31" s="312" t="str" cm="1">
        <f t="array" ref="P31">INDEX(韻母對照表, (($M31-1)*2 +2), $O$1)</f>
        <v>uh</v>
      </c>
      <c r="Q31" s="308" t="s">
        <v>245</v>
      </c>
      <c r="R31" s="313" t="str">
        <f t="shared" si="5"/>
        <v>u</v>
      </c>
      <c r="S31" s="313" t="str">
        <f t="shared" si="5"/>
        <v>ú</v>
      </c>
      <c r="T31" s="313" t="str">
        <f t="shared" si="5"/>
        <v>ù</v>
      </c>
      <c r="U31" s="314" t="str">
        <f t="shared" si="5"/>
        <v>uh</v>
      </c>
      <c r="V31" s="313" t="str">
        <f t="shared" si="5"/>
        <v>û</v>
      </c>
      <c r="W31" s="313" t="str">
        <f t="shared" si="5"/>
        <v>ù</v>
      </c>
      <c r="X31" s="313" t="str">
        <f t="shared" si="5"/>
        <v>ū</v>
      </c>
      <c r="Y31" s="314" t="str">
        <f t="shared" si="5"/>
        <v>u̍h</v>
      </c>
      <c r="AA31" s="301">
        <f t="shared" si="2"/>
        <v>1</v>
      </c>
      <c r="AB31" s="301">
        <f t="shared" si="3"/>
        <v>6</v>
      </c>
      <c r="AC31" s="301" t="str">
        <f t="shared" si="10"/>
        <v>u</v>
      </c>
      <c r="AD31" s="301" t="str">
        <f t="shared" si="10"/>
        <v>ú</v>
      </c>
      <c r="AE31" s="301" t="str">
        <f t="shared" si="10"/>
        <v>ù</v>
      </c>
      <c r="AF31" s="301" t="str">
        <f t="shared" si="10"/>
        <v>u</v>
      </c>
      <c r="AG31" s="301" t="str">
        <f t="shared" si="10"/>
        <v>û</v>
      </c>
      <c r="AH31" s="301" t="str">
        <f t="shared" si="10"/>
        <v>ù</v>
      </c>
      <c r="AI31" s="301" t="str">
        <f t="shared" si="10"/>
        <v>ū</v>
      </c>
      <c r="AJ31" s="301" t="str">
        <f t="shared" si="10"/>
        <v>u̍</v>
      </c>
    </row>
    <row r="32" spans="13:39" ht="32.25">
      <c r="M32" s="304">
        <v>28</v>
      </c>
      <c r="N32" s="308" t="s">
        <v>138</v>
      </c>
      <c r="O32" s="312" t="str" cm="1">
        <f t="array" ref="O32">INDEX(韻母對照表, (($M32-1)*2 +1), $O$1)</f>
        <v>a</v>
      </c>
      <c r="P32" s="312" t="str" cm="1">
        <f t="array" ref="P32">INDEX(韻母對照表, (($M32-1)*2 +2), $O$1)</f>
        <v>ah</v>
      </c>
      <c r="Q32" s="308" t="s">
        <v>139</v>
      </c>
      <c r="R32" s="313" t="str">
        <f t="shared" si="5"/>
        <v>a</v>
      </c>
      <c r="S32" s="313" t="str">
        <f t="shared" si="5"/>
        <v>á</v>
      </c>
      <c r="T32" s="313" t="str">
        <f t="shared" si="5"/>
        <v>à</v>
      </c>
      <c r="U32" s="314" t="str">
        <f t="shared" si="5"/>
        <v>ah</v>
      </c>
      <c r="V32" s="313" t="str">
        <f t="shared" si="5"/>
        <v>â</v>
      </c>
      <c r="W32" s="313" t="str">
        <f t="shared" si="5"/>
        <v>à</v>
      </c>
      <c r="X32" s="313" t="str">
        <f t="shared" si="5"/>
        <v>ā</v>
      </c>
      <c r="Y32" s="314" t="str">
        <f t="shared" si="5"/>
        <v>a̍h</v>
      </c>
      <c r="AA32" s="301">
        <f t="shared" si="2"/>
        <v>1</v>
      </c>
      <c r="AB32" s="301">
        <f t="shared" si="3"/>
        <v>1</v>
      </c>
      <c r="AC32" s="301" t="str">
        <f t="shared" si="10"/>
        <v>a</v>
      </c>
      <c r="AD32" s="301" t="str">
        <f t="shared" si="10"/>
        <v>á</v>
      </c>
      <c r="AE32" s="301" t="str">
        <f t="shared" si="10"/>
        <v>à</v>
      </c>
      <c r="AF32" s="301" t="str">
        <f t="shared" si="10"/>
        <v>a</v>
      </c>
      <c r="AG32" s="301" t="str">
        <f t="shared" si="10"/>
        <v>â</v>
      </c>
      <c r="AH32" s="301" t="str">
        <f t="shared" si="10"/>
        <v>à</v>
      </c>
      <c r="AI32" s="301" t="str">
        <f t="shared" si="10"/>
        <v>ā</v>
      </c>
      <c r="AJ32" s="301" t="str">
        <f t="shared" si="10"/>
        <v>a̍</v>
      </c>
    </row>
    <row r="33" spans="13:36" ht="32.25">
      <c r="M33" s="304">
        <v>29</v>
      </c>
      <c r="N33" s="308" t="s">
        <v>199</v>
      </c>
      <c r="O33" s="312" t="str" cm="1">
        <f t="array" ref="O33">INDEX(韻母對照表, (($M33-1)*2 +1), $O$1)</f>
        <v>i</v>
      </c>
      <c r="P33" s="312" t="str" cm="1">
        <f t="array" ref="P33">INDEX(韻母對照表, (($M33-1)*2 +2), $O$1)</f>
        <v>ih</v>
      </c>
      <c r="Q33" s="308" t="s">
        <v>200</v>
      </c>
      <c r="R33" s="313" t="str">
        <f t="shared" si="5"/>
        <v>i</v>
      </c>
      <c r="S33" s="313" t="str">
        <f t="shared" si="5"/>
        <v>í</v>
      </c>
      <c r="T33" s="313" t="str">
        <f t="shared" si="5"/>
        <v>ì</v>
      </c>
      <c r="U33" s="314" t="str">
        <f t="shared" si="5"/>
        <v>ih</v>
      </c>
      <c r="V33" s="313" t="str">
        <f t="shared" si="5"/>
        <v>î</v>
      </c>
      <c r="W33" s="313" t="str">
        <f t="shared" si="5"/>
        <v>ì</v>
      </c>
      <c r="X33" s="313" t="str">
        <f t="shared" si="5"/>
        <v>ī</v>
      </c>
      <c r="Y33" s="314" t="str">
        <f t="shared" si="5"/>
        <v>i̍h</v>
      </c>
      <c r="AA33" s="301">
        <f t="shared" si="2"/>
        <v>1</v>
      </c>
      <c r="AB33" s="301">
        <f t="shared" si="3"/>
        <v>3</v>
      </c>
      <c r="AC33" s="301" t="str">
        <f t="shared" si="10"/>
        <v>i</v>
      </c>
      <c r="AD33" s="301" t="str">
        <f t="shared" si="10"/>
        <v>í</v>
      </c>
      <c r="AE33" s="301" t="str">
        <f t="shared" si="10"/>
        <v>ì</v>
      </c>
      <c r="AF33" s="301" t="str">
        <f t="shared" si="10"/>
        <v>i</v>
      </c>
      <c r="AG33" s="301" t="str">
        <f t="shared" si="10"/>
        <v>î</v>
      </c>
      <c r="AH33" s="301" t="str">
        <f t="shared" si="10"/>
        <v>ì</v>
      </c>
      <c r="AI33" s="301" t="str">
        <f t="shared" si="10"/>
        <v>ī</v>
      </c>
      <c r="AJ33" s="301" t="str">
        <f t="shared" si="10"/>
        <v>i̍</v>
      </c>
    </row>
    <row r="34" spans="13:36" ht="32.25">
      <c r="M34" s="304">
        <v>30</v>
      </c>
      <c r="N34" s="308" t="s">
        <v>241</v>
      </c>
      <c r="O34" s="312" t="str" cm="1">
        <f t="array" ref="O34">INDEX(韻母對照表, (($M34-1)*2 +1), $O$1)</f>
        <v>iu</v>
      </c>
      <c r="P34" s="312" t="str" cm="1">
        <f t="array" ref="P34">INDEX(韻母對照表, (($M34-1)*2 +2), $O$1)</f>
        <v>iuh</v>
      </c>
      <c r="Q34" s="308" t="s">
        <v>245</v>
      </c>
      <c r="R34" s="313" t="str">
        <f t="shared" si="5"/>
        <v>iu</v>
      </c>
      <c r="S34" s="313" t="str">
        <f t="shared" si="5"/>
        <v>iú</v>
      </c>
      <c r="T34" s="313" t="str">
        <f t="shared" si="5"/>
        <v>iù</v>
      </c>
      <c r="U34" s="314" t="str">
        <f t="shared" si="5"/>
        <v>iuh</v>
      </c>
      <c r="V34" s="313" t="str">
        <f t="shared" si="5"/>
        <v>iû</v>
      </c>
      <c r="W34" s="313" t="str">
        <f t="shared" si="5"/>
        <v>iù</v>
      </c>
      <c r="X34" s="313" t="str">
        <f t="shared" si="5"/>
        <v>iū</v>
      </c>
      <c r="Y34" s="314" t="str">
        <f t="shared" si="5"/>
        <v>iu̍h</v>
      </c>
      <c r="AA34" s="301">
        <f t="shared" si="2"/>
        <v>2</v>
      </c>
      <c r="AB34" s="301">
        <f t="shared" si="3"/>
        <v>6</v>
      </c>
      <c r="AC34" s="301" t="str">
        <f t="shared" si="10"/>
        <v>u</v>
      </c>
      <c r="AD34" s="301" t="str">
        <f t="shared" si="10"/>
        <v>ú</v>
      </c>
      <c r="AE34" s="301" t="str">
        <f t="shared" si="10"/>
        <v>ù</v>
      </c>
      <c r="AF34" s="301" t="str">
        <f t="shared" si="10"/>
        <v>u</v>
      </c>
      <c r="AG34" s="301" t="str">
        <f t="shared" si="10"/>
        <v>û</v>
      </c>
      <c r="AH34" s="301" t="str">
        <f t="shared" si="10"/>
        <v>ù</v>
      </c>
      <c r="AI34" s="301" t="str">
        <f t="shared" si="10"/>
        <v>ū</v>
      </c>
      <c r="AJ34" s="301" t="str">
        <f t="shared" si="10"/>
        <v>u̍</v>
      </c>
    </row>
    <row r="35" spans="13:36" ht="32.25">
      <c r="M35" s="304">
        <v>31</v>
      </c>
      <c r="N35" s="308" t="s">
        <v>193</v>
      </c>
      <c r="O35" s="312" t="str" cm="1">
        <f t="array" ref="O35">INDEX(韻母對照表, (($M35-1)*2 +1), $O$1)</f>
        <v>enn</v>
      </c>
      <c r="P35" s="312" t="str" cm="1">
        <f t="array" ref="P35">INDEX(韻母對照表, (($M35-1)*2 +2), $O$1)</f>
        <v>ennh</v>
      </c>
      <c r="Q35" s="308" t="s">
        <v>160</v>
      </c>
      <c r="R35" s="313" t="str">
        <f t="shared" si="5"/>
        <v>enn</v>
      </c>
      <c r="S35" s="313" t="str">
        <f t="shared" si="5"/>
        <v>énn</v>
      </c>
      <c r="T35" s="313" t="str">
        <f t="shared" si="5"/>
        <v>ènn</v>
      </c>
      <c r="U35" s="314" t="str">
        <f t="shared" si="5"/>
        <v>ennh</v>
      </c>
      <c r="V35" s="313" t="str">
        <f t="shared" si="5"/>
        <v>ênn</v>
      </c>
      <c r="W35" s="313" t="str">
        <f t="shared" si="5"/>
        <v>ènn</v>
      </c>
      <c r="X35" s="313" t="str">
        <f t="shared" si="5"/>
        <v>ēnn</v>
      </c>
      <c r="Y35" s="314" t="str">
        <f t="shared" si="5"/>
        <v>e̍nnh</v>
      </c>
      <c r="AA35" s="301">
        <f t="shared" si="2"/>
        <v>1</v>
      </c>
      <c r="AB35" s="301">
        <f t="shared" si="3"/>
        <v>2</v>
      </c>
      <c r="AC35" s="301" t="str">
        <f t="shared" ref="AC35:AJ44" si="11">INDEX($D$5:$K$12, $AB35, AC$4)</f>
        <v>e</v>
      </c>
      <c r="AD35" s="301" t="str">
        <f t="shared" si="11"/>
        <v>é</v>
      </c>
      <c r="AE35" s="301" t="str">
        <f t="shared" si="11"/>
        <v>è</v>
      </c>
      <c r="AF35" s="301" t="str">
        <f t="shared" si="11"/>
        <v>e</v>
      </c>
      <c r="AG35" s="301" t="str">
        <f t="shared" si="11"/>
        <v>ê</v>
      </c>
      <c r="AH35" s="301" t="str">
        <f t="shared" si="11"/>
        <v>è</v>
      </c>
      <c r="AI35" s="301" t="str">
        <f t="shared" si="11"/>
        <v>ē</v>
      </c>
      <c r="AJ35" s="301" t="str">
        <f t="shared" si="11"/>
        <v>e̍</v>
      </c>
    </row>
    <row r="36" spans="13:36" ht="32.25">
      <c r="M36" s="304">
        <v>32</v>
      </c>
      <c r="N36" s="308" t="s">
        <v>253</v>
      </c>
      <c r="O36" s="312" t="str" cm="1">
        <f t="array" ref="O36">INDEX(韻母對照表, (($M36-1)*2 +1), $O$1)</f>
        <v>uinn</v>
      </c>
      <c r="P36" s="312" t="str" cm="1">
        <f t="array" ref="P36">INDEX(韻母對照表, (($M36-1)*2 +2), $O$1)</f>
        <v>uinnh</v>
      </c>
      <c r="Q36" s="308" t="s">
        <v>245</v>
      </c>
      <c r="R36" s="313" t="str">
        <f t="shared" si="5"/>
        <v>uinn</v>
      </c>
      <c r="S36" s="313" t="str">
        <f t="shared" si="5"/>
        <v>úinn</v>
      </c>
      <c r="T36" s="313" t="str">
        <f t="shared" si="5"/>
        <v>ùinn</v>
      </c>
      <c r="U36" s="314" t="str">
        <f t="shared" si="5"/>
        <v>uinnh</v>
      </c>
      <c r="V36" s="313" t="str">
        <f t="shared" si="5"/>
        <v>ûinn</v>
      </c>
      <c r="W36" s="313" t="str">
        <f t="shared" si="5"/>
        <v>ùinn</v>
      </c>
      <c r="X36" s="313" t="str">
        <f t="shared" si="5"/>
        <v>ūinn</v>
      </c>
      <c r="Y36" s="314" t="str">
        <f t="shared" si="5"/>
        <v>u̍innh</v>
      </c>
      <c r="AA36" s="301">
        <f t="shared" si="2"/>
        <v>1</v>
      </c>
      <c r="AB36" s="301">
        <f t="shared" si="3"/>
        <v>6</v>
      </c>
      <c r="AC36" s="301" t="str">
        <f t="shared" si="11"/>
        <v>u</v>
      </c>
      <c r="AD36" s="301" t="str">
        <f t="shared" si="11"/>
        <v>ú</v>
      </c>
      <c r="AE36" s="301" t="str">
        <f t="shared" si="11"/>
        <v>ù</v>
      </c>
      <c r="AF36" s="301" t="str">
        <f t="shared" si="11"/>
        <v>u</v>
      </c>
      <c r="AG36" s="301" t="str">
        <f t="shared" si="11"/>
        <v>û</v>
      </c>
      <c r="AH36" s="301" t="str">
        <f t="shared" si="11"/>
        <v>ù</v>
      </c>
      <c r="AI36" s="301" t="str">
        <f t="shared" si="11"/>
        <v>ū</v>
      </c>
      <c r="AJ36" s="301" t="str">
        <f t="shared" si="11"/>
        <v>u̍</v>
      </c>
    </row>
    <row r="37" spans="13:36" ht="32.25">
      <c r="M37" s="304">
        <v>33</v>
      </c>
      <c r="N37" s="308" t="s">
        <v>235</v>
      </c>
      <c r="O37" s="312" t="str" cm="1">
        <f t="array" ref="O37">INDEX(韻母對照表, (($M37-1)*2 +1), $O$1)</f>
        <v>io</v>
      </c>
      <c r="P37" s="312" t="str" cm="1">
        <f t="array" ref="P37">INDEX(韻母對照表, (($M37-1)*2 +2), $O$1)</f>
        <v>ioh</v>
      </c>
      <c r="Q37" s="308" t="s">
        <v>215</v>
      </c>
      <c r="R37" s="313" t="str">
        <f t="shared" si="5"/>
        <v>io</v>
      </c>
      <c r="S37" s="313" t="str">
        <f t="shared" si="5"/>
        <v>ió</v>
      </c>
      <c r="T37" s="313" t="str">
        <f t="shared" si="5"/>
        <v>iò</v>
      </c>
      <c r="U37" s="314" t="str">
        <f t="shared" si="5"/>
        <v>ioh</v>
      </c>
      <c r="V37" s="313" t="str">
        <f t="shared" si="5"/>
        <v>iô</v>
      </c>
      <c r="W37" s="313" t="str">
        <f t="shared" si="5"/>
        <v>iò</v>
      </c>
      <c r="X37" s="313" t="str">
        <f t="shared" si="5"/>
        <v>iō</v>
      </c>
      <c r="Y37" s="314" t="str">
        <f t="shared" si="5"/>
        <v>io̍h</v>
      </c>
      <c r="AA37" s="301">
        <f t="shared" si="2"/>
        <v>2</v>
      </c>
      <c r="AB37" s="301">
        <f t="shared" ref="AB37:AB54" si="12">MATCH(Q37, $C$5:$C$12, 0)</f>
        <v>4</v>
      </c>
      <c r="AC37" s="301" t="str">
        <f t="shared" si="11"/>
        <v>o</v>
      </c>
      <c r="AD37" s="301" t="str">
        <f t="shared" si="11"/>
        <v>ó</v>
      </c>
      <c r="AE37" s="301" t="str">
        <f t="shared" si="11"/>
        <v>ò</v>
      </c>
      <c r="AF37" s="301" t="str">
        <f t="shared" si="11"/>
        <v>o</v>
      </c>
      <c r="AG37" s="301" t="str">
        <f t="shared" si="11"/>
        <v>ô</v>
      </c>
      <c r="AH37" s="301" t="str">
        <f t="shared" si="11"/>
        <v>ò</v>
      </c>
      <c r="AI37" s="301" t="str">
        <f t="shared" si="11"/>
        <v>ō</v>
      </c>
      <c r="AJ37" s="301" t="str">
        <f t="shared" si="11"/>
        <v>o̍</v>
      </c>
    </row>
    <row r="38" spans="13:36" ht="32.25">
      <c r="M38" s="304">
        <v>34</v>
      </c>
      <c r="N38" s="308" t="s">
        <v>203</v>
      </c>
      <c r="O38" s="312" t="str" cm="1">
        <f t="array" ref="O38">INDEX(韻母對照表, (($M38-1)*2 +1), $O$1)</f>
        <v>inn</v>
      </c>
      <c r="P38" s="312" t="str" cm="1">
        <f t="array" ref="P38">INDEX(韻母對照表, (($M38-1)*2 +2), $O$1)</f>
        <v>innh</v>
      </c>
      <c r="Q38" s="308" t="s">
        <v>200</v>
      </c>
      <c r="R38" s="313" t="str">
        <f t="shared" ref="R38:Y54" si="13" xml:space="preserve"> IF(AND(R$4&lt;&gt;4,R$4&lt;&gt;8),  SUBSTITUTE($O38, $Q38,  INDEX($AC38:$AJ38, 1, R$4)),  SUBSTITUTE($P38, $Q38,  INDEX($AC38:$AJ38, 1, R$4)))</f>
        <v>inn</v>
      </c>
      <c r="S38" s="313" t="str">
        <f t="shared" si="13"/>
        <v>ínn</v>
      </c>
      <c r="T38" s="313" t="str">
        <f t="shared" si="13"/>
        <v>ìnn</v>
      </c>
      <c r="U38" s="314" t="str">
        <f t="shared" si="13"/>
        <v>innh</v>
      </c>
      <c r="V38" s="313" t="str">
        <f t="shared" si="13"/>
        <v>înn</v>
      </c>
      <c r="W38" s="313" t="str">
        <f t="shared" si="13"/>
        <v>ìnn</v>
      </c>
      <c r="X38" s="313" t="str">
        <f t="shared" si="13"/>
        <v>īnn</v>
      </c>
      <c r="Y38" s="314" t="str">
        <f t="shared" si="13"/>
        <v>i̍nnh</v>
      </c>
      <c r="AA38" s="301">
        <f t="shared" si="2"/>
        <v>1</v>
      </c>
      <c r="AB38" s="301">
        <f t="shared" si="12"/>
        <v>3</v>
      </c>
      <c r="AC38" s="301" t="str">
        <f t="shared" si="11"/>
        <v>i</v>
      </c>
      <c r="AD38" s="301" t="str">
        <f t="shared" si="11"/>
        <v>í</v>
      </c>
      <c r="AE38" s="301" t="str">
        <f t="shared" si="11"/>
        <v>ì</v>
      </c>
      <c r="AF38" s="301" t="str">
        <f t="shared" si="11"/>
        <v>i</v>
      </c>
      <c r="AG38" s="301" t="str">
        <f t="shared" si="11"/>
        <v>î</v>
      </c>
      <c r="AH38" s="301" t="str">
        <f t="shared" si="11"/>
        <v>ì</v>
      </c>
      <c r="AI38" s="301" t="str">
        <f t="shared" si="11"/>
        <v>ī</v>
      </c>
      <c r="AJ38" s="301" t="str">
        <f t="shared" si="11"/>
        <v>i̍</v>
      </c>
    </row>
    <row r="39" spans="13:36" ht="32.25">
      <c r="M39" s="304">
        <v>35</v>
      </c>
      <c r="N39" s="308" t="s">
        <v>247</v>
      </c>
      <c r="O39" s="312" t="str" cm="1">
        <f t="array" ref="O39">INDEX(韻母對照表, (($M39-1)*2 +1), $O$1)</f>
        <v>ionn</v>
      </c>
      <c r="P39" s="312" t="str" cm="1">
        <f t="array" ref="P39">INDEX(韻母對照表, (($M39-1)*2 +2), $O$1)</f>
        <v>ionnh</v>
      </c>
      <c r="Q39" s="308" t="s">
        <v>215</v>
      </c>
      <c r="R39" s="313" t="str">
        <f t="shared" si="13"/>
        <v>ionn</v>
      </c>
      <c r="S39" s="313" t="str">
        <f t="shared" si="13"/>
        <v>iónn</v>
      </c>
      <c r="T39" s="313" t="str">
        <f t="shared" si="13"/>
        <v>iònn</v>
      </c>
      <c r="U39" s="314" t="str">
        <f t="shared" si="13"/>
        <v>ionnh</v>
      </c>
      <c r="V39" s="313" t="str">
        <f t="shared" si="13"/>
        <v>iônn</v>
      </c>
      <c r="W39" s="313" t="str">
        <f t="shared" si="13"/>
        <v>iònn</v>
      </c>
      <c r="X39" s="313" t="str">
        <f t="shared" si="13"/>
        <v>iōnn</v>
      </c>
      <c r="Y39" s="314" t="str">
        <f t="shared" si="13"/>
        <v>io̍nnh</v>
      </c>
      <c r="AA39" s="301">
        <f t="shared" si="2"/>
        <v>2</v>
      </c>
      <c r="AB39" s="301">
        <f t="shared" si="12"/>
        <v>4</v>
      </c>
      <c r="AC39" s="301" t="str">
        <f t="shared" si="11"/>
        <v>o</v>
      </c>
      <c r="AD39" s="301" t="str">
        <f t="shared" si="11"/>
        <v>ó</v>
      </c>
      <c r="AE39" s="301" t="str">
        <f t="shared" si="11"/>
        <v>ò</v>
      </c>
      <c r="AF39" s="301" t="str">
        <f t="shared" si="11"/>
        <v>o</v>
      </c>
      <c r="AG39" s="301" t="str">
        <f t="shared" si="11"/>
        <v>ô</v>
      </c>
      <c r="AH39" s="301" t="str">
        <f t="shared" si="11"/>
        <v>ò</v>
      </c>
      <c r="AI39" s="301" t="str">
        <f t="shared" si="11"/>
        <v>ō</v>
      </c>
      <c r="AJ39" s="301" t="str">
        <f t="shared" si="11"/>
        <v>o̍</v>
      </c>
    </row>
    <row r="40" spans="13:36" ht="32.25">
      <c r="M40" s="304">
        <v>36</v>
      </c>
      <c r="N40" s="308" t="s">
        <v>217</v>
      </c>
      <c r="O40" s="312" t="str" cm="1">
        <f t="array" ref="O40">INDEX(韻母對照表, (($M40-1)*2 +1), $O$1)</f>
        <v>iann</v>
      </c>
      <c r="P40" s="312" t="str" cm="1">
        <f t="array" ref="P40">INDEX(韻母對照表, (($M40-1)*2 +2), $O$1)</f>
        <v>iannh</v>
      </c>
      <c r="Q40" s="308" t="s">
        <v>139</v>
      </c>
      <c r="R40" s="313" t="str">
        <f t="shared" si="13"/>
        <v>iann</v>
      </c>
      <c r="S40" s="313" t="str">
        <f t="shared" si="13"/>
        <v>iánn</v>
      </c>
      <c r="T40" s="313" t="str">
        <f t="shared" si="13"/>
        <v>iànn</v>
      </c>
      <c r="U40" s="314" t="str">
        <f t="shared" si="13"/>
        <v>iannh</v>
      </c>
      <c r="V40" s="313" t="str">
        <f t="shared" si="13"/>
        <v>iânn</v>
      </c>
      <c r="W40" s="313" t="str">
        <f t="shared" si="13"/>
        <v>iànn</v>
      </c>
      <c r="X40" s="313" t="str">
        <f t="shared" si="13"/>
        <v>iānn</v>
      </c>
      <c r="Y40" s="314" t="str">
        <f t="shared" si="13"/>
        <v>ia̍nnh</v>
      </c>
      <c r="AA40" s="301">
        <f t="shared" si="2"/>
        <v>2</v>
      </c>
      <c r="AB40" s="301">
        <f t="shared" si="12"/>
        <v>1</v>
      </c>
      <c r="AC40" s="301" t="str">
        <f t="shared" si="11"/>
        <v>a</v>
      </c>
      <c r="AD40" s="301" t="str">
        <f t="shared" si="11"/>
        <v>á</v>
      </c>
      <c r="AE40" s="301" t="str">
        <f t="shared" si="11"/>
        <v>à</v>
      </c>
      <c r="AF40" s="301" t="str">
        <f t="shared" si="11"/>
        <v>a</v>
      </c>
      <c r="AG40" s="301" t="str">
        <f t="shared" si="11"/>
        <v>â</v>
      </c>
      <c r="AH40" s="301" t="str">
        <f t="shared" si="11"/>
        <v>à</v>
      </c>
      <c r="AI40" s="301" t="str">
        <f t="shared" si="11"/>
        <v>ā</v>
      </c>
      <c r="AJ40" s="301" t="str">
        <f t="shared" si="11"/>
        <v>a̍</v>
      </c>
    </row>
    <row r="41" spans="13:36" ht="32.25">
      <c r="M41" s="304">
        <v>37</v>
      </c>
      <c r="N41" s="308" t="s">
        <v>264</v>
      </c>
      <c r="O41" s="312" t="str" cm="1">
        <f t="array" ref="O41">INDEX(韻母對照表, (($M41-1)*2 +1), $O$1)</f>
        <v>uann</v>
      </c>
      <c r="P41" s="312" t="str" cm="1">
        <f t="array" ref="P41">INDEX(韻母對照表, (($M41-1)*2 +2), $O$1)</f>
        <v>uannh</v>
      </c>
      <c r="Q41" s="308" t="s">
        <v>989</v>
      </c>
      <c r="R41" s="313" t="str">
        <f t="shared" si="13"/>
        <v>uann</v>
      </c>
      <c r="S41" s="313" t="str">
        <f t="shared" si="13"/>
        <v>úann</v>
      </c>
      <c r="T41" s="313" t="str">
        <f t="shared" si="13"/>
        <v>ùann</v>
      </c>
      <c r="U41" s="314" t="str">
        <f t="shared" si="13"/>
        <v>uannh</v>
      </c>
      <c r="V41" s="313" t="str">
        <f t="shared" si="13"/>
        <v>ûann</v>
      </c>
      <c r="W41" s="313" t="str">
        <f t="shared" si="13"/>
        <v>ùann</v>
      </c>
      <c r="X41" s="313" t="str">
        <f t="shared" si="13"/>
        <v>ūann</v>
      </c>
      <c r="Y41" s="314" t="str">
        <f t="shared" si="13"/>
        <v>u̍annh</v>
      </c>
      <c r="AA41" s="301">
        <f t="shared" si="2"/>
        <v>1</v>
      </c>
      <c r="AB41" s="301">
        <f t="shared" si="12"/>
        <v>6</v>
      </c>
      <c r="AC41" s="301" t="str">
        <f t="shared" si="11"/>
        <v>u</v>
      </c>
      <c r="AD41" s="301" t="str">
        <f t="shared" si="11"/>
        <v>ú</v>
      </c>
      <c r="AE41" s="301" t="str">
        <f t="shared" si="11"/>
        <v>ù</v>
      </c>
      <c r="AF41" s="301" t="str">
        <f t="shared" si="11"/>
        <v>u</v>
      </c>
      <c r="AG41" s="301" t="str">
        <f t="shared" si="11"/>
        <v>û</v>
      </c>
      <c r="AH41" s="301" t="str">
        <f t="shared" si="11"/>
        <v>ù</v>
      </c>
      <c r="AI41" s="301" t="str">
        <f t="shared" si="11"/>
        <v>ū</v>
      </c>
      <c r="AJ41" s="301" t="str">
        <f t="shared" si="11"/>
        <v>u̍</v>
      </c>
    </row>
    <row r="42" spans="13:36" ht="32.25">
      <c r="M42" s="304">
        <v>38</v>
      </c>
      <c r="N42" s="308" t="s">
        <v>260</v>
      </c>
      <c r="O42" s="312" t="str" cm="1">
        <f t="array" ref="O42">INDEX(韻母對照表, (($M42-1)*2 +1), $O$1)</f>
        <v>ng</v>
      </c>
      <c r="P42" s="312" t="str" cm="1">
        <f t="array" ref="P42">INDEX(韻母對照表, (($M42-1)*2 +2), $O$1)</f>
        <v>ngh</v>
      </c>
      <c r="Q42" s="308" t="s">
        <v>48</v>
      </c>
      <c r="R42" s="313" t="str">
        <f t="shared" si="13"/>
        <v>ng</v>
      </c>
      <c r="S42" s="313" t="str">
        <f t="shared" si="13"/>
        <v>ńg</v>
      </c>
      <c r="T42" s="313" t="str">
        <f t="shared" si="13"/>
        <v xml:space="preserve">ǹ </v>
      </c>
      <c r="U42" s="314" t="str">
        <f t="shared" si="13"/>
        <v>ngh</v>
      </c>
      <c r="V42" s="313" t="str">
        <f t="shared" si="13"/>
        <v>n̂gh</v>
      </c>
      <c r="W42" s="313" t="str">
        <f t="shared" si="13"/>
        <v>0</v>
      </c>
      <c r="X42" s="313" t="str">
        <f t="shared" si="13"/>
        <v>n̄g</v>
      </c>
      <c r="Y42" s="314" t="str">
        <f t="shared" si="13"/>
        <v>n̍gh</v>
      </c>
      <c r="AA42" s="301">
        <f t="shared" si="2"/>
        <v>1</v>
      </c>
      <c r="AB42" s="301">
        <f t="shared" si="12"/>
        <v>8</v>
      </c>
      <c r="AC42" s="301" t="str">
        <f t="shared" si="11"/>
        <v>ng</v>
      </c>
      <c r="AD42" s="301" t="str">
        <f t="shared" si="11"/>
        <v>ńg</v>
      </c>
      <c r="AE42" s="301" t="str">
        <f t="shared" si="11"/>
        <v xml:space="preserve">ǹ </v>
      </c>
      <c r="AF42" s="301" t="str">
        <f t="shared" si="11"/>
        <v>ng</v>
      </c>
      <c r="AG42" s="301" t="str">
        <f t="shared" si="11"/>
        <v>n̂gh</v>
      </c>
      <c r="AH42" s="301">
        <f t="shared" si="11"/>
        <v>0</v>
      </c>
      <c r="AI42" s="301" t="str">
        <f t="shared" si="11"/>
        <v>n̄g</v>
      </c>
      <c r="AJ42" s="301" t="str">
        <f t="shared" si="11"/>
        <v>n̍g</v>
      </c>
    </row>
    <row r="43" spans="13:36" ht="32.25">
      <c r="M43" s="304">
        <v>39</v>
      </c>
      <c r="N43" s="308" t="s">
        <v>189</v>
      </c>
      <c r="O43" s="312" t="str" cm="1">
        <f t="array" ref="O43">INDEX(韻母對照表, (($M43-1)*2 +1), $O$1)</f>
        <v>e</v>
      </c>
      <c r="P43" s="312" t="str" cm="1">
        <f t="array" ref="P43">INDEX(韻母對照表, (($M43-1)*2 +2), $O$1)</f>
        <v>eh</v>
      </c>
      <c r="Q43" s="308" t="s">
        <v>160</v>
      </c>
      <c r="R43" s="313" t="str">
        <f t="shared" si="13"/>
        <v>e</v>
      </c>
      <c r="S43" s="313" t="str">
        <f t="shared" si="13"/>
        <v>é</v>
      </c>
      <c r="T43" s="313" t="str">
        <f t="shared" si="13"/>
        <v>è</v>
      </c>
      <c r="U43" s="314" t="str">
        <f t="shared" si="13"/>
        <v>eh</v>
      </c>
      <c r="V43" s="313" t="str">
        <f t="shared" si="13"/>
        <v>ê</v>
      </c>
      <c r="W43" s="313" t="str">
        <f t="shared" si="13"/>
        <v>è</v>
      </c>
      <c r="X43" s="313" t="str">
        <f t="shared" si="13"/>
        <v>ē</v>
      </c>
      <c r="Y43" s="314" t="str">
        <f t="shared" si="13"/>
        <v>e̍h</v>
      </c>
      <c r="AA43" s="301">
        <f t="shared" si="2"/>
        <v>1</v>
      </c>
      <c r="AB43" s="301">
        <f t="shared" si="12"/>
        <v>2</v>
      </c>
      <c r="AC43" s="301" t="str">
        <f t="shared" si="11"/>
        <v>e</v>
      </c>
      <c r="AD43" s="301" t="str">
        <f t="shared" si="11"/>
        <v>é</v>
      </c>
      <c r="AE43" s="301" t="str">
        <f t="shared" si="11"/>
        <v>è</v>
      </c>
      <c r="AF43" s="301" t="str">
        <f t="shared" si="11"/>
        <v>e</v>
      </c>
      <c r="AG43" s="301" t="str">
        <f t="shared" si="11"/>
        <v>ê</v>
      </c>
      <c r="AH43" s="301" t="str">
        <f t="shared" si="11"/>
        <v>è</v>
      </c>
      <c r="AI43" s="301" t="str">
        <f t="shared" si="11"/>
        <v>ē</v>
      </c>
      <c r="AJ43" s="301" t="str">
        <f t="shared" si="11"/>
        <v>e̍</v>
      </c>
    </row>
    <row r="44" spans="13:36" ht="32.25">
      <c r="M44" s="304">
        <v>40</v>
      </c>
      <c r="N44" s="308" t="s">
        <v>156</v>
      </c>
      <c r="O44" s="312" t="str" cm="1">
        <f t="array" ref="O44">INDEX(韻母對照表, (($M44-1)*2 +1), $O$1)</f>
        <v>ainn</v>
      </c>
      <c r="P44" s="312" t="str" cm="1">
        <f t="array" ref="P44">INDEX(韻母對照表, (($M44-1)*2 +2), $O$1)</f>
        <v>ainnh</v>
      </c>
      <c r="Q44" s="308" t="s">
        <v>139</v>
      </c>
      <c r="R44" s="313" t="str">
        <f t="shared" si="13"/>
        <v>ainn</v>
      </c>
      <c r="S44" s="313" t="str">
        <f t="shared" si="13"/>
        <v>áinn</v>
      </c>
      <c r="T44" s="313" t="str">
        <f t="shared" si="13"/>
        <v>àinn</v>
      </c>
      <c r="U44" s="314" t="str">
        <f t="shared" si="13"/>
        <v>ainnh</v>
      </c>
      <c r="V44" s="313" t="str">
        <f t="shared" si="13"/>
        <v>âinn</v>
      </c>
      <c r="W44" s="313" t="str">
        <f t="shared" si="13"/>
        <v>àinn</v>
      </c>
      <c r="X44" s="313" t="str">
        <f t="shared" si="13"/>
        <v>āinn</v>
      </c>
      <c r="Y44" s="314" t="str">
        <f t="shared" si="13"/>
        <v>a̍innh</v>
      </c>
      <c r="AA44" s="301">
        <f t="shared" si="2"/>
        <v>1</v>
      </c>
      <c r="AB44" s="301">
        <f t="shared" si="12"/>
        <v>1</v>
      </c>
      <c r="AC44" s="301" t="str">
        <f t="shared" si="11"/>
        <v>a</v>
      </c>
      <c r="AD44" s="301" t="str">
        <f t="shared" si="11"/>
        <v>á</v>
      </c>
      <c r="AE44" s="301" t="str">
        <f t="shared" si="11"/>
        <v>à</v>
      </c>
      <c r="AF44" s="301" t="str">
        <f t="shared" si="11"/>
        <v>a</v>
      </c>
      <c r="AG44" s="301" t="str">
        <f t="shared" si="11"/>
        <v>â</v>
      </c>
      <c r="AH44" s="301" t="str">
        <f t="shared" si="11"/>
        <v>à</v>
      </c>
      <c r="AI44" s="301" t="str">
        <f t="shared" si="11"/>
        <v>ā</v>
      </c>
      <c r="AJ44" s="301" t="str">
        <f t="shared" si="11"/>
        <v>a̍</v>
      </c>
    </row>
    <row r="45" spans="13:36" ht="32.25">
      <c r="M45" s="304">
        <v>41</v>
      </c>
      <c r="N45" s="308" t="s">
        <v>256</v>
      </c>
      <c r="O45" s="312" t="str" cm="1">
        <f t="array" ref="O45">INDEX(韻母對照表, (($M45-1)*2 +1), $O$1)</f>
        <v>onn</v>
      </c>
      <c r="P45" s="312" t="str" cm="1">
        <f t="array" ref="P45">INDEX(韻母對照表, (($M45-1)*2 +2), $O$1)</f>
        <v>onnh</v>
      </c>
      <c r="Q45" s="308" t="s">
        <v>215</v>
      </c>
      <c r="R45" s="313" t="str">
        <f t="shared" si="13"/>
        <v>onn</v>
      </c>
      <c r="S45" s="313" t="str">
        <f t="shared" si="13"/>
        <v>ónn</v>
      </c>
      <c r="T45" s="313" t="str">
        <f t="shared" si="13"/>
        <v>ònn</v>
      </c>
      <c r="U45" s="314" t="str">
        <f t="shared" si="13"/>
        <v>onnh</v>
      </c>
      <c r="V45" s="313" t="str">
        <f t="shared" si="13"/>
        <v>ônn</v>
      </c>
      <c r="W45" s="313" t="str">
        <f t="shared" si="13"/>
        <v>ònn</v>
      </c>
      <c r="X45" s="313" t="str">
        <f t="shared" si="13"/>
        <v>ōnn</v>
      </c>
      <c r="Y45" s="314" t="str">
        <f t="shared" si="13"/>
        <v>o̍nnh</v>
      </c>
      <c r="AA45" s="301">
        <f t="shared" si="2"/>
        <v>1</v>
      </c>
      <c r="AB45" s="301">
        <f t="shared" si="12"/>
        <v>4</v>
      </c>
      <c r="AC45" s="301" t="str">
        <f t="shared" ref="AC45:AJ54" si="14">INDEX($D$5:$K$12, $AB45, AC$4)</f>
        <v>o</v>
      </c>
      <c r="AD45" s="301" t="str">
        <f t="shared" si="14"/>
        <v>ó</v>
      </c>
      <c r="AE45" s="301" t="str">
        <f t="shared" si="14"/>
        <v>ò</v>
      </c>
      <c r="AF45" s="301" t="str">
        <f t="shared" si="14"/>
        <v>o</v>
      </c>
      <c r="AG45" s="301" t="str">
        <f t="shared" si="14"/>
        <v>ô</v>
      </c>
      <c r="AH45" s="301" t="str">
        <f t="shared" si="14"/>
        <v>ò</v>
      </c>
      <c r="AI45" s="301" t="str">
        <f t="shared" si="14"/>
        <v>ō</v>
      </c>
      <c r="AJ45" s="301" t="str">
        <f t="shared" si="14"/>
        <v>o̍</v>
      </c>
    </row>
    <row r="46" spans="13:36" ht="32.25">
      <c r="M46" s="304">
        <v>42</v>
      </c>
      <c r="N46" s="308" t="s">
        <v>251</v>
      </c>
      <c r="O46" s="312" t="str" cm="1">
        <f t="array" ref="O46">INDEX(韻母對照表, (($M46-1)*2 +1), $O$1)</f>
        <v>m</v>
      </c>
      <c r="P46" s="312" t="str" cm="1">
        <f t="array" ref="P46">INDEX(韻母對照表, (($M46-1)*2 +2), $O$1)</f>
        <v>mh</v>
      </c>
      <c r="Q46" s="308" t="s">
        <v>27</v>
      </c>
      <c r="R46" s="313" t="str">
        <f t="shared" si="13"/>
        <v>m</v>
      </c>
      <c r="S46" s="313" t="str">
        <f t="shared" si="13"/>
        <v xml:space="preserve"> ḿ</v>
      </c>
      <c r="T46" s="313" t="str">
        <f t="shared" si="13"/>
        <v>m̀</v>
      </c>
      <c r="U46" s="314" t="str">
        <f t="shared" si="13"/>
        <v>mh</v>
      </c>
      <c r="V46" s="313" t="str">
        <f t="shared" si="13"/>
        <v>m̂</v>
      </c>
      <c r="W46" s="313" t="str">
        <f t="shared" si="13"/>
        <v>m̀</v>
      </c>
      <c r="X46" s="313" t="str">
        <f t="shared" si="13"/>
        <v>m̄</v>
      </c>
      <c r="Y46" s="314" t="str">
        <f t="shared" si="13"/>
        <v>m̍h</v>
      </c>
      <c r="AA46" s="301">
        <f t="shared" si="2"/>
        <v>1</v>
      </c>
      <c r="AB46" s="301">
        <f t="shared" si="12"/>
        <v>7</v>
      </c>
      <c r="AC46" s="301" t="str">
        <f t="shared" si="14"/>
        <v>m</v>
      </c>
      <c r="AD46" s="301" t="str">
        <f t="shared" si="14"/>
        <v xml:space="preserve"> ḿ</v>
      </c>
      <c r="AE46" s="301" t="str">
        <f t="shared" si="14"/>
        <v>m̀</v>
      </c>
      <c r="AF46" s="301" t="str">
        <f t="shared" si="14"/>
        <v>m</v>
      </c>
      <c r="AG46" s="301" t="str">
        <f t="shared" si="14"/>
        <v>m̂</v>
      </c>
      <c r="AH46" s="301" t="str">
        <f t="shared" si="14"/>
        <v>m̀</v>
      </c>
      <c r="AI46" s="301" t="str">
        <f t="shared" si="14"/>
        <v>m̄</v>
      </c>
      <c r="AJ46" s="301" t="str">
        <f t="shared" si="14"/>
        <v>m̍</v>
      </c>
    </row>
    <row r="47" spans="13:36" ht="32.25">
      <c r="M47" s="304">
        <v>43</v>
      </c>
      <c r="N47" s="308" t="s">
        <v>269</v>
      </c>
      <c r="O47" s="312" t="str" cm="1">
        <f t="array" ref="O47">INDEX(韻母對照表, (($M47-1)*2 +1), $O$1)</f>
        <v>uang</v>
      </c>
      <c r="P47" s="312" t="str" cm="1">
        <f t="array" ref="P47">INDEX(韻母對照表, (($M47-1)*2 +2), $O$1)</f>
        <v>uak</v>
      </c>
      <c r="Q47" s="308" t="s">
        <v>139</v>
      </c>
      <c r="R47" s="313" t="str">
        <f t="shared" si="13"/>
        <v>uang</v>
      </c>
      <c r="S47" s="313" t="str">
        <f t="shared" si="13"/>
        <v>uáng</v>
      </c>
      <c r="T47" s="313" t="str">
        <f t="shared" si="13"/>
        <v>uàng</v>
      </c>
      <c r="U47" s="314" t="str">
        <f t="shared" si="13"/>
        <v>uak</v>
      </c>
      <c r="V47" s="313" t="str">
        <f t="shared" si="13"/>
        <v>uâng</v>
      </c>
      <c r="W47" s="313" t="str">
        <f t="shared" si="13"/>
        <v>uàng</v>
      </c>
      <c r="X47" s="313" t="str">
        <f t="shared" si="13"/>
        <v>uāng</v>
      </c>
      <c r="Y47" s="314" t="str">
        <f t="shared" si="13"/>
        <v>ua̍k</v>
      </c>
      <c r="AA47" s="301">
        <f t="shared" si="2"/>
        <v>2</v>
      </c>
      <c r="AB47" s="301">
        <f t="shared" si="12"/>
        <v>1</v>
      </c>
      <c r="AC47" s="301" t="str">
        <f t="shared" si="14"/>
        <v>a</v>
      </c>
      <c r="AD47" s="301" t="str">
        <f t="shared" si="14"/>
        <v>á</v>
      </c>
      <c r="AE47" s="301" t="str">
        <f t="shared" si="14"/>
        <v>à</v>
      </c>
      <c r="AF47" s="301" t="str">
        <f t="shared" si="14"/>
        <v>a</v>
      </c>
      <c r="AG47" s="301" t="str">
        <f t="shared" si="14"/>
        <v>â</v>
      </c>
      <c r="AH47" s="301" t="str">
        <f t="shared" si="14"/>
        <v>à</v>
      </c>
      <c r="AI47" s="301" t="str">
        <f t="shared" si="14"/>
        <v>ā</v>
      </c>
      <c r="AJ47" s="301" t="str">
        <f t="shared" si="14"/>
        <v>a̍</v>
      </c>
    </row>
    <row r="48" spans="13:36" ht="32.25">
      <c r="M48" s="304">
        <v>44</v>
      </c>
      <c r="N48" s="308" t="s">
        <v>276</v>
      </c>
      <c r="O48" s="312" t="str" cm="1">
        <f t="array" ref="O48">INDEX(韻母對照表, (($M48-1)*2 +1), $O$1)</f>
        <v>uainn</v>
      </c>
      <c r="P48" s="312" t="str" cm="1">
        <f t="array" ref="P48">INDEX(韻母對照表, (($M48-1)*2 +2), $O$1)</f>
        <v>uainnh</v>
      </c>
      <c r="Q48" s="308" t="s">
        <v>139</v>
      </c>
      <c r="R48" s="313" t="str">
        <f t="shared" si="13"/>
        <v>uainn</v>
      </c>
      <c r="S48" s="313" t="str">
        <f t="shared" si="13"/>
        <v>uáinn</v>
      </c>
      <c r="T48" s="313" t="str">
        <f t="shared" si="13"/>
        <v>uàinn</v>
      </c>
      <c r="U48" s="314" t="str">
        <f t="shared" si="13"/>
        <v>uainnh</v>
      </c>
      <c r="V48" s="313" t="str">
        <f t="shared" si="13"/>
        <v>uâinn</v>
      </c>
      <c r="W48" s="313" t="str">
        <f t="shared" si="13"/>
        <v>uàinn</v>
      </c>
      <c r="X48" s="313" t="str">
        <f t="shared" si="13"/>
        <v>uāinn</v>
      </c>
      <c r="Y48" s="314" t="str">
        <f t="shared" si="13"/>
        <v>ua̍innh</v>
      </c>
      <c r="AA48" s="301">
        <f t="shared" si="2"/>
        <v>2</v>
      </c>
      <c r="AB48" s="301">
        <f t="shared" si="12"/>
        <v>1</v>
      </c>
      <c r="AC48" s="301" t="str">
        <f t="shared" si="14"/>
        <v>a</v>
      </c>
      <c r="AD48" s="301" t="str">
        <f t="shared" si="14"/>
        <v>á</v>
      </c>
      <c r="AE48" s="301" t="str">
        <f t="shared" si="14"/>
        <v>à</v>
      </c>
      <c r="AF48" s="301" t="str">
        <f t="shared" si="14"/>
        <v>a</v>
      </c>
      <c r="AG48" s="301" t="str">
        <f t="shared" si="14"/>
        <v>â</v>
      </c>
      <c r="AH48" s="301" t="str">
        <f t="shared" si="14"/>
        <v>à</v>
      </c>
      <c r="AI48" s="301" t="str">
        <f t="shared" si="14"/>
        <v>ā</v>
      </c>
      <c r="AJ48" s="301" t="str">
        <f t="shared" si="14"/>
        <v>a̍</v>
      </c>
    </row>
    <row r="49" spans="13:36" ht="32.25">
      <c r="M49" s="304">
        <v>45</v>
      </c>
      <c r="N49" s="308" t="s">
        <v>272</v>
      </c>
      <c r="O49" s="312" t="str" cm="1">
        <f t="array" ref="O49">INDEX(韻母對照表, (($M49-1)*2 +1), $O$1)</f>
        <v>uenn</v>
      </c>
      <c r="P49" s="312" t="str" cm="1">
        <f t="array" ref="P49">INDEX(韻母對照表, (($M49-1)*2 +2), $O$1)</f>
        <v>uennh</v>
      </c>
      <c r="Q49" s="308" t="s">
        <v>989</v>
      </c>
      <c r="R49" s="313" t="str">
        <f t="shared" si="13"/>
        <v>uenn</v>
      </c>
      <c r="S49" s="313" t="str">
        <f t="shared" si="13"/>
        <v>úenn</v>
      </c>
      <c r="T49" s="313" t="str">
        <f t="shared" si="13"/>
        <v>ùenn</v>
      </c>
      <c r="U49" s="314" t="str">
        <f t="shared" si="13"/>
        <v>uennh</v>
      </c>
      <c r="V49" s="313" t="str">
        <f t="shared" si="13"/>
        <v>ûenn</v>
      </c>
      <c r="W49" s="313" t="str">
        <f t="shared" si="13"/>
        <v>ùenn</v>
      </c>
      <c r="X49" s="313" t="str">
        <f t="shared" si="13"/>
        <v>ūenn</v>
      </c>
      <c r="Y49" s="314" t="str">
        <f t="shared" si="13"/>
        <v>u̍ennh</v>
      </c>
      <c r="AA49" s="301">
        <f t="shared" si="2"/>
        <v>1</v>
      </c>
      <c r="AB49" s="301">
        <f t="shared" si="12"/>
        <v>6</v>
      </c>
      <c r="AC49" s="301" t="str">
        <f t="shared" si="14"/>
        <v>u</v>
      </c>
      <c r="AD49" s="301" t="str">
        <f t="shared" si="14"/>
        <v>ú</v>
      </c>
      <c r="AE49" s="301" t="str">
        <f t="shared" si="14"/>
        <v>ù</v>
      </c>
      <c r="AF49" s="301" t="str">
        <f t="shared" si="14"/>
        <v>u</v>
      </c>
      <c r="AG49" s="301" t="str">
        <f t="shared" si="14"/>
        <v>û</v>
      </c>
      <c r="AH49" s="301" t="str">
        <f t="shared" si="14"/>
        <v>ù</v>
      </c>
      <c r="AI49" s="301" t="str">
        <f t="shared" si="14"/>
        <v>ū</v>
      </c>
      <c r="AJ49" s="301" t="str">
        <f t="shared" si="14"/>
        <v>u̍</v>
      </c>
    </row>
    <row r="50" spans="13:36" ht="32.25">
      <c r="M50" s="304">
        <v>46</v>
      </c>
      <c r="N50" s="308" t="s">
        <v>232</v>
      </c>
      <c r="O50" s="312" t="str" cm="1">
        <f t="array" ref="O50">INDEX(韻母對照表, (($M50-1)*2 +1), $O$1)</f>
        <v>iaunn</v>
      </c>
      <c r="P50" s="312" t="str" cm="1">
        <f t="array" ref="P50">INDEX(韻母對照表, (($M50-1)*2 +2), $O$1)</f>
        <v>iaunnh</v>
      </c>
      <c r="Q50" s="308" t="s">
        <v>139</v>
      </c>
      <c r="R50" s="313" t="str">
        <f t="shared" si="13"/>
        <v>iaunn</v>
      </c>
      <c r="S50" s="313" t="str">
        <f t="shared" si="13"/>
        <v>iáunn</v>
      </c>
      <c r="T50" s="313" t="str">
        <f t="shared" si="13"/>
        <v>iàunn</v>
      </c>
      <c r="U50" s="314" t="str">
        <f t="shared" si="13"/>
        <v>iaunnh</v>
      </c>
      <c r="V50" s="313" t="str">
        <f t="shared" si="13"/>
        <v>iâunn</v>
      </c>
      <c r="W50" s="313" t="str">
        <f t="shared" si="13"/>
        <v>iàunn</v>
      </c>
      <c r="X50" s="313" t="str">
        <f t="shared" si="13"/>
        <v>iāunn</v>
      </c>
      <c r="Y50" s="314" t="str">
        <f t="shared" si="13"/>
        <v>ia̍unnh</v>
      </c>
      <c r="AA50" s="301">
        <f t="shared" si="2"/>
        <v>2</v>
      </c>
      <c r="AB50" s="301">
        <f t="shared" si="12"/>
        <v>1</v>
      </c>
      <c r="AC50" s="301" t="str">
        <f t="shared" si="14"/>
        <v>a</v>
      </c>
      <c r="AD50" s="301" t="str">
        <f t="shared" si="14"/>
        <v>á</v>
      </c>
      <c r="AE50" s="301" t="str">
        <f t="shared" si="14"/>
        <v>à</v>
      </c>
      <c r="AF50" s="301" t="str">
        <f t="shared" si="14"/>
        <v>a</v>
      </c>
      <c r="AG50" s="301" t="str">
        <f t="shared" si="14"/>
        <v>â</v>
      </c>
      <c r="AH50" s="301" t="str">
        <f t="shared" si="14"/>
        <v>à</v>
      </c>
      <c r="AI50" s="301" t="str">
        <f t="shared" si="14"/>
        <v>ā</v>
      </c>
      <c r="AJ50" s="301" t="str">
        <f t="shared" si="14"/>
        <v>a̍</v>
      </c>
    </row>
    <row r="51" spans="13:36" ht="32.25">
      <c r="M51" s="304">
        <v>47</v>
      </c>
      <c r="N51" s="308" t="s">
        <v>261</v>
      </c>
      <c r="O51" s="312" t="str" cm="1">
        <f t="array" ref="O51">INDEX(韻母對照表, (($M51-1)*2 +1), $O$1)</f>
        <v>om</v>
      </c>
      <c r="P51" s="312" t="str" cm="1">
        <f t="array" ref="P51">INDEX(韻母對照表, (($M51-1)*2 +2), $O$1)</f>
        <v>op</v>
      </c>
      <c r="Q51" s="308" t="s">
        <v>215</v>
      </c>
      <c r="R51" s="313" t="str">
        <f t="shared" si="13"/>
        <v>om</v>
      </c>
      <c r="S51" s="313" t="str">
        <f t="shared" si="13"/>
        <v>óm</v>
      </c>
      <c r="T51" s="313" t="str">
        <f t="shared" si="13"/>
        <v>òm</v>
      </c>
      <c r="U51" s="314" t="str">
        <f t="shared" si="13"/>
        <v>op</v>
      </c>
      <c r="V51" s="313" t="str">
        <f t="shared" si="13"/>
        <v>ôm</v>
      </c>
      <c r="W51" s="313" t="str">
        <f t="shared" si="13"/>
        <v>òm</v>
      </c>
      <c r="X51" s="313" t="str">
        <f t="shared" si="13"/>
        <v>ōm</v>
      </c>
      <c r="Y51" s="314" t="str">
        <f t="shared" si="13"/>
        <v>o̍p</v>
      </c>
      <c r="AA51" s="301">
        <f t="shared" si="2"/>
        <v>1</v>
      </c>
      <c r="AB51" s="301">
        <f t="shared" si="12"/>
        <v>4</v>
      </c>
      <c r="AC51" s="301" t="str">
        <f t="shared" si="14"/>
        <v>o</v>
      </c>
      <c r="AD51" s="301" t="str">
        <f t="shared" si="14"/>
        <v>ó</v>
      </c>
      <c r="AE51" s="301" t="str">
        <f t="shared" si="14"/>
        <v>ò</v>
      </c>
      <c r="AF51" s="301" t="str">
        <f t="shared" si="14"/>
        <v>o</v>
      </c>
      <c r="AG51" s="301" t="str">
        <f t="shared" si="14"/>
        <v>ô</v>
      </c>
      <c r="AH51" s="301" t="str">
        <f t="shared" si="14"/>
        <v>ò</v>
      </c>
      <c r="AI51" s="301" t="str">
        <f t="shared" si="14"/>
        <v>ō</v>
      </c>
      <c r="AJ51" s="301" t="str">
        <f t="shared" si="14"/>
        <v>o̍</v>
      </c>
    </row>
    <row r="52" spans="13:36" ht="32.25">
      <c r="M52" s="304">
        <v>48</v>
      </c>
      <c r="N52" s="308" t="s">
        <v>183</v>
      </c>
      <c r="O52" s="312" t="str" cm="1">
        <f t="array" ref="O52">INDEX(韻母對照表, (($M52-1)*2 +1), $O$1)</f>
        <v>aunn</v>
      </c>
      <c r="P52" s="312" t="str" cm="1">
        <f t="array" ref="P52">INDEX(韻母對照表, (($M52-1)*2 +2), $O$1)</f>
        <v>aunnh</v>
      </c>
      <c r="Q52" s="308" t="s">
        <v>139</v>
      </c>
      <c r="R52" s="313" t="str">
        <f t="shared" si="13"/>
        <v>aunn</v>
      </c>
      <c r="S52" s="313" t="str">
        <f t="shared" si="13"/>
        <v>áunn</v>
      </c>
      <c r="T52" s="313" t="str">
        <f t="shared" si="13"/>
        <v>àunn</v>
      </c>
      <c r="U52" s="314" t="str">
        <f t="shared" si="13"/>
        <v>aunnh</v>
      </c>
      <c r="V52" s="313" t="str">
        <f t="shared" si="13"/>
        <v>âunn</v>
      </c>
      <c r="W52" s="313" t="str">
        <f t="shared" si="13"/>
        <v>àunn</v>
      </c>
      <c r="X52" s="313" t="str">
        <f t="shared" si="13"/>
        <v>āunn</v>
      </c>
      <c r="Y52" s="314" t="str">
        <f t="shared" si="13"/>
        <v>a̍unnh</v>
      </c>
      <c r="AA52" s="301">
        <f t="shared" si="2"/>
        <v>1</v>
      </c>
      <c r="AB52" s="301">
        <f t="shared" si="12"/>
        <v>1</v>
      </c>
      <c r="AC52" s="301" t="str">
        <f t="shared" si="14"/>
        <v>a</v>
      </c>
      <c r="AD52" s="301" t="str">
        <f t="shared" si="14"/>
        <v>á</v>
      </c>
      <c r="AE52" s="301" t="str">
        <f t="shared" si="14"/>
        <v>à</v>
      </c>
      <c r="AF52" s="301" t="str">
        <f t="shared" si="14"/>
        <v>a</v>
      </c>
      <c r="AG52" s="301" t="str">
        <f t="shared" si="14"/>
        <v>â</v>
      </c>
      <c r="AH52" s="301" t="str">
        <f t="shared" si="14"/>
        <v>à</v>
      </c>
      <c r="AI52" s="301" t="str">
        <f t="shared" si="14"/>
        <v>ā</v>
      </c>
      <c r="AJ52" s="301" t="str">
        <f t="shared" si="14"/>
        <v>a̍</v>
      </c>
    </row>
    <row r="53" spans="13:36" ht="32.25">
      <c r="M53" s="304">
        <v>49</v>
      </c>
      <c r="N53" s="308" t="s">
        <v>267</v>
      </c>
      <c r="O53" s="312" t="str" cm="1">
        <f t="array" ref="O53">INDEX(韻母對照表, (($M53-1)*2 +1), $O$1)</f>
        <v>onn</v>
      </c>
      <c r="P53" s="312" t="str" cm="1">
        <f t="array" ref="P53">INDEX(韻母對照表, (($M53-1)*2 +2), $O$1)</f>
        <v>onnh</v>
      </c>
      <c r="Q53" s="308" t="s">
        <v>215</v>
      </c>
      <c r="R53" s="313" t="str">
        <f t="shared" si="13"/>
        <v>onn</v>
      </c>
      <c r="S53" s="313" t="str">
        <f t="shared" si="13"/>
        <v>ónn</v>
      </c>
      <c r="T53" s="313" t="str">
        <f t="shared" si="13"/>
        <v>ònn</v>
      </c>
      <c r="U53" s="314" t="str">
        <f t="shared" si="13"/>
        <v>onnh</v>
      </c>
      <c r="V53" s="313" t="str">
        <f t="shared" si="13"/>
        <v>ônn</v>
      </c>
      <c r="W53" s="313" t="str">
        <f t="shared" si="13"/>
        <v>ònn</v>
      </c>
      <c r="X53" s="313" t="str">
        <f t="shared" si="13"/>
        <v>ōnn</v>
      </c>
      <c r="Y53" s="314" t="str">
        <f t="shared" si="13"/>
        <v>o̍nnh</v>
      </c>
      <c r="AA53" s="301">
        <f t="shared" si="2"/>
        <v>1</v>
      </c>
      <c r="AB53" s="301">
        <f t="shared" si="12"/>
        <v>4</v>
      </c>
      <c r="AC53" s="301" t="str">
        <f t="shared" si="14"/>
        <v>o</v>
      </c>
      <c r="AD53" s="301" t="str">
        <f t="shared" si="14"/>
        <v>ó</v>
      </c>
      <c r="AE53" s="301" t="str">
        <f t="shared" si="14"/>
        <v>ò</v>
      </c>
      <c r="AF53" s="301" t="str">
        <f t="shared" si="14"/>
        <v>o</v>
      </c>
      <c r="AG53" s="301" t="str">
        <f t="shared" si="14"/>
        <v>ô</v>
      </c>
      <c r="AH53" s="301" t="str">
        <f t="shared" si="14"/>
        <v>ò</v>
      </c>
      <c r="AI53" s="301" t="str">
        <f t="shared" si="14"/>
        <v>ō</v>
      </c>
      <c r="AJ53" s="301" t="str">
        <f t="shared" si="14"/>
        <v>o̍</v>
      </c>
    </row>
    <row r="54" spans="13:36" ht="32.25">
      <c r="M54" s="304">
        <v>50</v>
      </c>
      <c r="N54" s="308" t="s">
        <v>255</v>
      </c>
      <c r="O54" s="312" t="str" cm="1">
        <f t="array" ref="O54">INDEX(韻母對照表, (($M54-1)*2 +1), $O$1)</f>
        <v>iunn</v>
      </c>
      <c r="P54" s="312" t="str" cm="1">
        <f t="array" ref="P54">INDEX(韻母對照表, (($M54-1)*2 +2), $O$1)</f>
        <v>iunnh</v>
      </c>
      <c r="Q54" s="308" t="s">
        <v>245</v>
      </c>
      <c r="R54" s="313" t="str">
        <f t="shared" si="13"/>
        <v>iunn</v>
      </c>
      <c r="S54" s="313" t="str">
        <f t="shared" si="13"/>
        <v>iúnn</v>
      </c>
      <c r="T54" s="313" t="str">
        <f t="shared" si="13"/>
        <v>iùnn</v>
      </c>
      <c r="U54" s="314" t="str">
        <f t="shared" si="13"/>
        <v>iunnh</v>
      </c>
      <c r="V54" s="313" t="str">
        <f t="shared" si="13"/>
        <v>iûnn</v>
      </c>
      <c r="W54" s="313" t="str">
        <f t="shared" si="13"/>
        <v>iùnn</v>
      </c>
      <c r="X54" s="313" t="str">
        <f t="shared" si="13"/>
        <v>iūnn</v>
      </c>
      <c r="Y54" s="314" t="str">
        <f t="shared" si="13"/>
        <v>iu̍nnh</v>
      </c>
      <c r="AA54" s="301">
        <f t="shared" si="2"/>
        <v>2</v>
      </c>
      <c r="AB54" s="301">
        <f t="shared" si="12"/>
        <v>6</v>
      </c>
      <c r="AC54" s="301" t="str">
        <f t="shared" si="14"/>
        <v>u</v>
      </c>
      <c r="AD54" s="301" t="str">
        <f t="shared" si="14"/>
        <v>ú</v>
      </c>
      <c r="AE54" s="301" t="str">
        <f t="shared" si="14"/>
        <v>ù</v>
      </c>
      <c r="AF54" s="301" t="str">
        <f t="shared" si="14"/>
        <v>u</v>
      </c>
      <c r="AG54" s="301" t="str">
        <f t="shared" si="14"/>
        <v>û</v>
      </c>
      <c r="AH54" s="301" t="str">
        <f t="shared" si="14"/>
        <v>ù</v>
      </c>
      <c r="AI54" s="301" t="str">
        <f t="shared" si="14"/>
        <v>ū</v>
      </c>
      <c r="AJ54" s="301" t="str">
        <f t="shared" si="14"/>
        <v>u̍</v>
      </c>
    </row>
  </sheetData>
  <mergeCells count="9">
    <mergeCell ref="Q3:Q4"/>
    <mergeCell ref="AA3:AA4"/>
    <mergeCell ref="AB3:AB4"/>
    <mergeCell ref="B3:B4"/>
    <mergeCell ref="C3:C4"/>
    <mergeCell ref="M3:M4"/>
    <mergeCell ref="N3:N4"/>
    <mergeCell ref="O3:O4"/>
    <mergeCell ref="P3:P4"/>
  </mergeCells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ADD9-9050-0447-A4DF-D99281170600}">
  <sheetPr codeName="工作表34"/>
  <dimension ref="B2:K73"/>
  <sheetViews>
    <sheetView workbookViewId="0"/>
  </sheetViews>
  <sheetFormatPr defaultColWidth="10.90625" defaultRowHeight="25.5" outlineLevelCol="1"/>
  <cols>
    <col min="1" max="1" width="3.7265625" customWidth="1"/>
    <col min="2" max="2" width="3.90625" customWidth="1"/>
    <col min="3" max="5" width="4.1796875" style="6" customWidth="1"/>
    <col min="7" max="7" width="5.08984375" customWidth="1"/>
    <col min="8" max="8" width="65" hidden="1" customWidth="1" outlineLevel="1"/>
    <col min="9" max="9" width="10.7265625" collapsed="1"/>
    <col min="10" max="10" width="10.7265625" style="6"/>
    <col min="11" max="11" width="10.7265625" style="23"/>
  </cols>
  <sheetData>
    <row r="2" spans="2:11">
      <c r="B2" t="s">
        <v>3774</v>
      </c>
      <c r="C2" s="206" t="s">
        <v>3775</v>
      </c>
    </row>
    <row r="3" spans="2:11">
      <c r="C3" s="207"/>
    </row>
    <row r="4" spans="2:11">
      <c r="B4" t="s">
        <v>3776</v>
      </c>
      <c r="C4" s="206" t="s">
        <v>3777</v>
      </c>
    </row>
    <row r="6" spans="2:11">
      <c r="H6" s="201" t="str">
        <f xml:space="preserve"> C2</f>
        <v>柳l、邊p、求k、去kh、地t、頗ph、他th、曾ts、入dz、時s、鶯y、門m、語g、出tsh、喜h</v>
      </c>
    </row>
    <row r="7" spans="2:11">
      <c r="B7" s="119" cm="1">
        <f t="array" ref="B7" xml:space="preserve"> ROW() - ROW($6:$6)</f>
        <v>1</v>
      </c>
      <c r="C7" s="6">
        <v>1</v>
      </c>
      <c r="D7" s="6">
        <f t="shared" ref="D7:D20" si="0" xml:space="preserve"> IFERROR( SEARCH("、", H6, C7), "")</f>
        <v>3</v>
      </c>
      <c r="E7" s="6" t="str">
        <f t="shared" ref="E7:E20" si="1" xml:space="preserve"> LEFT(H6)</f>
        <v>柳</v>
      </c>
      <c r="F7" s="200" t="str">
        <f t="shared" ref="F7:F20" si="2" xml:space="preserve"> IFERROR( MID(H6,C7,D7-1), H6)</f>
        <v>柳l</v>
      </c>
      <c r="G7">
        <f xml:space="preserve"> LEN(F7)</f>
        <v>2</v>
      </c>
      <c r="H7" t="str">
        <f t="shared" ref="H7:H20" si="3" xml:space="preserve"> IFERROR( RIGHT(H6, LEN(H6) - D7), "")</f>
        <v>邊p、求k、去kh、地t、頗ph、他th、曾ts、入dz、時s、鶯y、門m、語g、出tsh、喜h</v>
      </c>
      <c r="J7" s="6" t="str">
        <f xml:space="preserve"> LEFT(F7,1)</f>
        <v>柳</v>
      </c>
      <c r="K7" s="23" t="str">
        <f xml:space="preserve"> RIGHT(F7, LEN(F7)-1)</f>
        <v>l</v>
      </c>
    </row>
    <row r="8" spans="2:11">
      <c r="B8" s="119" cm="1">
        <f t="array" ref="B8" xml:space="preserve"> ROW() - ROW($6:$6)</f>
        <v>2</v>
      </c>
      <c r="C8" s="6">
        <v>1</v>
      </c>
      <c r="D8" s="6">
        <f t="shared" si="0"/>
        <v>3</v>
      </c>
      <c r="E8" s="6" t="str">
        <f t="shared" si="1"/>
        <v>邊</v>
      </c>
      <c r="F8" s="200" t="str">
        <f t="shared" si="2"/>
        <v>邊p</v>
      </c>
      <c r="G8">
        <f xml:space="preserve"> LEN(F8)</f>
        <v>2</v>
      </c>
      <c r="H8" t="str">
        <f t="shared" si="3"/>
        <v>求k、去kh、地t、頗ph、他th、曾ts、入dz、時s、鶯y、門m、語g、出tsh、喜h</v>
      </c>
      <c r="J8" s="6" t="str">
        <f t="shared" ref="J8:J20" si="4" xml:space="preserve"> LEFT(F8,1)</f>
        <v>邊</v>
      </c>
      <c r="K8" s="23" t="str">
        <f t="shared" ref="K8:K20" si="5" xml:space="preserve"> RIGHT(F8, LEN(F8)-1)</f>
        <v>p</v>
      </c>
    </row>
    <row r="9" spans="2:11">
      <c r="B9" s="119" cm="1">
        <f t="array" ref="B9" xml:space="preserve"> ROW() - ROW($6:$6)</f>
        <v>3</v>
      </c>
      <c r="C9" s="6">
        <v>1</v>
      </c>
      <c r="D9" s="6">
        <f t="shared" si="0"/>
        <v>3</v>
      </c>
      <c r="E9" s="6" t="str">
        <f t="shared" si="1"/>
        <v>求</v>
      </c>
      <c r="F9" s="200" t="str">
        <f t="shared" si="2"/>
        <v>求k</v>
      </c>
      <c r="G9">
        <f t="shared" ref="G9:G21" si="6" xml:space="preserve"> LEN(F9)</f>
        <v>2</v>
      </c>
      <c r="H9" t="str">
        <f t="shared" si="3"/>
        <v>去kh、地t、頗ph、他th、曾ts、入dz、時s、鶯y、門m、語g、出tsh、喜h</v>
      </c>
      <c r="J9" s="6" t="str">
        <f t="shared" si="4"/>
        <v>求</v>
      </c>
      <c r="K9" s="23" t="str">
        <f t="shared" si="5"/>
        <v>k</v>
      </c>
    </row>
    <row r="10" spans="2:11">
      <c r="B10" s="119" cm="1">
        <f t="array" ref="B10" xml:space="preserve"> ROW() - ROW($6:$6)</f>
        <v>4</v>
      </c>
      <c r="C10" s="6">
        <v>1</v>
      </c>
      <c r="D10" s="6">
        <f t="shared" si="0"/>
        <v>4</v>
      </c>
      <c r="E10" s="6" t="str">
        <f t="shared" si="1"/>
        <v>去</v>
      </c>
      <c r="F10" s="200" t="str">
        <f t="shared" si="2"/>
        <v>去kh</v>
      </c>
      <c r="G10">
        <f t="shared" si="6"/>
        <v>3</v>
      </c>
      <c r="H10" t="str">
        <f t="shared" si="3"/>
        <v>地t、頗ph、他th、曾ts、入dz、時s、鶯y、門m、語g、出tsh、喜h</v>
      </c>
      <c r="J10" s="6" t="str">
        <f t="shared" si="4"/>
        <v>去</v>
      </c>
      <c r="K10" s="23" t="str">
        <f t="shared" si="5"/>
        <v>kh</v>
      </c>
    </row>
    <row r="11" spans="2:11">
      <c r="B11" s="119" cm="1">
        <f t="array" ref="B11" xml:space="preserve"> ROW() - ROW($6:$6)</f>
        <v>5</v>
      </c>
      <c r="C11" s="6">
        <v>1</v>
      </c>
      <c r="D11" s="6">
        <f t="shared" si="0"/>
        <v>3</v>
      </c>
      <c r="E11" s="6" t="str">
        <f t="shared" si="1"/>
        <v>地</v>
      </c>
      <c r="F11" s="200" t="str">
        <f t="shared" si="2"/>
        <v>地t</v>
      </c>
      <c r="G11">
        <f t="shared" si="6"/>
        <v>2</v>
      </c>
      <c r="H11" t="str">
        <f t="shared" si="3"/>
        <v>頗ph、他th、曾ts、入dz、時s、鶯y、門m、語g、出tsh、喜h</v>
      </c>
      <c r="J11" s="6" t="str">
        <f t="shared" si="4"/>
        <v>地</v>
      </c>
      <c r="K11" s="23" t="str">
        <f t="shared" si="5"/>
        <v>t</v>
      </c>
    </row>
    <row r="12" spans="2:11">
      <c r="B12" s="119" cm="1">
        <f t="array" ref="B12" xml:space="preserve"> ROW() - ROW($6:$6)</f>
        <v>6</v>
      </c>
      <c r="C12" s="6">
        <v>1</v>
      </c>
      <c r="D12" s="6">
        <f t="shared" si="0"/>
        <v>4</v>
      </c>
      <c r="E12" s="6" t="str">
        <f t="shared" si="1"/>
        <v>頗</v>
      </c>
      <c r="F12" s="200" t="str">
        <f t="shared" si="2"/>
        <v>頗ph</v>
      </c>
      <c r="G12">
        <f t="shared" si="6"/>
        <v>3</v>
      </c>
      <c r="H12" t="str">
        <f t="shared" si="3"/>
        <v>他th、曾ts、入dz、時s、鶯y、門m、語g、出tsh、喜h</v>
      </c>
      <c r="J12" s="6" t="str">
        <f t="shared" si="4"/>
        <v>頗</v>
      </c>
      <c r="K12" s="23" t="str">
        <f t="shared" si="5"/>
        <v>ph</v>
      </c>
    </row>
    <row r="13" spans="2:11">
      <c r="B13" s="119" cm="1">
        <f t="array" ref="B13" xml:space="preserve"> ROW() - ROW($6:$6)</f>
        <v>7</v>
      </c>
      <c r="C13" s="6">
        <v>1</v>
      </c>
      <c r="D13" s="6">
        <f t="shared" si="0"/>
        <v>4</v>
      </c>
      <c r="E13" s="6" t="str">
        <f t="shared" si="1"/>
        <v>他</v>
      </c>
      <c r="F13" s="200" t="str">
        <f t="shared" si="2"/>
        <v>他th</v>
      </c>
      <c r="G13">
        <f t="shared" si="6"/>
        <v>3</v>
      </c>
      <c r="H13" t="str">
        <f t="shared" si="3"/>
        <v>曾ts、入dz、時s、鶯y、門m、語g、出tsh、喜h</v>
      </c>
      <c r="J13" s="6" t="str">
        <f t="shared" si="4"/>
        <v>他</v>
      </c>
      <c r="K13" s="23" t="str">
        <f t="shared" si="5"/>
        <v>th</v>
      </c>
    </row>
    <row r="14" spans="2:11">
      <c r="B14" s="119" cm="1">
        <f t="array" ref="B14" xml:space="preserve"> ROW() - ROW($6:$6)</f>
        <v>8</v>
      </c>
      <c r="C14" s="6">
        <v>1</v>
      </c>
      <c r="D14" s="6">
        <f t="shared" si="0"/>
        <v>4</v>
      </c>
      <c r="E14" s="6" t="str">
        <f t="shared" si="1"/>
        <v>曾</v>
      </c>
      <c r="F14" s="200" t="str">
        <f t="shared" si="2"/>
        <v>曾ts</v>
      </c>
      <c r="G14">
        <f t="shared" si="6"/>
        <v>3</v>
      </c>
      <c r="H14" t="str">
        <f t="shared" si="3"/>
        <v>入dz、時s、鶯y、門m、語g、出tsh、喜h</v>
      </c>
      <c r="J14" s="6" t="str">
        <f t="shared" si="4"/>
        <v>曾</v>
      </c>
      <c r="K14" s="23" t="str">
        <f t="shared" si="5"/>
        <v>ts</v>
      </c>
    </row>
    <row r="15" spans="2:11">
      <c r="B15" s="119" cm="1">
        <f t="array" ref="B15" xml:space="preserve"> ROW() - ROW($6:$6)</f>
        <v>9</v>
      </c>
      <c r="C15" s="6">
        <v>1</v>
      </c>
      <c r="D15" s="6">
        <f t="shared" si="0"/>
        <v>4</v>
      </c>
      <c r="E15" s="6" t="str">
        <f t="shared" si="1"/>
        <v>入</v>
      </c>
      <c r="F15" s="200" t="str">
        <f t="shared" si="2"/>
        <v>入dz</v>
      </c>
      <c r="G15">
        <f t="shared" si="6"/>
        <v>3</v>
      </c>
      <c r="H15" t="str">
        <f t="shared" si="3"/>
        <v>時s、鶯y、門m、語g、出tsh、喜h</v>
      </c>
      <c r="J15" s="6" t="str">
        <f t="shared" si="4"/>
        <v>入</v>
      </c>
      <c r="K15" s="23" t="str">
        <f t="shared" si="5"/>
        <v>dz</v>
      </c>
    </row>
    <row r="16" spans="2:11">
      <c r="B16" s="119" cm="1">
        <f t="array" ref="B16" xml:space="preserve"> ROW() - ROW($6:$6)</f>
        <v>10</v>
      </c>
      <c r="C16" s="6">
        <v>1</v>
      </c>
      <c r="D16" s="6">
        <f t="shared" si="0"/>
        <v>3</v>
      </c>
      <c r="E16" s="6" t="str">
        <f t="shared" si="1"/>
        <v>時</v>
      </c>
      <c r="F16" s="200" t="str">
        <f t="shared" si="2"/>
        <v>時s</v>
      </c>
      <c r="G16">
        <f t="shared" si="6"/>
        <v>2</v>
      </c>
      <c r="H16" t="str">
        <f t="shared" si="3"/>
        <v>鶯y、門m、語g、出tsh、喜h</v>
      </c>
      <c r="J16" s="6" t="str">
        <f t="shared" si="4"/>
        <v>時</v>
      </c>
      <c r="K16" s="23" t="str">
        <f t="shared" si="5"/>
        <v>s</v>
      </c>
    </row>
    <row r="17" spans="2:11">
      <c r="B17" s="119" cm="1">
        <f t="array" ref="B17" xml:space="preserve"> ROW() - ROW($6:$6)</f>
        <v>11</v>
      </c>
      <c r="C17" s="6">
        <v>1</v>
      </c>
      <c r="D17" s="6">
        <f t="shared" si="0"/>
        <v>3</v>
      </c>
      <c r="E17" s="6" t="str">
        <f t="shared" si="1"/>
        <v>鶯</v>
      </c>
      <c r="F17" s="200" t="str">
        <f t="shared" si="2"/>
        <v>鶯y</v>
      </c>
      <c r="G17">
        <f t="shared" si="6"/>
        <v>2</v>
      </c>
      <c r="H17" t="str">
        <f t="shared" si="3"/>
        <v>門m、語g、出tsh、喜h</v>
      </c>
      <c r="J17" s="6" t="str">
        <f t="shared" si="4"/>
        <v>鶯</v>
      </c>
      <c r="K17" s="23" t="str">
        <f t="shared" si="5"/>
        <v>y</v>
      </c>
    </row>
    <row r="18" spans="2:11">
      <c r="B18" s="119" cm="1">
        <f t="array" ref="B18" xml:space="preserve"> ROW() - ROW($6:$6)</f>
        <v>12</v>
      </c>
      <c r="C18" s="6">
        <v>1</v>
      </c>
      <c r="D18" s="6">
        <f t="shared" si="0"/>
        <v>3</v>
      </c>
      <c r="E18" s="6" t="str">
        <f t="shared" si="1"/>
        <v>門</v>
      </c>
      <c r="F18" s="200" t="str">
        <f t="shared" si="2"/>
        <v>門m</v>
      </c>
      <c r="G18">
        <f t="shared" si="6"/>
        <v>2</v>
      </c>
      <c r="H18" t="str">
        <f t="shared" si="3"/>
        <v>語g、出tsh、喜h</v>
      </c>
      <c r="J18" s="6" t="str">
        <f t="shared" si="4"/>
        <v>門</v>
      </c>
      <c r="K18" s="23" t="str">
        <f t="shared" si="5"/>
        <v>m</v>
      </c>
    </row>
    <row r="19" spans="2:11">
      <c r="B19" s="119" cm="1">
        <f t="array" ref="B19" xml:space="preserve"> ROW() - ROW($6:$6)</f>
        <v>13</v>
      </c>
      <c r="C19" s="6">
        <v>1</v>
      </c>
      <c r="D19" s="6">
        <f t="shared" si="0"/>
        <v>3</v>
      </c>
      <c r="E19" s="6" t="str">
        <f t="shared" si="1"/>
        <v>語</v>
      </c>
      <c r="F19" s="200" t="str">
        <f t="shared" si="2"/>
        <v>語g</v>
      </c>
      <c r="G19">
        <f t="shared" si="6"/>
        <v>2</v>
      </c>
      <c r="H19" t="str">
        <f t="shared" si="3"/>
        <v>出tsh、喜h</v>
      </c>
      <c r="J19" s="6" t="str">
        <f t="shared" si="4"/>
        <v>語</v>
      </c>
      <c r="K19" s="23" t="str">
        <f t="shared" si="5"/>
        <v>g</v>
      </c>
    </row>
    <row r="20" spans="2:11">
      <c r="B20" s="119" cm="1">
        <f t="array" ref="B20" xml:space="preserve"> ROW() - ROW($6:$6)</f>
        <v>14</v>
      </c>
      <c r="C20" s="6">
        <v>1</v>
      </c>
      <c r="D20" s="6">
        <f t="shared" si="0"/>
        <v>5</v>
      </c>
      <c r="E20" s="6" t="str">
        <f t="shared" si="1"/>
        <v>出</v>
      </c>
      <c r="F20" s="200" t="str">
        <f t="shared" si="2"/>
        <v>出tsh</v>
      </c>
      <c r="G20">
        <f t="shared" si="6"/>
        <v>4</v>
      </c>
      <c r="H20" t="str">
        <f t="shared" si="3"/>
        <v>喜h</v>
      </c>
      <c r="J20" s="6" t="str">
        <f t="shared" si="4"/>
        <v>出</v>
      </c>
      <c r="K20" s="23" t="str">
        <f t="shared" si="5"/>
        <v>tsh</v>
      </c>
    </row>
    <row r="21" spans="2:11">
      <c r="B21" s="119" cm="1">
        <f t="array" ref="B21" xml:space="preserve"> ROW() - ROW($6:$6)</f>
        <v>15</v>
      </c>
      <c r="C21" s="6">
        <v>1</v>
      </c>
      <c r="D21" s="6" t="str">
        <f xml:space="preserve"> IFERROR( SEARCH("、", H20, C21), "")</f>
        <v/>
      </c>
      <c r="E21" s="6" t="str">
        <f xml:space="preserve"> LEFT(H20)</f>
        <v>喜</v>
      </c>
      <c r="F21" s="200" t="str">
        <f xml:space="preserve"> IFERROR( MID(H20,C21,D21-1), H20)</f>
        <v>喜h</v>
      </c>
      <c r="G21">
        <f t="shared" si="6"/>
        <v>2</v>
      </c>
      <c r="H21" t="str">
        <f xml:space="preserve"> IFERROR( RIGHT(H20, LEN(H20) - D21), "")</f>
        <v/>
      </c>
    </row>
    <row r="23" spans="2:11">
      <c r="H23" s="202" t="str">
        <f xml:space="preserve"> C4</f>
        <v>君un、堅ian、金im、歸ui、家a、干an、光ong、乖oai、京eng、官oan、姑oo、嬌iau、稽e、宮iong、高o、皆ai、根in、姜iang、甘am、瓜oa、江ang、兼iam、交au、伽ia、檜oe、葩a、龜u、箴om、璣i、丩iu</v>
      </c>
    </row>
    <row r="24" spans="2:11">
      <c r="B24" s="119" cm="1">
        <f t="array" ref="B24" xml:space="preserve"> ROW() - ROW($23:$23)</f>
        <v>1</v>
      </c>
      <c r="C24" s="6">
        <v>1</v>
      </c>
      <c r="D24" s="6">
        <f xml:space="preserve"> IFERROR( SEARCH("、", H23, C24), "")</f>
        <v>4</v>
      </c>
      <c r="E24" s="6" t="str">
        <f xml:space="preserve"> LEFT(H23)</f>
        <v>君</v>
      </c>
      <c r="F24" s="200" t="str">
        <f xml:space="preserve"> IFERROR( MID(H23,C24,D24-1), H23)</f>
        <v>君un</v>
      </c>
      <c r="G24">
        <f xml:space="preserve"> LEN(F24)</f>
        <v>3</v>
      </c>
      <c r="H24" t="str">
        <f xml:space="preserve"> IFERROR( RIGHT(H23, LEN(H23) - D24), "")</f>
        <v>堅ian、金im、歸ui、家a、干an、光ong、乖oai、京eng、官oan、姑oo、嬌iau、稽e、宮iong、高o、皆ai、根in、姜iang、甘am、瓜oa、江ang、兼iam、交au、伽ia、檜oe、葩a、龜u、箴om、璣i、丩iu</v>
      </c>
      <c r="J24" s="208" t="str">
        <f xml:space="preserve"> LEFT(F24,1)</f>
        <v>君</v>
      </c>
      <c r="K24" s="209" t="str">
        <f xml:space="preserve"> RIGHT(F24, LEN(F24)-1)</f>
        <v>un</v>
      </c>
    </row>
    <row r="25" spans="2:11">
      <c r="B25" s="119" cm="1">
        <f t="array" ref="B25" xml:space="preserve"> ROW() - ROW($23:$23)</f>
        <v>2</v>
      </c>
      <c r="C25" s="6">
        <v>1</v>
      </c>
      <c r="D25" s="6">
        <f t="shared" ref="D25:D63" si="7" xml:space="preserve"> IFERROR( SEARCH("、", H24, C25), "")</f>
        <v>5</v>
      </c>
      <c r="E25" s="6" t="str">
        <f t="shared" ref="E25:E63" si="8" xml:space="preserve"> LEFT(H24)</f>
        <v>堅</v>
      </c>
      <c r="F25" s="200" t="str">
        <f t="shared" ref="F25:F63" si="9" xml:space="preserve"> IFERROR( MID(H24,C25,D25-1), H24)</f>
        <v>堅ian</v>
      </c>
      <c r="G25">
        <f t="shared" ref="G25:G63" si="10" xml:space="preserve"> LEN(F25)</f>
        <v>4</v>
      </c>
      <c r="H25" t="str">
        <f t="shared" ref="H25:H63" si="11" xml:space="preserve"> IFERROR( RIGHT(H24, LEN(H24) - D25), "")</f>
        <v>金im、歸ui、家a、干an、光ong、乖oai、京eng、官oan、姑oo、嬌iau、稽e、宮iong、高o、皆ai、根in、姜iang、甘am、瓜oa、江ang、兼iam、交au、伽ia、檜oe、葩a、龜u、箴om、璣i、丩iu</v>
      </c>
      <c r="J25" s="208" t="str">
        <f t="shared" ref="J25:J52" si="12" xml:space="preserve"> LEFT(F25,1)</f>
        <v>堅</v>
      </c>
      <c r="K25" s="209" t="str">
        <f t="shared" ref="K25:K52" si="13" xml:space="preserve"> RIGHT(F25, LEN(F25)-1)</f>
        <v>ian</v>
      </c>
    </row>
    <row r="26" spans="2:11">
      <c r="B26" s="119" cm="1">
        <f t="array" ref="B26" xml:space="preserve"> ROW() - ROW($23:$23)</f>
        <v>3</v>
      </c>
      <c r="C26" s="6">
        <v>1</v>
      </c>
      <c r="D26" s="6">
        <f t="shared" si="7"/>
        <v>4</v>
      </c>
      <c r="E26" s="6" t="str">
        <f t="shared" si="8"/>
        <v>金</v>
      </c>
      <c r="F26" s="200" t="str">
        <f t="shared" si="9"/>
        <v>金im</v>
      </c>
      <c r="G26">
        <f t="shared" si="10"/>
        <v>3</v>
      </c>
      <c r="H26" t="str">
        <f t="shared" si="11"/>
        <v>歸ui、家a、干an、光ong、乖oai、京eng、官oan、姑oo、嬌iau、稽e、宮iong、高o、皆ai、根in、姜iang、甘am、瓜oa、江ang、兼iam、交au、伽ia、檜oe、葩a、龜u、箴om、璣i、丩iu</v>
      </c>
      <c r="J26" s="208" t="str">
        <f t="shared" si="12"/>
        <v>金</v>
      </c>
      <c r="K26" s="209" t="str">
        <f t="shared" si="13"/>
        <v>im</v>
      </c>
    </row>
    <row r="27" spans="2:11">
      <c r="B27" s="119" cm="1">
        <f t="array" ref="B27" xml:space="preserve"> ROW() - ROW($23:$23)</f>
        <v>4</v>
      </c>
      <c r="C27" s="6">
        <v>1</v>
      </c>
      <c r="D27" s="6">
        <f t="shared" si="7"/>
        <v>4</v>
      </c>
      <c r="E27" s="6" t="str">
        <f t="shared" si="8"/>
        <v>歸</v>
      </c>
      <c r="F27" s="200" t="str">
        <f t="shared" si="9"/>
        <v>歸ui</v>
      </c>
      <c r="G27">
        <f t="shared" si="10"/>
        <v>3</v>
      </c>
      <c r="H27" t="str">
        <f t="shared" si="11"/>
        <v>家a、干an、光ong、乖oai、京eng、官oan、姑oo、嬌iau、稽e、宮iong、高o、皆ai、根in、姜iang、甘am、瓜oa、江ang、兼iam、交au、伽ia、檜oe、葩a、龜u、箴om、璣i、丩iu</v>
      </c>
      <c r="J27" s="208" t="str">
        <f t="shared" si="12"/>
        <v>歸</v>
      </c>
      <c r="K27" s="209" t="str">
        <f t="shared" si="13"/>
        <v>ui</v>
      </c>
    </row>
    <row r="28" spans="2:11">
      <c r="B28" s="119" cm="1">
        <f t="array" ref="B28" xml:space="preserve"> ROW() - ROW($23:$23)</f>
        <v>5</v>
      </c>
      <c r="C28" s="6">
        <v>1</v>
      </c>
      <c r="D28" s="6">
        <f t="shared" si="7"/>
        <v>3</v>
      </c>
      <c r="E28" s="6" t="str">
        <f t="shared" si="8"/>
        <v>家</v>
      </c>
      <c r="F28" s="200" t="str">
        <f t="shared" si="9"/>
        <v>家a</v>
      </c>
      <c r="G28">
        <f t="shared" si="10"/>
        <v>2</v>
      </c>
      <c r="H28" t="str">
        <f t="shared" si="11"/>
        <v>干an、光ong、乖oai、京eng、官oan、姑oo、嬌iau、稽e、宮iong、高o、皆ai、根in、姜iang、甘am、瓜oa、江ang、兼iam、交au、伽ia、檜oe、葩a、龜u、箴om、璣i、丩iu</v>
      </c>
      <c r="J28" s="208" t="str">
        <f t="shared" si="12"/>
        <v>家</v>
      </c>
      <c r="K28" s="209" t="str">
        <f t="shared" si="13"/>
        <v>a</v>
      </c>
    </row>
    <row r="29" spans="2:11">
      <c r="B29" s="119" cm="1">
        <f t="array" ref="B29" xml:space="preserve"> ROW() - ROW($23:$23)</f>
        <v>6</v>
      </c>
      <c r="C29" s="6">
        <v>1</v>
      </c>
      <c r="D29" s="6">
        <f t="shared" si="7"/>
        <v>4</v>
      </c>
      <c r="E29" s="6" t="str">
        <f t="shared" si="8"/>
        <v>干</v>
      </c>
      <c r="F29" s="200" t="str">
        <f t="shared" si="9"/>
        <v>干an</v>
      </c>
      <c r="G29">
        <f t="shared" si="10"/>
        <v>3</v>
      </c>
      <c r="H29" t="str">
        <f t="shared" si="11"/>
        <v>光ong、乖oai、京eng、官oan、姑oo、嬌iau、稽e、宮iong、高o、皆ai、根in、姜iang、甘am、瓜oa、江ang、兼iam、交au、伽ia、檜oe、葩a、龜u、箴om、璣i、丩iu</v>
      </c>
      <c r="J29" s="6" t="str">
        <f t="shared" si="12"/>
        <v>干</v>
      </c>
      <c r="K29" s="23" t="str">
        <f t="shared" si="13"/>
        <v>an</v>
      </c>
    </row>
    <row r="30" spans="2:11">
      <c r="B30" s="119" cm="1">
        <f t="array" ref="B30" xml:space="preserve"> ROW() - ROW($23:$23)</f>
        <v>7</v>
      </c>
      <c r="C30" s="6">
        <v>1</v>
      </c>
      <c r="D30" s="6">
        <f t="shared" si="7"/>
        <v>5</v>
      </c>
      <c r="E30" s="6" t="str">
        <f t="shared" si="8"/>
        <v>光</v>
      </c>
      <c r="F30" s="200" t="str">
        <f t="shared" si="9"/>
        <v>光ong</v>
      </c>
      <c r="G30">
        <f t="shared" si="10"/>
        <v>4</v>
      </c>
      <c r="H30" t="str">
        <f t="shared" si="11"/>
        <v>乖oai、京eng、官oan、姑oo、嬌iau、稽e、宮iong、高o、皆ai、根in、姜iang、甘am、瓜oa、江ang、兼iam、交au、伽ia、檜oe、葩a、龜u、箴om、璣i、丩iu</v>
      </c>
      <c r="J30" s="6" t="str">
        <f t="shared" si="12"/>
        <v>光</v>
      </c>
      <c r="K30" s="23" t="str">
        <f t="shared" si="13"/>
        <v>ong</v>
      </c>
    </row>
    <row r="31" spans="2:11">
      <c r="B31" s="119" cm="1">
        <f t="array" ref="B31" xml:space="preserve"> ROW() - ROW($23:$23)</f>
        <v>8</v>
      </c>
      <c r="C31" s="6">
        <v>1</v>
      </c>
      <c r="D31" s="6">
        <f t="shared" si="7"/>
        <v>5</v>
      </c>
      <c r="E31" s="6" t="str">
        <f t="shared" si="8"/>
        <v>乖</v>
      </c>
      <c r="F31" s="200" t="str">
        <f t="shared" si="9"/>
        <v>乖oai</v>
      </c>
      <c r="G31">
        <f t="shared" si="10"/>
        <v>4</v>
      </c>
      <c r="H31" t="str">
        <f t="shared" si="11"/>
        <v>京eng、官oan、姑oo、嬌iau、稽e、宮iong、高o、皆ai、根in、姜iang、甘am、瓜oa、江ang、兼iam、交au、伽ia、檜oe、葩a、龜u、箴om、璣i、丩iu</v>
      </c>
      <c r="J31" s="6" t="str">
        <f t="shared" si="12"/>
        <v>乖</v>
      </c>
      <c r="K31" s="23" t="str">
        <f t="shared" si="13"/>
        <v>oai</v>
      </c>
    </row>
    <row r="32" spans="2:11">
      <c r="B32" s="119" cm="1">
        <f t="array" ref="B32" xml:space="preserve"> ROW() - ROW($23:$23)</f>
        <v>9</v>
      </c>
      <c r="C32" s="6">
        <v>1</v>
      </c>
      <c r="D32" s="6">
        <f t="shared" si="7"/>
        <v>5</v>
      </c>
      <c r="E32" s="6" t="str">
        <f t="shared" si="8"/>
        <v>京</v>
      </c>
      <c r="F32" s="200" t="str">
        <f t="shared" si="9"/>
        <v>京eng</v>
      </c>
      <c r="G32">
        <f t="shared" si="10"/>
        <v>4</v>
      </c>
      <c r="H32" t="str">
        <f t="shared" si="11"/>
        <v>官oan、姑oo、嬌iau、稽e、宮iong、高o、皆ai、根in、姜iang、甘am、瓜oa、江ang、兼iam、交au、伽ia、檜oe、葩a、龜u、箴om、璣i、丩iu</v>
      </c>
      <c r="J32" s="6" t="str">
        <f t="shared" si="12"/>
        <v>京</v>
      </c>
      <c r="K32" s="23" t="str">
        <f t="shared" si="13"/>
        <v>eng</v>
      </c>
    </row>
    <row r="33" spans="2:11">
      <c r="B33" s="119" cm="1">
        <f t="array" ref="B33" xml:space="preserve"> ROW() - ROW($23:$23)</f>
        <v>10</v>
      </c>
      <c r="C33" s="6">
        <v>1</v>
      </c>
      <c r="D33" s="6">
        <f t="shared" si="7"/>
        <v>5</v>
      </c>
      <c r="E33" s="6" t="str">
        <f t="shared" si="8"/>
        <v>官</v>
      </c>
      <c r="F33" s="200" t="str">
        <f t="shared" si="9"/>
        <v>官oan</v>
      </c>
      <c r="G33">
        <f t="shared" si="10"/>
        <v>4</v>
      </c>
      <c r="H33" t="str">
        <f t="shared" si="11"/>
        <v>姑oo、嬌iau、稽e、宮iong、高o、皆ai、根in、姜iang、甘am、瓜oa、江ang、兼iam、交au、伽ia、檜oe、葩a、龜u、箴om、璣i、丩iu</v>
      </c>
      <c r="J33" s="6" t="str">
        <f t="shared" si="12"/>
        <v>官</v>
      </c>
      <c r="K33" s="23" t="str">
        <f t="shared" si="13"/>
        <v>oan</v>
      </c>
    </row>
    <row r="34" spans="2:11">
      <c r="B34" s="119" cm="1">
        <f t="array" ref="B34" xml:space="preserve"> ROW() - ROW($23:$23)</f>
        <v>11</v>
      </c>
      <c r="C34" s="6">
        <v>1</v>
      </c>
      <c r="D34" s="6">
        <f t="shared" si="7"/>
        <v>4</v>
      </c>
      <c r="E34" s="6" t="str">
        <f t="shared" si="8"/>
        <v>姑</v>
      </c>
      <c r="F34" s="200" t="str">
        <f t="shared" si="9"/>
        <v>姑oo</v>
      </c>
      <c r="G34">
        <f t="shared" si="10"/>
        <v>3</v>
      </c>
      <c r="H34" t="str">
        <f t="shared" si="11"/>
        <v>嬌iau、稽e、宮iong、高o、皆ai、根in、姜iang、甘am、瓜oa、江ang、兼iam、交au、伽ia、檜oe、葩a、龜u、箴om、璣i、丩iu</v>
      </c>
      <c r="J34" s="208" t="str">
        <f t="shared" si="12"/>
        <v>姑</v>
      </c>
      <c r="K34" s="209" t="str">
        <f t="shared" si="13"/>
        <v>oo</v>
      </c>
    </row>
    <row r="35" spans="2:11">
      <c r="B35" s="119" cm="1">
        <f t="array" ref="B35" xml:space="preserve"> ROW() - ROW($23:$23)</f>
        <v>12</v>
      </c>
      <c r="C35" s="6">
        <v>1</v>
      </c>
      <c r="D35" s="6">
        <f t="shared" si="7"/>
        <v>5</v>
      </c>
      <c r="E35" s="6" t="str">
        <f t="shared" si="8"/>
        <v>嬌</v>
      </c>
      <c r="F35" s="200" t="str">
        <f t="shared" si="9"/>
        <v>嬌iau</v>
      </c>
      <c r="G35">
        <f t="shared" si="10"/>
        <v>4</v>
      </c>
      <c r="H35" t="str">
        <f t="shared" si="11"/>
        <v>稽e、宮iong、高o、皆ai、根in、姜iang、甘am、瓜oa、江ang、兼iam、交au、伽ia、檜oe、葩a、龜u、箴om、璣i、丩iu</v>
      </c>
      <c r="J35" s="208" t="str">
        <f t="shared" si="12"/>
        <v>嬌</v>
      </c>
      <c r="K35" s="209" t="str">
        <f t="shared" si="13"/>
        <v>iau</v>
      </c>
    </row>
    <row r="36" spans="2:11">
      <c r="B36" s="119" cm="1">
        <f t="array" ref="B36" xml:space="preserve"> ROW() - ROW($23:$23)</f>
        <v>13</v>
      </c>
      <c r="C36" s="6">
        <v>1</v>
      </c>
      <c r="D36" s="6">
        <f t="shared" si="7"/>
        <v>3</v>
      </c>
      <c r="E36" s="6" t="str">
        <f t="shared" si="8"/>
        <v>稽</v>
      </c>
      <c r="F36" s="200" t="str">
        <f t="shared" si="9"/>
        <v>稽e</v>
      </c>
      <c r="G36">
        <f t="shared" si="10"/>
        <v>2</v>
      </c>
      <c r="H36" t="str">
        <f t="shared" si="11"/>
        <v>宮iong、高o、皆ai、根in、姜iang、甘am、瓜oa、江ang、兼iam、交au、伽ia、檜oe、葩a、龜u、箴om、璣i、丩iu</v>
      </c>
      <c r="J36" s="208" t="str">
        <f t="shared" si="12"/>
        <v>稽</v>
      </c>
      <c r="K36" s="209" t="str">
        <f t="shared" si="13"/>
        <v>e</v>
      </c>
    </row>
    <row r="37" spans="2:11">
      <c r="B37" s="119" cm="1">
        <f t="array" ref="B37" xml:space="preserve"> ROW() - ROW($23:$23)</f>
        <v>14</v>
      </c>
      <c r="C37" s="6">
        <v>1</v>
      </c>
      <c r="D37" s="6">
        <f t="shared" si="7"/>
        <v>6</v>
      </c>
      <c r="E37" s="6" t="str">
        <f t="shared" si="8"/>
        <v>宮</v>
      </c>
      <c r="F37" s="200" t="str">
        <f t="shared" si="9"/>
        <v>宮iong</v>
      </c>
      <c r="G37">
        <f t="shared" si="10"/>
        <v>5</v>
      </c>
      <c r="H37" t="str">
        <f t="shared" si="11"/>
        <v>高o、皆ai、根in、姜iang、甘am、瓜oa、江ang、兼iam、交au、伽ia、檜oe、葩a、龜u、箴om、璣i、丩iu</v>
      </c>
      <c r="J37" s="208" t="str">
        <f t="shared" si="12"/>
        <v>宮</v>
      </c>
      <c r="K37" s="209" t="str">
        <f t="shared" si="13"/>
        <v>iong</v>
      </c>
    </row>
    <row r="38" spans="2:11">
      <c r="B38" s="119" cm="1">
        <f t="array" ref="B38" xml:space="preserve"> ROW() - ROW($23:$23)</f>
        <v>15</v>
      </c>
      <c r="C38" s="6">
        <v>1</v>
      </c>
      <c r="D38" s="6">
        <f t="shared" si="7"/>
        <v>3</v>
      </c>
      <c r="E38" s="6" t="str">
        <f t="shared" si="8"/>
        <v>高</v>
      </c>
      <c r="F38" s="200" t="str">
        <f t="shared" si="9"/>
        <v>高o</v>
      </c>
      <c r="G38">
        <f t="shared" si="10"/>
        <v>2</v>
      </c>
      <c r="H38" t="str">
        <f t="shared" si="11"/>
        <v>皆ai、根in、姜iang、甘am、瓜oa、江ang、兼iam、交au、伽ia、檜oe、葩a、龜u、箴om、璣i、丩iu</v>
      </c>
      <c r="J38" s="208" t="str">
        <f t="shared" si="12"/>
        <v>高</v>
      </c>
      <c r="K38" s="209" t="str">
        <f t="shared" si="13"/>
        <v>o</v>
      </c>
    </row>
    <row r="39" spans="2:11">
      <c r="B39" s="119" cm="1">
        <f t="array" ref="B39" xml:space="preserve"> ROW() - ROW($23:$23)</f>
        <v>16</v>
      </c>
      <c r="C39" s="6">
        <v>1</v>
      </c>
      <c r="D39" s="6">
        <f t="shared" si="7"/>
        <v>4</v>
      </c>
      <c r="E39" s="6" t="str">
        <f t="shared" si="8"/>
        <v>皆</v>
      </c>
      <c r="F39" s="200" t="str">
        <f t="shared" si="9"/>
        <v>皆ai</v>
      </c>
      <c r="G39">
        <f t="shared" si="10"/>
        <v>3</v>
      </c>
      <c r="H39" t="str">
        <f t="shared" si="11"/>
        <v>根in、姜iang、甘am、瓜oa、江ang、兼iam、交au、伽ia、檜oe、葩a、龜u、箴om、璣i、丩iu</v>
      </c>
      <c r="J39" s="6" t="str">
        <f t="shared" si="12"/>
        <v>皆</v>
      </c>
      <c r="K39" s="23" t="str">
        <f t="shared" si="13"/>
        <v>ai</v>
      </c>
    </row>
    <row r="40" spans="2:11">
      <c r="B40" s="119" cm="1">
        <f t="array" ref="B40" xml:space="preserve"> ROW() - ROW($23:$23)</f>
        <v>17</v>
      </c>
      <c r="C40" s="6">
        <v>1</v>
      </c>
      <c r="D40" s="6">
        <f t="shared" si="7"/>
        <v>4</v>
      </c>
      <c r="E40" s="6" t="str">
        <f t="shared" si="8"/>
        <v>根</v>
      </c>
      <c r="F40" s="200" t="str">
        <f t="shared" si="9"/>
        <v>根in</v>
      </c>
      <c r="G40">
        <f t="shared" si="10"/>
        <v>3</v>
      </c>
      <c r="H40" t="str">
        <f t="shared" si="11"/>
        <v>姜iang、甘am、瓜oa、江ang、兼iam、交au、伽ia、檜oe、葩a、龜u、箴om、璣i、丩iu</v>
      </c>
      <c r="J40" s="6" t="str">
        <f t="shared" si="12"/>
        <v>根</v>
      </c>
      <c r="K40" s="23" t="str">
        <f t="shared" si="13"/>
        <v>in</v>
      </c>
    </row>
    <row r="41" spans="2:11">
      <c r="B41" s="119" cm="1">
        <f t="array" ref="B41" xml:space="preserve"> ROW() - ROW($23:$23)</f>
        <v>18</v>
      </c>
      <c r="C41" s="6">
        <v>1</v>
      </c>
      <c r="D41" s="6">
        <f t="shared" si="7"/>
        <v>6</v>
      </c>
      <c r="E41" s="6" t="str">
        <f t="shared" si="8"/>
        <v>姜</v>
      </c>
      <c r="F41" s="200" t="str">
        <f t="shared" si="9"/>
        <v>姜iang</v>
      </c>
      <c r="G41">
        <f t="shared" si="10"/>
        <v>5</v>
      </c>
      <c r="H41" t="str">
        <f t="shared" si="11"/>
        <v>甘am、瓜oa、江ang、兼iam、交au、伽ia、檜oe、葩a、龜u、箴om、璣i、丩iu</v>
      </c>
      <c r="J41" s="6" t="str">
        <f t="shared" si="12"/>
        <v>姜</v>
      </c>
      <c r="K41" s="23" t="str">
        <f t="shared" si="13"/>
        <v>iang</v>
      </c>
    </row>
    <row r="42" spans="2:11">
      <c r="B42" s="119" cm="1">
        <f t="array" ref="B42" xml:space="preserve"> ROW() - ROW($23:$23)</f>
        <v>19</v>
      </c>
      <c r="C42" s="6">
        <v>1</v>
      </c>
      <c r="D42" s="6">
        <f t="shared" si="7"/>
        <v>4</v>
      </c>
      <c r="E42" s="6" t="str">
        <f t="shared" si="8"/>
        <v>甘</v>
      </c>
      <c r="F42" s="200" t="str">
        <f t="shared" si="9"/>
        <v>甘am</v>
      </c>
      <c r="G42">
        <f t="shared" si="10"/>
        <v>3</v>
      </c>
      <c r="H42" t="str">
        <f t="shared" si="11"/>
        <v>瓜oa、江ang、兼iam、交au、伽ia、檜oe、葩a、龜u、箴om、璣i、丩iu</v>
      </c>
      <c r="J42" s="6" t="str">
        <f t="shared" si="12"/>
        <v>甘</v>
      </c>
      <c r="K42" s="23" t="str">
        <f t="shared" si="13"/>
        <v>am</v>
      </c>
    </row>
    <row r="43" spans="2:11">
      <c r="B43" s="119" cm="1">
        <f t="array" ref="B43" xml:space="preserve"> ROW() - ROW($23:$23)</f>
        <v>20</v>
      </c>
      <c r="C43" s="6">
        <v>1</v>
      </c>
      <c r="D43" s="6">
        <f t="shared" si="7"/>
        <v>4</v>
      </c>
      <c r="E43" s="6" t="str">
        <f t="shared" si="8"/>
        <v>瓜</v>
      </c>
      <c r="F43" s="200" t="str">
        <f t="shared" si="9"/>
        <v>瓜oa</v>
      </c>
      <c r="G43">
        <f t="shared" si="10"/>
        <v>3</v>
      </c>
      <c r="H43" t="str">
        <f t="shared" si="11"/>
        <v>江ang、兼iam、交au、伽ia、檜oe、葩a、龜u、箴om、璣i、丩iu</v>
      </c>
      <c r="J43" s="6" t="str">
        <f t="shared" si="12"/>
        <v>瓜</v>
      </c>
      <c r="K43" s="23" t="str">
        <f t="shared" si="13"/>
        <v>oa</v>
      </c>
    </row>
    <row r="44" spans="2:11">
      <c r="B44" s="119" cm="1">
        <f t="array" ref="B44" xml:space="preserve"> ROW() - ROW($23:$23)</f>
        <v>21</v>
      </c>
      <c r="C44" s="6">
        <v>1</v>
      </c>
      <c r="D44" s="6">
        <f t="shared" si="7"/>
        <v>5</v>
      </c>
      <c r="E44" s="6" t="str">
        <f t="shared" si="8"/>
        <v>江</v>
      </c>
      <c r="F44" s="200" t="str">
        <f t="shared" si="9"/>
        <v>江ang</v>
      </c>
      <c r="G44">
        <f t="shared" si="10"/>
        <v>4</v>
      </c>
      <c r="H44" t="str">
        <f t="shared" si="11"/>
        <v>兼iam、交au、伽ia、檜oe、葩a、龜u、箴om、璣i、丩iu</v>
      </c>
      <c r="J44" s="208" t="str">
        <f t="shared" si="12"/>
        <v>江</v>
      </c>
      <c r="K44" s="209" t="str">
        <f t="shared" si="13"/>
        <v>ang</v>
      </c>
    </row>
    <row r="45" spans="2:11">
      <c r="B45" s="119" cm="1">
        <f t="array" ref="B45" xml:space="preserve"> ROW() - ROW($23:$23)</f>
        <v>22</v>
      </c>
      <c r="C45" s="6">
        <v>1</v>
      </c>
      <c r="D45" s="6">
        <f t="shared" si="7"/>
        <v>5</v>
      </c>
      <c r="E45" s="6" t="str">
        <f t="shared" si="8"/>
        <v>兼</v>
      </c>
      <c r="F45" s="200" t="str">
        <f t="shared" si="9"/>
        <v>兼iam</v>
      </c>
      <c r="G45">
        <f t="shared" si="10"/>
        <v>4</v>
      </c>
      <c r="H45" t="str">
        <f t="shared" si="11"/>
        <v>交au、伽ia、檜oe、葩a、龜u、箴om、璣i、丩iu</v>
      </c>
      <c r="J45" s="208" t="str">
        <f t="shared" si="12"/>
        <v>兼</v>
      </c>
      <c r="K45" s="209" t="str">
        <f t="shared" si="13"/>
        <v>iam</v>
      </c>
    </row>
    <row r="46" spans="2:11">
      <c r="B46" s="119" cm="1">
        <f t="array" ref="B46" xml:space="preserve"> ROW() - ROW($23:$23)</f>
        <v>23</v>
      </c>
      <c r="C46" s="6">
        <v>1</v>
      </c>
      <c r="D46" s="6">
        <f t="shared" si="7"/>
        <v>4</v>
      </c>
      <c r="E46" s="6" t="str">
        <f t="shared" si="8"/>
        <v>交</v>
      </c>
      <c r="F46" s="200" t="str">
        <f t="shared" si="9"/>
        <v>交au</v>
      </c>
      <c r="G46">
        <f t="shared" si="10"/>
        <v>3</v>
      </c>
      <c r="H46" t="str">
        <f t="shared" si="11"/>
        <v>伽ia、檜oe、葩a、龜u、箴om、璣i、丩iu</v>
      </c>
      <c r="J46" s="208" t="str">
        <f t="shared" si="12"/>
        <v>交</v>
      </c>
      <c r="K46" s="209" t="str">
        <f t="shared" si="13"/>
        <v>au</v>
      </c>
    </row>
    <row r="47" spans="2:11">
      <c r="B47" s="119" cm="1">
        <f t="array" ref="B47" xml:space="preserve"> ROW() - ROW($23:$23)</f>
        <v>24</v>
      </c>
      <c r="C47" s="6">
        <v>1</v>
      </c>
      <c r="D47" s="6">
        <f t="shared" si="7"/>
        <v>4</v>
      </c>
      <c r="E47" s="6" t="str">
        <f t="shared" si="8"/>
        <v>伽</v>
      </c>
      <c r="F47" s="200" t="str">
        <f t="shared" si="9"/>
        <v>伽ia</v>
      </c>
      <c r="G47">
        <f t="shared" si="10"/>
        <v>3</v>
      </c>
      <c r="H47" t="str">
        <f t="shared" si="11"/>
        <v>檜oe、葩a、龜u、箴om、璣i、丩iu</v>
      </c>
      <c r="J47" s="208" t="str">
        <f t="shared" si="12"/>
        <v>伽</v>
      </c>
      <c r="K47" s="209" t="str">
        <f t="shared" si="13"/>
        <v>ia</v>
      </c>
    </row>
    <row r="48" spans="2:11">
      <c r="B48" s="119" cm="1">
        <f t="array" ref="B48" xml:space="preserve"> ROW() - ROW($23:$23)</f>
        <v>25</v>
      </c>
      <c r="C48" s="6">
        <v>1</v>
      </c>
      <c r="D48" s="6">
        <f t="shared" si="7"/>
        <v>4</v>
      </c>
      <c r="E48" s="6" t="str">
        <f t="shared" si="8"/>
        <v>檜</v>
      </c>
      <c r="F48" s="200" t="str">
        <f t="shared" si="9"/>
        <v>檜oe</v>
      </c>
      <c r="G48">
        <f t="shared" si="10"/>
        <v>3</v>
      </c>
      <c r="H48" t="str">
        <f t="shared" si="11"/>
        <v>葩a、龜u、箴om、璣i、丩iu</v>
      </c>
      <c r="J48" s="208" t="str">
        <f t="shared" si="12"/>
        <v>檜</v>
      </c>
      <c r="K48" s="209" t="str">
        <f t="shared" si="13"/>
        <v>oe</v>
      </c>
    </row>
    <row r="49" spans="2:11">
      <c r="B49" s="119" cm="1">
        <f t="array" ref="B49" xml:space="preserve"> ROW() - ROW($23:$23)</f>
        <v>26</v>
      </c>
      <c r="C49" s="6">
        <v>1</v>
      </c>
      <c r="D49" s="6">
        <f t="shared" si="7"/>
        <v>3</v>
      </c>
      <c r="E49" s="6" t="str">
        <f t="shared" si="8"/>
        <v>葩</v>
      </c>
      <c r="F49" s="200" t="str">
        <f t="shared" si="9"/>
        <v>葩a</v>
      </c>
      <c r="G49">
        <f t="shared" si="10"/>
        <v>2</v>
      </c>
      <c r="H49" t="str">
        <f t="shared" si="11"/>
        <v>龜u、箴om、璣i、丩iu</v>
      </c>
      <c r="J49" s="6" t="str">
        <f t="shared" si="12"/>
        <v>葩</v>
      </c>
      <c r="K49" s="23" t="str">
        <f t="shared" si="13"/>
        <v>a</v>
      </c>
    </row>
    <row r="50" spans="2:11">
      <c r="B50" s="119" cm="1">
        <f t="array" ref="B50" xml:space="preserve"> ROW() - ROW($23:$23)</f>
        <v>27</v>
      </c>
      <c r="C50" s="6">
        <v>1</v>
      </c>
      <c r="D50" s="6">
        <f t="shared" si="7"/>
        <v>3</v>
      </c>
      <c r="E50" s="6" t="str">
        <f t="shared" si="8"/>
        <v>龜</v>
      </c>
      <c r="F50" s="200" t="str">
        <f t="shared" si="9"/>
        <v>龜u</v>
      </c>
      <c r="G50">
        <f t="shared" si="10"/>
        <v>2</v>
      </c>
      <c r="H50" t="str">
        <f t="shared" si="11"/>
        <v>箴om、璣i、丩iu</v>
      </c>
      <c r="J50" s="6" t="str">
        <f t="shared" si="12"/>
        <v>龜</v>
      </c>
      <c r="K50" s="23" t="str">
        <f t="shared" si="13"/>
        <v>u</v>
      </c>
    </row>
    <row r="51" spans="2:11">
      <c r="B51" s="119" cm="1">
        <f t="array" ref="B51" xml:space="preserve"> ROW() - ROW($23:$23)</f>
        <v>28</v>
      </c>
      <c r="C51" s="6">
        <v>1</v>
      </c>
      <c r="D51" s="6">
        <f t="shared" si="7"/>
        <v>4</v>
      </c>
      <c r="E51" s="6" t="str">
        <f t="shared" si="8"/>
        <v>箴</v>
      </c>
      <c r="F51" s="200" t="str">
        <f t="shared" si="9"/>
        <v>箴om</v>
      </c>
      <c r="G51">
        <f t="shared" si="10"/>
        <v>3</v>
      </c>
      <c r="H51" t="str">
        <f t="shared" si="11"/>
        <v>璣i、丩iu</v>
      </c>
      <c r="J51" s="6" t="str">
        <f t="shared" si="12"/>
        <v>箴</v>
      </c>
      <c r="K51" s="23" t="str">
        <f t="shared" si="13"/>
        <v>om</v>
      </c>
    </row>
    <row r="52" spans="2:11">
      <c r="B52" s="119" cm="1">
        <f t="array" ref="B52" xml:space="preserve"> ROW() - ROW($23:$23)</f>
        <v>29</v>
      </c>
      <c r="C52" s="6">
        <v>1</v>
      </c>
      <c r="D52" s="6">
        <f t="shared" si="7"/>
        <v>3</v>
      </c>
      <c r="E52" s="6" t="str">
        <f t="shared" si="8"/>
        <v>璣</v>
      </c>
      <c r="F52" s="200" t="str">
        <f t="shared" si="9"/>
        <v>璣i</v>
      </c>
      <c r="G52">
        <f t="shared" si="10"/>
        <v>2</v>
      </c>
      <c r="H52" t="str">
        <f t="shared" si="11"/>
        <v>丩iu</v>
      </c>
      <c r="J52" s="6" t="str">
        <f t="shared" si="12"/>
        <v>璣</v>
      </c>
      <c r="K52" s="23" t="str">
        <f t="shared" si="13"/>
        <v>i</v>
      </c>
    </row>
    <row r="53" spans="2:11">
      <c r="B53" s="119" cm="1">
        <f t="array" ref="B53" xml:space="preserve"> ROW() - ROW($23:$23)</f>
        <v>30</v>
      </c>
      <c r="C53" s="6">
        <v>1</v>
      </c>
      <c r="D53" s="6" t="str">
        <f t="shared" si="7"/>
        <v/>
      </c>
      <c r="E53" s="6" t="str">
        <f t="shared" si="8"/>
        <v>丩</v>
      </c>
      <c r="F53" s="200" t="str">
        <f t="shared" si="9"/>
        <v>丩iu</v>
      </c>
      <c r="G53">
        <f t="shared" si="10"/>
        <v>3</v>
      </c>
      <c r="H53" t="str">
        <f t="shared" si="11"/>
        <v/>
      </c>
      <c r="J53" s="6" t="str">
        <f xml:space="preserve"> LEFT(F53,1)</f>
        <v>丩</v>
      </c>
      <c r="K53" s="23" t="str">
        <f xml:space="preserve"> RIGHT(F53, LEN(F53)-1)</f>
        <v>iu</v>
      </c>
    </row>
    <row r="54" spans="2:11">
      <c r="B54" s="6" cm="1">
        <f t="array" ref="B54" xml:space="preserve"> ROW() - ROW($23:$23)</f>
        <v>31</v>
      </c>
      <c r="C54" s="6">
        <v>1</v>
      </c>
      <c r="D54" s="6" t="str">
        <f t="shared" si="7"/>
        <v/>
      </c>
      <c r="E54" s="6" t="str">
        <f t="shared" si="8"/>
        <v/>
      </c>
      <c r="F54" s="200" t="str">
        <f t="shared" si="9"/>
        <v/>
      </c>
      <c r="G54">
        <f t="shared" si="10"/>
        <v>0</v>
      </c>
      <c r="H54" t="str">
        <f t="shared" si="11"/>
        <v/>
      </c>
    </row>
    <row r="55" spans="2:11">
      <c r="B55" s="6" cm="1">
        <f t="array" ref="B55" xml:space="preserve"> ROW() - ROW($23:$23)</f>
        <v>32</v>
      </c>
      <c r="C55" s="6">
        <v>1</v>
      </c>
      <c r="D55" s="6" t="str">
        <f t="shared" si="7"/>
        <v/>
      </c>
      <c r="E55" s="6" t="str">
        <f t="shared" si="8"/>
        <v/>
      </c>
      <c r="F55" s="200" t="str">
        <f t="shared" si="9"/>
        <v/>
      </c>
      <c r="G55">
        <f t="shared" si="10"/>
        <v>0</v>
      </c>
      <c r="H55" t="str">
        <f t="shared" si="11"/>
        <v/>
      </c>
    </row>
    <row r="56" spans="2:11">
      <c r="B56" s="6" cm="1">
        <f t="array" ref="B56" xml:space="preserve"> ROW() - ROW($23:$23)</f>
        <v>33</v>
      </c>
      <c r="C56" s="6">
        <v>1</v>
      </c>
      <c r="D56" s="6" t="str">
        <f t="shared" si="7"/>
        <v/>
      </c>
      <c r="E56" s="6" t="str">
        <f t="shared" si="8"/>
        <v/>
      </c>
      <c r="F56" s="200" t="str">
        <f t="shared" si="9"/>
        <v/>
      </c>
      <c r="G56">
        <f t="shared" si="10"/>
        <v>0</v>
      </c>
      <c r="H56" t="str">
        <f t="shared" si="11"/>
        <v/>
      </c>
    </row>
    <row r="57" spans="2:11">
      <c r="B57" s="6" cm="1">
        <f t="array" ref="B57" xml:space="preserve"> ROW() - ROW($23:$23)</f>
        <v>34</v>
      </c>
      <c r="C57" s="6">
        <v>1</v>
      </c>
      <c r="D57" s="6" t="str">
        <f t="shared" si="7"/>
        <v/>
      </c>
      <c r="E57" s="6" t="str">
        <f t="shared" si="8"/>
        <v/>
      </c>
      <c r="F57" s="200" t="str">
        <f t="shared" si="9"/>
        <v/>
      </c>
      <c r="G57">
        <f t="shared" si="10"/>
        <v>0</v>
      </c>
      <c r="H57" t="str">
        <f t="shared" si="11"/>
        <v/>
      </c>
    </row>
    <row r="58" spans="2:11">
      <c r="B58" s="6" cm="1">
        <f t="array" ref="B58" xml:space="preserve"> ROW() - ROW($23:$23)</f>
        <v>35</v>
      </c>
      <c r="C58" s="6">
        <v>1</v>
      </c>
      <c r="D58" s="6" t="str">
        <f t="shared" si="7"/>
        <v/>
      </c>
      <c r="E58" s="6" t="str">
        <f t="shared" si="8"/>
        <v/>
      </c>
      <c r="F58" s="200" t="str">
        <f t="shared" si="9"/>
        <v/>
      </c>
      <c r="G58">
        <f t="shared" si="10"/>
        <v>0</v>
      </c>
      <c r="H58" t="str">
        <f t="shared" si="11"/>
        <v/>
      </c>
    </row>
    <row r="59" spans="2:11">
      <c r="B59" s="6" cm="1">
        <f t="array" ref="B59" xml:space="preserve"> ROW() - ROW($23:$23)</f>
        <v>36</v>
      </c>
      <c r="C59" s="6">
        <v>1</v>
      </c>
      <c r="D59" s="6" t="str">
        <f t="shared" si="7"/>
        <v/>
      </c>
      <c r="E59" s="6" t="str">
        <f t="shared" si="8"/>
        <v/>
      </c>
      <c r="F59" s="200" t="str">
        <f t="shared" si="9"/>
        <v/>
      </c>
      <c r="G59">
        <f t="shared" si="10"/>
        <v>0</v>
      </c>
      <c r="H59" t="str">
        <f t="shared" si="11"/>
        <v/>
      </c>
    </row>
    <row r="60" spans="2:11">
      <c r="B60" s="6" cm="1">
        <f t="array" ref="B60" xml:space="preserve"> ROW() - ROW($23:$23)</f>
        <v>37</v>
      </c>
      <c r="C60" s="6">
        <v>1</v>
      </c>
      <c r="D60" s="6" t="str">
        <f t="shared" si="7"/>
        <v/>
      </c>
      <c r="E60" s="6" t="str">
        <f t="shared" si="8"/>
        <v/>
      </c>
      <c r="F60" s="200" t="str">
        <f t="shared" si="9"/>
        <v/>
      </c>
      <c r="G60">
        <f t="shared" si="10"/>
        <v>0</v>
      </c>
      <c r="H60" t="str">
        <f t="shared" si="11"/>
        <v/>
      </c>
    </row>
    <row r="61" spans="2:11">
      <c r="B61" s="6" cm="1">
        <f t="array" ref="B61" xml:space="preserve"> ROW() - ROW($23:$23)</f>
        <v>38</v>
      </c>
      <c r="C61" s="6">
        <v>1</v>
      </c>
      <c r="D61" s="6" t="str">
        <f t="shared" si="7"/>
        <v/>
      </c>
      <c r="E61" s="6" t="str">
        <f t="shared" si="8"/>
        <v/>
      </c>
      <c r="F61" s="200" t="str">
        <f t="shared" si="9"/>
        <v/>
      </c>
      <c r="G61">
        <f t="shared" si="10"/>
        <v>0</v>
      </c>
      <c r="H61" t="str">
        <f t="shared" si="11"/>
        <v/>
      </c>
    </row>
    <row r="62" spans="2:11">
      <c r="B62" s="6" cm="1">
        <f t="array" ref="B62" xml:space="preserve"> ROW() - ROW($23:$23)</f>
        <v>39</v>
      </c>
      <c r="C62" s="6">
        <v>1</v>
      </c>
      <c r="D62" s="6" t="str">
        <f t="shared" si="7"/>
        <v/>
      </c>
      <c r="E62" s="6" t="str">
        <f t="shared" si="8"/>
        <v/>
      </c>
      <c r="F62" s="200" t="str">
        <f t="shared" si="9"/>
        <v/>
      </c>
      <c r="G62">
        <f t="shared" si="10"/>
        <v>0</v>
      </c>
      <c r="H62" t="str">
        <f t="shared" si="11"/>
        <v/>
      </c>
    </row>
    <row r="63" spans="2:11">
      <c r="B63" s="6" cm="1">
        <f t="array" ref="B63" xml:space="preserve"> ROW() - ROW($23:$23)</f>
        <v>40</v>
      </c>
      <c r="C63" s="6">
        <v>1</v>
      </c>
      <c r="D63" s="6" t="str">
        <f t="shared" si="7"/>
        <v/>
      </c>
      <c r="E63" s="6" t="str">
        <f t="shared" si="8"/>
        <v/>
      </c>
      <c r="F63" s="200" t="str">
        <f t="shared" si="9"/>
        <v/>
      </c>
      <c r="G63">
        <f t="shared" si="10"/>
        <v>0</v>
      </c>
      <c r="H63" t="str">
        <f t="shared" si="11"/>
        <v/>
      </c>
    </row>
    <row r="64" spans="2:11">
      <c r="B64" s="6" cm="1">
        <f t="array" ref="B64" xml:space="preserve"> ROW() - ROW($23:$23)</f>
        <v>41</v>
      </c>
    </row>
    <row r="65" spans="2:2">
      <c r="B65" s="6" cm="1">
        <f t="array" ref="B65" xml:space="preserve"> ROW() - ROW($23:$23)</f>
        <v>42</v>
      </c>
    </row>
    <row r="66" spans="2:2">
      <c r="B66" s="6" cm="1">
        <f t="array" ref="B66" xml:space="preserve"> ROW() - ROW($23:$23)</f>
        <v>43</v>
      </c>
    </row>
    <row r="67" spans="2:2">
      <c r="B67" s="6" cm="1">
        <f t="array" ref="B67" xml:space="preserve"> ROW() - ROW($23:$23)</f>
        <v>44</v>
      </c>
    </row>
    <row r="68" spans="2:2">
      <c r="B68" s="6" cm="1">
        <f t="array" ref="B68" xml:space="preserve"> ROW() - ROW($23:$23)</f>
        <v>45</v>
      </c>
    </row>
    <row r="69" spans="2:2">
      <c r="B69" s="6" cm="1">
        <f t="array" ref="B69" xml:space="preserve"> ROW() - ROW($23:$23)</f>
        <v>46</v>
      </c>
    </row>
    <row r="70" spans="2:2">
      <c r="B70" s="6" cm="1">
        <f t="array" ref="B70" xml:space="preserve"> ROW() - ROW($23:$23)</f>
        <v>47</v>
      </c>
    </row>
    <row r="71" spans="2:2">
      <c r="B71" s="6" cm="1">
        <f t="array" ref="B71" xml:space="preserve"> ROW() - ROW($23:$23)</f>
        <v>48</v>
      </c>
    </row>
    <row r="72" spans="2:2">
      <c r="B72" s="6" cm="1">
        <f t="array" ref="B72" xml:space="preserve"> ROW() - ROW($23:$23)</f>
        <v>49</v>
      </c>
    </row>
    <row r="73" spans="2:2">
      <c r="B73" s="6" cm="1">
        <f t="array" ref="B73" xml:space="preserve"> ROW() - ROW($23:$23)</f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46</vt:i4>
      </vt:variant>
      <vt:variant>
        <vt:lpstr>具名範圍</vt:lpstr>
      </vt:variant>
      <vt:variant>
        <vt:i4>44</vt:i4>
      </vt:variant>
    </vt:vector>
  </HeadingPairs>
  <TitlesOfParts>
    <vt:vector size="90" baseType="lpstr">
      <vt:lpstr>台語聲母18音排序</vt:lpstr>
      <vt:lpstr>台語韻母45音排序</vt:lpstr>
      <vt:lpstr>聲母碼</vt:lpstr>
      <vt:lpstr>韻母碼</vt:lpstr>
      <vt:lpstr>調號碼</vt:lpstr>
      <vt:lpstr>閩拚調號</vt:lpstr>
      <vt:lpstr>變調規則</vt:lpstr>
      <vt:lpstr>十五音-聲母</vt:lpstr>
      <vt:lpstr>十五音聲母清單</vt:lpstr>
      <vt:lpstr>十五音-韻母</vt:lpstr>
      <vt:lpstr>十五音韻母清單</vt:lpstr>
      <vt:lpstr>十五音韻母排序表</vt:lpstr>
      <vt:lpstr>十五音-韻母八音反切</vt:lpstr>
      <vt:lpstr>閩拚方案45韻母</vt:lpstr>
      <vt:lpstr>彙音寶鑑45韻母</vt:lpstr>
      <vt:lpstr>彙音妙悟50韻母</vt:lpstr>
      <vt:lpstr>台語45韻母</vt:lpstr>
      <vt:lpstr>台語彙音44韻母</vt:lpstr>
      <vt:lpstr>台語十五音-聲母（切音）</vt:lpstr>
      <vt:lpstr>台語十五音-。韻母 (字祖)</vt:lpstr>
      <vt:lpstr>十五音聲母排序</vt:lpstr>
      <vt:lpstr>台羅韻母排序</vt:lpstr>
      <vt:lpstr>閩拼-聲母</vt:lpstr>
      <vt:lpstr>閩拼-韻母</vt:lpstr>
      <vt:lpstr>閩拼-聲調</vt:lpstr>
      <vt:lpstr>閩拼-韻母八音反切</vt:lpstr>
      <vt:lpstr>方音聲母排序</vt:lpstr>
      <vt:lpstr>方音韻母排序</vt:lpstr>
      <vt:lpstr>方音符號．鍵盤</vt:lpstr>
      <vt:lpstr>白話字-音節表</vt:lpstr>
      <vt:lpstr>方音-音節表</vt:lpstr>
      <vt:lpstr>台語ㄅㄆㄇ-聲母碼</vt:lpstr>
      <vt:lpstr>台語ㄅㄆㄇ-韻母碼</vt:lpstr>
      <vt:lpstr>台語ㄅㄆㄇ轉換對照表</vt:lpstr>
      <vt:lpstr>韻母碼 (台羅)</vt:lpstr>
      <vt:lpstr>十五音韻母比較表</vt:lpstr>
      <vt:lpstr>方音-聲母</vt:lpstr>
      <vt:lpstr>方音-韻母</vt:lpstr>
      <vt:lpstr>方音．組合韻母表</vt:lpstr>
      <vt:lpstr>方音符號表</vt:lpstr>
      <vt:lpstr>聲母對照表（舊）</vt:lpstr>
      <vt:lpstr>韻母對照表（舊）</vt:lpstr>
      <vt:lpstr>白話字-韻母八音反切</vt:lpstr>
      <vt:lpstr>台羅拼音-音節表</vt:lpstr>
      <vt:lpstr>台羅-韻母八音反切</vt:lpstr>
      <vt:lpstr>增補彙音</vt:lpstr>
      <vt:lpstr>台語45韻母!Criteria</vt:lpstr>
      <vt:lpstr>台語彙音44韻母!Criteria</vt:lpstr>
      <vt:lpstr>彙音妙悟50韻母!Criteria</vt:lpstr>
      <vt:lpstr>彙音寶鑑45韻母!Criteria</vt:lpstr>
      <vt:lpstr>閩拚方案45韻母!Criteria</vt:lpstr>
      <vt:lpstr>韻母碼!Criteria</vt:lpstr>
      <vt:lpstr>台語45韻母!Extract</vt:lpstr>
      <vt:lpstr>台語彙音44韻母!Extract</vt:lpstr>
      <vt:lpstr>彙音妙悟50韻母!Extract</vt:lpstr>
      <vt:lpstr>彙音寶鑑45韻母!Extract</vt:lpstr>
      <vt:lpstr>閩拚方案45韻母!Extract</vt:lpstr>
      <vt:lpstr>韻母碼!Extract</vt:lpstr>
      <vt:lpstr>十五音聲母</vt:lpstr>
      <vt:lpstr>'台語十五音-。韻母 (字祖)'!十五音韻母</vt:lpstr>
      <vt:lpstr>十五音韻母</vt:lpstr>
      <vt:lpstr>'台語十五音-。韻母 (字祖)'!十五音韻母對照表</vt:lpstr>
      <vt:lpstr>十五音韻母對照表</vt:lpstr>
      <vt:lpstr>方音入聲韻母</vt:lpstr>
      <vt:lpstr>方音舒聲韻母</vt:lpstr>
      <vt:lpstr>台羅入聲韻母</vt:lpstr>
      <vt:lpstr>台羅舒聲韻母</vt:lpstr>
      <vt:lpstr>'韻母碼 (台羅)'!台羅韻母</vt:lpstr>
      <vt:lpstr>台羅韻母八音反切</vt:lpstr>
      <vt:lpstr>四十五韻母順序表</vt:lpstr>
      <vt:lpstr>白話字入聲韻母</vt:lpstr>
      <vt:lpstr>白話字舒聲韻母</vt:lpstr>
      <vt:lpstr>國際音標入聲韻母</vt:lpstr>
      <vt:lpstr>國際音標舒聲韻母</vt:lpstr>
      <vt:lpstr>麥氏都入聲韻母</vt:lpstr>
      <vt:lpstr>麥氏舒聲韻母</vt:lpstr>
      <vt:lpstr>閩拼入聲韻母</vt:lpstr>
      <vt:lpstr>閩拼舒聲韻母</vt:lpstr>
      <vt:lpstr>閩拼聲母</vt:lpstr>
      <vt:lpstr>'韻母碼 (台羅)'!閩拼韻母</vt:lpstr>
      <vt:lpstr>台語聲母18音排序!聲母碼</vt:lpstr>
      <vt:lpstr>聲母碼</vt:lpstr>
      <vt:lpstr>台語聲母18音排序!聲母碼表</vt:lpstr>
      <vt:lpstr>聲母碼表</vt:lpstr>
      <vt:lpstr>韻母入聲碼</vt:lpstr>
      <vt:lpstr>韻母國際音標</vt:lpstr>
      <vt:lpstr>韻母舒聲碼</vt:lpstr>
      <vt:lpstr>韻母對照表</vt:lpstr>
      <vt:lpstr>'韻母碼 (台羅)'!韻母碼表</vt:lpstr>
      <vt:lpstr>韻母碼表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居正中</dc:creator>
  <cp:keywords/>
  <dc:description/>
  <cp:lastModifiedBy>正中 居</cp:lastModifiedBy>
  <cp:revision/>
  <dcterms:created xsi:type="dcterms:W3CDTF">2022-09-19T01:33:33Z</dcterms:created>
  <dcterms:modified xsi:type="dcterms:W3CDTF">2024-03-09T02:39:03Z</dcterms:modified>
  <cp:category/>
  <cp:contentStatus/>
</cp:coreProperties>
</file>