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tsap-goo-im/docs/"/>
    </mc:Choice>
  </mc:AlternateContent>
  <xr:revisionPtr revIDLastSave="0" documentId="13_ncr:1_{C7B3FDC8-B9EE-874A-9FD3-C09270FA0821}" xr6:coauthVersionLast="47" xr6:coauthVersionMax="47" xr10:uidLastSave="{00000000-0000-0000-0000-000000000000}"/>
  <bookViews>
    <workbookView xWindow="-50660" yWindow="840" windowWidth="50180" windowHeight="20760" activeTab="1" xr2:uid="{3EA7FC10-FB6A-C649-B9C7-F25D1D616718}"/>
  </bookViews>
  <sheets>
    <sheet name="聲母碼" sheetId="15" r:id="rId1"/>
    <sheet name="韻母碼" sheetId="5" r:id="rId2"/>
    <sheet name="調號表" sheetId="11" r:id="rId3"/>
    <sheet name="十五音-聲母" sheetId="3" r:id="rId4"/>
    <sheet name="十五音-韻母" sheetId="4" r:id="rId5"/>
    <sheet name="十五音-韻母八音反切" sheetId="32" r:id="rId6"/>
    <sheet name="十五音聲母清單" sheetId="7" r:id="rId7"/>
    <sheet name="十五音韻母清單" sheetId="8" r:id="rId8"/>
    <sheet name="台語十五音-聲母（切音）" sheetId="43" r:id="rId9"/>
    <sheet name="彙音妙悟-韻母 (字祖)" sheetId="45" r:id="rId10"/>
    <sheet name="台語彙音-韻母 (字祖)" sheetId="46" r:id="rId11"/>
    <sheet name="台語十五音-。韻母 (字祖)" sheetId="44" state="hidden" r:id="rId12"/>
    <sheet name="彙音寶鑑-韻母 (字祖)" sheetId="47" r:id="rId13"/>
    <sheet name="十五音聲母排序" sheetId="41" r:id="rId14"/>
    <sheet name="台羅韻母排序" sheetId="42" r:id="rId15"/>
    <sheet name="閩拼-聲母" sheetId="24" r:id="rId16"/>
    <sheet name="閩拼-韻母" sheetId="12" r:id="rId17"/>
    <sheet name="閩拼-聲調" sheetId="31" r:id="rId18"/>
    <sheet name="閩拼-韻母八音反切" sheetId="35" r:id="rId19"/>
    <sheet name="方音聲母排序" sheetId="29" r:id="rId20"/>
    <sheet name="方音韻母排序" sheetId="30" r:id="rId21"/>
    <sheet name="方音-音節表" sheetId="28" r:id="rId22"/>
    <sheet name="台語ㄅㄆㄇ-聲母碼" sheetId="16" state="hidden" r:id="rId23"/>
    <sheet name="台語ㄅㄆㄇ-韻母碼" sheetId="17" state="hidden" r:id="rId24"/>
    <sheet name="台語ㄅㄆㄇ轉換對照表" sheetId="18" state="hidden" r:id="rId25"/>
    <sheet name="韻母碼 (台羅)" sheetId="13" state="hidden" r:id="rId26"/>
    <sheet name="十五音-聲母(BoPoMo)" sheetId="39" r:id="rId27"/>
    <sheet name="十五音韻母比較表" sheetId="26" r:id="rId28"/>
    <sheet name="方音-聲母" sheetId="20" r:id="rId29"/>
    <sheet name="方音-韻母" sheetId="19" r:id="rId30"/>
    <sheet name="方音．組合韻母表" sheetId="21" r:id="rId31"/>
    <sheet name="方音符號表" sheetId="10" r:id="rId32"/>
    <sheet name="方音符號．鍵盤" sheetId="22" r:id="rId33"/>
    <sheet name="聲母對照表（舊）" sheetId="1" state="hidden" r:id="rId34"/>
    <sheet name="韻母對照表（舊）" sheetId="2" state="hidden" r:id="rId35"/>
    <sheet name="白話字-音節表" sheetId="14" r:id="rId36"/>
    <sheet name="白話字-韻母八音反切" sheetId="33" r:id="rId37"/>
    <sheet name="台羅拼音-音節表" sheetId="9" r:id="rId38"/>
    <sheet name="台羅-韻母八音反切" sheetId="34" r:id="rId39"/>
    <sheet name="增補彙音" sheetId="25" r:id="rId40"/>
  </sheets>
  <definedNames>
    <definedName name="_xlnm._FilterDatabase" localSheetId="4" hidden="1">'十五音-韻母'!$B$4:$R$54</definedName>
    <definedName name="_xlnm._FilterDatabase" localSheetId="7" hidden="1">十五音韻母清單!$B$5:$K$105</definedName>
    <definedName name="_xlnm._FilterDatabase" localSheetId="20" hidden="1">方音韻母排序!$F$4:$L$78</definedName>
    <definedName name="_xlnm._FilterDatabase" localSheetId="11" hidden="1">'台語十五音-。韻母 (字祖)'!$L$5:$L$54</definedName>
    <definedName name="_xlnm._FilterDatabase" localSheetId="10" hidden="1">'台語彙音-韻母 (字祖)'!$M$5:$M$54</definedName>
    <definedName name="_xlnm._FilterDatabase" localSheetId="14" hidden="1">台羅韻母排序!$B$2:$H$76</definedName>
    <definedName name="_xlnm._FilterDatabase" localSheetId="9" hidden="1">'彙音妙悟-韻母 (字祖)'!$M$5:$M$54</definedName>
    <definedName name="_xlnm._FilterDatabase" localSheetId="12" hidden="1">'彙音寶鑑-韻母 (字祖)'!$M$5:$M$54</definedName>
    <definedName name="_xlnm._FilterDatabase" localSheetId="1" hidden="1">韻母碼!$Q$4:$U$103</definedName>
    <definedName name="_xlnm._FilterDatabase" localSheetId="25" hidden="1">'韻母碼 (台羅)'!$F$4:$M$79</definedName>
    <definedName name="_xlnm.Criteria" localSheetId="1">韻母碼!$W$1:$W$2</definedName>
    <definedName name="_xlnm.Extract" localSheetId="1">韻母碼!$O$4</definedName>
    <definedName name="十五音聲母">'十五音-聲母'!$C$3:$C$17</definedName>
    <definedName name="十五音韻母" localSheetId="11">'台語十五音-。韻母 (字祖)'!$Q$5:$Q$54</definedName>
    <definedName name="十五音韻母">'十五音-韻母'!$C$5:$C$54</definedName>
    <definedName name="十五音韻母對照表" localSheetId="11">'台語十五音-。韻母 (字祖)'!$B$5:$AF$54</definedName>
    <definedName name="十五音韻母對照表">'十五音-韻母'!$B$5:$R$54</definedName>
    <definedName name="方音入聲韻母">'十五音-韻母'!$O$5:$O$54</definedName>
    <definedName name="方音舒聲韻母">'十五音-韻母'!$N$5:$N$54</definedName>
    <definedName name="台羅入聲韻母">'十五音-韻母'!$K$5:$K$54</definedName>
    <definedName name="台羅舒聲韻母">'十五音-韻母'!$J$5:$J$54</definedName>
    <definedName name="台羅韻母" localSheetId="25">'韻母碼 (台羅)'!$K$5:$K$79</definedName>
    <definedName name="台羅韻母八音反切">'台羅-韻母八音反切'!$R$5:$Y$54</definedName>
    <definedName name="白話字入聲韻母">'十五音-韻母'!$I$5:$I$54</definedName>
    <definedName name="白話字舒聲韻母">'十五音-韻母'!$H$5:$H$54</definedName>
    <definedName name="國際音標入聲韻母">'十五音-韻母'!$G$5:$G$54</definedName>
    <definedName name="國際音標舒聲韻母">'十五音-韻母'!$F$5:$F$54</definedName>
    <definedName name="麥氏都入聲韻母">'十五音-韻母'!$Q$5:$Q$54</definedName>
    <definedName name="麥氏舒聲韻母">'十五音-韻母'!$P$5:$P$54</definedName>
    <definedName name="閩拼入聲韻母">'十五音-韻母'!$M$5:$M$54</definedName>
    <definedName name="閩拼舒聲韻母">'十五音-韻母'!$L$5:$L$54</definedName>
    <definedName name="閩拼聲母">'閩拼-聲母'!$C$7:$C$22</definedName>
    <definedName name="閩拼韻母" localSheetId="25">'韻母碼 (台羅)'!$L$5:$L$79</definedName>
    <definedName name="聲母碼">聲母碼!$E$6:$E$23</definedName>
    <definedName name="聲母碼表">聲母碼!$D$6:$K$23</definedName>
    <definedName name="韻母入聲碼">'十五音-韻母'!$E$5:$E$54</definedName>
    <definedName name="韻母國際音標">韻母碼!$H$5:$H$78</definedName>
    <definedName name="韻母舒聲碼">'十五音-韻母'!$D$5:$D$54</definedName>
    <definedName name="韻母對照表">十五音韻母清單!$B$6:$K$105</definedName>
    <definedName name="韻母碼表" localSheetId="25">'韻母碼 (台羅)'!$F$5:$M$79</definedName>
    <definedName name="韻母碼表">韻母碼!$F$5:$L$78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" i="5" l="1"/>
  <c r="S6" i="5"/>
  <c r="T6" i="5" s="1" a="1"/>
  <c r="T6" i="5" s="1"/>
  <c r="R7" i="5"/>
  <c r="S7" i="5"/>
  <c r="T7" i="5" s="1" a="1"/>
  <c r="T7" i="5" s="1"/>
  <c r="R8" i="5"/>
  <c r="S8" i="5"/>
  <c r="T8" i="5" s="1" a="1"/>
  <c r="T8" i="5" s="1"/>
  <c r="R9" i="5"/>
  <c r="S9" i="5"/>
  <c r="R10" i="5"/>
  <c r="S10" i="5"/>
  <c r="T10" i="5" s="1" a="1"/>
  <c r="T10" i="5" s="1"/>
  <c r="R11" i="5"/>
  <c r="S11" i="5"/>
  <c r="T11" i="5" s="1" a="1"/>
  <c r="T11" i="5" s="1"/>
  <c r="R12" i="5"/>
  <c r="S12" i="5"/>
  <c r="T12" i="5" s="1" a="1"/>
  <c r="T12" i="5" s="1"/>
  <c r="R13" i="5"/>
  <c r="S13" i="5"/>
  <c r="T13" i="5" s="1" a="1"/>
  <c r="T13" i="5" s="1"/>
  <c r="R14" i="5"/>
  <c r="S14" i="5"/>
  <c r="T14" i="5" s="1" a="1"/>
  <c r="T14" i="5" s="1"/>
  <c r="R15" i="5"/>
  <c r="S15" i="5"/>
  <c r="T15" i="5" s="1" a="1"/>
  <c r="T15" i="5" s="1"/>
  <c r="R16" i="5"/>
  <c r="S16" i="5"/>
  <c r="T16" i="5" s="1" a="1"/>
  <c r="T16" i="5" s="1"/>
  <c r="R17" i="5"/>
  <c r="S17" i="5"/>
  <c r="T17" i="5" s="1" a="1"/>
  <c r="T17" i="5" s="1"/>
  <c r="R18" i="5"/>
  <c r="S18" i="5"/>
  <c r="R19" i="5"/>
  <c r="S19" i="5"/>
  <c r="T19" i="5" s="1" a="1"/>
  <c r="T19" i="5" s="1"/>
  <c r="R20" i="5"/>
  <c r="S20" i="5"/>
  <c r="T20" i="5" s="1" a="1"/>
  <c r="T20" i="5" s="1"/>
  <c r="R21" i="5"/>
  <c r="S21" i="5"/>
  <c r="T21" i="5" s="1" a="1"/>
  <c r="T21" i="5" s="1"/>
  <c r="R22" i="5"/>
  <c r="S22" i="5"/>
  <c r="T22" i="5" s="1" a="1"/>
  <c r="T22" i="5" s="1"/>
  <c r="R23" i="5"/>
  <c r="S23" i="5"/>
  <c r="T23" i="5" s="1" a="1"/>
  <c r="T23" i="5" s="1"/>
  <c r="R24" i="5"/>
  <c r="S24" i="5"/>
  <c r="T24" i="5" s="1" a="1"/>
  <c r="T24" i="5" s="1"/>
  <c r="R25" i="5"/>
  <c r="S25" i="5"/>
  <c r="T25" i="5" s="1" a="1"/>
  <c r="T25" i="5" s="1"/>
  <c r="R26" i="5"/>
  <c r="S26" i="5"/>
  <c r="T26" i="5" a="1"/>
  <c r="T26" i="5"/>
  <c r="R27" i="5"/>
  <c r="S27" i="5"/>
  <c r="R28" i="5"/>
  <c r="S28" i="5"/>
  <c r="T28" i="5" s="1" a="1"/>
  <c r="T28" i="5" s="1"/>
  <c r="R29" i="5"/>
  <c r="S29" i="5"/>
  <c r="T29" i="5" s="1" a="1"/>
  <c r="T29" i="5" s="1"/>
  <c r="R30" i="5"/>
  <c r="S30" i="5"/>
  <c r="T30" i="5" s="1" a="1"/>
  <c r="T30" i="5" s="1"/>
  <c r="R31" i="5"/>
  <c r="S31" i="5"/>
  <c r="T31" i="5" s="1" a="1"/>
  <c r="T31" i="5" s="1"/>
  <c r="R32" i="5"/>
  <c r="S32" i="5"/>
  <c r="T32" i="5" s="1" a="1"/>
  <c r="T32" i="5" s="1"/>
  <c r="R33" i="5"/>
  <c r="S33" i="5"/>
  <c r="T33" i="5" s="1" a="1"/>
  <c r="T33" i="5" s="1"/>
  <c r="R34" i="5"/>
  <c r="S34" i="5"/>
  <c r="T34" i="5" s="1" a="1"/>
  <c r="T34" i="5" s="1"/>
  <c r="R35" i="5"/>
  <c r="S35" i="5"/>
  <c r="T35" i="5" s="1" a="1"/>
  <c r="T35" i="5" s="1"/>
  <c r="R36" i="5"/>
  <c r="S36" i="5"/>
  <c r="R37" i="5"/>
  <c r="S37" i="5"/>
  <c r="T37" i="5" s="1" a="1"/>
  <c r="T37" i="5" s="1"/>
  <c r="R38" i="5"/>
  <c r="S38" i="5"/>
  <c r="T38" i="5" s="1" a="1"/>
  <c r="T38" i="5" s="1"/>
  <c r="R39" i="5"/>
  <c r="S39" i="5"/>
  <c r="T39" i="5" s="1" a="1"/>
  <c r="T39" i="5" s="1"/>
  <c r="R40" i="5"/>
  <c r="S40" i="5"/>
  <c r="T40" i="5" s="1" a="1"/>
  <c r="T40" i="5" s="1"/>
  <c r="R41" i="5"/>
  <c r="S41" i="5"/>
  <c r="T41" i="5" s="1" a="1"/>
  <c r="T41" i="5" s="1"/>
  <c r="R42" i="5"/>
  <c r="S42" i="5"/>
  <c r="T42" i="5" s="1" a="1"/>
  <c r="T42" i="5" s="1"/>
  <c r="R43" i="5"/>
  <c r="S43" i="5"/>
  <c r="T43" i="5" s="1" a="1"/>
  <c r="T43" i="5" s="1"/>
  <c r="R44" i="5"/>
  <c r="S44" i="5"/>
  <c r="T44" i="5" s="1" a="1"/>
  <c r="T44" i="5" s="1"/>
  <c r="R45" i="5"/>
  <c r="S45" i="5"/>
  <c r="R46" i="5"/>
  <c r="S46" i="5"/>
  <c r="T46" i="5" s="1" a="1"/>
  <c r="T46" i="5" s="1"/>
  <c r="R47" i="5"/>
  <c r="S47" i="5"/>
  <c r="T47" i="5" s="1" a="1"/>
  <c r="T47" i="5" s="1"/>
  <c r="R48" i="5"/>
  <c r="S48" i="5"/>
  <c r="T48" i="5" s="1" a="1"/>
  <c r="T48" i="5" s="1"/>
  <c r="R49" i="5"/>
  <c r="S49" i="5"/>
  <c r="T49" i="5" s="1" a="1"/>
  <c r="T49" i="5" s="1"/>
  <c r="R50" i="5"/>
  <c r="S50" i="5"/>
  <c r="T50" i="5" s="1" a="1"/>
  <c r="T50" i="5" s="1"/>
  <c r="R51" i="5"/>
  <c r="S51" i="5"/>
  <c r="T51" i="5" s="1" a="1"/>
  <c r="T51" i="5" s="1"/>
  <c r="R52" i="5"/>
  <c r="S52" i="5"/>
  <c r="T52" i="5" s="1" a="1"/>
  <c r="T52" i="5" s="1"/>
  <c r="R53" i="5"/>
  <c r="S53" i="5"/>
  <c r="T53" i="5" a="1"/>
  <c r="T53" i="5"/>
  <c r="R54" i="5"/>
  <c r="S54" i="5"/>
  <c r="R55" i="5"/>
  <c r="S55" i="5"/>
  <c r="T55" i="5" s="1" a="1"/>
  <c r="T55" i="5" s="1"/>
  <c r="R56" i="5"/>
  <c r="S56" i="5"/>
  <c r="T56" i="5" s="1" a="1"/>
  <c r="T56" i="5" s="1"/>
  <c r="R57" i="5"/>
  <c r="S57" i="5"/>
  <c r="T57" i="5" s="1" a="1"/>
  <c r="T57" i="5" s="1"/>
  <c r="R58" i="5"/>
  <c r="S58" i="5"/>
  <c r="T58" i="5" s="1" a="1"/>
  <c r="T58" i="5" s="1"/>
  <c r="R59" i="5"/>
  <c r="S59" i="5"/>
  <c r="T59" i="5" s="1" a="1"/>
  <c r="T59" i="5" s="1"/>
  <c r="R60" i="5"/>
  <c r="S60" i="5"/>
  <c r="T60" i="5" s="1" a="1"/>
  <c r="T60" i="5" s="1"/>
  <c r="R61" i="5"/>
  <c r="S61" i="5"/>
  <c r="T61" i="5" s="1" a="1"/>
  <c r="T61" i="5" s="1"/>
  <c r="R62" i="5"/>
  <c r="S62" i="5"/>
  <c r="T62" i="5" s="1" a="1"/>
  <c r="T62" i="5" s="1"/>
  <c r="R63" i="5"/>
  <c r="S63" i="5"/>
  <c r="R64" i="5"/>
  <c r="S64" i="5"/>
  <c r="T64" i="5" s="1" a="1"/>
  <c r="T64" i="5" s="1"/>
  <c r="R65" i="5"/>
  <c r="S65" i="5"/>
  <c r="T65" i="5" s="1" a="1"/>
  <c r="T65" i="5" s="1"/>
  <c r="R66" i="5"/>
  <c r="S66" i="5"/>
  <c r="T66" i="5" s="1" a="1"/>
  <c r="T66" i="5" s="1"/>
  <c r="R67" i="5"/>
  <c r="S67" i="5"/>
  <c r="T67" i="5" s="1" a="1"/>
  <c r="T67" i="5" s="1"/>
  <c r="R68" i="5"/>
  <c r="S68" i="5"/>
  <c r="T68" i="5" s="1" a="1"/>
  <c r="T68" i="5" s="1"/>
  <c r="R69" i="5"/>
  <c r="S69" i="5"/>
  <c r="T69" i="5" s="1" a="1"/>
  <c r="T69" i="5" s="1"/>
  <c r="R70" i="5"/>
  <c r="S70" i="5"/>
  <c r="T70" i="5" s="1" a="1"/>
  <c r="T70" i="5" s="1"/>
  <c r="R71" i="5"/>
  <c r="S71" i="5"/>
  <c r="T71" i="5" s="1" a="1"/>
  <c r="T71" i="5" s="1"/>
  <c r="R72" i="5"/>
  <c r="S72" i="5"/>
  <c r="R73" i="5"/>
  <c r="S73" i="5"/>
  <c r="T73" i="5" s="1" a="1"/>
  <c r="T73" i="5" s="1"/>
  <c r="R74" i="5"/>
  <c r="S74" i="5"/>
  <c r="T74" i="5" s="1" a="1"/>
  <c r="T74" i="5" s="1"/>
  <c r="R75" i="5"/>
  <c r="S75" i="5"/>
  <c r="T75" i="5" s="1" a="1"/>
  <c r="T75" i="5" s="1"/>
  <c r="R76" i="5"/>
  <c r="S76" i="5"/>
  <c r="T76" i="5" s="1" a="1"/>
  <c r="T76" i="5" s="1"/>
  <c r="R77" i="5"/>
  <c r="S77" i="5"/>
  <c r="T77" i="5" s="1" a="1"/>
  <c r="T77" i="5" s="1"/>
  <c r="R78" i="5"/>
  <c r="S78" i="5"/>
  <c r="T78" i="5" s="1" a="1"/>
  <c r="T78" i="5" s="1"/>
  <c r="R79" i="5"/>
  <c r="S79" i="5"/>
  <c r="T79" i="5" s="1" a="1"/>
  <c r="T79" i="5" s="1"/>
  <c r="R80" i="5"/>
  <c r="S80" i="5"/>
  <c r="T80" i="5" a="1"/>
  <c r="T80" i="5"/>
  <c r="R81" i="5"/>
  <c r="S81" i="5"/>
  <c r="R82" i="5"/>
  <c r="S82" i="5"/>
  <c r="T82" i="5" s="1" a="1"/>
  <c r="T82" i="5" s="1"/>
  <c r="R83" i="5"/>
  <c r="S83" i="5"/>
  <c r="T83" i="5" s="1" a="1"/>
  <c r="T83" i="5" s="1"/>
  <c r="R84" i="5"/>
  <c r="S84" i="5"/>
  <c r="T84" i="5" s="1" a="1"/>
  <c r="T84" i="5" s="1"/>
  <c r="R85" i="5"/>
  <c r="S85" i="5"/>
  <c r="T85" i="5" s="1" a="1"/>
  <c r="T85" i="5" s="1"/>
  <c r="R86" i="5"/>
  <c r="S86" i="5"/>
  <c r="T86" i="5" s="1" a="1"/>
  <c r="T86" i="5" s="1"/>
  <c r="R87" i="5"/>
  <c r="S87" i="5"/>
  <c r="T87" i="5" s="1" a="1"/>
  <c r="T87" i="5" s="1"/>
  <c r="R88" i="5"/>
  <c r="S88" i="5"/>
  <c r="T88" i="5" s="1" a="1"/>
  <c r="T88" i="5" s="1"/>
  <c r="R89" i="5"/>
  <c r="S89" i="5"/>
  <c r="T89" i="5" s="1" a="1"/>
  <c r="T89" i="5" s="1"/>
  <c r="R90" i="5"/>
  <c r="S90" i="5"/>
  <c r="R91" i="5"/>
  <c r="S91" i="5"/>
  <c r="T91" i="5" s="1" a="1"/>
  <c r="T91" i="5" s="1"/>
  <c r="R92" i="5"/>
  <c r="S92" i="5"/>
  <c r="T92" i="5" s="1" a="1"/>
  <c r="T92" i="5" s="1"/>
  <c r="R93" i="5"/>
  <c r="S93" i="5"/>
  <c r="T93" i="5" s="1" a="1"/>
  <c r="T93" i="5" s="1"/>
  <c r="R94" i="5"/>
  <c r="S94" i="5"/>
  <c r="T94" i="5" s="1" a="1"/>
  <c r="T94" i="5" s="1"/>
  <c r="R95" i="5"/>
  <c r="S95" i="5"/>
  <c r="T95" i="5" s="1" a="1"/>
  <c r="T95" i="5" s="1"/>
  <c r="R96" i="5"/>
  <c r="S96" i="5"/>
  <c r="T96" i="5" s="1" a="1"/>
  <c r="T96" i="5" s="1"/>
  <c r="R97" i="5"/>
  <c r="S97" i="5"/>
  <c r="T97" i="5" s="1" a="1"/>
  <c r="T97" i="5" s="1"/>
  <c r="R98" i="5"/>
  <c r="S98" i="5"/>
  <c r="T98" i="5" s="1" a="1"/>
  <c r="T98" i="5" s="1"/>
  <c r="R99" i="5"/>
  <c r="S99" i="5"/>
  <c r="R100" i="5"/>
  <c r="S100" i="5"/>
  <c r="T100" i="5" s="1" a="1"/>
  <c r="T100" i="5" s="1"/>
  <c r="R101" i="5"/>
  <c r="S101" i="5"/>
  <c r="T101" i="5" s="1" a="1"/>
  <c r="T101" i="5" s="1"/>
  <c r="R102" i="5"/>
  <c r="S102" i="5"/>
  <c r="T102" i="5" s="1" a="1"/>
  <c r="T102" i="5" s="1"/>
  <c r="R103" i="5"/>
  <c r="S103" i="5"/>
  <c r="T103" i="5" s="1" a="1"/>
  <c r="T103" i="5" s="1"/>
  <c r="S5" i="5"/>
  <c r="R5" i="5"/>
  <c r="AE56" i="4"/>
  <c r="AC56" i="4"/>
  <c r="AE6" i="4" a="1"/>
  <c r="AE6" i="4" s="1"/>
  <c r="AE7" i="4" a="1"/>
  <c r="AE7" i="4" s="1"/>
  <c r="AE8" i="4" a="1"/>
  <c r="AE8" i="4" s="1"/>
  <c r="AE9" i="4" a="1"/>
  <c r="AE9" i="4" s="1"/>
  <c r="AE10" i="4" a="1"/>
  <c r="AE10" i="4" s="1"/>
  <c r="AE11" i="4" a="1"/>
  <c r="AE11" i="4"/>
  <c r="AE12" i="4" a="1"/>
  <c r="AE12" i="4" s="1"/>
  <c r="AE13" i="4" a="1"/>
  <c r="AE13" i="4" s="1"/>
  <c r="AE14" i="4" a="1"/>
  <c r="AE14" i="4" s="1"/>
  <c r="AE15" i="4" a="1"/>
  <c r="AE15" i="4" s="1"/>
  <c r="AE16" i="4" a="1"/>
  <c r="AE16" i="4" s="1"/>
  <c r="AE17" i="4" a="1"/>
  <c r="AE17" i="4"/>
  <c r="AE18" i="4" a="1"/>
  <c r="AE18" i="4" s="1"/>
  <c r="AE19" i="4" a="1"/>
  <c r="AE19" i="4" s="1"/>
  <c r="AE20" i="4" a="1"/>
  <c r="AE20" i="4" s="1"/>
  <c r="AE21" i="4" a="1"/>
  <c r="AE21" i="4" s="1"/>
  <c r="AE22" i="4" a="1"/>
  <c r="AE22" i="4" s="1"/>
  <c r="AE23" i="4" a="1"/>
  <c r="AE23" i="4"/>
  <c r="AE24" i="4" a="1"/>
  <c r="AE24" i="4" s="1"/>
  <c r="AE25" i="4" a="1"/>
  <c r="AE25" i="4" s="1"/>
  <c r="AE26" i="4" a="1"/>
  <c r="AE26" i="4" s="1"/>
  <c r="AE27" i="4" a="1"/>
  <c r="AE27" i="4" s="1"/>
  <c r="AE28" i="4" a="1"/>
  <c r="AE28" i="4" s="1"/>
  <c r="AE29" i="4" a="1"/>
  <c r="AE29" i="4"/>
  <c r="AE30" i="4" a="1"/>
  <c r="AE30" i="4" s="1"/>
  <c r="AE31" i="4" a="1"/>
  <c r="AE31" i="4" s="1"/>
  <c r="AE32" i="4" a="1"/>
  <c r="AE32" i="4" s="1"/>
  <c r="AE33" i="4" a="1"/>
  <c r="AE33" i="4" s="1"/>
  <c r="AE34" i="4" a="1"/>
  <c r="AE34" i="4" s="1"/>
  <c r="AE35" i="4" a="1"/>
  <c r="AE35" i="4"/>
  <c r="AE36" i="4" a="1"/>
  <c r="AE36" i="4" s="1"/>
  <c r="AE37" i="4" a="1"/>
  <c r="AE37" i="4" s="1"/>
  <c r="AE38" i="4" a="1"/>
  <c r="AE38" i="4" s="1"/>
  <c r="AE39" i="4" a="1"/>
  <c r="AE39" i="4" s="1"/>
  <c r="AE40" i="4" a="1"/>
  <c r="AE40" i="4" s="1"/>
  <c r="AE41" i="4" a="1"/>
  <c r="AE41" i="4"/>
  <c r="AE42" i="4" a="1"/>
  <c r="AE42" i="4" s="1"/>
  <c r="AE43" i="4" a="1"/>
  <c r="AE43" i="4" s="1"/>
  <c r="AE44" i="4" a="1"/>
  <c r="AE44" i="4" s="1"/>
  <c r="AE45" i="4" a="1"/>
  <c r="AE45" i="4" s="1"/>
  <c r="AE46" i="4" a="1"/>
  <c r="AE46" i="4" s="1"/>
  <c r="AE47" i="4" a="1"/>
  <c r="AE47" i="4"/>
  <c r="AE48" i="4" a="1"/>
  <c r="AE48" i="4" s="1"/>
  <c r="AE49" i="4" a="1"/>
  <c r="AE49" i="4" s="1"/>
  <c r="AE50" i="4" a="1"/>
  <c r="AE50" i="4" s="1"/>
  <c r="AE51" i="4" a="1"/>
  <c r="AE51" i="4" s="1"/>
  <c r="AE52" i="4" a="1"/>
  <c r="AE52" i="4" s="1"/>
  <c r="AE53" i="4" a="1"/>
  <c r="AE53" i="4"/>
  <c r="AE54" i="4" a="1"/>
  <c r="AE54" i="4" s="1"/>
  <c r="AE5" i="4" a="1"/>
  <c r="AE5" i="4" s="1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D5" i="4"/>
  <c r="W6" i="4"/>
  <c r="Y6" i="4" s="1" a="1"/>
  <c r="Y6" i="4" s="1"/>
  <c r="W7" i="4"/>
  <c r="Y7" i="4" s="1" a="1"/>
  <c r="Y7" i="4" s="1"/>
  <c r="W8" i="4"/>
  <c r="Z8" i="4" s="1" a="1"/>
  <c r="Z8" i="4" s="1"/>
  <c r="W9" i="4"/>
  <c r="Y9" i="4" s="1" a="1"/>
  <c r="Y9" i="4" s="1"/>
  <c r="W10" i="4"/>
  <c r="Y10" i="4" s="1" a="1"/>
  <c r="Y10" i="4" s="1"/>
  <c r="W11" i="4"/>
  <c r="Y11" i="4" s="1" a="1"/>
  <c r="Y11" i="4" s="1"/>
  <c r="W12" i="4"/>
  <c r="Y12" i="4" s="1" a="1"/>
  <c r="Y12" i="4" s="1"/>
  <c r="W13" i="4"/>
  <c r="Y13" i="4" s="1" a="1"/>
  <c r="Y13" i="4" s="1"/>
  <c r="W14" i="4"/>
  <c r="X14" i="4" s="1" a="1"/>
  <c r="X14" i="4" s="1"/>
  <c r="W15" i="4"/>
  <c r="X15" i="4" s="1" a="1"/>
  <c r="X15" i="4" s="1"/>
  <c r="W16" i="4"/>
  <c r="Y16" i="4" s="1" a="1"/>
  <c r="Y16" i="4" s="1"/>
  <c r="W17" i="4"/>
  <c r="Y17" i="4" s="1" a="1"/>
  <c r="Y17" i="4" s="1"/>
  <c r="W18" i="4"/>
  <c r="Z18" i="4" s="1" a="1"/>
  <c r="Z18" i="4" s="1"/>
  <c r="W19" i="4"/>
  <c r="Y19" i="4" s="1" a="1"/>
  <c r="Y19" i="4" s="1"/>
  <c r="W20" i="4"/>
  <c r="Y20" i="4" s="1" a="1"/>
  <c r="Y20" i="4" s="1"/>
  <c r="W21" i="4"/>
  <c r="Y21" i="4" s="1" a="1"/>
  <c r="Y21" i="4" s="1"/>
  <c r="W22" i="4"/>
  <c r="Y22" i="4" s="1" a="1"/>
  <c r="Y22" i="4" s="1"/>
  <c r="W23" i="4"/>
  <c r="Y23" i="4" s="1" a="1"/>
  <c r="Y23" i="4" s="1"/>
  <c r="W24" i="4"/>
  <c r="X24" i="4" s="1" a="1"/>
  <c r="X24" i="4" s="1"/>
  <c r="W25" i="4"/>
  <c r="Y25" i="4" s="1" a="1"/>
  <c r="Y25" i="4" s="1"/>
  <c r="W26" i="4"/>
  <c r="Z26" i="4" s="1" a="1"/>
  <c r="Z26" i="4" s="1"/>
  <c r="W27" i="4"/>
  <c r="Y27" i="4" s="1" a="1"/>
  <c r="Y27" i="4" s="1"/>
  <c r="W28" i="4"/>
  <c r="Y28" i="4" s="1" a="1"/>
  <c r="Y28" i="4" s="1"/>
  <c r="W29" i="4"/>
  <c r="Z29" i="4" s="1" a="1"/>
  <c r="Z29" i="4" s="1"/>
  <c r="W30" i="4"/>
  <c r="Y30" i="4" s="1" a="1"/>
  <c r="Y30" i="4" s="1"/>
  <c r="W31" i="4"/>
  <c r="Z31" i="4" s="1" a="1"/>
  <c r="Z31" i="4" s="1"/>
  <c r="W32" i="4"/>
  <c r="Y32" i="4" s="1" a="1"/>
  <c r="Y32" i="4" s="1"/>
  <c r="W33" i="4"/>
  <c r="Y33" i="4" s="1" a="1"/>
  <c r="Y33" i="4" s="1"/>
  <c r="W34" i="4"/>
  <c r="Y34" i="4" s="1" a="1"/>
  <c r="Y34" i="4" s="1"/>
  <c r="W35" i="4"/>
  <c r="X35" i="4" s="1" a="1"/>
  <c r="X35" i="4" s="1"/>
  <c r="W36" i="4"/>
  <c r="Z36" i="4" s="1" a="1"/>
  <c r="Z36" i="4" s="1"/>
  <c r="W37" i="4"/>
  <c r="Y37" i="4" s="1" a="1"/>
  <c r="Y37" i="4" s="1"/>
  <c r="W38" i="4"/>
  <c r="Y38" i="4" s="1" a="1"/>
  <c r="Y38" i="4" s="1"/>
  <c r="W39" i="4"/>
  <c r="Y39" i="4" s="1" a="1"/>
  <c r="Y39" i="4" s="1"/>
  <c r="W40" i="4"/>
  <c r="Y40" i="4" s="1" a="1"/>
  <c r="Y40" i="4" s="1"/>
  <c r="W41" i="4"/>
  <c r="Y41" i="4" s="1" a="1"/>
  <c r="Y41" i="4" s="1"/>
  <c r="W42" i="4"/>
  <c r="Y42" i="4" s="1" a="1"/>
  <c r="Y42" i="4" s="1"/>
  <c r="W43" i="4"/>
  <c r="Y43" i="4" s="1" a="1"/>
  <c r="Y43" i="4" s="1"/>
  <c r="W44" i="4"/>
  <c r="Z44" i="4" s="1" a="1"/>
  <c r="Z44" i="4" s="1"/>
  <c r="W45" i="4"/>
  <c r="X45" i="4" s="1" a="1"/>
  <c r="X45" i="4" s="1"/>
  <c r="W46" i="4"/>
  <c r="X46" i="4" s="1" a="1"/>
  <c r="X46" i="4" s="1"/>
  <c r="W47" i="4"/>
  <c r="Y47" i="4" s="1" a="1"/>
  <c r="Y47" i="4" s="1"/>
  <c r="W48" i="4"/>
  <c r="Y48" i="4" s="1" a="1"/>
  <c r="Y48" i="4" s="1"/>
  <c r="W49" i="4"/>
  <c r="Y49" i="4" s="1" a="1"/>
  <c r="Y49" i="4" s="1"/>
  <c r="W5" i="4"/>
  <c r="Z5" i="4" s="1" a="1"/>
  <c r="Z5" i="4" s="1"/>
  <c r="Y10" i="15" a="1"/>
  <c r="Y10" i="15" s="1"/>
  <c r="Y11" i="15" a="1"/>
  <c r="Y11" i="15" s="1"/>
  <c r="Y12" i="15" a="1"/>
  <c r="Y12" i="15" s="1"/>
  <c r="Y13" i="15" a="1"/>
  <c r="Y13" i="15" s="1"/>
  <c r="Y14" i="15" a="1"/>
  <c r="Y14" i="15" s="1"/>
  <c r="Y15" i="15" a="1"/>
  <c r="Y15" i="15" s="1"/>
  <c r="Y22" i="15" a="1"/>
  <c r="Y22" i="15" s="1"/>
  <c r="Y23" i="15" a="1"/>
  <c r="Y23" i="15" s="1"/>
  <c r="Z23" i="15" a="1"/>
  <c r="Z23" i="15" s="1"/>
  <c r="Z15" i="15" a="1"/>
  <c r="Z15" i="15" s="1"/>
  <c r="Z14" i="15" a="1"/>
  <c r="Z14" i="15" s="1"/>
  <c r="Z13" i="15" a="1"/>
  <c r="Z13" i="15" s="1"/>
  <c r="Z10" i="15" a="1"/>
  <c r="Z10" i="15" s="1"/>
  <c r="Z6" i="15" a="1"/>
  <c r="Z6" i="15" s="1"/>
  <c r="Y6" i="15" a="1"/>
  <c r="Y6" i="15" s="1"/>
  <c r="X7" i="15"/>
  <c r="Y7" i="15" s="1" a="1"/>
  <c r="Y7" i="15" s="1"/>
  <c r="X8" i="15"/>
  <c r="Y8" i="15" s="1" a="1"/>
  <c r="Y8" i="15" s="1"/>
  <c r="X9" i="15"/>
  <c r="Y9" i="15" s="1" a="1"/>
  <c r="Y9" i="15" s="1"/>
  <c r="X10" i="15"/>
  <c r="X11" i="15"/>
  <c r="Z11" i="15" s="1" a="1"/>
  <c r="Z11" i="15" s="1"/>
  <c r="X12" i="15"/>
  <c r="Z12" i="15" s="1" a="1"/>
  <c r="Z12" i="15" s="1"/>
  <c r="X13" i="15"/>
  <c r="X14" i="15"/>
  <c r="X15" i="15"/>
  <c r="X16" i="15"/>
  <c r="Y16" i="15" s="1" a="1"/>
  <c r="Y16" i="15" s="1"/>
  <c r="X17" i="15"/>
  <c r="Y17" i="15" s="1" a="1"/>
  <c r="Y17" i="15" s="1"/>
  <c r="X18" i="15"/>
  <c r="Y18" i="15" s="1" a="1"/>
  <c r="Y18" i="15" s="1"/>
  <c r="X19" i="15"/>
  <c r="Z19" i="15" s="1" a="1"/>
  <c r="Z19" i="15" s="1"/>
  <c r="X20" i="15"/>
  <c r="Z20" i="15" s="1" a="1"/>
  <c r="Z20" i="15" s="1"/>
  <c r="X21" i="15"/>
  <c r="Z21" i="15" s="1" a="1"/>
  <c r="Z21" i="15" s="1"/>
  <c r="X22" i="15"/>
  <c r="Z22" i="15" s="1" a="1"/>
  <c r="Z22" i="15" s="1"/>
  <c r="X23" i="15"/>
  <c r="X6" i="15"/>
  <c r="E8" i="24"/>
  <c r="F8" i="24" s="1" a="1"/>
  <c r="F8" i="24" s="1"/>
  <c r="E9" i="24"/>
  <c r="F9" i="24" s="1" a="1"/>
  <c r="F9" i="24" s="1"/>
  <c r="E10" i="24"/>
  <c r="F10" i="24" s="1" a="1"/>
  <c r="F10" i="24" s="1"/>
  <c r="E11" i="24"/>
  <c r="F11" i="24" s="1" a="1"/>
  <c r="F11" i="24" s="1"/>
  <c r="E12" i="24"/>
  <c r="F12" i="24" s="1" a="1"/>
  <c r="F12" i="24" s="1"/>
  <c r="E13" i="24"/>
  <c r="F13" i="24" s="1" a="1"/>
  <c r="F13" i="24" s="1"/>
  <c r="E14" i="24"/>
  <c r="F14" i="24" s="1" a="1"/>
  <c r="F14" i="24" s="1"/>
  <c r="E15" i="24"/>
  <c r="F15" i="24" s="1" a="1"/>
  <c r="F15" i="24" s="1"/>
  <c r="E16" i="24"/>
  <c r="F16" i="24" s="1" a="1"/>
  <c r="F16" i="24" s="1"/>
  <c r="E17" i="24"/>
  <c r="F17" i="24" s="1" a="1"/>
  <c r="F17" i="24" s="1"/>
  <c r="E18" i="24"/>
  <c r="F18" i="24" s="1" a="1"/>
  <c r="F18" i="24" s="1"/>
  <c r="E19" i="24"/>
  <c r="F19" i="24" s="1" a="1"/>
  <c r="F19" i="24" s="1"/>
  <c r="E20" i="24"/>
  <c r="F20" i="24" s="1" a="1"/>
  <c r="F20" i="24" s="1"/>
  <c r="E21" i="24"/>
  <c r="F21" i="24" s="1" a="1"/>
  <c r="F21" i="24" s="1"/>
  <c r="E22" i="24"/>
  <c r="F22" i="24" s="1" a="1"/>
  <c r="F22" i="24" s="1"/>
  <c r="E23" i="24"/>
  <c r="F23" i="24" s="1" a="1"/>
  <c r="F23" i="24" s="1"/>
  <c r="E24" i="24"/>
  <c r="F24" i="24" s="1" a="1"/>
  <c r="F24" i="24" s="1"/>
  <c r="B23" i="24" a="1"/>
  <c r="B23" i="24" s="1"/>
  <c r="B24" i="24" a="1"/>
  <c r="B24" i="24" s="1"/>
  <c r="B8" i="24" a="1"/>
  <c r="B8" i="24" s="1"/>
  <c r="B9" i="24" a="1"/>
  <c r="B9" i="24" s="1"/>
  <c r="B10" i="24" a="1"/>
  <c r="B10" i="24" s="1"/>
  <c r="B11" i="24" a="1"/>
  <c r="B11" i="24"/>
  <c r="B12" i="24" a="1"/>
  <c r="B12" i="24"/>
  <c r="B13" i="24" a="1"/>
  <c r="B13" i="24"/>
  <c r="B14" i="24" a="1"/>
  <c r="B14" i="24" s="1"/>
  <c r="B15" i="24" a="1"/>
  <c r="B15" i="24" s="1"/>
  <c r="B16" i="24" a="1"/>
  <c r="B16" i="24" s="1"/>
  <c r="B17" i="24" a="1"/>
  <c r="B17" i="24"/>
  <c r="B18" i="24" a="1"/>
  <c r="B18" i="24"/>
  <c r="B19" i="24" a="1"/>
  <c r="B19" i="24"/>
  <c r="B20" i="24" a="1"/>
  <c r="B20" i="24" s="1"/>
  <c r="B21" i="24" a="1"/>
  <c r="B21" i="24" s="1"/>
  <c r="B22" i="24" a="1"/>
  <c r="B22" i="24" s="1"/>
  <c r="S7" i="12" a="1"/>
  <c r="S7" i="12" s="1"/>
  <c r="S8" i="12" a="1"/>
  <c r="S8" i="12" s="1"/>
  <c r="S9" i="12" a="1"/>
  <c r="S9" i="12" s="1"/>
  <c r="C1" i="24" a="1"/>
  <c r="C1" i="24" s="1"/>
  <c r="D1" i="24" a="1"/>
  <c r="D1" i="24" s="1"/>
  <c r="E1" i="24" a="1"/>
  <c r="E1" i="24" s="1"/>
  <c r="F1" i="24" a="1"/>
  <c r="F1" i="24" s="1"/>
  <c r="B1" i="24" a="1"/>
  <c r="B1" i="24" s="1"/>
  <c r="B7" i="24" a="1"/>
  <c r="B7" i="24" s="1"/>
  <c r="E7" i="24"/>
  <c r="T9" i="12" a="1"/>
  <c r="T9" i="12" s="1"/>
  <c r="U9" i="12"/>
  <c r="T7" i="12" a="1"/>
  <c r="T7" i="12" s="1"/>
  <c r="U7" i="12"/>
  <c r="T8" i="12" a="1"/>
  <c r="T8" i="12" s="1"/>
  <c r="U8" i="12"/>
  <c r="I1" i="12" a="1"/>
  <c r="I1" i="12" s="1"/>
  <c r="J1" i="12" a="1"/>
  <c r="J1" i="12" s="1"/>
  <c r="Z7" i="12"/>
  <c r="AA7" i="12" a="1"/>
  <c r="AA7" i="12" s="1"/>
  <c r="AB7" i="12"/>
  <c r="C1" i="12" a="1"/>
  <c r="C1" i="12" s="1"/>
  <c r="D1" i="12" a="1"/>
  <c r="D1" i="12" s="1"/>
  <c r="E1" i="12" a="1"/>
  <c r="E1" i="12" s="1"/>
  <c r="F1" i="12" a="1"/>
  <c r="F1" i="12" s="1"/>
  <c r="G1" i="12" a="1"/>
  <c r="G1" i="12" s="1"/>
  <c r="H1" i="12" a="1"/>
  <c r="H1" i="12" s="1"/>
  <c r="B1" i="12" a="1"/>
  <c r="B1" i="12" s="1"/>
  <c r="E8" i="12"/>
  <c r="G8" i="12" s="1"/>
  <c r="E9" i="12"/>
  <c r="F9" i="12" s="1"/>
  <c r="E10" i="12"/>
  <c r="F10" i="12" s="1"/>
  <c r="E11" i="12"/>
  <c r="F11" i="12" s="1"/>
  <c r="E12" i="12"/>
  <c r="F12" i="12" s="1"/>
  <c r="E13" i="12"/>
  <c r="E14" i="12"/>
  <c r="E15" i="12"/>
  <c r="G15" i="12" s="1"/>
  <c r="E16" i="12"/>
  <c r="E17" i="12"/>
  <c r="G17" i="12" s="1"/>
  <c r="E18" i="12"/>
  <c r="F18" i="12" s="1"/>
  <c r="E19" i="12"/>
  <c r="E20" i="12"/>
  <c r="F20" i="12" s="1"/>
  <c r="E21" i="12"/>
  <c r="F21" i="12" s="1"/>
  <c r="E22" i="12"/>
  <c r="F22" i="12" s="1"/>
  <c r="E23" i="12"/>
  <c r="F23" i="12" s="1"/>
  <c r="E24" i="12"/>
  <c r="E25" i="12"/>
  <c r="G25" i="12" s="1"/>
  <c r="E26" i="12"/>
  <c r="E27" i="12"/>
  <c r="G27" i="12" s="1"/>
  <c r="E28" i="12"/>
  <c r="F28" i="12" s="1"/>
  <c r="E29" i="12"/>
  <c r="E30" i="12"/>
  <c r="E31" i="12"/>
  <c r="G31" i="12" s="1"/>
  <c r="E32" i="12"/>
  <c r="E33" i="12"/>
  <c r="F33" i="12" s="1"/>
  <c r="E34" i="12"/>
  <c r="F34" i="12" s="1"/>
  <c r="G34" i="12" s="1"/>
  <c r="H34" i="12" s="1" a="1"/>
  <c r="H34" i="12" s="1"/>
  <c r="E35" i="12"/>
  <c r="G35" i="12" s="1"/>
  <c r="E36" i="12"/>
  <c r="E37" i="12"/>
  <c r="G37" i="12" s="1"/>
  <c r="E38" i="12"/>
  <c r="F38" i="12" s="1"/>
  <c r="E39" i="12"/>
  <c r="F39" i="12" s="1"/>
  <c r="E40" i="12"/>
  <c r="E41" i="12"/>
  <c r="G41" i="12" s="1"/>
  <c r="E42" i="12"/>
  <c r="G42" i="12" s="1"/>
  <c r="E43" i="12"/>
  <c r="F43" i="12" s="1"/>
  <c r="E44" i="12"/>
  <c r="F44" i="12" s="1"/>
  <c r="E45" i="12"/>
  <c r="F45" i="12" s="1"/>
  <c r="E46" i="12"/>
  <c r="G46" i="12" s="1"/>
  <c r="E47" i="12"/>
  <c r="E48" i="12"/>
  <c r="F48" i="12" s="1"/>
  <c r="E49" i="12"/>
  <c r="F49" i="12" s="1"/>
  <c r="E50" i="12"/>
  <c r="F50" i="12" s="1"/>
  <c r="E51" i="12"/>
  <c r="E52" i="12"/>
  <c r="G52" i="12" s="1"/>
  <c r="E53" i="12"/>
  <c r="G53" i="12" s="1"/>
  <c r="E54" i="12"/>
  <c r="F54" i="12" s="1"/>
  <c r="E55" i="12"/>
  <c r="G55" i="12" s="1"/>
  <c r="H55" i="12" s="1" a="1"/>
  <c r="H55" i="12" s="1"/>
  <c r="E56" i="12"/>
  <c r="G56" i="12" s="1"/>
  <c r="E57" i="12"/>
  <c r="F57" i="12" s="1"/>
  <c r="E58" i="12"/>
  <c r="F58" i="12" s="1"/>
  <c r="E59" i="12"/>
  <c r="F59" i="12" s="1"/>
  <c r="E60" i="12"/>
  <c r="F60" i="12" s="1"/>
  <c r="E61" i="12"/>
  <c r="F61" i="12" s="1"/>
  <c r="G61" i="12" s="1"/>
  <c r="H61" i="12" s="1" a="1"/>
  <c r="H61" i="12" s="1"/>
  <c r="E62" i="12"/>
  <c r="G62" i="12" s="1"/>
  <c r="E63" i="12"/>
  <c r="E64" i="12"/>
  <c r="G64" i="12" s="1"/>
  <c r="E65" i="12"/>
  <c r="E66" i="12"/>
  <c r="F66" i="12" s="1"/>
  <c r="E67" i="12"/>
  <c r="E68" i="12"/>
  <c r="G68" i="12" s="1"/>
  <c r="E69" i="12"/>
  <c r="F69" i="12" s="1"/>
  <c r="E70" i="12"/>
  <c r="F70" i="12" s="1"/>
  <c r="E71" i="12"/>
  <c r="F71" i="12" s="1"/>
  <c r="E72" i="12"/>
  <c r="G72" i="12" s="1"/>
  <c r="E73" i="12"/>
  <c r="E74" i="12"/>
  <c r="E75" i="12"/>
  <c r="G75" i="12" s="1"/>
  <c r="E76" i="12"/>
  <c r="F76" i="12" s="1"/>
  <c r="E77" i="12"/>
  <c r="E78" i="12"/>
  <c r="G78" i="12" s="1"/>
  <c r="E79" i="12"/>
  <c r="G79" i="12" s="1"/>
  <c r="E80" i="12"/>
  <c r="F80" i="12" s="1"/>
  <c r="E81" i="12"/>
  <c r="F81" i="12" s="1"/>
  <c r="E82" i="12"/>
  <c r="F82" i="12" s="1"/>
  <c r="E83" i="12"/>
  <c r="G83" i="12" s="1"/>
  <c r="E84" i="12"/>
  <c r="E85" i="12"/>
  <c r="G85" i="12" s="1"/>
  <c r="E86" i="12"/>
  <c r="F86" i="12" s="1"/>
  <c r="E87" i="12"/>
  <c r="F87" i="12" s="1"/>
  <c r="E88" i="12"/>
  <c r="G88" i="12" s="1"/>
  <c r="E89" i="12"/>
  <c r="E90" i="12"/>
  <c r="G90" i="12" s="1"/>
  <c r="E91" i="12"/>
  <c r="F91" i="12" s="1"/>
  <c r="E92" i="12"/>
  <c r="G92" i="12" s="1"/>
  <c r="E7" i="12"/>
  <c r="G7" i="12" s="1"/>
  <c r="E54" i="47"/>
  <c r="G54" i="47" s="1" a="1"/>
  <c r="G54" i="47" s="1"/>
  <c r="E53" i="47"/>
  <c r="E52" i="47"/>
  <c r="F52" i="47" s="1" a="1"/>
  <c r="F52" i="47" s="1"/>
  <c r="E51" i="47"/>
  <c r="I51" i="47" s="1" a="1"/>
  <c r="I51" i="47" s="1"/>
  <c r="E50" i="47"/>
  <c r="H50" i="47" s="1" a="1"/>
  <c r="H50" i="47" s="1"/>
  <c r="E49" i="47"/>
  <c r="H49" i="47" s="1" a="1"/>
  <c r="H49" i="47" s="1"/>
  <c r="E48" i="47"/>
  <c r="E47" i="47"/>
  <c r="G47" i="47" s="1" a="1"/>
  <c r="G47" i="47" s="1"/>
  <c r="E46" i="47"/>
  <c r="I46" i="47" s="1" a="1"/>
  <c r="I46" i="47" s="1"/>
  <c r="E45" i="47"/>
  <c r="F45" i="47" s="1" a="1"/>
  <c r="F45" i="47" s="1"/>
  <c r="E44" i="47"/>
  <c r="J44" i="47" s="1" a="1"/>
  <c r="J44" i="47" s="1"/>
  <c r="E43" i="47"/>
  <c r="F43" i="47" s="1" a="1"/>
  <c r="F43" i="47" s="1"/>
  <c r="E42" i="47"/>
  <c r="G42" i="47" s="1" a="1"/>
  <c r="G42" i="47" s="1"/>
  <c r="E41" i="47"/>
  <c r="E40" i="47"/>
  <c r="I40" i="47" s="1" a="1"/>
  <c r="I40" i="47" s="1"/>
  <c r="E39" i="47"/>
  <c r="I39" i="47" s="1" a="1"/>
  <c r="I39" i="47" s="1"/>
  <c r="E38" i="47"/>
  <c r="J38" i="47" s="1" a="1"/>
  <c r="J38" i="47" s="1"/>
  <c r="E37" i="47"/>
  <c r="H37" i="47" s="1" a="1"/>
  <c r="H37" i="47" s="1"/>
  <c r="E36" i="47"/>
  <c r="E35" i="47"/>
  <c r="G35" i="47" s="1" a="1"/>
  <c r="G35" i="47" s="1"/>
  <c r="E34" i="47"/>
  <c r="I34" i="47" s="1" a="1"/>
  <c r="I34" i="47" s="1"/>
  <c r="E33" i="47"/>
  <c r="F33" i="47" s="1" a="1"/>
  <c r="F33" i="47" s="1"/>
  <c r="E32" i="47"/>
  <c r="H32" i="47" s="1" a="1"/>
  <c r="H32" i="47" s="1"/>
  <c r="E31" i="47"/>
  <c r="E30" i="47"/>
  <c r="G30" i="47" s="1" a="1"/>
  <c r="G30" i="47" s="1"/>
  <c r="E29" i="47"/>
  <c r="E28" i="47"/>
  <c r="I28" i="47" s="1" a="1"/>
  <c r="I28" i="47" s="1"/>
  <c r="E27" i="47"/>
  <c r="I27" i="47" s="1" a="1"/>
  <c r="I27" i="47" s="1"/>
  <c r="E26" i="47"/>
  <c r="H26" i="47" s="1" a="1"/>
  <c r="H26" i="47" s="1"/>
  <c r="E25" i="47"/>
  <c r="H25" i="47" s="1" a="1"/>
  <c r="H25" i="47" s="1"/>
  <c r="E24" i="47"/>
  <c r="E23" i="47"/>
  <c r="G23" i="47" s="1" a="1"/>
  <c r="G23" i="47" s="1"/>
  <c r="E22" i="47"/>
  <c r="I22" i="47" s="1" a="1"/>
  <c r="I22" i="47" s="1"/>
  <c r="E21" i="47"/>
  <c r="F21" i="47" s="1" a="1"/>
  <c r="F21" i="47" s="1"/>
  <c r="E20" i="47"/>
  <c r="H20" i="47" s="1" a="1"/>
  <c r="H20" i="47" s="1"/>
  <c r="E19" i="47"/>
  <c r="E18" i="47"/>
  <c r="G18" i="47" s="1" a="1"/>
  <c r="G18" i="47" s="1"/>
  <c r="E17" i="47"/>
  <c r="E16" i="47"/>
  <c r="H16" i="47" s="1" a="1"/>
  <c r="H16" i="47" s="1"/>
  <c r="E15" i="47"/>
  <c r="I15" i="47" s="1" a="1"/>
  <c r="I15" i="47" s="1"/>
  <c r="E14" i="47"/>
  <c r="H14" i="47" s="1" a="1"/>
  <c r="H14" i="47" s="1"/>
  <c r="E13" i="47"/>
  <c r="H13" i="47" s="1" a="1"/>
  <c r="H13" i="47" s="1"/>
  <c r="E12" i="47"/>
  <c r="E11" i="47"/>
  <c r="G11" i="47" s="1" a="1"/>
  <c r="G11" i="47" s="1"/>
  <c r="E10" i="47"/>
  <c r="I10" i="47" s="1" a="1"/>
  <c r="I10" i="47" s="1"/>
  <c r="E9" i="47"/>
  <c r="F9" i="47" s="1" a="1"/>
  <c r="F9" i="47" s="1"/>
  <c r="E8" i="47"/>
  <c r="H8" i="47" s="1" a="1"/>
  <c r="H8" i="47" s="1"/>
  <c r="E7" i="47"/>
  <c r="E6" i="47"/>
  <c r="G6" i="47" s="1" a="1"/>
  <c r="G6" i="47" s="1"/>
  <c r="E5" i="47"/>
  <c r="AG2" i="47" a="1"/>
  <c r="AG2" i="47" s="1"/>
  <c r="AF2" i="47" a="1"/>
  <c r="AF2" i="47" s="1"/>
  <c r="AE2" i="47" a="1"/>
  <c r="AE2" i="47" s="1"/>
  <c r="AD2" i="47"/>
  <c r="AD2" i="47" a="1"/>
  <c r="AC2" i="47"/>
  <c r="AC2" i="47" a="1"/>
  <c r="AB2" i="47" a="1"/>
  <c r="AB2" i="47" s="1"/>
  <c r="AA2" i="47" a="1"/>
  <c r="AA2" i="47" s="1"/>
  <c r="Z2" i="47" a="1"/>
  <c r="Z2" i="47" s="1"/>
  <c r="Y2" i="47" a="1"/>
  <c r="Y2" i="47" s="1"/>
  <c r="X2" i="47"/>
  <c r="X2" i="47" a="1"/>
  <c r="W2" i="47"/>
  <c r="W2" i="47" a="1"/>
  <c r="V2" i="47" a="1"/>
  <c r="V2" i="47" s="1"/>
  <c r="U2" i="47" a="1"/>
  <c r="U2" i="47" s="1"/>
  <c r="T2" i="47" a="1"/>
  <c r="T2" i="47" s="1"/>
  <c r="S2" i="47" a="1"/>
  <c r="S2" i="47" s="1"/>
  <c r="R2" i="47"/>
  <c r="R2" i="47" a="1"/>
  <c r="Q2" i="47"/>
  <c r="Q2" i="47" a="1"/>
  <c r="B2" i="47" a="1"/>
  <c r="B2" i="47" s="1"/>
  <c r="E54" i="46"/>
  <c r="G54" i="46" s="1" a="1"/>
  <c r="G54" i="46" s="1"/>
  <c r="E53" i="46"/>
  <c r="E52" i="46"/>
  <c r="F52" i="46" s="1" a="1"/>
  <c r="F52" i="46" s="1"/>
  <c r="E51" i="46"/>
  <c r="I51" i="46" s="1" a="1"/>
  <c r="I51" i="46" s="1"/>
  <c r="I50" i="46" a="1"/>
  <c r="I50" i="46" s="1"/>
  <c r="H50" i="46" a="1"/>
  <c r="H50" i="46" s="1"/>
  <c r="E50" i="46"/>
  <c r="J50" i="46" s="1" a="1"/>
  <c r="J50" i="46" s="1"/>
  <c r="E49" i="46"/>
  <c r="H49" i="46" s="1" a="1"/>
  <c r="H49" i="46" s="1"/>
  <c r="E48" i="46"/>
  <c r="I47" i="46" a="1"/>
  <c r="I47" i="46" s="1"/>
  <c r="E47" i="46"/>
  <c r="G47" i="46" s="1" a="1"/>
  <c r="G47" i="46" s="1"/>
  <c r="J46" i="46" a="1"/>
  <c r="J46" i="46" s="1"/>
  <c r="E46" i="46"/>
  <c r="I46" i="46" s="1" a="1"/>
  <c r="I46" i="46" s="1"/>
  <c r="E45" i="46"/>
  <c r="F45" i="46" s="1" a="1"/>
  <c r="F45" i="46" s="1"/>
  <c r="I44" i="46" a="1"/>
  <c r="I44" i="46" s="1"/>
  <c r="G44" i="46" a="1"/>
  <c r="G44" i="46" s="1"/>
  <c r="E44" i="46"/>
  <c r="H44" i="46" s="1" a="1"/>
  <c r="H44" i="46" s="1"/>
  <c r="E43" i="46"/>
  <c r="E42" i="46"/>
  <c r="G42" i="46" s="1" a="1"/>
  <c r="G42" i="46" s="1"/>
  <c r="E41" i="46"/>
  <c r="I40" i="46" a="1"/>
  <c r="I40" i="46" s="1"/>
  <c r="E40" i="46"/>
  <c r="F40" i="46" s="1" a="1"/>
  <c r="F40" i="46" s="1"/>
  <c r="E39" i="46"/>
  <c r="I39" i="46" s="1" a="1"/>
  <c r="I39" i="46" s="1"/>
  <c r="I38" i="46" a="1"/>
  <c r="I38" i="46" s="1"/>
  <c r="F38" i="46" a="1"/>
  <c r="F38" i="46" s="1"/>
  <c r="E38" i="46"/>
  <c r="H38" i="46" s="1" a="1"/>
  <c r="H38" i="46" s="1"/>
  <c r="H37" i="46"/>
  <c r="E37" i="46"/>
  <c r="H37" i="46" s="1" a="1"/>
  <c r="E36" i="46"/>
  <c r="F36" i="46" s="1" a="1"/>
  <c r="F36" i="46" s="1"/>
  <c r="I35" i="46" a="1"/>
  <c r="I35" i="46" s="1"/>
  <c r="H35" i="46" a="1"/>
  <c r="H35" i="46" s="1"/>
  <c r="E35" i="46"/>
  <c r="G35" i="46" s="1" a="1"/>
  <c r="G35" i="46" s="1"/>
  <c r="E34" i="46"/>
  <c r="I34" i="46" s="1" a="1"/>
  <c r="I34" i="46" s="1"/>
  <c r="E33" i="46"/>
  <c r="F33" i="46" s="1" a="1"/>
  <c r="F33" i="46" s="1"/>
  <c r="E32" i="46"/>
  <c r="H32" i="46" s="1" a="1"/>
  <c r="H32" i="46" s="1"/>
  <c r="E31" i="46"/>
  <c r="E30" i="46"/>
  <c r="G30" i="46" s="1" a="1"/>
  <c r="G30" i="46" s="1"/>
  <c r="E29" i="46"/>
  <c r="E28" i="46"/>
  <c r="F28" i="46" s="1" a="1"/>
  <c r="F28" i="46" s="1"/>
  <c r="F27" i="46" a="1"/>
  <c r="F27" i="46" s="1"/>
  <c r="E27" i="46"/>
  <c r="I27" i="46" s="1" a="1"/>
  <c r="I27" i="46" s="1"/>
  <c r="J26" i="46" a="1"/>
  <c r="J26" i="46" s="1"/>
  <c r="H26" i="46" a="1"/>
  <c r="H26" i="46" s="1"/>
  <c r="G26" i="46" a="1"/>
  <c r="G26" i="46" s="1"/>
  <c r="E26" i="46"/>
  <c r="I26" i="46" s="1" a="1"/>
  <c r="I26" i="46" s="1"/>
  <c r="E25" i="46"/>
  <c r="H25" i="46" s="1" a="1"/>
  <c r="H25" i="46" s="1"/>
  <c r="E24" i="46"/>
  <c r="I23" i="46" a="1"/>
  <c r="I23" i="46" s="1"/>
  <c r="H23" i="46" a="1"/>
  <c r="H23" i="46" s="1"/>
  <c r="E23" i="46"/>
  <c r="G23" i="46" s="1" a="1"/>
  <c r="G23" i="46" s="1"/>
  <c r="E22" i="46"/>
  <c r="I22" i="46" s="1" a="1"/>
  <c r="I22" i="46" s="1"/>
  <c r="G21" i="46" a="1"/>
  <c r="G21" i="46" s="1"/>
  <c r="E21" i="46"/>
  <c r="F21" i="46" s="1" a="1"/>
  <c r="F21" i="46" s="1"/>
  <c r="E20" i="46"/>
  <c r="H20" i="46" s="1" a="1"/>
  <c r="H20" i="46" s="1"/>
  <c r="E19" i="46"/>
  <c r="H18" i="46" a="1"/>
  <c r="H18" i="46" s="1"/>
  <c r="E18" i="46"/>
  <c r="G18" i="46" s="1" a="1"/>
  <c r="G18" i="46" s="1"/>
  <c r="E17" i="46"/>
  <c r="J16" i="46" a="1"/>
  <c r="J16" i="46" s="1"/>
  <c r="H16" i="46" a="1"/>
  <c r="H16" i="46" s="1"/>
  <c r="G16" i="46" a="1"/>
  <c r="G16" i="46" s="1"/>
  <c r="E16" i="46"/>
  <c r="F16" i="46" s="1" a="1"/>
  <c r="F16" i="46" s="1"/>
  <c r="J15" i="46" a="1"/>
  <c r="J15" i="46" s="1"/>
  <c r="E15" i="46"/>
  <c r="I15" i="46" s="1" a="1"/>
  <c r="I15" i="46" s="1"/>
  <c r="E14" i="46"/>
  <c r="G14" i="46" s="1" a="1"/>
  <c r="G14" i="46" s="1"/>
  <c r="J13" i="46" a="1"/>
  <c r="J13" i="46" s="1"/>
  <c r="E13" i="46"/>
  <c r="H13" i="46" s="1" a="1"/>
  <c r="H13" i="46" s="1"/>
  <c r="E12" i="46"/>
  <c r="E11" i="46"/>
  <c r="G11" i="46" s="1" a="1"/>
  <c r="G11" i="46" s="1"/>
  <c r="E10" i="46"/>
  <c r="I10" i="46" s="1" a="1"/>
  <c r="I10" i="46" s="1"/>
  <c r="J9" i="46" a="1"/>
  <c r="J9" i="46" s="1"/>
  <c r="G9" i="46" a="1"/>
  <c r="G9" i="46" s="1"/>
  <c r="E9" i="46"/>
  <c r="F9" i="46" s="1" a="1"/>
  <c r="F9" i="46" s="1"/>
  <c r="E8" i="46"/>
  <c r="H8" i="46" s="1" a="1"/>
  <c r="H8" i="46" s="1"/>
  <c r="E7" i="46"/>
  <c r="E6" i="46"/>
  <c r="G6" i="46" s="1" a="1"/>
  <c r="G6" i="46" s="1"/>
  <c r="E5" i="46"/>
  <c r="AG2" i="46" a="1"/>
  <c r="AG2" i="46" s="1"/>
  <c r="AF2" i="46" a="1"/>
  <c r="AF2" i="46" s="1"/>
  <c r="AE2" i="46" a="1"/>
  <c r="AE2" i="46" s="1"/>
  <c r="AD2" i="46" a="1"/>
  <c r="AD2" i="46" s="1"/>
  <c r="AC2" i="46" a="1"/>
  <c r="AC2" i="46" s="1"/>
  <c r="AB2" i="46" a="1"/>
  <c r="AB2" i="46" s="1"/>
  <c r="AA2" i="46" a="1"/>
  <c r="AA2" i="46" s="1"/>
  <c r="Z2" i="46" a="1"/>
  <c r="Z2" i="46" s="1"/>
  <c r="Y2" i="46" a="1"/>
  <c r="Y2" i="46" s="1"/>
  <c r="X2" i="46" a="1"/>
  <c r="X2" i="46" s="1"/>
  <c r="W2" i="46" a="1"/>
  <c r="W2" i="46" s="1"/>
  <c r="V2" i="46" a="1"/>
  <c r="V2" i="46" s="1"/>
  <c r="U2" i="46" a="1"/>
  <c r="U2" i="46" s="1"/>
  <c r="T2" i="46" a="1"/>
  <c r="T2" i="46" s="1"/>
  <c r="S2" i="46" a="1"/>
  <c r="S2" i="46" s="1"/>
  <c r="R2" i="46" a="1"/>
  <c r="R2" i="46" s="1"/>
  <c r="Q2" i="46"/>
  <c r="Q2" i="46" a="1"/>
  <c r="B2" i="46" a="1"/>
  <c r="B2" i="46" s="1"/>
  <c r="G15" i="45" a="1"/>
  <c r="G15" i="45" s="1"/>
  <c r="J16" i="45" a="1"/>
  <c r="J16" i="45" s="1"/>
  <c r="F17" i="45" a="1"/>
  <c r="F17" i="45" s="1"/>
  <c r="G17" i="45" a="1"/>
  <c r="G17" i="45" s="1"/>
  <c r="H29" i="45" a="1"/>
  <c r="H29" i="45" s="1"/>
  <c r="I29" i="45" a="1"/>
  <c r="I29" i="45" s="1"/>
  <c r="G31" i="45" a="1"/>
  <c r="G31" i="45" s="1"/>
  <c r="H31" i="45" a="1"/>
  <c r="H31" i="45" s="1"/>
  <c r="I39" i="45" a="1"/>
  <c r="I39" i="45" s="1"/>
  <c r="J39" i="45" a="1"/>
  <c r="J39" i="45" s="1"/>
  <c r="I41" i="45" a="1"/>
  <c r="I41" i="45" s="1"/>
  <c r="J41" i="45" a="1"/>
  <c r="J41" i="45" s="1"/>
  <c r="I45" i="45" a="1"/>
  <c r="I45" i="45" s="1"/>
  <c r="J45" i="45" a="1"/>
  <c r="J45" i="45" s="1"/>
  <c r="F46" i="45" a="1"/>
  <c r="F46" i="45" s="1"/>
  <c r="F50" i="45" a="1"/>
  <c r="F50" i="45" s="1"/>
  <c r="G50" i="45" a="1"/>
  <c r="G50" i="45" s="1"/>
  <c r="J51" i="45" a="1"/>
  <c r="J51" i="45" s="1"/>
  <c r="E54" i="45"/>
  <c r="H54" i="45" s="1" a="1"/>
  <c r="H54" i="45" s="1"/>
  <c r="E53" i="45"/>
  <c r="F53" i="45" s="1" a="1"/>
  <c r="F53" i="45" s="1"/>
  <c r="E52" i="45"/>
  <c r="H52" i="45" s="1" a="1"/>
  <c r="H52" i="45" s="1"/>
  <c r="E51" i="45"/>
  <c r="F51" i="45" s="1" a="1"/>
  <c r="F51" i="45" s="1"/>
  <c r="E50" i="45"/>
  <c r="H50" i="45" s="1" a="1"/>
  <c r="H50" i="45" s="1"/>
  <c r="E49" i="45"/>
  <c r="F49" i="45" s="1" a="1"/>
  <c r="F49" i="45" s="1"/>
  <c r="E48" i="45"/>
  <c r="G48" i="45" s="1" a="1"/>
  <c r="G48" i="45" s="1"/>
  <c r="E47" i="45"/>
  <c r="F47" i="45" s="1" a="1"/>
  <c r="F47" i="45" s="1"/>
  <c r="E46" i="45"/>
  <c r="G46" i="45" s="1" a="1"/>
  <c r="G46" i="45" s="1"/>
  <c r="E45" i="45"/>
  <c r="F45" i="45" s="1" a="1"/>
  <c r="F45" i="45" s="1"/>
  <c r="E44" i="45"/>
  <c r="G44" i="45" s="1" a="1"/>
  <c r="G44" i="45" s="1"/>
  <c r="E43" i="45"/>
  <c r="F43" i="45" s="1" a="1"/>
  <c r="F43" i="45" s="1"/>
  <c r="E42" i="45"/>
  <c r="F42" i="45" s="1" a="1"/>
  <c r="F42" i="45" s="1"/>
  <c r="E41" i="45"/>
  <c r="F41" i="45" s="1" a="1"/>
  <c r="F41" i="45" s="1"/>
  <c r="E40" i="45"/>
  <c r="F40" i="45" s="1" a="1"/>
  <c r="F40" i="45" s="1"/>
  <c r="E39" i="45"/>
  <c r="F39" i="45" s="1" a="1"/>
  <c r="F39" i="45" s="1"/>
  <c r="E38" i="45"/>
  <c r="F38" i="45" s="1" a="1"/>
  <c r="F38" i="45" s="1"/>
  <c r="E37" i="45"/>
  <c r="I37" i="45" s="1" a="1"/>
  <c r="I37" i="45" s="1"/>
  <c r="E36" i="45"/>
  <c r="F36" i="45" s="1" a="1"/>
  <c r="F36" i="45" s="1"/>
  <c r="E35" i="45"/>
  <c r="F35" i="45" s="1" a="1"/>
  <c r="F35" i="45" s="1"/>
  <c r="E34" i="45"/>
  <c r="F34" i="45" s="1" a="1"/>
  <c r="F34" i="45" s="1"/>
  <c r="E33" i="45"/>
  <c r="J33" i="45" s="1" a="1"/>
  <c r="J33" i="45" s="1"/>
  <c r="E32" i="45"/>
  <c r="F32" i="45" s="1" a="1"/>
  <c r="F32" i="45" s="1"/>
  <c r="E31" i="45"/>
  <c r="J31" i="45" s="1" a="1"/>
  <c r="J31" i="45" s="1"/>
  <c r="E30" i="45"/>
  <c r="F30" i="45" s="1" a="1"/>
  <c r="F30" i="45" s="1"/>
  <c r="E29" i="45"/>
  <c r="J29" i="45" s="1" a="1"/>
  <c r="J29" i="45" s="1"/>
  <c r="E28" i="45"/>
  <c r="F28" i="45" s="1" a="1"/>
  <c r="F28" i="45" s="1"/>
  <c r="E27" i="45"/>
  <c r="I27" i="45" s="1" a="1"/>
  <c r="I27" i="45" s="1"/>
  <c r="E26" i="45"/>
  <c r="F26" i="45" s="1" a="1"/>
  <c r="F26" i="45" s="1"/>
  <c r="E25" i="45"/>
  <c r="I25" i="45" s="1" a="1"/>
  <c r="I25" i="45" s="1"/>
  <c r="E24" i="45"/>
  <c r="F24" i="45" s="1" a="1"/>
  <c r="F24" i="45" s="1"/>
  <c r="E23" i="45"/>
  <c r="I23" i="45" s="1" a="1"/>
  <c r="I23" i="45" s="1"/>
  <c r="E22" i="45"/>
  <c r="F22" i="45" s="1" a="1"/>
  <c r="F22" i="45" s="1"/>
  <c r="E21" i="45"/>
  <c r="I21" i="45" s="1" a="1"/>
  <c r="I21" i="45" s="1"/>
  <c r="E20" i="45"/>
  <c r="F20" i="45" s="1" a="1"/>
  <c r="F20" i="45" s="1"/>
  <c r="E19" i="45"/>
  <c r="H19" i="45" s="1" a="1"/>
  <c r="H19" i="45" s="1"/>
  <c r="E18" i="45"/>
  <c r="F18" i="45" s="1" a="1"/>
  <c r="F18" i="45" s="1"/>
  <c r="E17" i="45"/>
  <c r="H17" i="45" s="1" a="1"/>
  <c r="H17" i="45" s="1"/>
  <c r="E16" i="45"/>
  <c r="F16" i="45" s="1" a="1"/>
  <c r="F16" i="45" s="1"/>
  <c r="E15" i="45"/>
  <c r="H15" i="45" s="1" a="1"/>
  <c r="H15" i="45" s="1"/>
  <c r="E14" i="45"/>
  <c r="F14" i="45" s="1" a="1"/>
  <c r="F14" i="45" s="1"/>
  <c r="E13" i="45"/>
  <c r="G13" i="45" s="1" a="1"/>
  <c r="G13" i="45" s="1"/>
  <c r="E12" i="45"/>
  <c r="F12" i="45" s="1" a="1"/>
  <c r="F12" i="45" s="1"/>
  <c r="E11" i="45"/>
  <c r="H11" i="45" s="1" a="1"/>
  <c r="H11" i="45" s="1"/>
  <c r="E10" i="45"/>
  <c r="F10" i="45" s="1" a="1"/>
  <c r="F10" i="45" s="1"/>
  <c r="E9" i="45"/>
  <c r="I9" i="45" s="1" a="1"/>
  <c r="I9" i="45" s="1"/>
  <c r="E8" i="45"/>
  <c r="F8" i="45" s="1" a="1"/>
  <c r="F8" i="45" s="1"/>
  <c r="E7" i="45"/>
  <c r="J7" i="45" s="1" a="1"/>
  <c r="J7" i="45" s="1"/>
  <c r="E6" i="45"/>
  <c r="F6" i="45" s="1" a="1"/>
  <c r="F6" i="45" s="1"/>
  <c r="E5" i="45"/>
  <c r="H5" i="45" s="1" a="1"/>
  <c r="H5" i="45" s="1"/>
  <c r="AG2" i="45" a="1"/>
  <c r="AG2" i="45" s="1"/>
  <c r="AF2" i="45" a="1"/>
  <c r="AF2" i="45" s="1"/>
  <c r="AE2" i="45" a="1"/>
  <c r="AE2" i="45" s="1"/>
  <c r="AD2" i="45" a="1"/>
  <c r="AD2" i="45" s="1"/>
  <c r="AC2" i="45" a="1"/>
  <c r="AC2" i="45" s="1"/>
  <c r="AB2" i="45" a="1"/>
  <c r="AB2" i="45" s="1"/>
  <c r="AA2" i="45" a="1"/>
  <c r="AA2" i="45" s="1"/>
  <c r="Z2" i="45" a="1"/>
  <c r="Z2" i="45" s="1"/>
  <c r="Y2" i="45" a="1"/>
  <c r="Y2" i="45" s="1"/>
  <c r="X2" i="45" a="1"/>
  <c r="X2" i="45" s="1"/>
  <c r="W2" i="45" a="1"/>
  <c r="W2" i="45" s="1"/>
  <c r="V2" i="45" a="1"/>
  <c r="V2" i="45" s="1"/>
  <c r="U2" i="45" a="1"/>
  <c r="U2" i="45" s="1"/>
  <c r="T2" i="45" a="1"/>
  <c r="T2" i="45" s="1"/>
  <c r="S2" i="45" a="1"/>
  <c r="S2" i="45" s="1"/>
  <c r="R2" i="45" a="1"/>
  <c r="R2" i="45" s="1"/>
  <c r="Q2" i="45" a="1"/>
  <c r="Q2" i="45" s="1"/>
  <c r="B2" i="45" a="1"/>
  <c r="B2" i="45" s="1"/>
  <c r="I35" i="44"/>
  <c r="D35" i="44" s="1" a="1"/>
  <c r="D35" i="44" s="1"/>
  <c r="I36" i="44"/>
  <c r="F36" i="44" s="1" a="1"/>
  <c r="F36" i="44" s="1"/>
  <c r="I37" i="44"/>
  <c r="D37" i="44" s="1" a="1"/>
  <c r="D37" i="44" s="1"/>
  <c r="I38" i="44"/>
  <c r="I39" i="44"/>
  <c r="E39" i="44" s="1" a="1"/>
  <c r="E39" i="44" s="1"/>
  <c r="I40" i="44"/>
  <c r="I41" i="44"/>
  <c r="F41" i="44" s="1" a="1"/>
  <c r="F41" i="44" s="1"/>
  <c r="I42" i="44"/>
  <c r="D42" i="44" s="1" a="1"/>
  <c r="D42" i="44" s="1"/>
  <c r="I43" i="44"/>
  <c r="I44" i="44"/>
  <c r="I45" i="44"/>
  <c r="D45" i="44" s="1" a="1"/>
  <c r="D45" i="44" s="1"/>
  <c r="I46" i="44"/>
  <c r="D46" i="44" s="1" a="1"/>
  <c r="D46" i="44" s="1"/>
  <c r="I47" i="44"/>
  <c r="E47" i="44" s="1" a="1"/>
  <c r="E47" i="44" s="1"/>
  <c r="I48" i="44"/>
  <c r="D48" i="44" s="1" a="1"/>
  <c r="D48" i="44" s="1"/>
  <c r="R2" i="44" a="1"/>
  <c r="R2" i="44" s="1"/>
  <c r="S2" i="44" a="1"/>
  <c r="S2" i="44" s="1"/>
  <c r="T2" i="44" a="1"/>
  <c r="T2" i="44" s="1"/>
  <c r="U2" i="44" a="1"/>
  <c r="U2" i="44" s="1"/>
  <c r="V2" i="44" a="1"/>
  <c r="V2" i="44" s="1"/>
  <c r="W2" i="44" a="1"/>
  <c r="W2" i="44" s="1"/>
  <c r="X2" i="44" a="1"/>
  <c r="X2" i="44" s="1"/>
  <c r="Y2" i="44" a="1"/>
  <c r="Y2" i="44" s="1"/>
  <c r="Z2" i="44" a="1"/>
  <c r="Z2" i="44"/>
  <c r="AA2" i="44" a="1"/>
  <c r="AA2" i="44" s="1"/>
  <c r="AB2" i="44" a="1"/>
  <c r="AB2" i="44" s="1"/>
  <c r="AC2" i="44" a="1"/>
  <c r="AC2" i="44" s="1"/>
  <c r="AD2" i="44" a="1"/>
  <c r="AD2" i="44" s="1"/>
  <c r="AE2" i="44" a="1"/>
  <c r="AE2" i="44" s="1"/>
  <c r="AF2" i="44" a="1"/>
  <c r="AF2" i="44" s="1"/>
  <c r="Q2" i="44" a="1"/>
  <c r="Q2" i="44" s="1"/>
  <c r="P2" i="44" a="1"/>
  <c r="P2" i="44" s="1"/>
  <c r="I7" i="44"/>
  <c r="D7" i="44" s="1" a="1"/>
  <c r="D7" i="44" s="1"/>
  <c r="I8" i="44"/>
  <c r="I9" i="44"/>
  <c r="D9" i="44" s="1" a="1"/>
  <c r="D9" i="44" s="1"/>
  <c r="I10" i="44"/>
  <c r="D10" i="44" s="1" a="1"/>
  <c r="D10" i="44" s="1"/>
  <c r="I11" i="44"/>
  <c r="I12" i="44"/>
  <c r="D12" i="44" s="1" a="1"/>
  <c r="D12" i="44" s="1"/>
  <c r="I13" i="44"/>
  <c r="I14" i="44"/>
  <c r="D14" i="44" s="1" a="1"/>
  <c r="D14" i="44" s="1"/>
  <c r="I15" i="44"/>
  <c r="I16" i="44"/>
  <c r="I17" i="44"/>
  <c r="F17" i="44" s="1" a="1"/>
  <c r="F17" i="44" s="1"/>
  <c r="I18" i="44"/>
  <c r="D18" i="44" s="1" a="1"/>
  <c r="D18" i="44" s="1"/>
  <c r="I19" i="44"/>
  <c r="I20" i="44"/>
  <c r="I21" i="44"/>
  <c r="D21" i="44" s="1" a="1"/>
  <c r="D21" i="44" s="1"/>
  <c r="I22" i="44"/>
  <c r="I23" i="44"/>
  <c r="D23" i="44" s="1" a="1"/>
  <c r="D23" i="44" s="1"/>
  <c r="I24" i="44"/>
  <c r="D24" i="44" s="1" a="1"/>
  <c r="D24" i="44" s="1"/>
  <c r="I25" i="44"/>
  <c r="I26" i="44"/>
  <c r="D26" i="44" s="1" a="1"/>
  <c r="D26" i="44" s="1"/>
  <c r="I27" i="44"/>
  <c r="I28" i="44"/>
  <c r="I29" i="44"/>
  <c r="D29" i="44" s="1" a="1"/>
  <c r="D29" i="44" s="1"/>
  <c r="I30" i="44"/>
  <c r="I31" i="44"/>
  <c r="I32" i="44"/>
  <c r="G32" i="44" s="1" a="1"/>
  <c r="G32" i="44" s="1"/>
  <c r="I33" i="44"/>
  <c r="I34" i="44"/>
  <c r="D34" i="44" s="1" a="1"/>
  <c r="D34" i="44" s="1"/>
  <c r="I5" i="44"/>
  <c r="G5" i="44" s="1" a="1"/>
  <c r="G5" i="44" s="1"/>
  <c r="H6" i="44"/>
  <c r="I6" i="44" s="1"/>
  <c r="D6" i="44" s="1" a="1"/>
  <c r="D6" i="44" s="1"/>
  <c r="B2" i="44" a="1"/>
  <c r="B2" i="44" s="1"/>
  <c r="B23" i="43" a="1"/>
  <c r="B23" i="43" s="1"/>
  <c r="B22" i="43" a="1"/>
  <c r="B22" i="43" s="1"/>
  <c r="B21" i="43" a="1"/>
  <c r="B21" i="43" s="1"/>
  <c r="B20" i="43" a="1"/>
  <c r="B20" i="43" s="1"/>
  <c r="B19" i="43" a="1"/>
  <c r="B19" i="43" s="1"/>
  <c r="B18" i="43" a="1"/>
  <c r="B18" i="43" s="1"/>
  <c r="B17" i="43" a="1"/>
  <c r="B17" i="43" s="1"/>
  <c r="B16" i="43" a="1"/>
  <c r="B16" i="43" s="1"/>
  <c r="B15" i="43" a="1"/>
  <c r="B15" i="43" s="1"/>
  <c r="B14" i="43" a="1"/>
  <c r="B14" i="43" s="1"/>
  <c r="B13" i="43" a="1"/>
  <c r="B13" i="43" s="1"/>
  <c r="B12" i="43" a="1"/>
  <c r="B12" i="43" s="1"/>
  <c r="B11" i="43" a="1"/>
  <c r="B11" i="43" s="1"/>
  <c r="B10" i="43" a="1"/>
  <c r="B10" i="43" s="1"/>
  <c r="B9" i="43" a="1"/>
  <c r="B9" i="43" s="1"/>
  <c r="B8" i="43" a="1"/>
  <c r="B8" i="43" s="1"/>
  <c r="B7" i="43" a="1"/>
  <c r="B7" i="43" s="1"/>
  <c r="B6" i="43" a="1"/>
  <c r="B6" i="43" s="1"/>
  <c r="D3" i="43" a="1"/>
  <c r="D3" i="43" s="1"/>
  <c r="K3" i="43" a="1"/>
  <c r="K3" i="43" s="1"/>
  <c r="E3" i="43" a="1"/>
  <c r="E3" i="43" s="1"/>
  <c r="J3" i="43" a="1"/>
  <c r="J3" i="43" s="1"/>
  <c r="I3" i="43" a="1"/>
  <c r="I3" i="43" s="1"/>
  <c r="H3" i="43" a="1"/>
  <c r="H3" i="43" s="1"/>
  <c r="G3" i="43" a="1"/>
  <c r="G3" i="43" s="1"/>
  <c r="B3" i="43" a="1"/>
  <c r="B3" i="43" s="1"/>
  <c r="B19" i="41" a="1"/>
  <c r="B19" i="41" s="1"/>
  <c r="B20" i="41" a="1"/>
  <c r="B20" i="41" s="1"/>
  <c r="B23" i="41" a="1"/>
  <c r="B23" i="41" s="1"/>
  <c r="B15" i="41" a="1"/>
  <c r="B15" i="41" s="1"/>
  <c r="B9" i="41" a="1"/>
  <c r="B9" i="41" s="1"/>
  <c r="B10" i="41" a="1"/>
  <c r="B10" i="41" s="1"/>
  <c r="B6" i="41" a="1"/>
  <c r="B6" i="41" s="1"/>
  <c r="B18" i="41" a="1"/>
  <c r="B18" i="41" s="1"/>
  <c r="B7" i="41" a="1"/>
  <c r="B7" i="41" s="1"/>
  <c r="B21" i="41" a="1"/>
  <c r="B21" i="41" s="1"/>
  <c r="B8" i="41" a="1"/>
  <c r="B8" i="41" s="1"/>
  <c r="B12" i="41" a="1"/>
  <c r="B12" i="41" s="1"/>
  <c r="B16" i="41" a="1"/>
  <c r="B16" i="41" s="1"/>
  <c r="B11" i="41" a="1"/>
  <c r="B11" i="41" s="1"/>
  <c r="B13" i="41" a="1"/>
  <c r="B13" i="41" s="1"/>
  <c r="B14" i="41" a="1"/>
  <c r="B14" i="41" s="1"/>
  <c r="B22" i="41" a="1"/>
  <c r="B22" i="41" s="1"/>
  <c r="B17" i="41" a="1"/>
  <c r="B17" i="41" s="1"/>
  <c r="D3" i="41" a="1"/>
  <c r="D3" i="41" s="1"/>
  <c r="J3" i="41" a="1"/>
  <c r="J3" i="41" s="1"/>
  <c r="I3" i="41" a="1"/>
  <c r="I3" i="41" s="1"/>
  <c r="H3" i="41" a="1"/>
  <c r="H3" i="41" s="1"/>
  <c r="G3" i="41" a="1"/>
  <c r="G3" i="41" s="1"/>
  <c r="F3" i="41" a="1"/>
  <c r="F3" i="41" s="1"/>
  <c r="E3" i="41" a="1"/>
  <c r="E3" i="41" s="1"/>
  <c r="B3" i="41" a="1"/>
  <c r="B3" i="41" s="1"/>
  <c r="I3" i="15" a="1"/>
  <c r="I3" i="15" s="1"/>
  <c r="N8" i="39" a="1"/>
  <c r="N8" i="39" s="1"/>
  <c r="P22" i="39" a="1"/>
  <c r="P22" i="39" s="1"/>
  <c r="M11" i="39" a="1"/>
  <c r="M11" i="39" s="1"/>
  <c r="C2" i="39" a="1"/>
  <c r="C2" i="39" s="1"/>
  <c r="D2" i="39" a="1"/>
  <c r="D2" i="39" s="1"/>
  <c r="E2" i="39" a="1"/>
  <c r="E2" i="39" s="1"/>
  <c r="F2" i="39" a="1"/>
  <c r="F2" i="39"/>
  <c r="G2" i="39" a="1"/>
  <c r="G2" i="39" s="1"/>
  <c r="H2" i="39" a="1"/>
  <c r="H2" i="39" s="1"/>
  <c r="B2" i="39" a="1"/>
  <c r="B2" i="39" s="1"/>
  <c r="L6" i="39"/>
  <c r="L7" i="39"/>
  <c r="L8" i="39"/>
  <c r="L9" i="39"/>
  <c r="L10" i="39"/>
  <c r="L11" i="39"/>
  <c r="L12" i="39"/>
  <c r="L13" i="39"/>
  <c r="L14" i="39"/>
  <c r="L15" i="39"/>
  <c r="L16" i="39"/>
  <c r="L17" i="39"/>
  <c r="L18" i="39"/>
  <c r="L19" i="39"/>
  <c r="L20" i="39"/>
  <c r="L21" i="39"/>
  <c r="L22" i="39"/>
  <c r="L5" i="39"/>
  <c r="K6" i="39"/>
  <c r="N6" i="39" s="1" a="1"/>
  <c r="N6" i="39" s="1"/>
  <c r="K7" i="39"/>
  <c r="M7" i="39" s="1" a="1"/>
  <c r="M7" i="39" s="1"/>
  <c r="K8" i="39"/>
  <c r="O8" i="39" s="1" a="1"/>
  <c r="O8" i="39" s="1"/>
  <c r="K9" i="39"/>
  <c r="N9" i="39" s="1" a="1"/>
  <c r="N9" i="39" s="1"/>
  <c r="K10" i="39"/>
  <c r="M10" i="39" s="1" a="1"/>
  <c r="M10" i="39" s="1"/>
  <c r="K11" i="39"/>
  <c r="O11" i="39" s="1" a="1"/>
  <c r="O11" i="39" s="1"/>
  <c r="K12" i="39"/>
  <c r="N12" i="39" s="1" a="1"/>
  <c r="N12" i="39" s="1"/>
  <c r="K13" i="39"/>
  <c r="N13" i="39" s="1" a="1"/>
  <c r="N13" i="39" s="1"/>
  <c r="K14" i="39"/>
  <c r="O14" i="39" s="1" a="1"/>
  <c r="O14" i="39" s="1"/>
  <c r="K15" i="39"/>
  <c r="N15" i="39" s="1" a="1"/>
  <c r="N15" i="39" s="1"/>
  <c r="K16" i="39"/>
  <c r="M16" i="39" s="1" a="1"/>
  <c r="M16" i="39" s="1"/>
  <c r="K17" i="39"/>
  <c r="N17" i="39" s="1" a="1"/>
  <c r="N17" i="39" s="1"/>
  <c r="K18" i="39"/>
  <c r="Q18" i="39" s="1" a="1"/>
  <c r="Q18" i="39" s="1"/>
  <c r="K19" i="39"/>
  <c r="M19" i="39" s="1" a="1"/>
  <c r="M19" i="39" s="1"/>
  <c r="K20" i="39"/>
  <c r="N20" i="39" s="1" a="1"/>
  <c r="N20" i="39" s="1"/>
  <c r="K21" i="39"/>
  <c r="N21" i="39" s="1" a="1"/>
  <c r="N21" i="39" s="1"/>
  <c r="K22" i="39"/>
  <c r="Q22" i="39" s="1" a="1"/>
  <c r="Q22" i="39" s="1"/>
  <c r="K5" i="39"/>
  <c r="N5" i="39" s="1" a="1"/>
  <c r="N5" i="39" s="1"/>
  <c r="B6" i="39" a="1"/>
  <c r="B6" i="39" s="1"/>
  <c r="B7" i="39" a="1"/>
  <c r="B7" i="39" s="1"/>
  <c r="B8" i="39" a="1"/>
  <c r="B8" i="39" s="1"/>
  <c r="B9" i="39" a="1"/>
  <c r="B9" i="39" s="1"/>
  <c r="B10" i="39" a="1"/>
  <c r="B10" i="39" s="1"/>
  <c r="B11" i="39" a="1"/>
  <c r="B11" i="39" s="1"/>
  <c r="B12" i="39" a="1"/>
  <c r="B12" i="39" s="1"/>
  <c r="B13" i="39" a="1"/>
  <c r="B13" i="39" s="1"/>
  <c r="B14" i="39" a="1"/>
  <c r="B14" i="39" s="1"/>
  <c r="B15" i="39" a="1"/>
  <c r="B15" i="39" s="1"/>
  <c r="B16" i="39" a="1"/>
  <c r="B16" i="39" s="1"/>
  <c r="B17" i="39" a="1"/>
  <c r="B17" i="39" s="1"/>
  <c r="B18" i="39" a="1"/>
  <c r="B18" i="39" s="1"/>
  <c r="B19" i="39" a="1"/>
  <c r="B19" i="39" s="1"/>
  <c r="B20" i="39" a="1"/>
  <c r="B20" i="39" s="1"/>
  <c r="B21" i="39" a="1"/>
  <c r="B21" i="39" s="1"/>
  <c r="B22" i="39" a="1"/>
  <c r="B22" i="39" s="1"/>
  <c r="B5" i="39" a="1"/>
  <c r="B5" i="39" s="1"/>
  <c r="AM18" i="34"/>
  <c r="AM16" i="34"/>
  <c r="AL16" i="34"/>
  <c r="AL15" i="34"/>
  <c r="AL14" i="34"/>
  <c r="I17" i="8" a="1"/>
  <c r="I17" i="8" s="1"/>
  <c r="AM7" i="34"/>
  <c r="AB54" i="35"/>
  <c r="AJ54" i="35" s="1"/>
  <c r="AB53" i="35"/>
  <c r="AJ53" i="35" s="1"/>
  <c r="AB52" i="35"/>
  <c r="AF52" i="35" s="1"/>
  <c r="AB51" i="35"/>
  <c r="AD51" i="35" s="1"/>
  <c r="AB50" i="35"/>
  <c r="AJ50" i="35" s="1"/>
  <c r="AB49" i="35"/>
  <c r="AJ49" i="35" s="1"/>
  <c r="AB48" i="35"/>
  <c r="AJ48" i="35" s="1"/>
  <c r="AB47" i="35"/>
  <c r="AH47" i="35" s="1"/>
  <c r="AJ46" i="35"/>
  <c r="AB46" i="35"/>
  <c r="AF46" i="35" s="1"/>
  <c r="AF45" i="35"/>
  <c r="AB45" i="35"/>
  <c r="AD45" i="35" s="1"/>
  <c r="AG44" i="35"/>
  <c r="AD44" i="35"/>
  <c r="AB44" i="35"/>
  <c r="AI44" i="35" s="1"/>
  <c r="AB43" i="35"/>
  <c r="AB42" i="35"/>
  <c r="AJ42" i="35" s="1"/>
  <c r="AJ41" i="35"/>
  <c r="AB41" i="35"/>
  <c r="AH41" i="35" s="1"/>
  <c r="AJ40" i="35"/>
  <c r="AG40" i="35"/>
  <c r="AB40" i="35"/>
  <c r="AF40" i="35" s="1"/>
  <c r="AB39" i="35"/>
  <c r="AD39" i="35" s="1"/>
  <c r="AB38" i="35"/>
  <c r="AG38" i="35" s="1"/>
  <c r="AB37" i="35"/>
  <c r="AB36" i="35"/>
  <c r="AB35" i="35"/>
  <c r="AH35" i="35" s="1"/>
  <c r="AB34" i="35"/>
  <c r="AF34" i="35" s="1"/>
  <c r="AB33" i="35"/>
  <c r="AD33" i="35" s="1"/>
  <c r="AB32" i="35"/>
  <c r="AF32" i="35" s="1"/>
  <c r="AB31" i="35"/>
  <c r="AB30" i="35"/>
  <c r="AB29" i="35"/>
  <c r="AH29" i="35" s="1"/>
  <c r="AB28" i="35"/>
  <c r="AF28" i="35" s="1"/>
  <c r="AB27" i="35"/>
  <c r="AD27" i="35" s="1"/>
  <c r="AB26" i="35"/>
  <c r="AG26" i="35" s="1"/>
  <c r="AB25" i="35"/>
  <c r="AF25" i="35" s="1"/>
  <c r="AD24" i="35"/>
  <c r="AB24" i="35"/>
  <c r="AE24" i="35" s="1"/>
  <c r="AB23" i="35"/>
  <c r="AJ23" i="35" s="1"/>
  <c r="AB22" i="35"/>
  <c r="AJ22" i="35" s="1"/>
  <c r="AF21" i="35"/>
  <c r="AB21" i="35"/>
  <c r="AD21" i="35" s="1"/>
  <c r="AB20" i="35"/>
  <c r="AH20" i="35" s="1"/>
  <c r="AH19" i="35"/>
  <c r="AB19" i="35"/>
  <c r="AF19" i="35" s="1"/>
  <c r="AB18" i="35"/>
  <c r="AB17" i="35"/>
  <c r="AB16" i="35"/>
  <c r="AH15" i="35"/>
  <c r="AB15" i="35"/>
  <c r="AJ15" i="35" s="1"/>
  <c r="AG14" i="35"/>
  <c r="AB14" i="35"/>
  <c r="AI14" i="35" s="1"/>
  <c r="AB13" i="35"/>
  <c r="AI13" i="35" s="1"/>
  <c r="AB12" i="35"/>
  <c r="AB11" i="35"/>
  <c r="AE11" i="35" s="1"/>
  <c r="AH46" i="35"/>
  <c r="AB10" i="35"/>
  <c r="AJ10" i="35" s="1"/>
  <c r="AH34" i="35"/>
  <c r="AB9" i="35"/>
  <c r="AB8" i="35"/>
  <c r="AF8" i="35" s="1"/>
  <c r="AB7" i="35"/>
  <c r="AE7" i="35" s="1"/>
  <c r="AH38" i="35"/>
  <c r="AG6" i="35"/>
  <c r="AF6" i="35"/>
  <c r="AB6" i="35"/>
  <c r="AD6" i="35" s="1"/>
  <c r="AJ5" i="35"/>
  <c r="AH5" i="35"/>
  <c r="AF5" i="35"/>
  <c r="AE5" i="35"/>
  <c r="AD5" i="35"/>
  <c r="AB5" i="35"/>
  <c r="AC5" i="35" s="1"/>
  <c r="U1" i="35"/>
  <c r="AB54" i="34"/>
  <c r="AB53" i="34"/>
  <c r="AB52" i="34"/>
  <c r="AJ52" i="34" s="1"/>
  <c r="AB51" i="34"/>
  <c r="AD51" i="34" s="1"/>
  <c r="AB50" i="34"/>
  <c r="AJ50" i="34" s="1"/>
  <c r="AB49" i="34"/>
  <c r="AB48" i="34"/>
  <c r="AB47" i="34"/>
  <c r="AI47" i="34" s="1"/>
  <c r="AB46" i="34"/>
  <c r="AJ46" i="34" s="1"/>
  <c r="AB45" i="34"/>
  <c r="AD45" i="34" s="1"/>
  <c r="AB44" i="34"/>
  <c r="AJ44" i="34" s="1"/>
  <c r="AB43" i="34"/>
  <c r="AB42" i="34"/>
  <c r="AB41" i="34"/>
  <c r="AC41" i="34" s="1"/>
  <c r="AB40" i="34"/>
  <c r="AJ40" i="34" s="1"/>
  <c r="AB39" i="34"/>
  <c r="AD39" i="34" s="1"/>
  <c r="AB38" i="34"/>
  <c r="AI38" i="34" s="1"/>
  <c r="AB37" i="34"/>
  <c r="AE37" i="34" s="1"/>
  <c r="AB36" i="34"/>
  <c r="AB35" i="34"/>
  <c r="AB34" i="34"/>
  <c r="AF34" i="34" s="1"/>
  <c r="AI33" i="34"/>
  <c r="AB33" i="34"/>
  <c r="AD33" i="34" s="1"/>
  <c r="AB32" i="34"/>
  <c r="AJ32" i="34" s="1"/>
  <c r="AB31" i="34"/>
  <c r="AB30" i="34"/>
  <c r="AB29" i="34"/>
  <c r="AJ29" i="34" s="1"/>
  <c r="AB28" i="34"/>
  <c r="AJ28" i="34" s="1"/>
  <c r="AB27" i="34"/>
  <c r="AD27" i="34" s="1"/>
  <c r="AB26" i="34"/>
  <c r="AJ26" i="34" s="1"/>
  <c r="AB25" i="34"/>
  <c r="AB24" i="34"/>
  <c r="AF24" i="34" s="1"/>
  <c r="AJ23" i="34"/>
  <c r="AI23" i="34"/>
  <c r="AD23" i="34"/>
  <c r="AC23" i="34"/>
  <c r="AB23" i="34"/>
  <c r="AB22" i="34"/>
  <c r="AB21" i="34"/>
  <c r="AD21" i="34" s="1"/>
  <c r="AJ20" i="34"/>
  <c r="AI20" i="34"/>
  <c r="AB20" i="34"/>
  <c r="AG20" i="34" s="1"/>
  <c r="AB19" i="34"/>
  <c r="AB18" i="34"/>
  <c r="AF18" i="34" s="1"/>
  <c r="AB17" i="34"/>
  <c r="AJ16" i="34"/>
  <c r="AI16" i="34"/>
  <c r="AG16" i="34"/>
  <c r="AB16" i="34"/>
  <c r="AB15" i="34"/>
  <c r="AD15" i="34" s="1"/>
  <c r="AJ14" i="34"/>
  <c r="AI14" i="34"/>
  <c r="AG14" i="34"/>
  <c r="AE14" i="34"/>
  <c r="AD14" i="34"/>
  <c r="AC14" i="34"/>
  <c r="AB14" i="34"/>
  <c r="AB13" i="34"/>
  <c r="G12" i="34"/>
  <c r="AB12" i="34"/>
  <c r="AE12" i="34" s="1"/>
  <c r="AB11" i="34"/>
  <c r="AH11" i="34" s="1"/>
  <c r="I11" i="34"/>
  <c r="AB10" i="34"/>
  <c r="AC10" i="34" s="1"/>
  <c r="I10" i="34"/>
  <c r="AF9" i="34"/>
  <c r="AE9" i="34"/>
  <c r="AB9" i="34"/>
  <c r="AD9" i="34" s="1"/>
  <c r="AB8" i="34"/>
  <c r="AG8" i="34" s="1"/>
  <c r="I8" i="34"/>
  <c r="AB7" i="34"/>
  <c r="I7" i="34"/>
  <c r="AI6" i="34"/>
  <c r="AG6" i="34"/>
  <c r="AB6" i="34"/>
  <c r="AJ6" i="34" s="1"/>
  <c r="I6" i="34"/>
  <c r="AB5" i="34"/>
  <c r="I5" i="34"/>
  <c r="AH14" i="34" s="1"/>
  <c r="U1" i="34"/>
  <c r="AB6" i="33"/>
  <c r="AC6" i="33" s="1"/>
  <c r="AF6" i="33"/>
  <c r="AG6" i="33"/>
  <c r="AH6" i="33"/>
  <c r="AB7" i="33"/>
  <c r="AE7" i="33" s="1"/>
  <c r="AD7" i="33"/>
  <c r="AB8" i="33"/>
  <c r="AH8" i="33" s="1"/>
  <c r="AB9" i="33"/>
  <c r="AH9" i="33" s="1"/>
  <c r="AD9" i="33"/>
  <c r="AE9" i="33"/>
  <c r="AF9" i="33"/>
  <c r="AG9" i="33"/>
  <c r="AB10" i="33"/>
  <c r="AC10" i="33" s="1"/>
  <c r="AE10" i="33"/>
  <c r="AG10" i="33"/>
  <c r="AI10" i="33"/>
  <c r="AJ10" i="33"/>
  <c r="AB11" i="33"/>
  <c r="AE11" i="33" s="1"/>
  <c r="AD11" i="33"/>
  <c r="AB12" i="33"/>
  <c r="AH12" i="33" s="1"/>
  <c r="AB13" i="33"/>
  <c r="AC13" i="33" s="1"/>
  <c r="AD13" i="33"/>
  <c r="AE13" i="33"/>
  <c r="AF13" i="33"/>
  <c r="AG13" i="33"/>
  <c r="AH13" i="33"/>
  <c r="AI13" i="33"/>
  <c r="AJ13" i="33"/>
  <c r="AB14" i="33"/>
  <c r="AC14" i="33" s="1"/>
  <c r="AE14" i="33"/>
  <c r="AB15" i="33"/>
  <c r="AE15" i="33" s="1"/>
  <c r="AD15" i="33"/>
  <c r="AB16" i="33"/>
  <c r="AH16" i="33" s="1"/>
  <c r="AG16" i="33"/>
  <c r="AB17" i="33"/>
  <c r="AC17" i="33" s="1"/>
  <c r="AD17" i="33"/>
  <c r="AE17" i="33"/>
  <c r="AB18" i="33"/>
  <c r="AC18" i="33" s="1"/>
  <c r="AG18" i="33"/>
  <c r="AH18" i="33"/>
  <c r="AI18" i="33"/>
  <c r="AJ18" i="33"/>
  <c r="AB19" i="33"/>
  <c r="AE19" i="33" s="1"/>
  <c r="AB20" i="33"/>
  <c r="AH20" i="33" s="1"/>
  <c r="AG20" i="33"/>
  <c r="AB21" i="33"/>
  <c r="AE21" i="33" s="1"/>
  <c r="AD21" i="33"/>
  <c r="AG21" i="33"/>
  <c r="AH21" i="33"/>
  <c r="AI21" i="33"/>
  <c r="AJ21" i="33"/>
  <c r="AB22" i="33"/>
  <c r="AC22" i="33" s="1"/>
  <c r="AG22" i="33"/>
  <c r="AH22" i="33"/>
  <c r="AI22" i="33"/>
  <c r="AJ22" i="33"/>
  <c r="AB23" i="33"/>
  <c r="AE23" i="33" s="1"/>
  <c r="AD23" i="33"/>
  <c r="AB24" i="33"/>
  <c r="AH24" i="33" s="1"/>
  <c r="AG24" i="33"/>
  <c r="AB25" i="33"/>
  <c r="AD25" i="33" s="1"/>
  <c r="AB26" i="33"/>
  <c r="AC26" i="33" s="1"/>
  <c r="AE26" i="33"/>
  <c r="AF26" i="33"/>
  <c r="AG26" i="33"/>
  <c r="AH26" i="33"/>
  <c r="AB27" i="33"/>
  <c r="AE27" i="33" s="1"/>
  <c r="AD27" i="33"/>
  <c r="AB28" i="33"/>
  <c r="AH28" i="33" s="1"/>
  <c r="AG28" i="33"/>
  <c r="AB29" i="33"/>
  <c r="AC29" i="33" s="1"/>
  <c r="AE29" i="33"/>
  <c r="AF29" i="33"/>
  <c r="AG29" i="33"/>
  <c r="AH29" i="33"/>
  <c r="AB30" i="33"/>
  <c r="AC30" i="33" s="1"/>
  <c r="AE30" i="33"/>
  <c r="AF30" i="33"/>
  <c r="AG30" i="33"/>
  <c r="AH30" i="33"/>
  <c r="AI30" i="33"/>
  <c r="AJ30" i="33"/>
  <c r="AB31" i="33"/>
  <c r="AE31" i="33" s="1"/>
  <c r="AD31" i="33"/>
  <c r="AB32" i="33"/>
  <c r="AH32" i="33" s="1"/>
  <c r="AB33" i="33"/>
  <c r="AC33" i="33" s="1"/>
  <c r="AD33" i="33"/>
  <c r="AE33" i="33"/>
  <c r="AF33" i="33"/>
  <c r="AG33" i="33"/>
  <c r="AH33" i="33"/>
  <c r="AI33" i="33"/>
  <c r="AJ33" i="33"/>
  <c r="AB34" i="33"/>
  <c r="AC34" i="33" s="1"/>
  <c r="AE34" i="33"/>
  <c r="AF34" i="33"/>
  <c r="AB35" i="33"/>
  <c r="AE35" i="33" s="1"/>
  <c r="AD35" i="33"/>
  <c r="AB36" i="33"/>
  <c r="AH36" i="33" s="1"/>
  <c r="AB37" i="33"/>
  <c r="AC37" i="33" s="1"/>
  <c r="AD37" i="33"/>
  <c r="AE37" i="33"/>
  <c r="AF37" i="33"/>
  <c r="AB38" i="33"/>
  <c r="AC38" i="33" s="1"/>
  <c r="AE38" i="33"/>
  <c r="AF38" i="33"/>
  <c r="AH38" i="33"/>
  <c r="AI38" i="33"/>
  <c r="AJ38" i="33"/>
  <c r="AB39" i="33"/>
  <c r="AE39" i="33" s="1"/>
  <c r="AB40" i="33"/>
  <c r="AH40" i="33" s="1"/>
  <c r="AE40" i="33"/>
  <c r="AG40" i="33"/>
  <c r="AB41" i="33"/>
  <c r="AF41" i="33" s="1"/>
  <c r="AD41" i="33"/>
  <c r="AE41" i="33"/>
  <c r="AG41" i="33"/>
  <c r="AH41" i="33"/>
  <c r="AI41" i="33"/>
  <c r="AJ41" i="33"/>
  <c r="AB42" i="33"/>
  <c r="AC42" i="33" s="1"/>
  <c r="AG42" i="33"/>
  <c r="AH42" i="33"/>
  <c r="AI42" i="33"/>
  <c r="AJ42" i="33"/>
  <c r="AB43" i="33"/>
  <c r="AE43" i="33" s="1"/>
  <c r="AD43" i="33"/>
  <c r="AB44" i="33"/>
  <c r="AH44" i="33" s="1"/>
  <c r="AE44" i="33"/>
  <c r="AG44" i="33"/>
  <c r="AB45" i="33"/>
  <c r="AD45" i="33" s="1"/>
  <c r="AF45" i="33"/>
  <c r="AG45" i="33"/>
  <c r="AH45" i="33"/>
  <c r="AI45" i="33"/>
  <c r="AJ45" i="33"/>
  <c r="AB46" i="33"/>
  <c r="AC46" i="33" s="1"/>
  <c r="AE46" i="33"/>
  <c r="AF46" i="33"/>
  <c r="AG46" i="33"/>
  <c r="AB47" i="33"/>
  <c r="AE47" i="33" s="1"/>
  <c r="AD47" i="33"/>
  <c r="AB48" i="33"/>
  <c r="AH48" i="33" s="1"/>
  <c r="AE48" i="33"/>
  <c r="AB49" i="33"/>
  <c r="AC49" i="33" s="1"/>
  <c r="AD49" i="33"/>
  <c r="AE49" i="33"/>
  <c r="AF49" i="33"/>
  <c r="AB50" i="33"/>
  <c r="AC50" i="33" s="1"/>
  <c r="AE50" i="33"/>
  <c r="AF50" i="33"/>
  <c r="AH50" i="33"/>
  <c r="AI50" i="33"/>
  <c r="AJ50" i="33"/>
  <c r="AB51" i="33"/>
  <c r="AE51" i="33" s="1"/>
  <c r="AB52" i="33"/>
  <c r="AH52" i="33" s="1"/>
  <c r="AE52" i="33"/>
  <c r="AG52" i="33"/>
  <c r="AB53" i="33"/>
  <c r="AC53" i="33" s="1"/>
  <c r="AD53" i="33"/>
  <c r="AE53" i="33"/>
  <c r="AG53" i="33"/>
  <c r="AH53" i="33"/>
  <c r="AI53" i="33"/>
  <c r="AJ53" i="33"/>
  <c r="AB54" i="33"/>
  <c r="AC54" i="33" s="1"/>
  <c r="AH54" i="33"/>
  <c r="AI54" i="33"/>
  <c r="AJ54" i="33"/>
  <c r="AD5" i="33"/>
  <c r="AE5" i="33"/>
  <c r="AF5" i="33"/>
  <c r="AG5" i="33"/>
  <c r="AH5" i="33"/>
  <c r="AB5" i="33"/>
  <c r="AI5" i="33" s="1"/>
  <c r="G12" i="33"/>
  <c r="I11" i="33"/>
  <c r="G11" i="33"/>
  <c r="I10" i="33"/>
  <c r="G10" i="33"/>
  <c r="I8" i="33"/>
  <c r="G8" i="33"/>
  <c r="I7" i="33"/>
  <c r="G7" i="33"/>
  <c r="I6" i="33"/>
  <c r="G6" i="33"/>
  <c r="I5" i="33"/>
  <c r="G5" i="33"/>
  <c r="U1" i="33"/>
  <c r="T5" i="5" l="1" a="1"/>
  <c r="T5" i="5" s="1"/>
  <c r="T99" i="5" a="1"/>
  <c r="T99" i="5" s="1"/>
  <c r="T90" i="5" a="1"/>
  <c r="T90" i="5" s="1"/>
  <c r="T81" i="5" a="1"/>
  <c r="T81" i="5" s="1"/>
  <c r="T72" i="5" a="1"/>
  <c r="T72" i="5" s="1"/>
  <c r="T63" i="5" a="1"/>
  <c r="T63" i="5" s="1"/>
  <c r="T54" i="5" a="1"/>
  <c r="T54" i="5" s="1"/>
  <c r="T45" i="5" a="1"/>
  <c r="T45" i="5" s="1"/>
  <c r="T36" i="5" a="1"/>
  <c r="T36" i="5" s="1"/>
  <c r="T27" i="5" a="1"/>
  <c r="T27" i="5" s="1"/>
  <c r="T18" i="5" a="1"/>
  <c r="T18" i="5" s="1"/>
  <c r="T9" i="5" a="1"/>
  <c r="T9" i="5" s="1"/>
  <c r="AD56" i="4"/>
  <c r="Y36" i="4" a="1"/>
  <c r="Y36" i="4" s="1"/>
  <c r="Z24" i="4" a="1"/>
  <c r="Z24" i="4" s="1"/>
  <c r="X10" i="4" a="1"/>
  <c r="X10" i="4" s="1"/>
  <c r="Z39" i="4" a="1"/>
  <c r="Z39" i="4" s="1"/>
  <c r="Y24" i="4" a="1"/>
  <c r="Y24" i="4" s="1"/>
  <c r="Z15" i="4" a="1"/>
  <c r="Z15" i="4" s="1"/>
  <c r="X5" i="4" a="1"/>
  <c r="X5" i="4" s="1"/>
  <c r="X34" i="4" a="1"/>
  <c r="X34" i="4" s="1"/>
  <c r="X26" i="4" a="1"/>
  <c r="X26" i="4" s="1"/>
  <c r="X25" i="4" a="1"/>
  <c r="X25" i="4" s="1"/>
  <c r="Y5" i="4" a="1"/>
  <c r="Y5" i="4" s="1"/>
  <c r="X49" i="4" a="1"/>
  <c r="X49" i="4" s="1"/>
  <c r="X41" i="4" a="1"/>
  <c r="X41" i="4" s="1"/>
  <c r="X17" i="4" a="1"/>
  <c r="X17" i="4" s="1"/>
  <c r="X48" i="4" a="1"/>
  <c r="X48" i="4" s="1"/>
  <c r="X33" i="4" a="1"/>
  <c r="X33" i="4" s="1"/>
  <c r="Z49" i="4" a="1"/>
  <c r="Z49" i="4" s="1"/>
  <c r="Z35" i="4" a="1"/>
  <c r="Z35" i="4" s="1"/>
  <c r="Y15" i="4" a="1"/>
  <c r="Y15" i="4" s="1"/>
  <c r="X40" i="4" a="1"/>
  <c r="X40" i="4" s="1"/>
  <c r="X32" i="4" a="1"/>
  <c r="X32" i="4" s="1"/>
  <c r="X16" i="4" a="1"/>
  <c r="X16" i="4" s="1"/>
  <c r="X9" i="4" a="1"/>
  <c r="X9" i="4" s="1"/>
  <c r="Z46" i="4" a="1"/>
  <c r="Z46" i="4" s="1"/>
  <c r="Y35" i="4" a="1"/>
  <c r="Y35" i="4" s="1"/>
  <c r="X47" i="4" a="1"/>
  <c r="X47" i="4" s="1"/>
  <c r="X31" i="4" a="1"/>
  <c r="X31" i="4" s="1"/>
  <c r="X23" i="4" a="1"/>
  <c r="X23" i="4" s="1"/>
  <c r="X8" i="4" a="1"/>
  <c r="X8" i="4" s="1"/>
  <c r="Y46" i="4" a="1"/>
  <c r="Y46" i="4" s="1"/>
  <c r="Z34" i="4" a="1"/>
  <c r="Z34" i="4" s="1"/>
  <c r="Z14" i="4" a="1"/>
  <c r="Z14" i="4" s="1"/>
  <c r="X39" i="4" a="1"/>
  <c r="X39" i="4" s="1"/>
  <c r="X30" i="4" a="1"/>
  <c r="X30" i="4" s="1"/>
  <c r="Z45" i="4" a="1"/>
  <c r="Z45" i="4" s="1"/>
  <c r="Y14" i="4" a="1"/>
  <c r="Y14" i="4" s="1"/>
  <c r="X38" i="4" a="1"/>
  <c r="X38" i="4" s="1"/>
  <c r="X22" i="4" a="1"/>
  <c r="X22" i="4" s="1"/>
  <c r="X7" i="4" a="1"/>
  <c r="X7" i="4" s="1"/>
  <c r="Y45" i="4" a="1"/>
  <c r="Y45" i="4" s="1"/>
  <c r="Y31" i="4" a="1"/>
  <c r="Y31" i="4" s="1"/>
  <c r="Z13" i="4" a="1"/>
  <c r="Z13" i="4" s="1"/>
  <c r="X37" i="4" a="1"/>
  <c r="X37" i="4" s="1"/>
  <c r="X29" i="4" a="1"/>
  <c r="X29" i="4" s="1"/>
  <c r="X6" i="4" a="1"/>
  <c r="X6" i="4" s="1"/>
  <c r="Z41" i="4" a="1"/>
  <c r="Z41" i="4" s="1"/>
  <c r="Z30" i="4" a="1"/>
  <c r="Z30" i="4" s="1"/>
  <c r="Z10" i="4" a="1"/>
  <c r="Z10" i="4" s="1"/>
  <c r="X36" i="4" a="1"/>
  <c r="X36" i="4" s="1"/>
  <c r="X21" i="4" a="1"/>
  <c r="X21" i="4" s="1"/>
  <c r="X13" i="4" a="1"/>
  <c r="X13" i="4" s="1"/>
  <c r="Y26" i="4" a="1"/>
  <c r="Y26" i="4" s="1"/>
  <c r="X44" i="4" a="1"/>
  <c r="X44" i="4" s="1"/>
  <c r="X28" i="4" a="1"/>
  <c r="X28" i="4" s="1"/>
  <c r="X20" i="4" a="1"/>
  <c r="X20" i="4" s="1"/>
  <c r="X12" i="4" a="1"/>
  <c r="X12" i="4" s="1"/>
  <c r="Z40" i="4" a="1"/>
  <c r="Z40" i="4" s="1"/>
  <c r="Z25" i="4" a="1"/>
  <c r="Z25" i="4" s="1"/>
  <c r="Z9" i="4" a="1"/>
  <c r="Z9" i="4" s="1"/>
  <c r="X43" i="4" a="1"/>
  <c r="X43" i="4" s="1"/>
  <c r="X19" i="4" a="1"/>
  <c r="X19" i="4" s="1"/>
  <c r="X42" i="4" a="1"/>
  <c r="X42" i="4" s="1"/>
  <c r="X27" i="4" a="1"/>
  <c r="X27" i="4" s="1"/>
  <c r="X18" i="4" a="1"/>
  <c r="X18" i="4" s="1"/>
  <c r="X11" i="4" a="1"/>
  <c r="X11" i="4" s="1"/>
  <c r="Y44" i="4" a="1"/>
  <c r="Y44" i="4" s="1"/>
  <c r="Z33" i="4" a="1"/>
  <c r="Z33" i="4" s="1"/>
  <c r="Z28" i="4" a="1"/>
  <c r="Z28" i="4" s="1"/>
  <c r="Z23" i="4" a="1"/>
  <c r="Z23" i="4" s="1"/>
  <c r="Y18" i="4" a="1"/>
  <c r="Y18" i="4" s="1"/>
  <c r="Y8" i="4" a="1"/>
  <c r="Y8" i="4" s="1"/>
  <c r="Z20" i="4" a="1"/>
  <c r="Z20" i="4" s="1"/>
  <c r="Y29" i="4" a="1"/>
  <c r="Y29" i="4" s="1"/>
  <c r="Z48" i="4" a="1"/>
  <c r="Z48" i="4" s="1"/>
  <c r="Z43" i="4" a="1"/>
  <c r="Z43" i="4" s="1"/>
  <c r="Z38" i="4" a="1"/>
  <c r="Z38" i="4" s="1"/>
  <c r="Z12" i="4" a="1"/>
  <c r="Z12" i="4" s="1"/>
  <c r="Z7" i="4" a="1"/>
  <c r="Z7" i="4" s="1"/>
  <c r="Z27" i="4" a="1"/>
  <c r="Z27" i="4" s="1"/>
  <c r="Z22" i="4" a="1"/>
  <c r="Z22" i="4" s="1"/>
  <c r="Z17" i="4" a="1"/>
  <c r="Z17" i="4" s="1"/>
  <c r="Z42" i="4" a="1"/>
  <c r="Z42" i="4" s="1"/>
  <c r="Z37" i="4" a="1"/>
  <c r="Z37" i="4" s="1"/>
  <c r="Z32" i="4" a="1"/>
  <c r="Z32" i="4" s="1"/>
  <c r="Z6" i="4" a="1"/>
  <c r="Z6" i="4" s="1"/>
  <c r="Z19" i="4" a="1"/>
  <c r="Z19" i="4" s="1"/>
  <c r="Z47" i="4" a="1"/>
  <c r="Z47" i="4" s="1"/>
  <c r="Z21" i="4" a="1"/>
  <c r="Z21" i="4" s="1"/>
  <c r="Z16" i="4" a="1"/>
  <c r="Z16" i="4" s="1"/>
  <c r="Z11" i="4" a="1"/>
  <c r="Z11" i="4" s="1"/>
  <c r="Z16" i="15" a="1"/>
  <c r="Z16" i="15" s="1"/>
  <c r="Z17" i="15" a="1"/>
  <c r="Z17" i="15" s="1"/>
  <c r="Y21" i="15" a="1"/>
  <c r="Y21" i="15" s="1"/>
  <c r="Z7" i="15" a="1"/>
  <c r="Z7" i="15" s="1"/>
  <c r="Y20" i="15" a="1"/>
  <c r="Y20" i="15" s="1"/>
  <c r="Z8" i="15" a="1"/>
  <c r="Z8" i="15" s="1"/>
  <c r="Z18" i="15" a="1"/>
  <c r="Z18" i="15" s="1"/>
  <c r="Y19" i="15" a="1"/>
  <c r="Y19" i="15" s="1"/>
  <c r="Z9" i="15" a="1"/>
  <c r="Z9" i="15" s="1"/>
  <c r="I83" i="12"/>
  <c r="J83" i="12" s="1" a="1"/>
  <c r="J83" i="12" s="1"/>
  <c r="I29" i="12"/>
  <c r="J29" i="12" s="1" a="1"/>
  <c r="J29" i="12" s="1"/>
  <c r="I71" i="12"/>
  <c r="J71" i="12" s="1" a="1"/>
  <c r="J71" i="12" s="1"/>
  <c r="I23" i="12"/>
  <c r="J23" i="12" s="1" a="1"/>
  <c r="J23" i="12" s="1"/>
  <c r="I59" i="12"/>
  <c r="J59" i="12" s="1" a="1"/>
  <c r="J59" i="12" s="1"/>
  <c r="I17" i="12"/>
  <c r="J17" i="12" s="1" a="1"/>
  <c r="J17" i="12" s="1"/>
  <c r="I15" i="12"/>
  <c r="J15" i="12" s="1" a="1"/>
  <c r="J15" i="12" s="1"/>
  <c r="I53" i="12"/>
  <c r="J53" i="12" s="1" a="1"/>
  <c r="J53" i="12" s="1"/>
  <c r="I41" i="12"/>
  <c r="J41" i="12" s="1" a="1"/>
  <c r="J41" i="12" s="1"/>
  <c r="I11" i="12"/>
  <c r="J11" i="12" s="1" a="1"/>
  <c r="J11" i="12" s="1"/>
  <c r="I35" i="12"/>
  <c r="J35" i="12" s="1" a="1"/>
  <c r="J35" i="12" s="1"/>
  <c r="I88" i="12"/>
  <c r="J88" i="12" s="1" a="1"/>
  <c r="J88" i="12" s="1"/>
  <c r="I82" i="12"/>
  <c r="J82" i="12" s="1" a="1"/>
  <c r="J82" i="12" s="1"/>
  <c r="I76" i="12"/>
  <c r="J76" i="12" s="1" a="1"/>
  <c r="J76" i="12" s="1"/>
  <c r="I70" i="12"/>
  <c r="J70" i="12" s="1" a="1"/>
  <c r="J70" i="12" s="1"/>
  <c r="I64" i="12"/>
  <c r="J64" i="12" s="1" a="1"/>
  <c r="J64" i="12" s="1"/>
  <c r="I58" i="12"/>
  <c r="J58" i="12" s="1" a="1"/>
  <c r="J58" i="12" s="1"/>
  <c r="I52" i="12"/>
  <c r="J52" i="12" s="1" a="1"/>
  <c r="J52" i="12" s="1"/>
  <c r="I46" i="12"/>
  <c r="J46" i="12" s="1" a="1"/>
  <c r="J46" i="12" s="1"/>
  <c r="I34" i="12"/>
  <c r="J34" i="12" s="1" a="1"/>
  <c r="J34" i="12" s="1"/>
  <c r="I28" i="12"/>
  <c r="J28" i="12" s="1" a="1"/>
  <c r="J28" i="12" s="1"/>
  <c r="I22" i="12"/>
  <c r="J22" i="12" s="1" a="1"/>
  <c r="J22" i="12" s="1"/>
  <c r="I7" i="12"/>
  <c r="J7" i="12" s="1" a="1"/>
  <c r="J7" i="12" s="1"/>
  <c r="I10" i="12"/>
  <c r="J10" i="12" s="1" a="1"/>
  <c r="J10" i="12" s="1"/>
  <c r="I87" i="12"/>
  <c r="J87" i="12" s="1" a="1"/>
  <c r="J87" i="12" s="1"/>
  <c r="I81" i="12"/>
  <c r="J81" i="12" s="1" a="1"/>
  <c r="J81" i="12" s="1"/>
  <c r="I75" i="12"/>
  <c r="J75" i="12" s="1" a="1"/>
  <c r="J75" i="12" s="1"/>
  <c r="I69" i="12"/>
  <c r="J69" i="12" s="1" a="1"/>
  <c r="J69" i="12" s="1"/>
  <c r="I57" i="12"/>
  <c r="J57" i="12" s="1" a="1"/>
  <c r="J57" i="12" s="1"/>
  <c r="I45" i="12"/>
  <c r="J45" i="12" s="1" a="1"/>
  <c r="J45" i="12" s="1"/>
  <c r="I39" i="12"/>
  <c r="J39" i="12" s="1" a="1"/>
  <c r="J39" i="12" s="1"/>
  <c r="I33" i="12"/>
  <c r="J33" i="12" s="1" a="1"/>
  <c r="J33" i="12" s="1"/>
  <c r="I27" i="12"/>
  <c r="J27" i="12" s="1" a="1"/>
  <c r="J27" i="12" s="1"/>
  <c r="I21" i="12"/>
  <c r="J21" i="12" s="1" a="1"/>
  <c r="J21" i="12" s="1"/>
  <c r="I9" i="12"/>
  <c r="J9" i="12" s="1" a="1"/>
  <c r="J9" i="12" s="1"/>
  <c r="I92" i="12"/>
  <c r="J92" i="12" s="1" a="1"/>
  <c r="J92" i="12" s="1"/>
  <c r="I86" i="12"/>
  <c r="J86" i="12" s="1" a="1"/>
  <c r="J86" i="12" s="1"/>
  <c r="I80" i="12"/>
  <c r="J80" i="12" s="1" a="1"/>
  <c r="J80" i="12" s="1"/>
  <c r="I68" i="12"/>
  <c r="J68" i="12" s="1" a="1"/>
  <c r="J68" i="12" s="1"/>
  <c r="I62" i="12"/>
  <c r="J62" i="12" s="1" a="1"/>
  <c r="J62" i="12" s="1"/>
  <c r="I56" i="12"/>
  <c r="J56" i="12" s="1" a="1"/>
  <c r="J56" i="12" s="1"/>
  <c r="I50" i="12"/>
  <c r="J50" i="12" s="1" a="1"/>
  <c r="J50" i="12" s="1"/>
  <c r="I44" i="12"/>
  <c r="J44" i="12" s="1" a="1"/>
  <c r="J44" i="12" s="1"/>
  <c r="I38" i="12"/>
  <c r="J38" i="12" s="1" a="1"/>
  <c r="J38" i="12" s="1"/>
  <c r="I20" i="12"/>
  <c r="J20" i="12" s="1" a="1"/>
  <c r="J20" i="12" s="1"/>
  <c r="I8" i="12"/>
  <c r="J8" i="12" s="1" a="1"/>
  <c r="J8" i="12" s="1"/>
  <c r="I91" i="12"/>
  <c r="J91" i="12" s="1" a="1"/>
  <c r="J91" i="12" s="1"/>
  <c r="I85" i="12"/>
  <c r="J85" i="12" s="1" a="1"/>
  <c r="J85" i="12" s="1"/>
  <c r="I79" i="12"/>
  <c r="J79" i="12" s="1" a="1"/>
  <c r="J79" i="12" s="1"/>
  <c r="I61" i="12"/>
  <c r="J61" i="12" s="1" a="1"/>
  <c r="J61" i="12" s="1"/>
  <c r="I55" i="12"/>
  <c r="J55" i="12" s="1" a="1"/>
  <c r="J55" i="12" s="1"/>
  <c r="I49" i="12"/>
  <c r="J49" i="12" s="1" a="1"/>
  <c r="J49" i="12" s="1"/>
  <c r="I43" i="12"/>
  <c r="J43" i="12" s="1" a="1"/>
  <c r="J43" i="12" s="1"/>
  <c r="I37" i="12"/>
  <c r="J37" i="12" s="1" a="1"/>
  <c r="J37" i="12" s="1"/>
  <c r="I31" i="12"/>
  <c r="J31" i="12" s="1" a="1"/>
  <c r="J31" i="12" s="1"/>
  <c r="I25" i="12"/>
  <c r="J25" i="12" s="1" a="1"/>
  <c r="J25" i="12" s="1"/>
  <c r="I90" i="12"/>
  <c r="J90" i="12" s="1" a="1"/>
  <c r="J90" i="12" s="1"/>
  <c r="I78" i="12"/>
  <c r="J78" i="12" s="1" a="1"/>
  <c r="J78" i="12" s="1"/>
  <c r="I72" i="12"/>
  <c r="J72" i="12" s="1" a="1"/>
  <c r="J72" i="12" s="1"/>
  <c r="I66" i="12"/>
  <c r="J66" i="12" s="1" a="1"/>
  <c r="J66" i="12" s="1"/>
  <c r="I60" i="12"/>
  <c r="J60" i="12" s="1" a="1"/>
  <c r="J60" i="12" s="1"/>
  <c r="I54" i="12"/>
  <c r="J54" i="12" s="1" a="1"/>
  <c r="J54" i="12" s="1"/>
  <c r="I48" i="12"/>
  <c r="J48" i="12" s="1" a="1"/>
  <c r="J48" i="12" s="1"/>
  <c r="I42" i="12"/>
  <c r="J42" i="12" s="1" a="1"/>
  <c r="J42" i="12" s="1"/>
  <c r="I18" i="12"/>
  <c r="J18" i="12" s="1" a="1"/>
  <c r="J18" i="12" s="1"/>
  <c r="I12" i="12"/>
  <c r="J12" i="12" s="1" a="1"/>
  <c r="J12" i="12" s="1"/>
  <c r="F55" i="12"/>
  <c r="F92" i="12"/>
  <c r="G54" i="12"/>
  <c r="G44" i="12"/>
  <c r="F90" i="12"/>
  <c r="F42" i="12"/>
  <c r="G82" i="12"/>
  <c r="H88" i="12" a="1"/>
  <c r="H88" i="12" s="1"/>
  <c r="F32" i="12"/>
  <c r="G32" i="12" s="1"/>
  <c r="G18" i="12"/>
  <c r="F79" i="12"/>
  <c r="F31" i="12"/>
  <c r="G45" i="12"/>
  <c r="F78" i="12"/>
  <c r="F30" i="12"/>
  <c r="G30" i="12" s="1"/>
  <c r="G12" i="12"/>
  <c r="G43" i="12"/>
  <c r="F68" i="12"/>
  <c r="G66" i="12"/>
  <c r="H7" i="12" a="1"/>
  <c r="H7" i="12" s="1"/>
  <c r="G91" i="12"/>
  <c r="H72" i="12" a="1"/>
  <c r="H72" i="12" s="1"/>
  <c r="F67" i="12"/>
  <c r="G67" i="12" s="1"/>
  <c r="F19" i="12"/>
  <c r="G19" i="12" s="1"/>
  <c r="G20" i="12"/>
  <c r="H35" i="12" a="1"/>
  <c r="H35" i="12" s="1"/>
  <c r="G80" i="12"/>
  <c r="H56" i="12" a="1"/>
  <c r="H56" i="12" s="1"/>
  <c r="H83" i="12" a="1"/>
  <c r="H83" i="12" s="1"/>
  <c r="F56" i="12"/>
  <c r="F8" i="12"/>
  <c r="G50" i="12"/>
  <c r="H92" i="12" a="1"/>
  <c r="H92" i="12" s="1"/>
  <c r="F89" i="12"/>
  <c r="F77" i="12"/>
  <c r="F65" i="12"/>
  <c r="F53" i="12"/>
  <c r="F41" i="12"/>
  <c r="F29" i="12"/>
  <c r="F17" i="12"/>
  <c r="G87" i="12"/>
  <c r="G76" i="12"/>
  <c r="G71" i="12"/>
  <c r="G60" i="12"/>
  <c r="G39" i="12"/>
  <c r="G28" i="12"/>
  <c r="G23" i="12"/>
  <c r="H17" i="12" a="1"/>
  <c r="H17" i="12" s="1"/>
  <c r="F88" i="12"/>
  <c r="F64" i="12"/>
  <c r="F52" i="12"/>
  <c r="F40" i="12"/>
  <c r="F16" i="12"/>
  <c r="I16" i="12" s="1"/>
  <c r="G81" i="12"/>
  <c r="G49" i="12"/>
  <c r="G33" i="12"/>
  <c r="F75" i="12"/>
  <c r="F63" i="12"/>
  <c r="G63" i="12" s="1"/>
  <c r="F51" i="12"/>
  <c r="G51" i="12" s="1"/>
  <c r="F27" i="12"/>
  <c r="F15" i="12"/>
  <c r="G86" i="12"/>
  <c r="H75" i="12" a="1"/>
  <c r="H75" i="12" s="1"/>
  <c r="G70" i="12"/>
  <c r="H64" i="12" a="1"/>
  <c r="H64" i="12" s="1"/>
  <c r="G38" i="12"/>
  <c r="H27" i="12" a="1"/>
  <c r="H27" i="12" s="1"/>
  <c r="G22" i="12"/>
  <c r="G11" i="12"/>
  <c r="F74" i="12"/>
  <c r="G74" i="12" s="1"/>
  <c r="F62" i="12"/>
  <c r="F26" i="12"/>
  <c r="G26" i="12" s="1"/>
  <c r="F14" i="12"/>
  <c r="G14" i="12" s="1"/>
  <c r="H85" i="12" a="1"/>
  <c r="H85" i="12" s="1"/>
  <c r="G59" i="12"/>
  <c r="H53" i="12" a="1"/>
  <c r="H53" i="12" s="1"/>
  <c r="G48" i="12"/>
  <c r="H37" i="12" a="1"/>
  <c r="H37" i="12" s="1"/>
  <c r="G10" i="12"/>
  <c r="F85" i="12"/>
  <c r="F73" i="12"/>
  <c r="G73" i="12" s="1"/>
  <c r="F37" i="12"/>
  <c r="F25" i="12"/>
  <c r="F13" i="12"/>
  <c r="G13" i="12" s="1"/>
  <c r="H90" i="12" a="1"/>
  <c r="H90" i="12" s="1"/>
  <c r="G69" i="12"/>
  <c r="H42" i="12" a="1"/>
  <c r="H42" i="12" s="1"/>
  <c r="G21" i="12"/>
  <c r="G9" i="12"/>
  <c r="G29" i="12"/>
  <c r="F84" i="12"/>
  <c r="G84" i="12" s="1"/>
  <c r="F72" i="12"/>
  <c r="F36" i="12"/>
  <c r="G36" i="12" s="1"/>
  <c r="F24" i="12"/>
  <c r="I24" i="12" s="1"/>
  <c r="H79" i="12" a="1"/>
  <c r="H79" i="12" s="1"/>
  <c r="H68" i="12" a="1"/>
  <c r="H68" i="12" s="1"/>
  <c r="G58" i="12"/>
  <c r="H52" i="12" a="1"/>
  <c r="H52" i="12" s="1"/>
  <c r="H31" i="12" a="1"/>
  <c r="H31" i="12" s="1"/>
  <c r="H15" i="12" a="1"/>
  <c r="H15" i="12" s="1"/>
  <c r="H8" i="12" a="1"/>
  <c r="H8" i="12" s="1"/>
  <c r="F83" i="12"/>
  <c r="F47" i="12"/>
  <c r="F35" i="12"/>
  <c r="H41" i="12" a="1"/>
  <c r="H41" i="12" s="1"/>
  <c r="H25" i="12" a="1"/>
  <c r="H25" i="12" s="1"/>
  <c r="F7" i="12"/>
  <c r="F46" i="12"/>
  <c r="H78" i="12" a="1"/>
  <c r="H78" i="12" s="1"/>
  <c r="H62" i="12" a="1"/>
  <c r="H62" i="12" s="1"/>
  <c r="G57" i="12"/>
  <c r="H46" i="12" a="1"/>
  <c r="H46" i="12" s="1"/>
  <c r="J16" i="47" a="1"/>
  <c r="J16" i="47" s="1"/>
  <c r="J46" i="47" a="1"/>
  <c r="J46" i="47" s="1"/>
  <c r="I11" i="47" a="1"/>
  <c r="I11" i="47" s="1"/>
  <c r="J11" i="47" a="1"/>
  <c r="J11" i="47" s="1"/>
  <c r="H21" i="47" a="1"/>
  <c r="H21" i="47" s="1"/>
  <c r="I8" i="47" a="1"/>
  <c r="I8" i="47" s="1"/>
  <c r="J14" i="47" a="1"/>
  <c r="J14" i="47" s="1"/>
  <c r="F28" i="47" a="1"/>
  <c r="F28" i="47" s="1"/>
  <c r="G33" i="47" a="1"/>
  <c r="G33" i="47" s="1"/>
  <c r="I50" i="47" a="1"/>
  <c r="I50" i="47" s="1"/>
  <c r="J26" i="47" a="1"/>
  <c r="J26" i="47" s="1"/>
  <c r="J8" i="47" a="1"/>
  <c r="J8" i="47" s="1"/>
  <c r="G28" i="47" a="1"/>
  <c r="G28" i="47" s="1"/>
  <c r="H33" i="47" a="1"/>
  <c r="H33" i="47" s="1"/>
  <c r="J50" i="47" a="1"/>
  <c r="J50" i="47" s="1"/>
  <c r="H6" i="47" a="1"/>
  <c r="H6" i="47" s="1"/>
  <c r="J37" i="47" a="1"/>
  <c r="J37" i="47" s="1"/>
  <c r="F50" i="47" a="1"/>
  <c r="F50" i="47" s="1"/>
  <c r="J22" i="47" a="1"/>
  <c r="J22" i="47" s="1"/>
  <c r="H28" i="47" a="1"/>
  <c r="H28" i="47" s="1"/>
  <c r="J33" i="47" a="1"/>
  <c r="J33" i="47" s="1"/>
  <c r="F14" i="47" a="1"/>
  <c r="F14" i="47" s="1"/>
  <c r="J28" i="47" a="1"/>
  <c r="J28" i="47" s="1"/>
  <c r="F26" i="47" a="1"/>
  <c r="F26" i="47" s="1"/>
  <c r="G21" i="47" a="1"/>
  <c r="G21" i="47" s="1"/>
  <c r="J32" i="47" a="1"/>
  <c r="J32" i="47" s="1"/>
  <c r="I21" i="47" a="1"/>
  <c r="I21" i="47" s="1"/>
  <c r="J34" i="47" a="1"/>
  <c r="J34" i="47" s="1"/>
  <c r="G26" i="47" a="1"/>
  <c r="G26" i="47" s="1"/>
  <c r="I6" i="47" a="1"/>
  <c r="I6" i="47" s="1"/>
  <c r="G14" i="47" a="1"/>
  <c r="G14" i="47" s="1"/>
  <c r="F16" i="47" a="1"/>
  <c r="F16" i="47" s="1"/>
  <c r="I14" i="47" a="1"/>
  <c r="I14" i="47" s="1"/>
  <c r="I16" i="47" a="1"/>
  <c r="I16" i="47" s="1"/>
  <c r="I23" i="47" a="1"/>
  <c r="I23" i="47" s="1"/>
  <c r="I26" i="47" a="1"/>
  <c r="I26" i="47" s="1"/>
  <c r="I37" i="47" a="1"/>
  <c r="I37" i="47" s="1"/>
  <c r="I42" i="47" a="1"/>
  <c r="I42" i="47" s="1"/>
  <c r="F40" i="47" a="1"/>
  <c r="F40" i="47" s="1"/>
  <c r="H47" i="47" a="1"/>
  <c r="H47" i="47" s="1"/>
  <c r="F25" i="47" a="1"/>
  <c r="F25" i="47" s="1"/>
  <c r="H30" i="47" a="1"/>
  <c r="H30" i="47" s="1"/>
  <c r="F38" i="47" a="1"/>
  <c r="F38" i="47" s="1"/>
  <c r="G40" i="47" a="1"/>
  <c r="G40" i="47" s="1"/>
  <c r="F44" i="47" a="1"/>
  <c r="F44" i="47" s="1"/>
  <c r="I47" i="47" a="1"/>
  <c r="I47" i="47" s="1"/>
  <c r="J51" i="47" a="1"/>
  <c r="J51" i="47" s="1"/>
  <c r="G9" i="47" a="1"/>
  <c r="G9" i="47" s="1"/>
  <c r="F13" i="47" a="1"/>
  <c r="F13" i="47" s="1"/>
  <c r="F15" i="47" a="1"/>
  <c r="F15" i="47" s="1"/>
  <c r="I25" i="47" a="1"/>
  <c r="I25" i="47" s="1"/>
  <c r="F27" i="47" a="1"/>
  <c r="F27" i="47" s="1"/>
  <c r="I30" i="47" a="1"/>
  <c r="I30" i="47" s="1"/>
  <c r="G38" i="47" a="1"/>
  <c r="G38" i="47" s="1"/>
  <c r="G44" i="47" a="1"/>
  <c r="G44" i="47" s="1"/>
  <c r="I13" i="47" a="1"/>
  <c r="I13" i="47" s="1"/>
  <c r="G15" i="47" a="1"/>
  <c r="G15" i="47" s="1"/>
  <c r="H38" i="47" a="1"/>
  <c r="H38" i="47" s="1"/>
  <c r="H40" i="47" a="1"/>
  <c r="H40" i="47" s="1"/>
  <c r="H44" i="47" a="1"/>
  <c r="H44" i="47" s="1"/>
  <c r="G52" i="47" a="1"/>
  <c r="G52" i="47" s="1"/>
  <c r="I9" i="47" a="1"/>
  <c r="I9" i="47" s="1"/>
  <c r="J13" i="47" a="1"/>
  <c r="J13" i="47" s="1"/>
  <c r="J15" i="47" a="1"/>
  <c r="J15" i="47" s="1"/>
  <c r="H18" i="47" a="1"/>
  <c r="H18" i="47" s="1"/>
  <c r="J21" i="47" a="1"/>
  <c r="J21" i="47" s="1"/>
  <c r="J25" i="47" a="1"/>
  <c r="J25" i="47" s="1"/>
  <c r="J27" i="47" a="1"/>
  <c r="J27" i="47" s="1"/>
  <c r="H35" i="47" a="1"/>
  <c r="H35" i="47" s="1"/>
  <c r="I38" i="47" a="1"/>
  <c r="I38" i="47" s="1"/>
  <c r="J40" i="47" a="1"/>
  <c r="J40" i="47" s="1"/>
  <c r="I44" i="47" a="1"/>
  <c r="I44" i="47" s="1"/>
  <c r="I49" i="47" a="1"/>
  <c r="I49" i="47" s="1"/>
  <c r="H52" i="47" a="1"/>
  <c r="H52" i="47" s="1"/>
  <c r="H9" i="47" a="1"/>
  <c r="H9" i="47" s="1"/>
  <c r="G27" i="47" a="1"/>
  <c r="G27" i="47" s="1"/>
  <c r="J9" i="47" a="1"/>
  <c r="J9" i="47" s="1"/>
  <c r="I18" i="47" a="1"/>
  <c r="I18" i="47" s="1"/>
  <c r="I32" i="47" a="1"/>
  <c r="I32" i="47" s="1"/>
  <c r="I35" i="47" a="1"/>
  <c r="I35" i="47" s="1"/>
  <c r="J49" i="47" a="1"/>
  <c r="J49" i="47" s="1"/>
  <c r="J52" i="47" a="1"/>
  <c r="J52" i="47" s="1"/>
  <c r="G45" i="47" a="1"/>
  <c r="G45" i="47" s="1"/>
  <c r="G16" i="47" a="1"/>
  <c r="G16" i="47" s="1"/>
  <c r="I20" i="47" a="1"/>
  <c r="I20" i="47" s="1"/>
  <c r="H23" i="47" a="1"/>
  <c r="H23" i="47" s="1"/>
  <c r="F37" i="47" a="1"/>
  <c r="F37" i="47" s="1"/>
  <c r="G39" i="47" a="1"/>
  <c r="G39" i="47" s="1"/>
  <c r="H42" i="47" a="1"/>
  <c r="H42" i="47" s="1"/>
  <c r="H45" i="47" a="1"/>
  <c r="H45" i="47" s="1"/>
  <c r="G50" i="47" a="1"/>
  <c r="G50" i="47" s="1"/>
  <c r="H54" i="47" a="1"/>
  <c r="H54" i="47" s="1"/>
  <c r="J10" i="47" a="1"/>
  <c r="J10" i="47" s="1"/>
  <c r="H11" i="47" a="1"/>
  <c r="H11" i="47" s="1"/>
  <c r="J20" i="47" a="1"/>
  <c r="J20" i="47" s="1"/>
  <c r="J39" i="47" a="1"/>
  <c r="J39" i="47" s="1"/>
  <c r="I54" i="47" a="1"/>
  <c r="I54" i="47" s="1"/>
  <c r="G31" i="47" a="1"/>
  <c r="G31" i="47" s="1"/>
  <c r="J31" i="47" a="1"/>
  <c r="J31" i="47" s="1"/>
  <c r="I31" i="47" a="1"/>
  <c r="I31" i="47" s="1"/>
  <c r="H31" i="47" a="1"/>
  <c r="H31" i="47" s="1"/>
  <c r="J24" i="47" a="1"/>
  <c r="J24" i="47" s="1"/>
  <c r="I24" i="47" a="1"/>
  <c r="I24" i="47" s="1"/>
  <c r="H24" i="47" a="1"/>
  <c r="H24" i="47" s="1"/>
  <c r="G24" i="47" a="1"/>
  <c r="G24" i="47" s="1"/>
  <c r="J5" i="47" a="1"/>
  <c r="J5" i="47" s="1"/>
  <c r="I5" i="47" a="1"/>
  <c r="I5" i="47" s="1"/>
  <c r="H5" i="47" a="1"/>
  <c r="H5" i="47" s="1"/>
  <c r="G5" i="47" a="1"/>
  <c r="G5" i="47" s="1"/>
  <c r="F5" i="47" a="1"/>
  <c r="F5" i="47" s="1"/>
  <c r="J29" i="47" a="1"/>
  <c r="J29" i="47" s="1"/>
  <c r="I29" i="47" a="1"/>
  <c r="I29" i="47" s="1"/>
  <c r="H29" i="47" a="1"/>
  <c r="H29" i="47" s="1"/>
  <c r="F29" i="47" a="1"/>
  <c r="F29" i="47" s="1"/>
  <c r="G29" i="47" a="1"/>
  <c r="G29" i="47" s="1"/>
  <c r="J7" i="47" a="1"/>
  <c r="J7" i="47" s="1"/>
  <c r="G7" i="47" a="1"/>
  <c r="G7" i="47" s="1"/>
  <c r="I7" i="47" a="1"/>
  <c r="I7" i="47" s="1"/>
  <c r="H7" i="47" a="1"/>
  <c r="H7" i="47" s="1"/>
  <c r="J36" i="47" a="1"/>
  <c r="J36" i="47" s="1"/>
  <c r="I36" i="47" a="1"/>
  <c r="I36" i="47" s="1"/>
  <c r="H36" i="47" a="1"/>
  <c r="H36" i="47" s="1"/>
  <c r="G36" i="47" a="1"/>
  <c r="G36" i="47" s="1"/>
  <c r="J41" i="47" a="1"/>
  <c r="J41" i="47" s="1"/>
  <c r="F41" i="47" a="1"/>
  <c r="F41" i="47" s="1"/>
  <c r="I41" i="47" a="1"/>
  <c r="I41" i="47" s="1"/>
  <c r="H41" i="47" a="1"/>
  <c r="H41" i="47" s="1"/>
  <c r="G41" i="47" a="1"/>
  <c r="G41" i="47" s="1"/>
  <c r="F7" i="47" a="1"/>
  <c r="F7" i="47" s="1"/>
  <c r="F31" i="47" a="1"/>
  <c r="F31" i="47" s="1"/>
  <c r="F36" i="47" a="1"/>
  <c r="F36" i="47" s="1"/>
  <c r="J17" i="47" a="1"/>
  <c r="J17" i="47" s="1"/>
  <c r="F17" i="47" a="1"/>
  <c r="F17" i="47" s="1"/>
  <c r="I17" i="47" a="1"/>
  <c r="I17" i="47" s="1"/>
  <c r="H17" i="47" a="1"/>
  <c r="H17" i="47" s="1"/>
  <c r="G17" i="47" a="1"/>
  <c r="G17" i="47" s="1"/>
  <c r="J12" i="47" a="1"/>
  <c r="J12" i="47" s="1"/>
  <c r="I12" i="47" a="1"/>
  <c r="I12" i="47" s="1"/>
  <c r="H12" i="47" a="1"/>
  <c r="H12" i="47" s="1"/>
  <c r="G12" i="47" a="1"/>
  <c r="G12" i="47" s="1"/>
  <c r="J19" i="47" a="1"/>
  <c r="J19" i="47" s="1"/>
  <c r="I19" i="47" a="1"/>
  <c r="I19" i="47" s="1"/>
  <c r="G19" i="47" a="1"/>
  <c r="G19" i="47" s="1"/>
  <c r="H19" i="47" a="1"/>
  <c r="H19" i="47" s="1"/>
  <c r="F24" i="47" a="1"/>
  <c r="F24" i="47" s="1"/>
  <c r="F12" i="47" a="1"/>
  <c r="F12" i="47" s="1"/>
  <c r="F19" i="47" a="1"/>
  <c r="F19" i="47" s="1"/>
  <c r="J48" i="47" a="1"/>
  <c r="J48" i="47" s="1"/>
  <c r="I48" i="47" a="1"/>
  <c r="I48" i="47" s="1"/>
  <c r="H48" i="47" a="1"/>
  <c r="H48" i="47" s="1"/>
  <c r="G48" i="47" a="1"/>
  <c r="G48" i="47" s="1"/>
  <c r="J43" i="47" a="1"/>
  <c r="J43" i="47" s="1"/>
  <c r="G43" i="47" a="1"/>
  <c r="G43" i="47" s="1"/>
  <c r="I43" i="47" a="1"/>
  <c r="I43" i="47" s="1"/>
  <c r="H43" i="47" a="1"/>
  <c r="H43" i="47" s="1"/>
  <c r="F48" i="47" a="1"/>
  <c r="F48" i="47" s="1"/>
  <c r="J53" i="47" a="1"/>
  <c r="J53" i="47" s="1"/>
  <c r="I53" i="47" a="1"/>
  <c r="I53" i="47" s="1"/>
  <c r="H53" i="47" a="1"/>
  <c r="H53" i="47" s="1"/>
  <c r="G53" i="47" a="1"/>
  <c r="G53" i="47" s="1"/>
  <c r="F53" i="47" a="1"/>
  <c r="F53" i="47" s="1"/>
  <c r="J6" i="47" a="1"/>
  <c r="J6" i="47" s="1"/>
  <c r="F10" i="47" a="1"/>
  <c r="F10" i="47" s="1"/>
  <c r="J18" i="47" a="1"/>
  <c r="J18" i="47" s="1"/>
  <c r="F22" i="47" a="1"/>
  <c r="F22" i="47" s="1"/>
  <c r="J30" i="47" a="1"/>
  <c r="J30" i="47" s="1"/>
  <c r="F34" i="47" a="1"/>
  <c r="F34" i="47" s="1"/>
  <c r="J42" i="47" a="1"/>
  <c r="J42" i="47" s="1"/>
  <c r="F46" i="47" a="1"/>
  <c r="F46" i="47" s="1"/>
  <c r="I52" i="47" a="1"/>
  <c r="I52" i="47" s="1"/>
  <c r="J54" i="47" a="1"/>
  <c r="J54" i="47" s="1"/>
  <c r="J23" i="47" a="1"/>
  <c r="J23" i="47" s="1"/>
  <c r="I33" i="47" a="1"/>
  <c r="I33" i="47" s="1"/>
  <c r="J35" i="47" a="1"/>
  <c r="J35" i="47" s="1"/>
  <c r="F39" i="47" a="1"/>
  <c r="F39" i="47" s="1"/>
  <c r="I45" i="47" a="1"/>
  <c r="I45" i="47" s="1"/>
  <c r="J47" i="47" a="1"/>
  <c r="J47" i="47" s="1"/>
  <c r="F51" i="47" a="1"/>
  <c r="F51" i="47" s="1"/>
  <c r="F8" i="47" a="1"/>
  <c r="F8" i="47" s="1"/>
  <c r="G10" i="47" a="1"/>
  <c r="G10" i="47" s="1"/>
  <c r="F20" i="47" a="1"/>
  <c r="F20" i="47" s="1"/>
  <c r="G22" i="47" a="1"/>
  <c r="G22" i="47" s="1"/>
  <c r="F32" i="47" a="1"/>
  <c r="F32" i="47" s="1"/>
  <c r="G34" i="47" a="1"/>
  <c r="G34" i="47" s="1"/>
  <c r="G46" i="47" a="1"/>
  <c r="G46" i="47" s="1"/>
  <c r="J45" i="47" a="1"/>
  <c r="J45" i="47" s="1"/>
  <c r="F49" i="47" a="1"/>
  <c r="F49" i="47" s="1"/>
  <c r="G51" i="47" a="1"/>
  <c r="G51" i="47" s="1"/>
  <c r="F6" i="47" a="1"/>
  <c r="F6" i="47" s="1"/>
  <c r="G8" i="47" a="1"/>
  <c r="G8" i="47" s="1"/>
  <c r="H10" i="47" a="1"/>
  <c r="H10" i="47" s="1"/>
  <c r="F18" i="47" a="1"/>
  <c r="F18" i="47" s="1"/>
  <c r="G20" i="47" a="1"/>
  <c r="G20" i="47" s="1"/>
  <c r="H22" i="47" a="1"/>
  <c r="H22" i="47" s="1"/>
  <c r="F30" i="47" a="1"/>
  <c r="F30" i="47" s="1"/>
  <c r="G32" i="47" a="1"/>
  <c r="G32" i="47" s="1"/>
  <c r="H34" i="47" a="1"/>
  <c r="H34" i="47" s="1"/>
  <c r="F42" i="47" a="1"/>
  <c r="F42" i="47" s="1"/>
  <c r="H46" i="47" a="1"/>
  <c r="H46" i="47" s="1"/>
  <c r="F54" i="47" a="1"/>
  <c r="F54" i="47" s="1"/>
  <c r="F11" i="47" a="1"/>
  <c r="F11" i="47" s="1"/>
  <c r="G13" i="47" a="1"/>
  <c r="G13" i="47" s="1"/>
  <c r="H15" i="47" a="1"/>
  <c r="H15" i="47" s="1"/>
  <c r="F23" i="47" a="1"/>
  <c r="F23" i="47" s="1"/>
  <c r="G25" i="47" a="1"/>
  <c r="G25" i="47" s="1"/>
  <c r="H27" i="47" a="1"/>
  <c r="H27" i="47" s="1"/>
  <c r="F35" i="47" a="1"/>
  <c r="F35" i="47" s="1"/>
  <c r="G37" i="47" a="1"/>
  <c r="G37" i="47" s="1"/>
  <c r="H39" i="47" a="1"/>
  <c r="H39" i="47" s="1"/>
  <c r="F47" i="47" a="1"/>
  <c r="F47" i="47" s="1"/>
  <c r="G49" i="47" a="1"/>
  <c r="G49" i="47" s="1"/>
  <c r="H51" i="47" a="1"/>
  <c r="H51" i="47" s="1"/>
  <c r="H11" i="46" a="1"/>
  <c r="H11" i="46" s="1"/>
  <c r="J28" i="46" a="1"/>
  <c r="J28" i="46" s="1"/>
  <c r="J38" i="46" a="1"/>
  <c r="J38" i="46" s="1"/>
  <c r="F42" i="46" a="1"/>
  <c r="F42" i="46" s="1"/>
  <c r="G45" i="46" a="1"/>
  <c r="G45" i="46" s="1"/>
  <c r="J51" i="46" a="1"/>
  <c r="J51" i="46" s="1"/>
  <c r="I14" i="46" a="1"/>
  <c r="I14" i="46" s="1"/>
  <c r="G33" i="46" a="1"/>
  <c r="G33" i="46" s="1"/>
  <c r="H42" i="46" a="1"/>
  <c r="H42" i="46" s="1"/>
  <c r="H33" i="46" a="1"/>
  <c r="H33" i="46" s="1"/>
  <c r="H45" i="46" a="1"/>
  <c r="H45" i="46" s="1"/>
  <c r="I49" i="46" a="1"/>
  <c r="I49" i="46" s="1"/>
  <c r="G52" i="46" a="1"/>
  <c r="G52" i="46" s="1"/>
  <c r="J14" i="46" a="1"/>
  <c r="J14" i="46" s="1"/>
  <c r="H21" i="46" a="1"/>
  <c r="H21" i="46" s="1"/>
  <c r="I25" i="46" a="1"/>
  <c r="I25" i="46" s="1"/>
  <c r="G27" i="46" a="1"/>
  <c r="G27" i="46" s="1"/>
  <c r="F30" i="46" a="1"/>
  <c r="F30" i="46" s="1"/>
  <c r="I33" i="46" a="1"/>
  <c r="I33" i="46" s="1"/>
  <c r="J39" i="46" a="1"/>
  <c r="J39" i="46" s="1"/>
  <c r="I42" i="46" a="1"/>
  <c r="I42" i="46" s="1"/>
  <c r="I45" i="46" a="1"/>
  <c r="I45" i="46" s="1"/>
  <c r="J49" i="46" a="1"/>
  <c r="J49" i="46" s="1"/>
  <c r="H52" i="46" a="1"/>
  <c r="H52" i="46" s="1"/>
  <c r="H14" i="46" a="1"/>
  <c r="H14" i="46" s="1"/>
  <c r="I11" i="46" a="1"/>
  <c r="I11" i="46" s="1"/>
  <c r="H9" i="46" a="1"/>
  <c r="H9" i="46" s="1"/>
  <c r="F15" i="46" a="1"/>
  <c r="F15" i="46" s="1"/>
  <c r="I21" i="46" a="1"/>
  <c r="I21" i="46" s="1"/>
  <c r="J25" i="46" a="1"/>
  <c r="J25" i="46" s="1"/>
  <c r="H30" i="46" a="1"/>
  <c r="H30" i="46" s="1"/>
  <c r="I52" i="46" a="1"/>
  <c r="I52" i="46" s="1"/>
  <c r="J8" i="46" a="1"/>
  <c r="J8" i="46" s="1"/>
  <c r="J20" i="46" a="1"/>
  <c r="J20" i="46" s="1"/>
  <c r="H6" i="46" a="1"/>
  <c r="H6" i="46" s="1"/>
  <c r="I9" i="46" a="1"/>
  <c r="I9" i="46" s="1"/>
  <c r="I18" i="46" a="1"/>
  <c r="I18" i="46" s="1"/>
  <c r="I30" i="46" a="1"/>
  <c r="I30" i="46" s="1"/>
  <c r="J33" i="46" a="1"/>
  <c r="J33" i="46" s="1"/>
  <c r="I37" i="46" a="1"/>
  <c r="I37" i="46" s="1"/>
  <c r="G40" i="46" a="1"/>
  <c r="G40" i="46" s="1"/>
  <c r="J45" i="46" a="1"/>
  <c r="J45" i="46" s="1"/>
  <c r="F50" i="46" a="1"/>
  <c r="F50" i="46" s="1"/>
  <c r="J52" i="46" a="1"/>
  <c r="J52" i="46" s="1"/>
  <c r="I6" i="46" a="1"/>
  <c r="I6" i="46" s="1"/>
  <c r="I13" i="46" a="1"/>
  <c r="I13" i="46" s="1"/>
  <c r="G15" i="46" a="1"/>
  <c r="G15" i="46" s="1"/>
  <c r="J21" i="46" a="1"/>
  <c r="J21" i="46" s="1"/>
  <c r="F26" i="46" a="1"/>
  <c r="F26" i="46" s="1"/>
  <c r="J27" i="46" a="1"/>
  <c r="J27" i="46" s="1"/>
  <c r="J37" i="46" a="1"/>
  <c r="J37" i="46" s="1"/>
  <c r="H40" i="46" a="1"/>
  <c r="H40" i="46" s="1"/>
  <c r="F44" i="46" a="1"/>
  <c r="F44" i="46" s="1"/>
  <c r="G50" i="46" a="1"/>
  <c r="G50" i="46" s="1"/>
  <c r="F20" i="46" a="1"/>
  <c r="F20" i="46" s="1"/>
  <c r="G28" i="46" a="1"/>
  <c r="G28" i="46" s="1"/>
  <c r="J34" i="46" a="1"/>
  <c r="J34" i="46" s="1"/>
  <c r="F8" i="46" a="1"/>
  <c r="F8" i="46" s="1"/>
  <c r="J10" i="46" a="1"/>
  <c r="J10" i="46" s="1"/>
  <c r="F14" i="46" a="1"/>
  <c r="F14" i="46" s="1"/>
  <c r="I20" i="46" a="1"/>
  <c r="I20" i="46" s="1"/>
  <c r="J22" i="46" a="1"/>
  <c r="J22" i="46" s="1"/>
  <c r="H28" i="46" a="1"/>
  <c r="H28" i="46" s="1"/>
  <c r="I32" i="46" a="1"/>
  <c r="I32" i="46" s="1"/>
  <c r="G38" i="46" a="1"/>
  <c r="G38" i="46" s="1"/>
  <c r="J40" i="46" a="1"/>
  <c r="J40" i="46" s="1"/>
  <c r="H54" i="46" a="1"/>
  <c r="H54" i="46" s="1"/>
  <c r="F32" i="46" a="1"/>
  <c r="F32" i="46" s="1"/>
  <c r="I8" i="46" a="1"/>
  <c r="I8" i="46" s="1"/>
  <c r="I28" i="46" a="1"/>
  <c r="I28" i="46" s="1"/>
  <c r="J32" i="46" a="1"/>
  <c r="J32" i="46" s="1"/>
  <c r="J44" i="46" a="1"/>
  <c r="J44" i="46" s="1"/>
  <c r="H47" i="46" a="1"/>
  <c r="H47" i="46" s="1"/>
  <c r="I54" i="46" a="1"/>
  <c r="I54" i="46" s="1"/>
  <c r="J12" i="46" a="1"/>
  <c r="J12" i="46" s="1"/>
  <c r="I12" i="46" a="1"/>
  <c r="I12" i="46" s="1"/>
  <c r="H12" i="46" a="1"/>
  <c r="H12" i="46" s="1"/>
  <c r="G12" i="46" a="1"/>
  <c r="G12" i="46" s="1"/>
  <c r="F12" i="46" a="1"/>
  <c r="F12" i="46" s="1"/>
  <c r="J53" i="46" a="1"/>
  <c r="J53" i="46" s="1"/>
  <c r="I53" i="46" a="1"/>
  <c r="I53" i="46" s="1"/>
  <c r="H53" i="46" a="1"/>
  <c r="H53" i="46" s="1"/>
  <c r="G53" i="46" a="1"/>
  <c r="G53" i="46" s="1"/>
  <c r="F53" i="46" a="1"/>
  <c r="F53" i="46" s="1"/>
  <c r="J36" i="46" a="1"/>
  <c r="J36" i="46" s="1"/>
  <c r="I36" i="46" a="1"/>
  <c r="I36" i="46" s="1"/>
  <c r="H36" i="46" a="1"/>
  <c r="H36" i="46" s="1"/>
  <c r="G36" i="46" a="1"/>
  <c r="G36" i="46" s="1"/>
  <c r="J31" i="46" a="1"/>
  <c r="J31" i="46" s="1"/>
  <c r="I31" i="46" a="1"/>
  <c r="I31" i="46" s="1"/>
  <c r="H31" i="46" a="1"/>
  <c r="H31" i="46" s="1"/>
  <c r="G31" i="46" a="1"/>
  <c r="G31" i="46" s="1"/>
  <c r="J24" i="46" a="1"/>
  <c r="J24" i="46" s="1"/>
  <c r="I24" i="46" a="1"/>
  <c r="I24" i="46" s="1"/>
  <c r="H24" i="46" a="1"/>
  <c r="H24" i="46" s="1"/>
  <c r="G24" i="46" a="1"/>
  <c r="G24" i="46" s="1"/>
  <c r="F31" i="46" a="1"/>
  <c r="F31" i="46" s="1"/>
  <c r="J48" i="46" a="1"/>
  <c r="J48" i="46" s="1"/>
  <c r="I48" i="46" a="1"/>
  <c r="I48" i="46" s="1"/>
  <c r="H48" i="46" a="1"/>
  <c r="H48" i="46" s="1"/>
  <c r="G48" i="46" a="1"/>
  <c r="G48" i="46" s="1"/>
  <c r="J17" i="46" a="1"/>
  <c r="J17" i="46" s="1"/>
  <c r="I17" i="46" a="1"/>
  <c r="I17" i="46" s="1"/>
  <c r="H17" i="46" a="1"/>
  <c r="H17" i="46" s="1"/>
  <c r="G17" i="46" a="1"/>
  <c r="G17" i="46" s="1"/>
  <c r="F17" i="46" a="1"/>
  <c r="F17" i="46" s="1"/>
  <c r="J7" i="46" a="1"/>
  <c r="J7" i="46" s="1"/>
  <c r="I7" i="46" a="1"/>
  <c r="I7" i="46" s="1"/>
  <c r="H7" i="46" a="1"/>
  <c r="H7" i="46" s="1"/>
  <c r="G7" i="46" a="1"/>
  <c r="G7" i="46" s="1"/>
  <c r="F7" i="46" a="1"/>
  <c r="F7" i="46" s="1"/>
  <c r="F24" i="46" a="1"/>
  <c r="F24" i="46" s="1"/>
  <c r="F48" i="46" a="1"/>
  <c r="F48" i="46" s="1"/>
  <c r="J29" i="46" a="1"/>
  <c r="J29" i="46" s="1"/>
  <c r="I29" i="46" a="1"/>
  <c r="I29" i="46" s="1"/>
  <c r="H29" i="46" a="1"/>
  <c r="H29" i="46" s="1"/>
  <c r="G29" i="46" a="1"/>
  <c r="G29" i="46" s="1"/>
  <c r="F29" i="46" a="1"/>
  <c r="F29" i="46" s="1"/>
  <c r="J43" i="46" a="1"/>
  <c r="J43" i="46" s="1"/>
  <c r="I43" i="46" a="1"/>
  <c r="I43" i="46" s="1"/>
  <c r="H43" i="46" a="1"/>
  <c r="H43" i="46" s="1"/>
  <c r="G43" i="46" a="1"/>
  <c r="G43" i="46" s="1"/>
  <c r="J41" i="46" a="1"/>
  <c r="J41" i="46" s="1"/>
  <c r="I41" i="46" a="1"/>
  <c r="I41" i="46" s="1"/>
  <c r="H41" i="46" a="1"/>
  <c r="H41" i="46" s="1"/>
  <c r="G41" i="46" a="1"/>
  <c r="G41" i="46" s="1"/>
  <c r="F41" i="46" a="1"/>
  <c r="F41" i="46" s="1"/>
  <c r="J19" i="46" a="1"/>
  <c r="J19" i="46" s="1"/>
  <c r="I19" i="46" a="1"/>
  <c r="I19" i="46" s="1"/>
  <c r="H19" i="46" a="1"/>
  <c r="H19" i="46" s="1"/>
  <c r="G19" i="46" a="1"/>
  <c r="G19" i="46" s="1"/>
  <c r="F43" i="46" a="1"/>
  <c r="F43" i="46" s="1"/>
  <c r="J5" i="46" a="1"/>
  <c r="J5" i="46" s="1"/>
  <c r="I5" i="46" a="1"/>
  <c r="I5" i="46" s="1"/>
  <c r="H5" i="46" a="1"/>
  <c r="H5" i="46" s="1"/>
  <c r="G5" i="46" a="1"/>
  <c r="G5" i="46" s="1"/>
  <c r="F5" i="46" a="1"/>
  <c r="F5" i="46" s="1"/>
  <c r="F19" i="46" a="1"/>
  <c r="F19" i="46" s="1"/>
  <c r="J6" i="46" a="1"/>
  <c r="J6" i="46" s="1"/>
  <c r="F10" i="46" a="1"/>
  <c r="F10" i="46" s="1"/>
  <c r="I16" i="46" a="1"/>
  <c r="I16" i="46" s="1"/>
  <c r="J18" i="46" a="1"/>
  <c r="J18" i="46" s="1"/>
  <c r="F22" i="46" a="1"/>
  <c r="F22" i="46" s="1"/>
  <c r="J30" i="46" a="1"/>
  <c r="J30" i="46" s="1"/>
  <c r="F34" i="46" a="1"/>
  <c r="F34" i="46" s="1"/>
  <c r="J42" i="46" a="1"/>
  <c r="J42" i="46" s="1"/>
  <c r="F46" i="46" a="1"/>
  <c r="F46" i="46" s="1"/>
  <c r="J54" i="46" a="1"/>
  <c r="J54" i="46" s="1"/>
  <c r="J11" i="46" a="1"/>
  <c r="J11" i="46" s="1"/>
  <c r="J23" i="46" a="1"/>
  <c r="J23" i="46" s="1"/>
  <c r="J35" i="46" a="1"/>
  <c r="J35" i="46" s="1"/>
  <c r="F39" i="46" a="1"/>
  <c r="F39" i="46" s="1"/>
  <c r="J47" i="46" a="1"/>
  <c r="J47" i="46" s="1"/>
  <c r="F51" i="46" a="1"/>
  <c r="F51" i="46" s="1"/>
  <c r="G10" i="46" a="1"/>
  <c r="G10" i="46" s="1"/>
  <c r="G22" i="46" a="1"/>
  <c r="G22" i="46" s="1"/>
  <c r="G34" i="46" a="1"/>
  <c r="G34" i="46" s="1"/>
  <c r="G46" i="46" a="1"/>
  <c r="G46" i="46" s="1"/>
  <c r="F13" i="46" a="1"/>
  <c r="F13" i="46" s="1"/>
  <c r="F25" i="46" a="1"/>
  <c r="F25" i="46" s="1"/>
  <c r="F37" i="46" a="1"/>
  <c r="F37" i="46" s="1"/>
  <c r="G39" i="46" a="1"/>
  <c r="G39" i="46" s="1"/>
  <c r="F49" i="46" a="1"/>
  <c r="F49" i="46" s="1"/>
  <c r="G51" i="46" a="1"/>
  <c r="G51" i="46" s="1"/>
  <c r="F6" i="46" a="1"/>
  <c r="F6" i="46" s="1"/>
  <c r="G8" i="46" a="1"/>
  <c r="G8" i="46" s="1"/>
  <c r="H10" i="46" a="1"/>
  <c r="H10" i="46" s="1"/>
  <c r="F18" i="46" a="1"/>
  <c r="F18" i="46" s="1"/>
  <c r="G20" i="46" a="1"/>
  <c r="G20" i="46" s="1"/>
  <c r="H22" i="46" a="1"/>
  <c r="H22" i="46" s="1"/>
  <c r="G32" i="46" a="1"/>
  <c r="G32" i="46" s="1"/>
  <c r="H34" i="46" a="1"/>
  <c r="H34" i="46" s="1"/>
  <c r="H46" i="46" a="1"/>
  <c r="H46" i="46" s="1"/>
  <c r="F54" i="46" a="1"/>
  <c r="F54" i="46" s="1"/>
  <c r="F11" i="46" a="1"/>
  <c r="F11" i="46" s="1"/>
  <c r="G13" i="46" a="1"/>
  <c r="G13" i="46" s="1"/>
  <c r="H15" i="46" a="1"/>
  <c r="H15" i="46" s="1"/>
  <c r="F23" i="46" a="1"/>
  <c r="F23" i="46" s="1"/>
  <c r="G25" i="46" a="1"/>
  <c r="G25" i="46" s="1"/>
  <c r="H27" i="46" a="1"/>
  <c r="H27" i="46" s="1"/>
  <c r="F35" i="46" a="1"/>
  <c r="F35" i="46" s="1"/>
  <c r="G37" i="46" a="1"/>
  <c r="G37" i="46" s="1"/>
  <c r="H39" i="46" a="1"/>
  <c r="H39" i="46" s="1"/>
  <c r="F47" i="46" a="1"/>
  <c r="F47" i="46" s="1"/>
  <c r="G49" i="46" a="1"/>
  <c r="G49" i="46" s="1"/>
  <c r="H51" i="46" a="1"/>
  <c r="H51" i="46" s="1"/>
  <c r="I35" i="45" a="1"/>
  <c r="I35" i="45" s="1"/>
  <c r="H23" i="45" a="1"/>
  <c r="H23" i="45" s="1"/>
  <c r="G11" i="45" a="1"/>
  <c r="G11" i="45" s="1"/>
  <c r="H35" i="45" a="1"/>
  <c r="H35" i="45" s="1"/>
  <c r="G23" i="45" a="1"/>
  <c r="G23" i="45" s="1"/>
  <c r="J47" i="45" a="1"/>
  <c r="J47" i="45" s="1"/>
  <c r="J37" i="45" a="1"/>
  <c r="J37" i="45" s="1"/>
  <c r="G54" i="45" a="1"/>
  <c r="G54" i="45" s="1"/>
  <c r="F44" i="45" a="1"/>
  <c r="F44" i="45" s="1"/>
  <c r="I33" i="45" a="1"/>
  <c r="I33" i="45" s="1"/>
  <c r="H21" i="45" a="1"/>
  <c r="H21" i="45" s="1"/>
  <c r="H9" i="45" a="1"/>
  <c r="H9" i="45" s="1"/>
  <c r="H27" i="45" a="1"/>
  <c r="H27" i="45" s="1"/>
  <c r="F54" i="45" a="1"/>
  <c r="F54" i="45" s="1"/>
  <c r="J43" i="45" a="1"/>
  <c r="J43" i="45" s="1"/>
  <c r="G21" i="45" a="1"/>
  <c r="G21" i="45" s="1"/>
  <c r="G9" i="45" a="1"/>
  <c r="G9" i="45" s="1"/>
  <c r="F15" i="45" a="1"/>
  <c r="F15" i="45" s="1"/>
  <c r="G52" i="45" a="1"/>
  <c r="G52" i="45" s="1"/>
  <c r="I43" i="45" a="1"/>
  <c r="I43" i="45" s="1"/>
  <c r="H33" i="45" a="1"/>
  <c r="H33" i="45" s="1"/>
  <c r="F21" i="45" a="1"/>
  <c r="F21" i="45" s="1"/>
  <c r="J35" i="45" a="1"/>
  <c r="J35" i="45" s="1"/>
  <c r="F52" i="45" a="1"/>
  <c r="F52" i="45" s="1"/>
  <c r="I31" i="45" a="1"/>
  <c r="I31" i="45" s="1"/>
  <c r="G19" i="45" a="1"/>
  <c r="G19" i="45" s="1"/>
  <c r="I7" i="45" a="1"/>
  <c r="I7" i="45" s="1"/>
  <c r="G25" i="45" a="1"/>
  <c r="G25" i="45" s="1"/>
  <c r="J49" i="45" a="1"/>
  <c r="J49" i="45" s="1"/>
  <c r="H37" i="45" a="1"/>
  <c r="H37" i="45" s="1"/>
  <c r="G29" i="45" a="1"/>
  <c r="G29" i="45" s="1"/>
  <c r="G27" i="45" a="1"/>
  <c r="G27" i="45" s="1"/>
  <c r="F23" i="45" a="1"/>
  <c r="F23" i="45" s="1"/>
  <c r="F19" i="45" a="1"/>
  <c r="F19" i="45" s="1"/>
  <c r="J14" i="45" a="1"/>
  <c r="J14" i="45" s="1"/>
  <c r="J12" i="45" a="1"/>
  <c r="J12" i="45" s="1"/>
  <c r="F11" i="45" a="1"/>
  <c r="F11" i="45" s="1"/>
  <c r="H7" i="45" a="1"/>
  <c r="H7" i="45" s="1"/>
  <c r="J53" i="45" a="1"/>
  <c r="J53" i="45" s="1"/>
  <c r="I51" i="45" a="1"/>
  <c r="I51" i="45" s="1"/>
  <c r="I49" i="45" a="1"/>
  <c r="I49" i="45" s="1"/>
  <c r="I47" i="45" a="1"/>
  <c r="I47" i="45" s="1"/>
  <c r="H43" i="45" a="1"/>
  <c r="H43" i="45" s="1"/>
  <c r="H41" i="45" a="1"/>
  <c r="H41" i="45" s="1"/>
  <c r="H39" i="45" a="1"/>
  <c r="H39" i="45" s="1"/>
  <c r="G37" i="45" a="1"/>
  <c r="G37" i="45" s="1"/>
  <c r="G35" i="45" a="1"/>
  <c r="G35" i="45" s="1"/>
  <c r="G33" i="45" a="1"/>
  <c r="G33" i="45" s="1"/>
  <c r="F29" i="45" a="1"/>
  <c r="F29" i="45" s="1"/>
  <c r="F27" i="45" a="1"/>
  <c r="F27" i="45" s="1"/>
  <c r="F25" i="45" a="1"/>
  <c r="F25" i="45" s="1"/>
  <c r="J22" i="45" a="1"/>
  <c r="J22" i="45" s="1"/>
  <c r="J20" i="45" a="1"/>
  <c r="J20" i="45" s="1"/>
  <c r="J18" i="45" a="1"/>
  <c r="J18" i="45" s="1"/>
  <c r="I14" i="45" a="1"/>
  <c r="I14" i="45" s="1"/>
  <c r="I12" i="45" a="1"/>
  <c r="I12" i="45" s="1"/>
  <c r="J10" i="45" a="1"/>
  <c r="J10" i="45" s="1"/>
  <c r="F9" i="45" a="1"/>
  <c r="F9" i="45" s="1"/>
  <c r="G7" i="45" a="1"/>
  <c r="G7" i="45" s="1"/>
  <c r="F48" i="45" a="1"/>
  <c r="F48" i="45" s="1"/>
  <c r="I53" i="45" a="1"/>
  <c r="I53" i="45" s="1"/>
  <c r="H49" i="45" a="1"/>
  <c r="H49" i="45" s="1"/>
  <c r="H47" i="45" a="1"/>
  <c r="H47" i="45" s="1"/>
  <c r="H45" i="45" a="1"/>
  <c r="H45" i="45" s="1"/>
  <c r="G43" i="45" a="1"/>
  <c r="G43" i="45" s="1"/>
  <c r="G41" i="45" a="1"/>
  <c r="G41" i="45" s="1"/>
  <c r="G39" i="45" a="1"/>
  <c r="G39" i="45" s="1"/>
  <c r="F33" i="45" a="1"/>
  <c r="F33" i="45" s="1"/>
  <c r="F31" i="45" a="1"/>
  <c r="F31" i="45" s="1"/>
  <c r="J28" i="45" a="1"/>
  <c r="J28" i="45" s="1"/>
  <c r="J26" i="45" a="1"/>
  <c r="J26" i="45" s="1"/>
  <c r="J24" i="45" a="1"/>
  <c r="J24" i="45" s="1"/>
  <c r="I20" i="45" a="1"/>
  <c r="I20" i="45" s="1"/>
  <c r="I18" i="45" a="1"/>
  <c r="I18" i="45" s="1"/>
  <c r="I16" i="45" a="1"/>
  <c r="I16" i="45" s="1"/>
  <c r="H14" i="45" a="1"/>
  <c r="H14" i="45" s="1"/>
  <c r="H53" i="45" a="1"/>
  <c r="H53" i="45" s="1"/>
  <c r="H51" i="45" a="1"/>
  <c r="H51" i="45" s="1"/>
  <c r="G49" i="45" a="1"/>
  <c r="G49" i="45" s="1"/>
  <c r="G47" i="45" a="1"/>
  <c r="G47" i="45" s="1"/>
  <c r="G45" i="45" a="1"/>
  <c r="G45" i="45" s="1"/>
  <c r="F37" i="45" a="1"/>
  <c r="F37" i="45" s="1"/>
  <c r="J34" i="45" a="1"/>
  <c r="J34" i="45" s="1"/>
  <c r="J32" i="45" a="1"/>
  <c r="J32" i="45" s="1"/>
  <c r="J30" i="45" a="1"/>
  <c r="J30" i="45" s="1"/>
  <c r="I26" i="45" a="1"/>
  <c r="I26" i="45" s="1"/>
  <c r="I24" i="45" a="1"/>
  <c r="I24" i="45" s="1"/>
  <c r="I22" i="45" a="1"/>
  <c r="I22" i="45" s="1"/>
  <c r="H20" i="45" a="1"/>
  <c r="H20" i="45" s="1"/>
  <c r="H18" i="45" a="1"/>
  <c r="H18" i="45" s="1"/>
  <c r="H16" i="45" a="1"/>
  <c r="H16" i="45" s="1"/>
  <c r="H12" i="45" a="1"/>
  <c r="H12" i="45" s="1"/>
  <c r="I10" i="45" a="1"/>
  <c r="I10" i="45" s="1"/>
  <c r="J8" i="45" a="1"/>
  <c r="J8" i="45" s="1"/>
  <c r="F7" i="45" a="1"/>
  <c r="F7" i="45" s="1"/>
  <c r="G53" i="45" a="1"/>
  <c r="G53" i="45" s="1"/>
  <c r="G51" i="45" a="1"/>
  <c r="G51" i="45" s="1"/>
  <c r="J40" i="45" a="1"/>
  <c r="J40" i="45" s="1"/>
  <c r="J38" i="45" a="1"/>
  <c r="J38" i="45" s="1"/>
  <c r="J36" i="45" a="1"/>
  <c r="J36" i="45" s="1"/>
  <c r="I32" i="45" a="1"/>
  <c r="I32" i="45" s="1"/>
  <c r="I30" i="45" a="1"/>
  <c r="I30" i="45" s="1"/>
  <c r="I28" i="45" a="1"/>
  <c r="I28" i="45" s="1"/>
  <c r="H26" i="45" a="1"/>
  <c r="H26" i="45" s="1"/>
  <c r="H24" i="45" a="1"/>
  <c r="H24" i="45" s="1"/>
  <c r="H22" i="45" a="1"/>
  <c r="H22" i="45" s="1"/>
  <c r="G18" i="45" a="1"/>
  <c r="G18" i="45" s="1"/>
  <c r="G16" i="45" a="1"/>
  <c r="G16" i="45" s="1"/>
  <c r="G14" i="45" a="1"/>
  <c r="G14" i="45" s="1"/>
  <c r="G12" i="45" a="1"/>
  <c r="G12" i="45" s="1"/>
  <c r="H10" i="45" a="1"/>
  <c r="H10" i="45" s="1"/>
  <c r="I8" i="45" a="1"/>
  <c r="I8" i="45" s="1"/>
  <c r="J6" i="45" a="1"/>
  <c r="J6" i="45" s="1"/>
  <c r="G5" i="45" a="1"/>
  <c r="G5" i="45" s="1"/>
  <c r="J46" i="45" a="1"/>
  <c r="J46" i="45" s="1"/>
  <c r="J44" i="45" a="1"/>
  <c r="J44" i="45" s="1"/>
  <c r="J42" i="45" a="1"/>
  <c r="J42" i="45" s="1"/>
  <c r="I38" i="45" a="1"/>
  <c r="I38" i="45" s="1"/>
  <c r="I36" i="45" a="1"/>
  <c r="I36" i="45" s="1"/>
  <c r="I34" i="45" a="1"/>
  <c r="I34" i="45" s="1"/>
  <c r="H32" i="45" a="1"/>
  <c r="H32" i="45" s="1"/>
  <c r="H30" i="45" a="1"/>
  <c r="H30" i="45" s="1"/>
  <c r="H28" i="45" a="1"/>
  <c r="H28" i="45" s="1"/>
  <c r="G24" i="45" a="1"/>
  <c r="G24" i="45" s="1"/>
  <c r="G22" i="45" a="1"/>
  <c r="G22" i="45" s="1"/>
  <c r="G20" i="45" a="1"/>
  <c r="G20" i="45" s="1"/>
  <c r="G10" i="45" a="1"/>
  <c r="G10" i="45" s="1"/>
  <c r="H8" i="45" a="1"/>
  <c r="H8" i="45" s="1"/>
  <c r="I6" i="45" a="1"/>
  <c r="I6" i="45" s="1"/>
  <c r="L22" i="45" s="1"/>
  <c r="F5" i="45" a="1"/>
  <c r="F5" i="45" s="1"/>
  <c r="J52" i="45" a="1"/>
  <c r="J52" i="45" s="1"/>
  <c r="J50" i="45" a="1"/>
  <c r="J50" i="45" s="1"/>
  <c r="J48" i="45" a="1"/>
  <c r="J48" i="45" s="1"/>
  <c r="I44" i="45" a="1"/>
  <c r="I44" i="45" s="1"/>
  <c r="I42" i="45" a="1"/>
  <c r="I42" i="45" s="1"/>
  <c r="I40" i="45" a="1"/>
  <c r="I40" i="45" s="1"/>
  <c r="H38" i="45" a="1"/>
  <c r="H38" i="45" s="1"/>
  <c r="H36" i="45" a="1"/>
  <c r="H36" i="45" s="1"/>
  <c r="H34" i="45" a="1"/>
  <c r="H34" i="45" s="1"/>
  <c r="G30" i="45" a="1"/>
  <c r="G30" i="45" s="1"/>
  <c r="G28" i="45" a="1"/>
  <c r="G28" i="45" s="1"/>
  <c r="G26" i="45" a="1"/>
  <c r="G26" i="45" s="1"/>
  <c r="J15" i="45" a="1"/>
  <c r="J15" i="45" s="1"/>
  <c r="J13" i="45" a="1"/>
  <c r="J13" i="45" s="1"/>
  <c r="J54" i="45" a="1"/>
  <c r="J54" i="45" s="1"/>
  <c r="I50" i="45" a="1"/>
  <c r="I50" i="45" s="1"/>
  <c r="I48" i="45" a="1"/>
  <c r="I48" i="45" s="1"/>
  <c r="I46" i="45" a="1"/>
  <c r="I46" i="45" s="1"/>
  <c r="H44" i="45" a="1"/>
  <c r="H44" i="45" s="1"/>
  <c r="H42" i="45" a="1"/>
  <c r="H42" i="45" s="1"/>
  <c r="H40" i="45" a="1"/>
  <c r="H40" i="45" s="1"/>
  <c r="G36" i="45" a="1"/>
  <c r="G36" i="45" s="1"/>
  <c r="G34" i="45" a="1"/>
  <c r="G34" i="45" s="1"/>
  <c r="G32" i="45" a="1"/>
  <c r="G32" i="45" s="1"/>
  <c r="J21" i="45" a="1"/>
  <c r="J21" i="45" s="1"/>
  <c r="J19" i="45" a="1"/>
  <c r="J19" i="45" s="1"/>
  <c r="J17" i="45" a="1"/>
  <c r="J17" i="45" s="1"/>
  <c r="I15" i="45" a="1"/>
  <c r="I15" i="45" s="1"/>
  <c r="I13" i="45" a="1"/>
  <c r="I13" i="45" s="1"/>
  <c r="J11" i="45" a="1"/>
  <c r="J11" i="45" s="1"/>
  <c r="G8" i="45" a="1"/>
  <c r="G8" i="45" s="1"/>
  <c r="H6" i="45" a="1"/>
  <c r="H6" i="45" s="1"/>
  <c r="I54" i="45" a="1"/>
  <c r="I54" i="45" s="1"/>
  <c r="I52" i="45" a="1"/>
  <c r="I52" i="45" s="1"/>
  <c r="H48" i="45" a="1"/>
  <c r="H48" i="45" s="1"/>
  <c r="H46" i="45" a="1"/>
  <c r="H46" i="45" s="1"/>
  <c r="G42" i="45" a="1"/>
  <c r="G42" i="45" s="1"/>
  <c r="G40" i="45" a="1"/>
  <c r="G40" i="45" s="1"/>
  <c r="G38" i="45" a="1"/>
  <c r="G38" i="45" s="1"/>
  <c r="J27" i="45" a="1"/>
  <c r="J27" i="45" s="1"/>
  <c r="J25" i="45" a="1"/>
  <c r="J25" i="45" s="1"/>
  <c r="J23" i="45" a="1"/>
  <c r="J23" i="45" s="1"/>
  <c r="I19" i="45" a="1"/>
  <c r="I19" i="45" s="1"/>
  <c r="I17" i="45" a="1"/>
  <c r="I17" i="45" s="1"/>
  <c r="H13" i="45" a="1"/>
  <c r="H13" i="45" s="1"/>
  <c r="I11" i="45" a="1"/>
  <c r="I11" i="45" s="1"/>
  <c r="J9" i="45" a="1"/>
  <c r="J9" i="45" s="1"/>
  <c r="G6" i="45" a="1"/>
  <c r="G6" i="45" s="1"/>
  <c r="H25" i="45" a="1"/>
  <c r="H25" i="45" s="1"/>
  <c r="F13" i="45" a="1"/>
  <c r="F13" i="45" s="1"/>
  <c r="J5" i="45" a="1"/>
  <c r="J5" i="45" s="1"/>
  <c r="I5" i="45" a="1"/>
  <c r="I5" i="45" s="1"/>
  <c r="G33" i="44" a="1"/>
  <c r="G33" i="44" s="1"/>
  <c r="E33" i="44" a="1"/>
  <c r="E33" i="44" s="1"/>
  <c r="F33" i="44" a="1"/>
  <c r="F33" i="44" s="1"/>
  <c r="E31" i="44" a="1"/>
  <c r="E31" i="44" s="1"/>
  <c r="D31" i="44" a="1"/>
  <c r="D31" i="44" s="1"/>
  <c r="D30" i="44" a="1"/>
  <c r="D30" i="44" s="1"/>
  <c r="E30" i="44" a="1"/>
  <c r="E30" i="44" s="1"/>
  <c r="F30" i="44" a="1"/>
  <c r="F30" i="44" s="1"/>
  <c r="G30" i="44" a="1"/>
  <c r="G30" i="44" s="1"/>
  <c r="F28" i="44" a="1"/>
  <c r="F28" i="44" s="1"/>
  <c r="D28" i="44" a="1"/>
  <c r="D28" i="44" s="1"/>
  <c r="E28" i="44" a="1"/>
  <c r="E28" i="44" s="1"/>
  <c r="D27" i="44" a="1"/>
  <c r="D27" i="44" s="1"/>
  <c r="E27" i="44" a="1"/>
  <c r="E27" i="44" s="1"/>
  <c r="F27" i="44" a="1"/>
  <c r="F27" i="44" s="1"/>
  <c r="G27" i="44" a="1"/>
  <c r="G27" i="44" s="1"/>
  <c r="G25" i="44" a="1"/>
  <c r="G25" i="44" s="1"/>
  <c r="D25" i="44" a="1"/>
  <c r="D25" i="44" s="1"/>
  <c r="E25" i="44" a="1"/>
  <c r="E25" i="44" s="1"/>
  <c r="F25" i="44" a="1"/>
  <c r="F25" i="44" s="1"/>
  <c r="F22" i="44" a="1"/>
  <c r="F22" i="44" s="1"/>
  <c r="G22" i="44" a="1"/>
  <c r="G22" i="44" s="1"/>
  <c r="F20" i="44" a="1"/>
  <c r="F20" i="44" s="1"/>
  <c r="D20" i="44" a="1"/>
  <c r="D20" i="44" s="1"/>
  <c r="E20" i="44" a="1"/>
  <c r="E20" i="44" s="1"/>
  <c r="D19" i="44" a="1"/>
  <c r="D19" i="44" s="1"/>
  <c r="G19" i="44" a="1"/>
  <c r="G19" i="44" s="1"/>
  <c r="F16" i="44" a="1"/>
  <c r="F16" i="44" s="1"/>
  <c r="D16" i="44" a="1"/>
  <c r="D16" i="44" s="1"/>
  <c r="E16" i="44" a="1"/>
  <c r="E16" i="44" s="1"/>
  <c r="D15" i="44" a="1"/>
  <c r="D15" i="44" s="1"/>
  <c r="E15" i="44" a="1"/>
  <c r="E15" i="44" s="1"/>
  <c r="F15" i="44" a="1"/>
  <c r="F15" i="44" s="1"/>
  <c r="G15" i="44" a="1"/>
  <c r="G15" i="44" s="1"/>
  <c r="D13" i="44" a="1"/>
  <c r="D13" i="44" s="1"/>
  <c r="E13" i="44" a="1"/>
  <c r="E13" i="44" s="1"/>
  <c r="F13" i="44" a="1"/>
  <c r="F13" i="44" s="1"/>
  <c r="G13" i="44" a="1"/>
  <c r="G13" i="44" s="1"/>
  <c r="F11" i="44" a="1"/>
  <c r="F11" i="44" s="1"/>
  <c r="E11" i="44" a="1"/>
  <c r="E11" i="44" s="1"/>
  <c r="D8" i="44" a="1"/>
  <c r="D8" i="44" s="1"/>
  <c r="E8" i="44" a="1"/>
  <c r="E8" i="44" s="1"/>
  <c r="F8" i="44" a="1"/>
  <c r="F8" i="44" s="1"/>
  <c r="G8" i="44" a="1"/>
  <c r="G8" i="44" s="1"/>
  <c r="D44" i="44" a="1"/>
  <c r="D44" i="44" s="1"/>
  <c r="E44" i="44" a="1"/>
  <c r="E44" i="44" s="1"/>
  <c r="F44" i="44" a="1"/>
  <c r="F44" i="44" s="1"/>
  <c r="G44" i="44" a="1"/>
  <c r="G44" i="44" s="1"/>
  <c r="D43" i="44" a="1"/>
  <c r="D43" i="44" s="1"/>
  <c r="G43" i="44" a="1"/>
  <c r="G43" i="44" s="1"/>
  <c r="D40" i="44" a="1"/>
  <c r="D40" i="44" s="1"/>
  <c r="F40" i="44" a="1"/>
  <c r="F40" i="44" s="1"/>
  <c r="G40" i="44" a="1"/>
  <c r="G40" i="44" s="1"/>
  <c r="D38" i="44" a="1"/>
  <c r="D38" i="44" s="1"/>
  <c r="E38" i="44" a="1"/>
  <c r="E38" i="44" s="1"/>
  <c r="F38" i="44" a="1"/>
  <c r="F38" i="44" s="1"/>
  <c r="G38" i="44" a="1"/>
  <c r="G38" i="44" s="1"/>
  <c r="G37" i="44" a="1"/>
  <c r="G37" i="44" s="1"/>
  <c r="G41" i="44" a="1"/>
  <c r="G41" i="44" s="1"/>
  <c r="D41" i="44" a="1"/>
  <c r="D41" i="44" s="1"/>
  <c r="E41" i="44" a="1"/>
  <c r="E41" i="44" s="1"/>
  <c r="D39" i="44" a="1"/>
  <c r="D39" i="44" s="1"/>
  <c r="E5" i="44" a="1"/>
  <c r="E5" i="44" s="1"/>
  <c r="G46" i="44" a="1"/>
  <c r="G46" i="44" s="1"/>
  <c r="G35" i="44" a="1"/>
  <c r="G35" i="44" s="1"/>
  <c r="E22" i="44" a="1"/>
  <c r="E22" i="44" s="1"/>
  <c r="F19" i="44" a="1"/>
  <c r="F19" i="44" s="1"/>
  <c r="F10" i="44" a="1"/>
  <c r="F10" i="44" s="1"/>
  <c r="E36" i="44" a="1"/>
  <c r="E36" i="44" s="1"/>
  <c r="G10" i="44" a="1"/>
  <c r="G10" i="44" s="1"/>
  <c r="F5" i="44" a="1"/>
  <c r="F5" i="44" s="1"/>
  <c r="F35" i="44" a="1"/>
  <c r="F35" i="44" s="1"/>
  <c r="G24" i="44" a="1"/>
  <c r="G24" i="44" s="1"/>
  <c r="D22" i="44" a="1"/>
  <c r="D22" i="44" s="1"/>
  <c r="E19" i="44" a="1"/>
  <c r="E19" i="44" s="1"/>
  <c r="G7" i="44" a="1"/>
  <c r="G7" i="44" s="1"/>
  <c r="D36" i="44" a="1"/>
  <c r="D36" i="44" s="1"/>
  <c r="D11" i="44" a="1"/>
  <c r="D11" i="44" s="1"/>
  <c r="D5" i="44" a="1"/>
  <c r="D5" i="44" s="1"/>
  <c r="D47" i="44" a="1"/>
  <c r="D47" i="44" s="1"/>
  <c r="D33" i="44" a="1"/>
  <c r="D33" i="44" s="1"/>
  <c r="E46" i="44" a="1"/>
  <c r="E46" i="44" s="1"/>
  <c r="F43" i="44" a="1"/>
  <c r="F43" i="44" s="1"/>
  <c r="E35" i="44" a="1"/>
  <c r="E35" i="44" s="1"/>
  <c r="F32" i="44" a="1"/>
  <c r="F32" i="44" s="1"/>
  <c r="G29" i="44" a="1"/>
  <c r="G29" i="44" s="1"/>
  <c r="F24" i="44" a="1"/>
  <c r="F24" i="44" s="1"/>
  <c r="G21" i="44" a="1"/>
  <c r="G21" i="44" s="1"/>
  <c r="G12" i="44" a="1"/>
  <c r="G12" i="44" s="1"/>
  <c r="E10" i="44" a="1"/>
  <c r="E10" i="44" s="1"/>
  <c r="F7" i="44" a="1"/>
  <c r="F7" i="44" s="1"/>
  <c r="F46" i="44" a="1"/>
  <c r="F46" i="44" s="1"/>
  <c r="G48" i="44" a="1"/>
  <c r="G48" i="44" s="1"/>
  <c r="E43" i="44" a="1"/>
  <c r="E43" i="44" s="1"/>
  <c r="E40" i="44" a="1"/>
  <c r="E40" i="44" s="1"/>
  <c r="F37" i="44" a="1"/>
  <c r="F37" i="44" s="1"/>
  <c r="E32" i="44" a="1"/>
  <c r="E32" i="44" s="1"/>
  <c r="E24" i="44" a="1"/>
  <c r="E24" i="44" s="1"/>
  <c r="F21" i="44" a="1"/>
  <c r="F21" i="44" s="1"/>
  <c r="G18" i="44" a="1"/>
  <c r="G18" i="44" s="1"/>
  <c r="F12" i="44" a="1"/>
  <c r="F12" i="44" s="1"/>
  <c r="E7" i="44" a="1"/>
  <c r="E7" i="44" s="1"/>
  <c r="F48" i="44" a="1"/>
  <c r="F48" i="44" s="1"/>
  <c r="G45" i="44" a="1"/>
  <c r="G45" i="44" s="1"/>
  <c r="G34" i="44" a="1"/>
  <c r="G34" i="44" s="1"/>
  <c r="D32" i="44" a="1"/>
  <c r="D32" i="44" s="1"/>
  <c r="F29" i="44" a="1"/>
  <c r="F29" i="44" s="1"/>
  <c r="G26" i="44" a="1"/>
  <c r="G26" i="44" s="1"/>
  <c r="E21" i="44" a="1"/>
  <c r="E21" i="44" s="1"/>
  <c r="F18" i="44" a="1"/>
  <c r="F18" i="44" s="1"/>
  <c r="G14" i="44" a="1"/>
  <c r="G14" i="44" s="1"/>
  <c r="E12" i="44" a="1"/>
  <c r="E12" i="44" s="1"/>
  <c r="F47" i="44" a="1"/>
  <c r="F47" i="44" s="1"/>
  <c r="E48" i="44" a="1"/>
  <c r="E48" i="44" s="1"/>
  <c r="F45" i="44" a="1"/>
  <c r="F45" i="44" s="1"/>
  <c r="G42" i="44" a="1"/>
  <c r="G42" i="44" s="1"/>
  <c r="E37" i="44" a="1"/>
  <c r="E37" i="44" s="1"/>
  <c r="F34" i="44" a="1"/>
  <c r="F34" i="44" s="1"/>
  <c r="G31" i="44" a="1"/>
  <c r="G31" i="44" s="1"/>
  <c r="E29" i="44" a="1"/>
  <c r="E29" i="44" s="1"/>
  <c r="F26" i="44" a="1"/>
  <c r="F26" i="44" s="1"/>
  <c r="G23" i="44" a="1"/>
  <c r="G23" i="44" s="1"/>
  <c r="E18" i="44" a="1"/>
  <c r="E18" i="44" s="1"/>
  <c r="G9" i="44" a="1"/>
  <c r="G9" i="44" s="1"/>
  <c r="G6" i="44" a="1"/>
  <c r="G6" i="44" s="1"/>
  <c r="E45" i="44" a="1"/>
  <c r="E45" i="44" s="1"/>
  <c r="F42" i="44" a="1"/>
  <c r="F42" i="44" s="1"/>
  <c r="G39" i="44" a="1"/>
  <c r="G39" i="44" s="1"/>
  <c r="E34" i="44" a="1"/>
  <c r="E34" i="44" s="1"/>
  <c r="F31" i="44" a="1"/>
  <c r="F31" i="44" s="1"/>
  <c r="E26" i="44" a="1"/>
  <c r="E26" i="44" s="1"/>
  <c r="F23" i="44" a="1"/>
  <c r="F23" i="44" s="1"/>
  <c r="G20" i="44" a="1"/>
  <c r="G20" i="44" s="1"/>
  <c r="F14" i="44" a="1"/>
  <c r="F14" i="44" s="1"/>
  <c r="F9" i="44" a="1"/>
  <c r="F9" i="44" s="1"/>
  <c r="F6" i="44" a="1"/>
  <c r="F6" i="44" s="1"/>
  <c r="G47" i="44" a="1"/>
  <c r="G47" i="44" s="1"/>
  <c r="E42" i="44" a="1"/>
  <c r="E42" i="44" s="1"/>
  <c r="F39" i="44" a="1"/>
  <c r="F39" i="44" s="1"/>
  <c r="G36" i="44" a="1"/>
  <c r="G36" i="44" s="1"/>
  <c r="G28" i="44" a="1"/>
  <c r="G28" i="44" s="1"/>
  <c r="E23" i="44" a="1"/>
  <c r="E23" i="44" s="1"/>
  <c r="G16" i="44" a="1"/>
  <c r="G16" i="44" s="1"/>
  <c r="E14" i="44" a="1"/>
  <c r="E14" i="44" s="1"/>
  <c r="G11" i="44" a="1"/>
  <c r="G11" i="44" s="1"/>
  <c r="E9" i="44" a="1"/>
  <c r="E9" i="44" s="1"/>
  <c r="E6" i="44" a="1"/>
  <c r="E6" i="44" s="1"/>
  <c r="D17" i="44" a="1"/>
  <c r="D17" i="44" s="1"/>
  <c r="E17" i="44" a="1"/>
  <c r="E17" i="44" s="1"/>
  <c r="G17" i="44" a="1"/>
  <c r="G17" i="44" s="1"/>
  <c r="O22" i="39" a="1"/>
  <c r="O22" i="39" s="1"/>
  <c r="N22" i="39" a="1"/>
  <c r="N22" i="39" s="1"/>
  <c r="P18" i="39" a="1"/>
  <c r="P18" i="39" s="1"/>
  <c r="M5" i="39" a="1"/>
  <c r="M5" i="39" s="1"/>
  <c r="M6" i="39" a="1"/>
  <c r="M6" i="39" s="1"/>
  <c r="O18" i="39" a="1"/>
  <c r="O18" i="39" s="1"/>
  <c r="Q7" i="39" a="1"/>
  <c r="Q7" i="39" s="1"/>
  <c r="N18" i="39" a="1"/>
  <c r="N18" i="39" s="1"/>
  <c r="P7" i="39" a="1"/>
  <c r="P7" i="39" s="1"/>
  <c r="Q17" i="39" a="1"/>
  <c r="Q17" i="39" s="1"/>
  <c r="O7" i="39" a="1"/>
  <c r="O7" i="39" s="1"/>
  <c r="P17" i="39" a="1"/>
  <c r="P17" i="39" s="1"/>
  <c r="N7" i="39" a="1"/>
  <c r="N7" i="39" s="1"/>
  <c r="Q5" i="39" a="1"/>
  <c r="Q5" i="39" s="1"/>
  <c r="Q21" i="39" a="1"/>
  <c r="Q21" i="39" s="1"/>
  <c r="N14" i="39" a="1"/>
  <c r="N14" i="39" s="1"/>
  <c r="Q6" i="39" a="1"/>
  <c r="Q6" i="39" s="1"/>
  <c r="P5" i="39" a="1"/>
  <c r="P5" i="39" s="1"/>
  <c r="P21" i="39" a="1"/>
  <c r="P21" i="39" s="1"/>
  <c r="Q13" i="39" a="1"/>
  <c r="Q13" i="39" s="1"/>
  <c r="P6" i="39" a="1"/>
  <c r="P6" i="39" s="1"/>
  <c r="O5" i="39" a="1"/>
  <c r="O5" i="39" s="1"/>
  <c r="Q19" i="39" a="1"/>
  <c r="Q19" i="39" s="1"/>
  <c r="N11" i="39" a="1"/>
  <c r="N11" i="39" s="1"/>
  <c r="O6" i="39" a="1"/>
  <c r="O6" i="39" s="1"/>
  <c r="M18" i="39" a="1"/>
  <c r="M18" i="39" s="1"/>
  <c r="P19" i="39" a="1"/>
  <c r="P19" i="39" s="1"/>
  <c r="Q10" i="39" a="1"/>
  <c r="Q10" i="39" s="1"/>
  <c r="M15" i="39" a="1"/>
  <c r="M15" i="39" s="1"/>
  <c r="O19" i="39" a="1"/>
  <c r="O19" i="39" s="1"/>
  <c r="P10" i="39" a="1"/>
  <c r="P10" i="39" s="1"/>
  <c r="M14" i="39" a="1"/>
  <c r="M14" i="39" s="1"/>
  <c r="N19" i="39" a="1"/>
  <c r="N19" i="39" s="1"/>
  <c r="O10" i="39" a="1"/>
  <c r="O10" i="39" s="1"/>
  <c r="M12" i="39" a="1"/>
  <c r="M12" i="39" s="1"/>
  <c r="N10" i="39" a="1"/>
  <c r="N10" i="39" s="1"/>
  <c r="Q16" i="39" a="1"/>
  <c r="Q16" i="39" s="1"/>
  <c r="P16" i="39" a="1"/>
  <c r="P16" i="39" s="1"/>
  <c r="M13" i="39" a="1"/>
  <c r="M13" i="39" s="1"/>
  <c r="O16" i="39" a="1"/>
  <c r="O16" i="39" s="1"/>
  <c r="P13" i="39" a="1"/>
  <c r="P13" i="39" s="1"/>
  <c r="N16" i="39" a="1"/>
  <c r="N16" i="39" s="1"/>
  <c r="O13" i="39" a="1"/>
  <c r="O13" i="39" s="1"/>
  <c r="Q15" i="39" a="1"/>
  <c r="Q15" i="39" s="1"/>
  <c r="M22" i="39" a="1"/>
  <c r="M22" i="39" s="1"/>
  <c r="O21" i="39" a="1"/>
  <c r="O21" i="39" s="1"/>
  <c r="P15" i="39" a="1"/>
  <c r="P15" i="39" s="1"/>
  <c r="Q12" i="39" a="1"/>
  <c r="Q12" i="39" s="1"/>
  <c r="Q9" i="39" a="1"/>
  <c r="Q9" i="39" s="1"/>
  <c r="M21" i="39" a="1"/>
  <c r="M21" i="39" s="1"/>
  <c r="M9" i="39" a="1"/>
  <c r="M9" i="39" s="1"/>
  <c r="O15" i="39" a="1"/>
  <c r="O15" i="39" s="1"/>
  <c r="P12" i="39" a="1"/>
  <c r="P12" i="39" s="1"/>
  <c r="P9" i="39" a="1"/>
  <c r="P9" i="39" s="1"/>
  <c r="M20" i="39" a="1"/>
  <c r="M20" i="39" s="1"/>
  <c r="M8" i="39" a="1"/>
  <c r="M8" i="39" s="1"/>
  <c r="Q20" i="39" a="1"/>
  <c r="Q20" i="39" s="1"/>
  <c r="O12" i="39" a="1"/>
  <c r="O12" i="39" s="1"/>
  <c r="O9" i="39" a="1"/>
  <c r="O9" i="39" s="1"/>
  <c r="P20" i="39" a="1"/>
  <c r="P20" i="39" s="1"/>
  <c r="Q14" i="39" a="1"/>
  <c r="Q14" i="39" s="1"/>
  <c r="Q11" i="39" a="1"/>
  <c r="Q11" i="39" s="1"/>
  <c r="Q8" i="39" a="1"/>
  <c r="Q8" i="39" s="1"/>
  <c r="M17" i="39" a="1"/>
  <c r="M17" i="39" s="1"/>
  <c r="O20" i="39" a="1"/>
  <c r="O20" i="39" s="1"/>
  <c r="O17" i="39" a="1"/>
  <c r="O17" i="39" s="1"/>
  <c r="P14" i="39" a="1"/>
  <c r="P14" i="39" s="1"/>
  <c r="P11" i="39" a="1"/>
  <c r="P11" i="39" s="1"/>
  <c r="P8" i="39" a="1"/>
  <c r="P8" i="39" s="1"/>
  <c r="AG13" i="35"/>
  <c r="AJ21" i="35"/>
  <c r="AI26" i="35"/>
  <c r="AG32" i="35"/>
  <c r="AI38" i="35"/>
  <c r="AC44" i="35"/>
  <c r="AJ47" i="35"/>
  <c r="AH13" i="35"/>
  <c r="AJ26" i="35"/>
  <c r="AI32" i="35"/>
  <c r="AJ38" i="35"/>
  <c r="AJ13" i="35"/>
  <c r="AJ32" i="35"/>
  <c r="AC19" i="35"/>
  <c r="AI23" i="35"/>
  <c r="AJ44" i="35"/>
  <c r="AG5" i="35"/>
  <c r="AC14" i="35"/>
  <c r="AE19" i="35"/>
  <c r="AI28" i="35"/>
  <c r="AF14" i="35"/>
  <c r="AG19" i="35"/>
  <c r="AJ28" i="35"/>
  <c r="AJ34" i="35"/>
  <c r="AI40" i="35"/>
  <c r="AE45" i="35"/>
  <c r="AE51" i="35"/>
  <c r="AF51" i="35"/>
  <c r="AJ14" i="35"/>
  <c r="AI35" i="35"/>
  <c r="AG45" i="35"/>
  <c r="AG51" i="35"/>
  <c r="AJ35" i="35"/>
  <c r="AI51" i="35"/>
  <c r="AI6" i="35"/>
  <c r="AE13" i="35"/>
  <c r="AI15" i="35"/>
  <c r="AG21" i="35"/>
  <c r="AE26" i="35"/>
  <c r="AD32" i="35"/>
  <c r="AJ6" i="35"/>
  <c r="AF13" i="35"/>
  <c r="AI21" i="35"/>
  <c r="AH26" i="35"/>
  <c r="AE32" i="35"/>
  <c r="AI47" i="35"/>
  <c r="AC20" i="35"/>
  <c r="AD25" i="35"/>
  <c r="AI29" i="35"/>
  <c r="AE39" i="35"/>
  <c r="AF7" i="35"/>
  <c r="AD20" i="35"/>
  <c r="AE25" i="35"/>
  <c r="AE27" i="35"/>
  <c r="AJ29" i="35"/>
  <c r="AE33" i="35"/>
  <c r="AF39" i="35"/>
  <c r="AI5" i="35"/>
  <c r="AG7" i="35"/>
  <c r="AE20" i="35"/>
  <c r="AG22" i="35"/>
  <c r="AF27" i="35"/>
  <c r="AF33" i="35"/>
  <c r="AG39" i="35"/>
  <c r="AI45" i="35"/>
  <c r="AC50" i="35"/>
  <c r="AJ51" i="35"/>
  <c r="AH7" i="35"/>
  <c r="AF20" i="35"/>
  <c r="AI22" i="35"/>
  <c r="AG27" i="35"/>
  <c r="AG33" i="35"/>
  <c r="AI39" i="35"/>
  <c r="AJ45" i="35"/>
  <c r="AD50" i="35"/>
  <c r="AI7" i="35"/>
  <c r="AD14" i="35"/>
  <c r="AG20" i="35"/>
  <c r="AC26" i="35"/>
  <c r="AI27" i="35"/>
  <c r="AI33" i="35"/>
  <c r="AC38" i="35"/>
  <c r="AJ39" i="35"/>
  <c r="AE50" i="35"/>
  <c r="AG52" i="35"/>
  <c r="AE6" i="35"/>
  <c r="AJ7" i="35"/>
  <c r="AE14" i="35"/>
  <c r="AI20" i="35"/>
  <c r="AD26" i="35"/>
  <c r="AJ27" i="35"/>
  <c r="AC32" i="35"/>
  <c r="AJ33" i="35"/>
  <c r="AD38" i="35"/>
  <c r="AE44" i="35"/>
  <c r="AG46" i="35"/>
  <c r="AF50" i="35"/>
  <c r="AI52" i="35"/>
  <c r="AJ20" i="35"/>
  <c r="AE38" i="35"/>
  <c r="AF44" i="35"/>
  <c r="AI46" i="35"/>
  <c r="AG50" i="35"/>
  <c r="AJ52" i="35"/>
  <c r="AG8" i="35"/>
  <c r="AF26" i="35"/>
  <c r="AG28" i="35"/>
  <c r="AG34" i="35"/>
  <c r="AF38" i="35"/>
  <c r="AI50" i="35"/>
  <c r="AH6" i="35"/>
  <c r="AH8" i="35"/>
  <c r="AC13" i="35"/>
  <c r="AE21" i="35"/>
  <c r="AH28" i="35"/>
  <c r="AI34" i="35"/>
  <c r="AI53" i="35"/>
  <c r="AI8" i="35"/>
  <c r="AJ8" i="35"/>
  <c r="AI41" i="35"/>
  <c r="AF16" i="35"/>
  <c r="AE16" i="35"/>
  <c r="AC16" i="35"/>
  <c r="AJ16" i="35"/>
  <c r="AI16" i="35"/>
  <c r="AH16" i="35"/>
  <c r="AG16" i="35"/>
  <c r="AD16" i="35"/>
  <c r="AG9" i="35"/>
  <c r="AF9" i="35"/>
  <c r="AD9" i="35"/>
  <c r="AJ9" i="35"/>
  <c r="AI9" i="35"/>
  <c r="AH9" i="35"/>
  <c r="AE9" i="35"/>
  <c r="AI11" i="35"/>
  <c r="AH11" i="35"/>
  <c r="AF11" i="35"/>
  <c r="AJ11" i="35"/>
  <c r="AG11" i="35"/>
  <c r="AJ43" i="35"/>
  <c r="AI43" i="35"/>
  <c r="AH43" i="35"/>
  <c r="AG43" i="35"/>
  <c r="AF43" i="35"/>
  <c r="AE43" i="35"/>
  <c r="AD43" i="35"/>
  <c r="AC43" i="35"/>
  <c r="AC9" i="35"/>
  <c r="AC11" i="35"/>
  <c r="AD11" i="35"/>
  <c r="AH27" i="35"/>
  <c r="AH51" i="35"/>
  <c r="AH45" i="35"/>
  <c r="AH39" i="35"/>
  <c r="AJ12" i="35"/>
  <c r="AI12" i="35"/>
  <c r="AG12" i="35"/>
  <c r="AH17" i="35"/>
  <c r="AG17" i="35"/>
  <c r="AF17" i="35"/>
  <c r="AE17" i="35"/>
  <c r="AJ37" i="35"/>
  <c r="AI37" i="35"/>
  <c r="AH37" i="35"/>
  <c r="AG37" i="35"/>
  <c r="AF37" i="35"/>
  <c r="AE37" i="35"/>
  <c r="AC12" i="35"/>
  <c r="AC17" i="35"/>
  <c r="AJ31" i="35"/>
  <c r="AI31" i="35"/>
  <c r="AH31" i="35"/>
  <c r="AG31" i="35"/>
  <c r="AF31" i="35"/>
  <c r="AC37" i="35"/>
  <c r="AH10" i="35"/>
  <c r="AG10" i="35"/>
  <c r="AE10" i="35"/>
  <c r="AD12" i="35"/>
  <c r="AD17" i="35"/>
  <c r="AJ18" i="35"/>
  <c r="AI18" i="35"/>
  <c r="AH18" i="35"/>
  <c r="AG18" i="35"/>
  <c r="AC31" i="35"/>
  <c r="AD37" i="35"/>
  <c r="AH53" i="35"/>
  <c r="AH50" i="35"/>
  <c r="AH44" i="35"/>
  <c r="AH32" i="35"/>
  <c r="AH52" i="35"/>
  <c r="AC8" i="35"/>
  <c r="AC10" i="35"/>
  <c r="AE12" i="35"/>
  <c r="AH14" i="35"/>
  <c r="AD15" i="35"/>
  <c r="AC15" i="35"/>
  <c r="AI17" i="35"/>
  <c r="AC18" i="35"/>
  <c r="AD31" i="35"/>
  <c r="AH33" i="35"/>
  <c r="AC7" i="35"/>
  <c r="AD8" i="35"/>
  <c r="AD10" i="35"/>
  <c r="AF12" i="35"/>
  <c r="AE15" i="35"/>
  <c r="AJ17" i="35"/>
  <c r="AD18" i="35"/>
  <c r="AJ19" i="35"/>
  <c r="AI19" i="35"/>
  <c r="AH21" i="35"/>
  <c r="AF22" i="35"/>
  <c r="AE22" i="35"/>
  <c r="AD22" i="35"/>
  <c r="AC22" i="35"/>
  <c r="AE31" i="35"/>
  <c r="AH40" i="35"/>
  <c r="AC6" i="35"/>
  <c r="AD7" i="35"/>
  <c r="AE8" i="35"/>
  <c r="AF10" i="35"/>
  <c r="AH12" i="35"/>
  <c r="AF15" i="35"/>
  <c r="AE18" i="35"/>
  <c r="AH23" i="35"/>
  <c r="AG23" i="35"/>
  <c r="AF23" i="35"/>
  <c r="AE23" i="35"/>
  <c r="AD23" i="35"/>
  <c r="AJ24" i="35"/>
  <c r="AI24" i="35"/>
  <c r="AH24" i="35"/>
  <c r="AG24" i="35"/>
  <c r="AF24" i="35"/>
  <c r="AJ25" i="35"/>
  <c r="AI25" i="35"/>
  <c r="AH25" i="35"/>
  <c r="AG25" i="35"/>
  <c r="AJ30" i="35"/>
  <c r="AI30" i="35"/>
  <c r="AH30" i="35"/>
  <c r="AG30" i="35"/>
  <c r="AF30" i="35"/>
  <c r="AE30" i="35"/>
  <c r="AD30" i="35"/>
  <c r="AI10" i="35"/>
  <c r="AD13" i="35"/>
  <c r="AG15" i="35"/>
  <c r="AF18" i="35"/>
  <c r="AD19" i="35"/>
  <c r="AH22" i="35"/>
  <c r="AC23" i="35"/>
  <c r="AC24" i="35"/>
  <c r="AC25" i="35"/>
  <c r="AC30" i="35"/>
  <c r="AJ36" i="35"/>
  <c r="AI36" i="35"/>
  <c r="AH36" i="35"/>
  <c r="AG36" i="35"/>
  <c r="AF36" i="35"/>
  <c r="AE36" i="35"/>
  <c r="AD36" i="35"/>
  <c r="AC36" i="35"/>
  <c r="AC49" i="35"/>
  <c r="AD49" i="35"/>
  <c r="AC42" i="35"/>
  <c r="AC48" i="35"/>
  <c r="AE49" i="35"/>
  <c r="AC54" i="35"/>
  <c r="AD42" i="35"/>
  <c r="AD48" i="35"/>
  <c r="AF49" i="35"/>
  <c r="AD54" i="35"/>
  <c r="AC29" i="35"/>
  <c r="AC35" i="35"/>
  <c r="AC41" i="35"/>
  <c r="AE42" i="35"/>
  <c r="AC47" i="35"/>
  <c r="AE48" i="35"/>
  <c r="AG49" i="35"/>
  <c r="AC53" i="35"/>
  <c r="AE54" i="35"/>
  <c r="AD29" i="35"/>
  <c r="AD35" i="35"/>
  <c r="AD41" i="35"/>
  <c r="AF42" i="35"/>
  <c r="AD47" i="35"/>
  <c r="AF48" i="35"/>
  <c r="AH49" i="35"/>
  <c r="AD53" i="35"/>
  <c r="AF54" i="35"/>
  <c r="AC28" i="35"/>
  <c r="AE29" i="35"/>
  <c r="AC34" i="35"/>
  <c r="AE35" i="35"/>
  <c r="AC40" i="35"/>
  <c r="AE41" i="35"/>
  <c r="AG42" i="35"/>
  <c r="AC46" i="35"/>
  <c r="AE47" i="35"/>
  <c r="AG48" i="35"/>
  <c r="AI49" i="35"/>
  <c r="AC52" i="35"/>
  <c r="AE53" i="35"/>
  <c r="AG54" i="35"/>
  <c r="AD28" i="35"/>
  <c r="AF29" i="35"/>
  <c r="AD34" i="35"/>
  <c r="AF35" i="35"/>
  <c r="AD40" i="35"/>
  <c r="AF41" i="35"/>
  <c r="AH42" i="35"/>
  <c r="AD46" i="35"/>
  <c r="AF47" i="35"/>
  <c r="AH48" i="35"/>
  <c r="AD52" i="35"/>
  <c r="AF53" i="35"/>
  <c r="AH54" i="35"/>
  <c r="AC21" i="35"/>
  <c r="AC27" i="35"/>
  <c r="AE28" i="35"/>
  <c r="AG29" i="35"/>
  <c r="AC33" i="35"/>
  <c r="AE34" i="35"/>
  <c r="AG35" i="35"/>
  <c r="AC39" i="35"/>
  <c r="AE40" i="35"/>
  <c r="AG41" i="35"/>
  <c r="AI42" i="35"/>
  <c r="AC45" i="35"/>
  <c r="AE46" i="35"/>
  <c r="AG47" i="35"/>
  <c r="AI48" i="35"/>
  <c r="AC51" i="35"/>
  <c r="AE52" i="35"/>
  <c r="AG53" i="35"/>
  <c r="AI54" i="35"/>
  <c r="AF53" i="33"/>
  <c r="AG50" i="33"/>
  <c r="AG48" i="33"/>
  <c r="AG38" i="33"/>
  <c r="AG36" i="33"/>
  <c r="AD29" i="33"/>
  <c r="AF21" i="33"/>
  <c r="AF18" i="33"/>
  <c r="AH10" i="33"/>
  <c r="AC9" i="33"/>
  <c r="AJ25" i="33"/>
  <c r="AE18" i="33"/>
  <c r="AI25" i="33"/>
  <c r="AF10" i="33"/>
  <c r="AG8" i="33"/>
  <c r="AH25" i="33"/>
  <c r="AJ17" i="33"/>
  <c r="AJ14" i="33"/>
  <c r="AJ49" i="33"/>
  <c r="AJ37" i="33"/>
  <c r="AG25" i="33"/>
  <c r="AI17" i="33"/>
  <c r="AI14" i="33"/>
  <c r="AG54" i="33"/>
  <c r="AJ34" i="33"/>
  <c r="AC5" i="33"/>
  <c r="AF54" i="33"/>
  <c r="AI49" i="33"/>
  <c r="AJ46" i="33"/>
  <c r="AE45" i="33"/>
  <c r="AF42" i="33"/>
  <c r="AI37" i="33"/>
  <c r="AI34" i="33"/>
  <c r="AF25" i="33"/>
  <c r="AF22" i="33"/>
  <c r="AH17" i="33"/>
  <c r="AH14" i="33"/>
  <c r="AJ9" i="33"/>
  <c r="AJ5" i="33"/>
  <c r="AE54" i="33"/>
  <c r="AH49" i="33"/>
  <c r="AI46" i="33"/>
  <c r="AE42" i="33"/>
  <c r="AH37" i="33"/>
  <c r="AH34" i="33"/>
  <c r="AJ29" i="33"/>
  <c r="AJ26" i="33"/>
  <c r="AE25" i="33"/>
  <c r="AE22" i="33"/>
  <c r="AD19" i="33"/>
  <c r="AG17" i="33"/>
  <c r="AG14" i="33"/>
  <c r="AG12" i="33"/>
  <c r="AI9" i="33"/>
  <c r="AJ6" i="33"/>
  <c r="AD51" i="33"/>
  <c r="AG49" i="33"/>
  <c r="AH46" i="33"/>
  <c r="AD39" i="33"/>
  <c r="AG37" i="33"/>
  <c r="AG34" i="33"/>
  <c r="AG32" i="33"/>
  <c r="AI29" i="33"/>
  <c r="AI26" i="33"/>
  <c r="AF17" i="33"/>
  <c r="AF14" i="33"/>
  <c r="AI6" i="33"/>
  <c r="AD41" i="34"/>
  <c r="AI41" i="34"/>
  <c r="AJ41" i="34"/>
  <c r="AC29" i="34"/>
  <c r="AH35" i="34"/>
  <c r="AC9" i="34"/>
  <c r="AD29" i="34"/>
  <c r="AJ35" i="34"/>
  <c r="AE51" i="34"/>
  <c r="AI29" i="34"/>
  <c r="AF51" i="34"/>
  <c r="AG51" i="34"/>
  <c r="AG9" i="34"/>
  <c r="AE44" i="34"/>
  <c r="AH51" i="34"/>
  <c r="AJ38" i="34"/>
  <c r="AI51" i="34"/>
  <c r="AE27" i="34"/>
  <c r="AG27" i="34"/>
  <c r="AH53" i="34"/>
  <c r="AI27" i="34"/>
  <c r="AE33" i="34"/>
  <c r="AI40" i="34"/>
  <c r="AJ47" i="34"/>
  <c r="AF39" i="34"/>
  <c r="AH23" i="34"/>
  <c r="AJ27" i="34"/>
  <c r="AG33" i="34"/>
  <c r="AC24" i="34"/>
  <c r="AG45" i="34"/>
  <c r="AC37" i="34"/>
  <c r="AG39" i="34"/>
  <c r="AI45" i="34"/>
  <c r="AD12" i="34"/>
  <c r="AI21" i="34"/>
  <c r="AG34" i="34"/>
  <c r="AD37" i="34"/>
  <c r="AH39" i="34"/>
  <c r="AC50" i="34"/>
  <c r="AH45" i="34"/>
  <c r="AC12" i="34"/>
  <c r="AI8" i="34"/>
  <c r="AD10" i="34"/>
  <c r="AG12" i="34"/>
  <c r="AE15" i="34"/>
  <c r="AJ21" i="34"/>
  <c r="AC26" i="34"/>
  <c r="AG28" i="34"/>
  <c r="AC32" i="34"/>
  <c r="AH34" i="34"/>
  <c r="AI39" i="34"/>
  <c r="AG46" i="34"/>
  <c r="AD50" i="34"/>
  <c r="AG52" i="34"/>
  <c r="AE45" i="34"/>
  <c r="AE21" i="34"/>
  <c r="AJ8" i="34"/>
  <c r="AE10" i="34"/>
  <c r="AI12" i="34"/>
  <c r="AF15" i="34"/>
  <c r="AD26" i="34"/>
  <c r="AH28" i="34"/>
  <c r="AD32" i="34"/>
  <c r="AI34" i="34"/>
  <c r="AC44" i="34"/>
  <c r="AI46" i="34"/>
  <c r="AE50" i="34"/>
  <c r="AI52" i="34"/>
  <c r="AG21" i="34"/>
  <c r="AH6" i="34"/>
  <c r="AG10" i="34"/>
  <c r="AG15" i="34"/>
  <c r="AC20" i="34"/>
  <c r="AE26" i="34"/>
  <c r="AI28" i="34"/>
  <c r="AE32" i="34"/>
  <c r="AJ34" i="34"/>
  <c r="AC38" i="34"/>
  <c r="AG40" i="34"/>
  <c r="AD44" i="34"/>
  <c r="AG50" i="34"/>
  <c r="AH15" i="34"/>
  <c r="AD20" i="34"/>
  <c r="AG26" i="34"/>
  <c r="AG32" i="34"/>
  <c r="AD38" i="34"/>
  <c r="AI50" i="34"/>
  <c r="AH46" i="34"/>
  <c r="AI15" i="34"/>
  <c r="AE20" i="34"/>
  <c r="AI26" i="34"/>
  <c r="AI32" i="34"/>
  <c r="AC35" i="34"/>
  <c r="AE38" i="34"/>
  <c r="AG44" i="34"/>
  <c r="AC47" i="34"/>
  <c r="AI53" i="34"/>
  <c r="AJ15" i="34"/>
  <c r="AD35" i="34"/>
  <c r="AG38" i="34"/>
  <c r="AI44" i="34"/>
  <c r="AD47" i="34"/>
  <c r="AJ53" i="34"/>
  <c r="AE39" i="34"/>
  <c r="AI35" i="34"/>
  <c r="AE7" i="34"/>
  <c r="AD7" i="34"/>
  <c r="AC7" i="34"/>
  <c r="AF7" i="34"/>
  <c r="AJ7" i="34"/>
  <c r="AI7" i="34"/>
  <c r="AH7" i="34"/>
  <c r="AG7" i="34"/>
  <c r="AF28" i="34"/>
  <c r="AJ43" i="34"/>
  <c r="AI43" i="34"/>
  <c r="AH43" i="34"/>
  <c r="AG43" i="34"/>
  <c r="AF43" i="34"/>
  <c r="AE43" i="34"/>
  <c r="AJ30" i="34"/>
  <c r="AI30" i="34"/>
  <c r="AH30" i="34"/>
  <c r="AG30" i="34"/>
  <c r="AF30" i="34"/>
  <c r="AE30" i="34"/>
  <c r="AD30" i="34"/>
  <c r="AC30" i="34"/>
  <c r="AC43" i="34"/>
  <c r="AJ31" i="34"/>
  <c r="AI31" i="34"/>
  <c r="AH31" i="34"/>
  <c r="AG31" i="34"/>
  <c r="AF31" i="34"/>
  <c r="AE31" i="34"/>
  <c r="AD31" i="34"/>
  <c r="AC31" i="34"/>
  <c r="AD43" i="34"/>
  <c r="AJ19" i="34"/>
  <c r="AI19" i="34"/>
  <c r="AH19" i="34"/>
  <c r="AG19" i="34"/>
  <c r="AF19" i="34"/>
  <c r="AC19" i="34"/>
  <c r="AE19" i="34"/>
  <c r="AD19" i="34"/>
  <c r="AF22" i="34"/>
  <c r="AE22" i="34"/>
  <c r="AD22" i="34"/>
  <c r="AC22" i="34"/>
  <c r="AJ22" i="34"/>
  <c r="AG22" i="34"/>
  <c r="AI22" i="34"/>
  <c r="AH22" i="34"/>
  <c r="AF20" i="34"/>
  <c r="AF32" i="34"/>
  <c r="AF14" i="34"/>
  <c r="AF10" i="34"/>
  <c r="AF26" i="34"/>
  <c r="AF50" i="34"/>
  <c r="AI13" i="34"/>
  <c r="AE13" i="34"/>
  <c r="AD13" i="34"/>
  <c r="AC13" i="34"/>
  <c r="AH13" i="34"/>
  <c r="AJ13" i="34"/>
  <c r="AF38" i="34"/>
  <c r="AF33" i="34"/>
  <c r="AF21" i="34"/>
  <c r="AF13" i="34"/>
  <c r="AF12" i="34"/>
  <c r="AG13" i="34"/>
  <c r="AF44" i="34"/>
  <c r="AE5" i="34"/>
  <c r="AD5" i="34"/>
  <c r="AC5" i="34"/>
  <c r="AJ5" i="34"/>
  <c r="AI5" i="34"/>
  <c r="AH5" i="34"/>
  <c r="AF5" i="34"/>
  <c r="AG5" i="34"/>
  <c r="AF27" i="34"/>
  <c r="AH38" i="34"/>
  <c r="AH33" i="34"/>
  <c r="AH17" i="34"/>
  <c r="AG17" i="34"/>
  <c r="AF17" i="34"/>
  <c r="AE17" i="34"/>
  <c r="AC18" i="34"/>
  <c r="AJ25" i="34"/>
  <c r="AI25" i="34"/>
  <c r="AG25" i="34"/>
  <c r="AF25" i="34"/>
  <c r="AH27" i="34"/>
  <c r="AJ49" i="34"/>
  <c r="AI49" i="34"/>
  <c r="AH49" i="34"/>
  <c r="AG49" i="34"/>
  <c r="AF49" i="34"/>
  <c r="AC17" i="34"/>
  <c r="AD18" i="34"/>
  <c r="AC25" i="34"/>
  <c r="AC49" i="34"/>
  <c r="AF52" i="34"/>
  <c r="AD17" i="34"/>
  <c r="AE18" i="34"/>
  <c r="AH21" i="34"/>
  <c r="AD25" i="34"/>
  <c r="AH29" i="34"/>
  <c r="AJ42" i="34"/>
  <c r="AI42" i="34"/>
  <c r="AH42" i="34"/>
  <c r="AG42" i="34"/>
  <c r="AF42" i="34"/>
  <c r="AE42" i="34"/>
  <c r="AD42" i="34"/>
  <c r="AF45" i="34"/>
  <c r="AD49" i="34"/>
  <c r="AH50" i="34"/>
  <c r="AH44" i="34"/>
  <c r="AH32" i="34"/>
  <c r="AH26" i="34"/>
  <c r="AH20" i="34"/>
  <c r="AH40" i="34"/>
  <c r="AJ11" i="34"/>
  <c r="AI11" i="34"/>
  <c r="AF11" i="34"/>
  <c r="AE11" i="34"/>
  <c r="AD11" i="34"/>
  <c r="AH16" i="34"/>
  <c r="AI17" i="34"/>
  <c r="AE25" i="34"/>
  <c r="AJ36" i="34"/>
  <c r="AI36" i="34"/>
  <c r="AH36" i="34"/>
  <c r="AG36" i="34"/>
  <c r="AF36" i="34"/>
  <c r="AE36" i="34"/>
  <c r="AD36" i="34"/>
  <c r="AH41" i="34"/>
  <c r="AC42" i="34"/>
  <c r="AE49" i="34"/>
  <c r="AH52" i="34"/>
  <c r="AE6" i="34"/>
  <c r="AD6" i="34"/>
  <c r="AC6" i="34"/>
  <c r="AH8" i="34"/>
  <c r="AE8" i="34"/>
  <c r="AD8" i="34"/>
  <c r="AC8" i="34"/>
  <c r="AH10" i="34"/>
  <c r="AC11" i="34"/>
  <c r="AJ12" i="34"/>
  <c r="AH12" i="34"/>
  <c r="AJ17" i="34"/>
  <c r="AH25" i="34"/>
  <c r="AC36" i="34"/>
  <c r="AJ18" i="34"/>
  <c r="AI18" i="34"/>
  <c r="AH18" i="34"/>
  <c r="AG18" i="34"/>
  <c r="AF6" i="34"/>
  <c r="AF8" i="34"/>
  <c r="AJ9" i="34"/>
  <c r="AI9" i="34"/>
  <c r="AH9" i="34"/>
  <c r="AG11" i="34"/>
  <c r="AJ24" i="34"/>
  <c r="AI24" i="34"/>
  <c r="AH24" i="34"/>
  <c r="AG24" i="34"/>
  <c r="AE24" i="34"/>
  <c r="AD24" i="34"/>
  <c r="AF40" i="34"/>
  <c r="AJ48" i="34"/>
  <c r="AI48" i="34"/>
  <c r="AH48" i="34"/>
  <c r="AG48" i="34"/>
  <c r="AF48" i="34"/>
  <c r="AE48" i="34"/>
  <c r="AD48" i="34"/>
  <c r="AH47" i="34"/>
  <c r="AC48" i="34"/>
  <c r="AJ54" i="34"/>
  <c r="AI54" i="34"/>
  <c r="AH54" i="34"/>
  <c r="AG54" i="34"/>
  <c r="AF54" i="34"/>
  <c r="AE54" i="34"/>
  <c r="AD54" i="34"/>
  <c r="AJ10" i="34"/>
  <c r="AI10" i="34"/>
  <c r="AF16" i="34"/>
  <c r="AE16" i="34"/>
  <c r="AD16" i="34"/>
  <c r="AC16" i="34"/>
  <c r="AJ37" i="34"/>
  <c r="AI37" i="34"/>
  <c r="AH37" i="34"/>
  <c r="AG37" i="34"/>
  <c r="AF37" i="34"/>
  <c r="AF46" i="34"/>
  <c r="AC54" i="34"/>
  <c r="AJ33" i="34"/>
  <c r="AJ39" i="34"/>
  <c r="AJ45" i="34"/>
  <c r="AJ51" i="34"/>
  <c r="AC53" i="34"/>
  <c r="AD53" i="34"/>
  <c r="AE23" i="34"/>
  <c r="AC28" i="34"/>
  <c r="AE29" i="34"/>
  <c r="AC34" i="34"/>
  <c r="AE35" i="34"/>
  <c r="AC40" i="34"/>
  <c r="AE41" i="34"/>
  <c r="AC46" i="34"/>
  <c r="AE47" i="34"/>
  <c r="AC52" i="34"/>
  <c r="AE53" i="34"/>
  <c r="AF23" i="34"/>
  <c r="AD28" i="34"/>
  <c r="AF29" i="34"/>
  <c r="AD34" i="34"/>
  <c r="AF35" i="34"/>
  <c r="AD40" i="34"/>
  <c r="AF41" i="34"/>
  <c r="AD46" i="34"/>
  <c r="AF47" i="34"/>
  <c r="AD52" i="34"/>
  <c r="AF53" i="34"/>
  <c r="AC15" i="34"/>
  <c r="AC21" i="34"/>
  <c r="AG23" i="34"/>
  <c r="AC27" i="34"/>
  <c r="AE28" i="34"/>
  <c r="AG29" i="34"/>
  <c r="AC33" i="34"/>
  <c r="AE34" i="34"/>
  <c r="AG35" i="34"/>
  <c r="AC39" i="34"/>
  <c r="AE40" i="34"/>
  <c r="AG41" i="34"/>
  <c r="AC45" i="34"/>
  <c r="AE46" i="34"/>
  <c r="AG47" i="34"/>
  <c r="AC51" i="34"/>
  <c r="AE52" i="34"/>
  <c r="AG53" i="34"/>
  <c r="AF52" i="33"/>
  <c r="AC51" i="33"/>
  <c r="AF48" i="33"/>
  <c r="AC47" i="33"/>
  <c r="AF44" i="33"/>
  <c r="AC43" i="33"/>
  <c r="AF40" i="33"/>
  <c r="AC39" i="33"/>
  <c r="AF36" i="33"/>
  <c r="AC35" i="33"/>
  <c r="AF32" i="33"/>
  <c r="AC31" i="33"/>
  <c r="AF28" i="33"/>
  <c r="AC27" i="33"/>
  <c r="AF24" i="33"/>
  <c r="AC23" i="33"/>
  <c r="AF20" i="33"/>
  <c r="AC19" i="33"/>
  <c r="AF16" i="33"/>
  <c r="AC15" i="33"/>
  <c r="AF12" i="33"/>
  <c r="AC11" i="33"/>
  <c r="AF8" i="33"/>
  <c r="AC7" i="33"/>
  <c r="AE36" i="33"/>
  <c r="AE32" i="33"/>
  <c r="AE28" i="33"/>
  <c r="AE24" i="33"/>
  <c r="AE20" i="33"/>
  <c r="AE16" i="33"/>
  <c r="AE12" i="33"/>
  <c r="AE8" i="33"/>
  <c r="AD52" i="33"/>
  <c r="AD48" i="33"/>
  <c r="AD44" i="33"/>
  <c r="AD40" i="33"/>
  <c r="AD36" i="33"/>
  <c r="AD32" i="33"/>
  <c r="AD28" i="33"/>
  <c r="AD24" i="33"/>
  <c r="AD20" i="33"/>
  <c r="AD16" i="33"/>
  <c r="AD12" i="33"/>
  <c r="AD8" i="33"/>
  <c r="AC52" i="33"/>
  <c r="AC48" i="33"/>
  <c r="AC44" i="33"/>
  <c r="AC40" i="33"/>
  <c r="AC36" i="33"/>
  <c r="AC32" i="33"/>
  <c r="AC28" i="33"/>
  <c r="AC24" i="33"/>
  <c r="AC20" i="33"/>
  <c r="AC16" i="33"/>
  <c r="AC12" i="33"/>
  <c r="AC8" i="33"/>
  <c r="AJ51" i="33"/>
  <c r="AJ47" i="33"/>
  <c r="AJ35" i="33"/>
  <c r="AJ31" i="33"/>
  <c r="AJ27" i="33"/>
  <c r="AJ23" i="33"/>
  <c r="AJ19" i="33"/>
  <c r="AJ15" i="33"/>
  <c r="AJ11" i="33"/>
  <c r="AJ7" i="33"/>
  <c r="AI51" i="33"/>
  <c r="AI47" i="33"/>
  <c r="AC45" i="33"/>
  <c r="AI43" i="33"/>
  <c r="AC41" i="33"/>
  <c r="AI39" i="33"/>
  <c r="AI35" i="33"/>
  <c r="AI31" i="33"/>
  <c r="AI27" i="33"/>
  <c r="AC25" i="33"/>
  <c r="AI23" i="33"/>
  <c r="AC21" i="33"/>
  <c r="AI19" i="33"/>
  <c r="AI15" i="33"/>
  <c r="AI11" i="33"/>
  <c r="AI7" i="33"/>
  <c r="AJ43" i="33"/>
  <c r="AH47" i="33"/>
  <c r="AH39" i="33"/>
  <c r="AH27" i="33"/>
  <c r="AH23" i="33"/>
  <c r="AH19" i="33"/>
  <c r="AH15" i="33"/>
  <c r="AH11" i="33"/>
  <c r="AH7" i="33"/>
  <c r="AE6" i="33"/>
  <c r="AJ39" i="33"/>
  <c r="AH35" i="33"/>
  <c r="AH31" i="33"/>
  <c r="AD54" i="33"/>
  <c r="AJ52" i="33"/>
  <c r="AG51" i="33"/>
  <c r="AD50" i="33"/>
  <c r="AJ48" i="33"/>
  <c r="AG47" i="33"/>
  <c r="AD46" i="33"/>
  <c r="AJ44" i="33"/>
  <c r="AG43" i="33"/>
  <c r="AD42" i="33"/>
  <c r="AJ40" i="33"/>
  <c r="AG39" i="33"/>
  <c r="AD38" i="33"/>
  <c r="AJ36" i="33"/>
  <c r="AG35" i="33"/>
  <c r="AD34" i="33"/>
  <c r="AJ32" i="33"/>
  <c r="AG31" i="33"/>
  <c r="AD30" i="33"/>
  <c r="AJ28" i="33"/>
  <c r="AG27" i="33"/>
  <c r="AD26" i="33"/>
  <c r="AJ24" i="33"/>
  <c r="AG23" i="33"/>
  <c r="AD22" i="33"/>
  <c r="AJ20" i="33"/>
  <c r="AG19" i="33"/>
  <c r="AD18" i="33"/>
  <c r="AJ16" i="33"/>
  <c r="AG15" i="33"/>
  <c r="AD14" i="33"/>
  <c r="AJ12" i="33"/>
  <c r="AG11" i="33"/>
  <c r="AD10" i="33"/>
  <c r="AJ8" i="33"/>
  <c r="AG7" i="33"/>
  <c r="AD6" i="33"/>
  <c r="AH51" i="33"/>
  <c r="AH43" i="33"/>
  <c r="AI52" i="33"/>
  <c r="AF51" i="33"/>
  <c r="AI48" i="33"/>
  <c r="AF47" i="33"/>
  <c r="AI44" i="33"/>
  <c r="AF43" i="33"/>
  <c r="AI40" i="33"/>
  <c r="AF39" i="33"/>
  <c r="AI36" i="33"/>
  <c r="AF35" i="33"/>
  <c r="AI32" i="33"/>
  <c r="AF31" i="33"/>
  <c r="AI28" i="33"/>
  <c r="AF27" i="33"/>
  <c r="AI24" i="33"/>
  <c r="AF23" i="33"/>
  <c r="AI20" i="33"/>
  <c r="AF19" i="33"/>
  <c r="AI16" i="33"/>
  <c r="AF15" i="33"/>
  <c r="AI12" i="33"/>
  <c r="AF11" i="33"/>
  <c r="AI8" i="33"/>
  <c r="AF7" i="33"/>
  <c r="J73" i="12" l="1" a="1"/>
  <c r="J73" i="12" s="1"/>
  <c r="G16" i="12"/>
  <c r="H16" i="12" s="1" a="1"/>
  <c r="H16" i="12" s="1"/>
  <c r="J16" i="12" a="1"/>
  <c r="J16" i="12" s="1"/>
  <c r="I84" i="12"/>
  <c r="J84" i="12" s="1" a="1"/>
  <c r="J84" i="12" s="1"/>
  <c r="I63" i="12"/>
  <c r="J63" i="12" s="1" a="1"/>
  <c r="J63" i="12" s="1"/>
  <c r="I13" i="12"/>
  <c r="J13" i="12" s="1" a="1"/>
  <c r="J13" i="12" s="1"/>
  <c r="I32" i="12"/>
  <c r="J32" i="12" s="1" a="1"/>
  <c r="J32" i="12" s="1"/>
  <c r="G40" i="12"/>
  <c r="H40" i="12" s="1" a="1"/>
  <c r="H40" i="12" s="1"/>
  <c r="I73" i="12"/>
  <c r="G47" i="12"/>
  <c r="H47" i="12" s="1" a="1"/>
  <c r="H47" i="12" s="1"/>
  <c r="I47" i="12"/>
  <c r="J47" i="12" s="1" a="1"/>
  <c r="J47" i="12" s="1"/>
  <c r="I30" i="12"/>
  <c r="J30" i="12" s="1" a="1"/>
  <c r="J30" i="12" s="1"/>
  <c r="I51" i="12"/>
  <c r="J51" i="12" s="1" a="1"/>
  <c r="J51" i="12" s="1"/>
  <c r="G65" i="12"/>
  <c r="H65" i="12" s="1" a="1"/>
  <c r="H65" i="12" s="1"/>
  <c r="I65" i="12"/>
  <c r="J65" i="12" s="1" a="1"/>
  <c r="J65" i="12" s="1"/>
  <c r="I40" i="12"/>
  <c r="J40" i="12" s="1" a="1"/>
  <c r="J40" i="12" s="1"/>
  <c r="I14" i="12"/>
  <c r="J14" i="12" s="1" a="1"/>
  <c r="J14" i="12" s="1"/>
  <c r="G77" i="12"/>
  <c r="H77" i="12" s="1" a="1"/>
  <c r="H77" i="12" s="1"/>
  <c r="I77" i="12"/>
  <c r="J77" i="12" s="1" a="1"/>
  <c r="J77" i="12" s="1"/>
  <c r="I19" i="12"/>
  <c r="J19" i="12" s="1" a="1"/>
  <c r="J19" i="12" s="1"/>
  <c r="I26" i="12"/>
  <c r="J26" i="12" s="1" a="1"/>
  <c r="J26" i="12" s="1"/>
  <c r="I36" i="12"/>
  <c r="J36" i="12" s="1" a="1"/>
  <c r="J36" i="12" s="1"/>
  <c r="G24" i="12"/>
  <c r="H24" i="12" s="1" a="1"/>
  <c r="H24" i="12" s="1"/>
  <c r="J24" i="12" a="1"/>
  <c r="J24" i="12" s="1"/>
  <c r="G89" i="12"/>
  <c r="H89" i="12" s="1" a="1"/>
  <c r="H89" i="12" s="1"/>
  <c r="I89" i="12"/>
  <c r="J89" i="12" s="1" a="1"/>
  <c r="J89" i="12" s="1"/>
  <c r="I67" i="12"/>
  <c r="J67" i="12" s="1" a="1"/>
  <c r="J67" i="12" s="1"/>
  <c r="I74" i="12"/>
  <c r="J74" i="12" s="1" a="1"/>
  <c r="J74" i="12" s="1"/>
  <c r="H74" i="12" a="1"/>
  <c r="H74" i="12" s="1"/>
  <c r="H18" i="12" a="1"/>
  <c r="H18" i="12" s="1"/>
  <c r="H11" i="12" a="1"/>
  <c r="H11" i="12" s="1"/>
  <c r="H22" i="12" a="1"/>
  <c r="H22" i="12" s="1"/>
  <c r="H84" i="12" a="1"/>
  <c r="H84" i="12" s="1"/>
  <c r="H10" i="12" a="1"/>
  <c r="H10" i="12" s="1"/>
  <c r="H71" i="12" a="1"/>
  <c r="H71" i="12" s="1"/>
  <c r="H66" i="12" a="1"/>
  <c r="H66" i="12" s="1"/>
  <c r="H82" i="12" a="1"/>
  <c r="H82" i="12" s="1"/>
  <c r="H29" i="12" a="1"/>
  <c r="H29" i="12" s="1"/>
  <c r="H38" i="12" a="1"/>
  <c r="H38" i="12" s="1"/>
  <c r="H81" i="12" a="1"/>
  <c r="H81" i="12" s="1"/>
  <c r="H76" i="12" a="1"/>
  <c r="H76" i="12" s="1"/>
  <c r="H51" i="12" a="1"/>
  <c r="H51" i="12" s="1"/>
  <c r="H28" i="12" a="1"/>
  <c r="H28" i="12" s="1"/>
  <c r="H32" i="12" a="1"/>
  <c r="H32" i="12" s="1"/>
  <c r="H49" i="12" a="1"/>
  <c r="H49" i="12" s="1"/>
  <c r="H9" i="12" a="1"/>
  <c r="H9" i="12" s="1"/>
  <c r="H48" i="12" a="1"/>
  <c r="H48" i="12" s="1"/>
  <c r="H87" i="12" a="1"/>
  <c r="H87" i="12" s="1"/>
  <c r="H43" i="12" a="1"/>
  <c r="H43" i="12" s="1"/>
  <c r="H67" i="12" a="1"/>
  <c r="H67" i="12" s="1"/>
  <c r="H39" i="12" a="1"/>
  <c r="H39" i="12" s="1"/>
  <c r="H21" i="12" a="1"/>
  <c r="H21" i="12" s="1"/>
  <c r="H70" i="12" a="1"/>
  <c r="H70" i="12" s="1"/>
  <c r="H12" i="12" a="1"/>
  <c r="H12" i="12" s="1"/>
  <c r="H44" i="12" a="1"/>
  <c r="H44" i="12" s="1"/>
  <c r="H50" i="12" a="1"/>
  <c r="H50" i="12" s="1"/>
  <c r="H59" i="12" a="1"/>
  <c r="H59" i="12" s="1"/>
  <c r="H80" i="12" a="1"/>
  <c r="H80" i="12" s="1"/>
  <c r="H30" i="12" a="1"/>
  <c r="H30" i="12" s="1"/>
  <c r="H54" i="12" a="1"/>
  <c r="H54" i="12" s="1"/>
  <c r="H36" i="12" a="1"/>
  <c r="H36" i="12" s="1"/>
  <c r="H91" i="12" a="1"/>
  <c r="H91" i="12" s="1"/>
  <c r="H60" i="12" a="1"/>
  <c r="H60" i="12" s="1"/>
  <c r="H69" i="12" a="1"/>
  <c r="H69" i="12" s="1"/>
  <c r="H86" i="12" a="1"/>
  <c r="H86" i="12" s="1"/>
  <c r="H63" i="12" a="1"/>
  <c r="H63" i="12" s="1"/>
  <c r="H33" i="12" a="1"/>
  <c r="H33" i="12" s="1"/>
  <c r="H58" i="12" a="1"/>
  <c r="H58" i="12" s="1"/>
  <c r="H14" i="12" a="1"/>
  <c r="H14" i="12" s="1"/>
  <c r="H20" i="12" a="1"/>
  <c r="H20" i="12" s="1"/>
  <c r="H45" i="12" a="1"/>
  <c r="H45" i="12" s="1"/>
  <c r="H23" i="12" a="1"/>
  <c r="H23" i="12" s="1"/>
  <c r="H73" i="12" a="1"/>
  <c r="H73" i="12" s="1"/>
  <c r="H57" i="12" a="1"/>
  <c r="H57" i="12" s="1"/>
  <c r="H13" i="12" a="1"/>
  <c r="H13" i="12" s="1"/>
  <c r="H26" i="12" a="1"/>
  <c r="H26" i="12" s="1"/>
  <c r="H19" i="12" a="1"/>
  <c r="H19" i="12" s="1"/>
  <c r="L43" i="47"/>
  <c r="L31" i="47"/>
  <c r="L19" i="47"/>
  <c r="L7" i="47"/>
  <c r="L39" i="47"/>
  <c r="L50" i="47"/>
  <c r="L38" i="47"/>
  <c r="L26" i="47"/>
  <c r="L14" i="47"/>
  <c r="L45" i="47"/>
  <c r="L33" i="47"/>
  <c r="L21" i="47"/>
  <c r="L9" i="47"/>
  <c r="L52" i="47"/>
  <c r="L40" i="47"/>
  <c r="L28" i="47"/>
  <c r="L16" i="47"/>
  <c r="L47" i="47"/>
  <c r="L35" i="47"/>
  <c r="L23" i="47"/>
  <c r="L11" i="47"/>
  <c r="L54" i="47"/>
  <c r="L42" i="47"/>
  <c r="L30" i="47"/>
  <c r="L18" i="47"/>
  <c r="L6" i="47"/>
  <c r="L49" i="47"/>
  <c r="L37" i="47"/>
  <c r="L25" i="47"/>
  <c r="L13" i="47"/>
  <c r="L15" i="47"/>
  <c r="L44" i="47"/>
  <c r="L32" i="47"/>
  <c r="L20" i="47"/>
  <c r="L8" i="47"/>
  <c r="L51" i="47"/>
  <c r="L27" i="47"/>
  <c r="L48" i="47"/>
  <c r="L34" i="47"/>
  <c r="L12" i="47"/>
  <c r="L41" i="47"/>
  <c r="L36" i="47"/>
  <c r="L22" i="47"/>
  <c r="L29" i="47"/>
  <c r="L5" i="47"/>
  <c r="L17" i="47"/>
  <c r="L53" i="47"/>
  <c r="L46" i="47"/>
  <c r="L24" i="47"/>
  <c r="L10" i="47"/>
  <c r="L43" i="46"/>
  <c r="L31" i="46"/>
  <c r="L19" i="46"/>
  <c r="L7" i="46"/>
  <c r="L50" i="46"/>
  <c r="L38" i="46"/>
  <c r="L26" i="46"/>
  <c r="L14" i="46"/>
  <c r="L45" i="46"/>
  <c r="L33" i="46"/>
  <c r="L21" i="46"/>
  <c r="L9" i="46"/>
  <c r="L52" i="46"/>
  <c r="L40" i="46"/>
  <c r="L28" i="46"/>
  <c r="L16" i="46"/>
  <c r="L47" i="46"/>
  <c r="L35" i="46"/>
  <c r="L23" i="46"/>
  <c r="L11" i="46"/>
  <c r="L54" i="46"/>
  <c r="L42" i="46"/>
  <c r="L30" i="46"/>
  <c r="L18" i="46"/>
  <c r="L6" i="46"/>
  <c r="L49" i="46"/>
  <c r="L37" i="46"/>
  <c r="L25" i="46"/>
  <c r="L13" i="46"/>
  <c r="L44" i="46"/>
  <c r="L32" i="46"/>
  <c r="L20" i="46"/>
  <c r="L8" i="46"/>
  <c r="L27" i="46"/>
  <c r="L15" i="46"/>
  <c r="L51" i="46"/>
  <c r="L39" i="46"/>
  <c r="L29" i="46"/>
  <c r="L24" i="46"/>
  <c r="L46" i="46"/>
  <c r="L48" i="46"/>
  <c r="L34" i="46"/>
  <c r="L10" i="46"/>
  <c r="L41" i="46"/>
  <c r="L53" i="46"/>
  <c r="L22" i="46"/>
  <c r="L36" i="46"/>
  <c r="L12" i="46"/>
  <c r="L5" i="46"/>
  <c r="L17" i="46"/>
  <c r="L15" i="45"/>
  <c r="L24" i="45"/>
  <c r="M24" i="45" s="1"/>
  <c r="L9" i="45"/>
  <c r="M9" i="45" s="1"/>
  <c r="L13" i="45"/>
  <c r="M13" i="45" s="1"/>
  <c r="L6" i="45"/>
  <c r="O6" i="45" s="1" a="1"/>
  <c r="O6" i="45" s="1"/>
  <c r="L5" i="45"/>
  <c r="O22" i="45" a="1"/>
  <c r="O22" i="45" s="1"/>
  <c r="N22" i="45" a="1"/>
  <c r="N22" i="45" s="1"/>
  <c r="M22" i="45"/>
  <c r="O24" i="45" a="1"/>
  <c r="O24" i="45" s="1"/>
  <c r="L26" i="45"/>
  <c r="L19" i="45"/>
  <c r="L17" i="45"/>
  <c r="O15" i="45" a="1"/>
  <c r="O15" i="45" s="1"/>
  <c r="M15" i="45"/>
  <c r="N15" i="45" a="1"/>
  <c r="N15" i="45" s="1"/>
  <c r="L30" i="45"/>
  <c r="L23" i="45"/>
  <c r="L28" i="45"/>
  <c r="L21" i="45"/>
  <c r="L34" i="45"/>
  <c r="L27" i="45"/>
  <c r="L32" i="45"/>
  <c r="L25" i="45"/>
  <c r="L38" i="45"/>
  <c r="L31" i="45"/>
  <c r="L36" i="45"/>
  <c r="L29" i="45"/>
  <c r="L42" i="45"/>
  <c r="L35" i="45"/>
  <c r="L40" i="45"/>
  <c r="L33" i="45"/>
  <c r="L20" i="45"/>
  <c r="L46" i="45"/>
  <c r="L39" i="45"/>
  <c r="L44" i="45"/>
  <c r="L37" i="45"/>
  <c r="L49" i="45"/>
  <c r="L43" i="45"/>
  <c r="L48" i="45"/>
  <c r="L41" i="45"/>
  <c r="M6" i="45"/>
  <c r="N6" i="45" a="1"/>
  <c r="N6" i="45" s="1"/>
  <c r="L51" i="45"/>
  <c r="L47" i="45"/>
  <c r="L50" i="45"/>
  <c r="L45" i="45"/>
  <c r="L10" i="45"/>
  <c r="L53" i="45"/>
  <c r="L8" i="45"/>
  <c r="L52" i="45"/>
  <c r="L14" i="45"/>
  <c r="L7" i="45"/>
  <c r="L12" i="45"/>
  <c r="L54" i="45"/>
  <c r="N5" i="45" a="1"/>
  <c r="N5" i="45" s="1"/>
  <c r="M5" i="45"/>
  <c r="O5" i="45" a="1"/>
  <c r="O5" i="45" s="1"/>
  <c r="L18" i="45"/>
  <c r="L11" i="45"/>
  <c r="L16" i="45"/>
  <c r="K54" i="44"/>
  <c r="K53" i="44"/>
  <c r="K52" i="44"/>
  <c r="K51" i="44"/>
  <c r="K50" i="44"/>
  <c r="K49" i="44"/>
  <c r="K48" i="44"/>
  <c r="K47" i="44"/>
  <c r="K46" i="44"/>
  <c r="K45" i="44"/>
  <c r="K44" i="44"/>
  <c r="K43" i="44"/>
  <c r="K42" i="44"/>
  <c r="K41" i="44"/>
  <c r="K40" i="44"/>
  <c r="K39" i="44"/>
  <c r="K38" i="44"/>
  <c r="K37" i="44"/>
  <c r="K36" i="44"/>
  <c r="K35" i="44"/>
  <c r="K34" i="44"/>
  <c r="K33" i="44"/>
  <c r="K32" i="44"/>
  <c r="K31" i="44"/>
  <c r="K30" i="44"/>
  <c r="K29" i="44"/>
  <c r="K28" i="44"/>
  <c r="K27" i="44"/>
  <c r="K26" i="44"/>
  <c r="K25" i="44"/>
  <c r="K24" i="44"/>
  <c r="K23" i="44"/>
  <c r="K22" i="44"/>
  <c r="K21" i="44"/>
  <c r="K20" i="44"/>
  <c r="K19" i="44"/>
  <c r="K18" i="44"/>
  <c r="K17" i="44"/>
  <c r="K16" i="44"/>
  <c r="K15" i="44"/>
  <c r="K14" i="44"/>
  <c r="K13" i="44"/>
  <c r="K12" i="44"/>
  <c r="K11" i="44"/>
  <c r="K10" i="44"/>
  <c r="K9" i="44"/>
  <c r="K8" i="44"/>
  <c r="K7" i="44"/>
  <c r="K5" i="44"/>
  <c r="K6" i="44"/>
  <c r="F45" i="26" a="1"/>
  <c r="F45" i="26" s="1"/>
  <c r="AG4" i="26"/>
  <c r="AF4" i="26"/>
  <c r="AD4" i="26"/>
  <c r="AD5" i="26"/>
  <c r="AC5" i="26"/>
  <c r="AD6" i="26"/>
  <c r="AC6" i="26"/>
  <c r="AD7" i="26"/>
  <c r="AC7" i="26"/>
  <c r="AD8" i="26"/>
  <c r="AC8" i="26"/>
  <c r="AD9" i="26"/>
  <c r="AC9" i="26"/>
  <c r="AD10" i="26"/>
  <c r="AC10" i="26"/>
  <c r="AD11" i="26"/>
  <c r="AC11" i="26"/>
  <c r="AD12" i="26"/>
  <c r="AC12" i="26"/>
  <c r="AD13" i="26"/>
  <c r="AC13" i="26"/>
  <c r="AD14" i="26"/>
  <c r="AC14" i="26"/>
  <c r="AD15" i="26"/>
  <c r="AC15" i="26"/>
  <c r="AD16" i="26"/>
  <c r="AC16" i="26"/>
  <c r="AD17" i="26"/>
  <c r="AC17" i="26"/>
  <c r="AD18" i="26"/>
  <c r="AC18" i="26"/>
  <c r="AD19" i="26"/>
  <c r="AC19" i="26"/>
  <c r="AD20" i="26"/>
  <c r="AC20" i="26"/>
  <c r="AD21" i="26"/>
  <c r="AC21" i="26"/>
  <c r="AD22" i="26"/>
  <c r="AC22" i="26"/>
  <c r="AD23" i="26"/>
  <c r="AC23" i="26"/>
  <c r="AD24" i="26"/>
  <c r="AC24" i="26"/>
  <c r="AD25" i="26"/>
  <c r="AC25" i="26"/>
  <c r="AD26" i="26"/>
  <c r="AC26" i="26"/>
  <c r="AD27" i="26"/>
  <c r="AC27" i="26"/>
  <c r="AD28" i="26"/>
  <c r="AC28" i="26"/>
  <c r="AD29" i="26"/>
  <c r="AC29" i="26"/>
  <c r="AD30" i="26"/>
  <c r="AC30" i="26"/>
  <c r="AD31" i="26"/>
  <c r="AC31" i="26"/>
  <c r="AD32" i="26"/>
  <c r="AC32" i="26"/>
  <c r="AD33" i="26"/>
  <c r="AC33" i="26"/>
  <c r="AD34" i="26"/>
  <c r="AC34" i="26"/>
  <c r="AD35" i="26"/>
  <c r="AC35" i="26"/>
  <c r="AD36" i="26"/>
  <c r="AC36" i="26"/>
  <c r="AD37" i="26"/>
  <c r="AC37" i="26"/>
  <c r="AD38" i="26"/>
  <c r="AC38" i="26"/>
  <c r="AD39" i="26"/>
  <c r="AC39" i="26"/>
  <c r="AD40" i="26"/>
  <c r="AC40" i="26"/>
  <c r="AD41" i="26"/>
  <c r="AC41" i="26"/>
  <c r="AD42" i="26"/>
  <c r="AC42" i="26"/>
  <c r="AD43" i="26"/>
  <c r="AC43" i="26"/>
  <c r="AD44" i="26"/>
  <c r="AC44" i="26"/>
  <c r="AD45" i="26"/>
  <c r="AC45" i="26"/>
  <c r="AD46" i="26"/>
  <c r="AC46" i="26"/>
  <c r="AD47" i="26"/>
  <c r="AC47" i="26"/>
  <c r="AD48" i="26"/>
  <c r="AC48" i="26"/>
  <c r="AD49" i="26"/>
  <c r="AC49" i="26"/>
  <c r="AD50" i="26"/>
  <c r="AC50" i="26"/>
  <c r="AD51" i="26"/>
  <c r="AC51" i="26"/>
  <c r="AD52" i="26"/>
  <c r="AC52" i="26"/>
  <c r="AD53" i="26"/>
  <c r="AC53" i="26"/>
  <c r="AD54" i="26"/>
  <c r="AC54" i="26"/>
  <c r="AC4" i="26"/>
  <c r="B7" i="29"/>
  <c r="I7" i="29" s="1" a="1"/>
  <c r="I7" i="29" s="1"/>
  <c r="B8" i="29"/>
  <c r="B9" i="29"/>
  <c r="B10" i="29"/>
  <c r="H10" i="29" s="1" a="1"/>
  <c r="H10" i="29" s="1"/>
  <c r="B11" i="29"/>
  <c r="B12" i="29"/>
  <c r="I12" i="29" s="1" a="1"/>
  <c r="I12" i="29" s="1"/>
  <c r="B13" i="29"/>
  <c r="I13" i="29" s="1" a="1"/>
  <c r="I13" i="29" s="1"/>
  <c r="B14" i="29"/>
  <c r="H14" i="29" s="1" a="1"/>
  <c r="H14" i="29" s="1"/>
  <c r="B15" i="29"/>
  <c r="H15" i="29" s="1" a="1"/>
  <c r="H15" i="29" s="1"/>
  <c r="B16" i="29"/>
  <c r="G16" i="29" s="1" a="1"/>
  <c r="G16" i="29" s="1"/>
  <c r="B17" i="29"/>
  <c r="G17" i="29" s="1" a="1"/>
  <c r="G17" i="29" s="1"/>
  <c r="B18" i="29"/>
  <c r="F18" i="29" s="1" a="1"/>
  <c r="F18" i="29" s="1"/>
  <c r="B19" i="29"/>
  <c r="F19" i="29" s="1" a="1"/>
  <c r="F19" i="29" s="1"/>
  <c r="B20" i="29"/>
  <c r="J20" i="29" s="1" a="1"/>
  <c r="J20" i="29" s="1"/>
  <c r="B21" i="29"/>
  <c r="J21" i="29" s="1" a="1"/>
  <c r="J21" i="29" s="1"/>
  <c r="B22" i="29"/>
  <c r="B23" i="29"/>
  <c r="J23" i="29" s="1" a="1"/>
  <c r="J23" i="29" s="1"/>
  <c r="B24" i="29"/>
  <c r="G24" i="29" s="1" a="1"/>
  <c r="G24" i="29" s="1"/>
  <c r="B25" i="29"/>
  <c r="G25" i="29" s="1" a="1"/>
  <c r="G25" i="29" s="1"/>
  <c r="B26" i="29"/>
  <c r="J26" i="29" s="1" a="1"/>
  <c r="J26" i="29" s="1"/>
  <c r="B6" i="29"/>
  <c r="G6" i="29" s="1" a="1"/>
  <c r="G6" i="29" s="1"/>
  <c r="G1" i="30" a="1"/>
  <c r="G1" i="30" s="1"/>
  <c r="L1" i="30" a="1"/>
  <c r="L1" i="30" s="1"/>
  <c r="K1" i="30" a="1"/>
  <c r="K1" i="30" s="1"/>
  <c r="J1" i="30" a="1"/>
  <c r="J1" i="30" s="1"/>
  <c r="I1" i="30" a="1"/>
  <c r="I1" i="30" s="1"/>
  <c r="M1" i="30" a="1"/>
  <c r="M1" i="30" s="1"/>
  <c r="H1" i="30" a="1"/>
  <c r="H1" i="30" s="1"/>
  <c r="F1" i="30" a="1"/>
  <c r="F1" i="30" s="1"/>
  <c r="D1" i="30" a="1"/>
  <c r="D1" i="30" s="1"/>
  <c r="C1" i="30" a="1"/>
  <c r="C1" i="30" s="1"/>
  <c r="B1" i="30" a="1"/>
  <c r="B1" i="30" s="1"/>
  <c r="I3" i="29" a="1"/>
  <c r="I3" i="29" s="1"/>
  <c r="H3" i="29" a="1"/>
  <c r="H3" i="29" s="1"/>
  <c r="G3" i="29" a="1"/>
  <c r="G3" i="29" s="1"/>
  <c r="F3" i="29" a="1"/>
  <c r="F3" i="29" s="1"/>
  <c r="J3" i="29" a="1"/>
  <c r="J3" i="29" s="1"/>
  <c r="E3" i="29" a="1"/>
  <c r="E3" i="29" s="1"/>
  <c r="D3" i="29" a="1"/>
  <c r="D3" i="29" s="1"/>
  <c r="F6" i="26" a="1"/>
  <c r="F6" i="26" s="1"/>
  <c r="AF6" i="26" s="1"/>
  <c r="G6" i="26" a="1"/>
  <c r="G6" i="26" s="1"/>
  <c r="H6" i="26" a="1"/>
  <c r="H6" i="26" s="1"/>
  <c r="I6" i="26" a="1"/>
  <c r="I6" i="26" s="1"/>
  <c r="J6" i="26" a="1"/>
  <c r="J6" i="26" s="1"/>
  <c r="K6" i="26" a="1"/>
  <c r="K6" i="26" s="1"/>
  <c r="L6" i="26" a="1"/>
  <c r="L6" i="26" s="1"/>
  <c r="M6" i="26" a="1"/>
  <c r="M6" i="26" s="1"/>
  <c r="F7" i="26" a="1"/>
  <c r="F7" i="26" s="1"/>
  <c r="AF7" i="26" s="1"/>
  <c r="G7" i="26" a="1"/>
  <c r="G7" i="26" s="1"/>
  <c r="H7" i="26" a="1"/>
  <c r="H7" i="26" s="1"/>
  <c r="I7" i="26" a="1"/>
  <c r="I7" i="26" s="1"/>
  <c r="J7" i="26" a="1"/>
  <c r="J7" i="26" s="1"/>
  <c r="K7" i="26" a="1"/>
  <c r="K7" i="26" s="1"/>
  <c r="L7" i="26" a="1"/>
  <c r="L7" i="26" s="1"/>
  <c r="M7" i="26" a="1"/>
  <c r="M7" i="26" s="1"/>
  <c r="F8" i="26" a="1"/>
  <c r="F8" i="26" s="1"/>
  <c r="AF8" i="26" s="1"/>
  <c r="G8" i="26" a="1"/>
  <c r="G8" i="26" s="1"/>
  <c r="H8" i="26" a="1"/>
  <c r="H8" i="26" s="1"/>
  <c r="I8" i="26" a="1"/>
  <c r="I8" i="26" s="1"/>
  <c r="J8" i="26" a="1"/>
  <c r="J8" i="26" s="1"/>
  <c r="K8" i="26" a="1"/>
  <c r="K8" i="26" s="1"/>
  <c r="L8" i="26" a="1"/>
  <c r="L8" i="26" s="1"/>
  <c r="M8" i="26" a="1"/>
  <c r="M8" i="26" s="1"/>
  <c r="F9" i="26" a="1"/>
  <c r="F9" i="26" s="1"/>
  <c r="AE9" i="26" s="1"/>
  <c r="G9" i="26" a="1"/>
  <c r="G9" i="26" s="1"/>
  <c r="H9" i="26" a="1"/>
  <c r="H9" i="26" s="1"/>
  <c r="I9" i="26" a="1"/>
  <c r="I9" i="26" s="1"/>
  <c r="J9" i="26" a="1"/>
  <c r="J9" i="26" s="1"/>
  <c r="K9" i="26" a="1"/>
  <c r="K9" i="26" s="1"/>
  <c r="L9" i="26" a="1"/>
  <c r="L9" i="26" s="1"/>
  <c r="M9" i="26" a="1"/>
  <c r="M9" i="26" s="1"/>
  <c r="F10" i="26" a="1"/>
  <c r="F10" i="26" s="1"/>
  <c r="AE10" i="26" s="1"/>
  <c r="G10" i="26" a="1"/>
  <c r="G10" i="26" s="1"/>
  <c r="H10" i="26" a="1"/>
  <c r="H10" i="26" s="1"/>
  <c r="I10" i="26" a="1"/>
  <c r="I10" i="26" s="1"/>
  <c r="J10" i="26" a="1"/>
  <c r="J10" i="26" s="1"/>
  <c r="K10" i="26" a="1"/>
  <c r="K10" i="26" s="1"/>
  <c r="L10" i="26" a="1"/>
  <c r="L10" i="26" s="1"/>
  <c r="M10" i="26" a="1"/>
  <c r="M10" i="26" s="1"/>
  <c r="F11" i="26" a="1"/>
  <c r="F11" i="26" s="1"/>
  <c r="AG11" i="26" s="1"/>
  <c r="G11" i="26" a="1"/>
  <c r="G11" i="26" s="1"/>
  <c r="H11" i="26" a="1"/>
  <c r="H11" i="26" s="1"/>
  <c r="I11" i="26" a="1"/>
  <c r="I11" i="26" s="1"/>
  <c r="J11" i="26" a="1"/>
  <c r="J11" i="26" s="1"/>
  <c r="K11" i="26" a="1"/>
  <c r="K11" i="26" s="1"/>
  <c r="L11" i="26" a="1"/>
  <c r="L11" i="26" s="1"/>
  <c r="M11" i="26" a="1"/>
  <c r="M11" i="26" s="1"/>
  <c r="F12" i="26" a="1"/>
  <c r="F12" i="26" s="1"/>
  <c r="AF12" i="26" s="1"/>
  <c r="G12" i="26" a="1"/>
  <c r="G12" i="26" s="1"/>
  <c r="H12" i="26" a="1"/>
  <c r="H12" i="26" s="1"/>
  <c r="I12" i="26" a="1"/>
  <c r="I12" i="26" s="1"/>
  <c r="J12" i="26" a="1"/>
  <c r="J12" i="26" s="1"/>
  <c r="K12" i="26" a="1"/>
  <c r="K12" i="26" s="1"/>
  <c r="L12" i="26" a="1"/>
  <c r="L12" i="26" s="1"/>
  <c r="M12" i="26" a="1"/>
  <c r="M12" i="26" s="1"/>
  <c r="F13" i="26" a="1"/>
  <c r="F13" i="26" s="1"/>
  <c r="AF13" i="26" s="1"/>
  <c r="G13" i="26" a="1"/>
  <c r="G13" i="26" s="1"/>
  <c r="H13" i="26" a="1"/>
  <c r="H13" i="26" s="1"/>
  <c r="I13" i="26" a="1"/>
  <c r="I13" i="26" s="1"/>
  <c r="J13" i="26" a="1"/>
  <c r="J13" i="26" s="1"/>
  <c r="K13" i="26" a="1"/>
  <c r="K13" i="26" s="1"/>
  <c r="L13" i="26" a="1"/>
  <c r="L13" i="26" s="1"/>
  <c r="M13" i="26" a="1"/>
  <c r="M13" i="26" s="1"/>
  <c r="F14" i="26" a="1"/>
  <c r="F14" i="26" s="1"/>
  <c r="AF14" i="26" s="1"/>
  <c r="G14" i="26" a="1"/>
  <c r="G14" i="26" s="1"/>
  <c r="H14" i="26" a="1"/>
  <c r="H14" i="26" s="1"/>
  <c r="I14" i="26" a="1"/>
  <c r="I14" i="26" s="1"/>
  <c r="J14" i="26" a="1"/>
  <c r="J14" i="26" s="1"/>
  <c r="K14" i="26" a="1"/>
  <c r="K14" i="26" s="1"/>
  <c r="L14" i="26" a="1"/>
  <c r="L14" i="26" s="1"/>
  <c r="M14" i="26" a="1"/>
  <c r="M14" i="26" s="1"/>
  <c r="F15" i="26" a="1"/>
  <c r="F15" i="26" s="1"/>
  <c r="AE15" i="26" s="1"/>
  <c r="G15" i="26" a="1"/>
  <c r="G15" i="26" s="1"/>
  <c r="H15" i="26" a="1"/>
  <c r="H15" i="26" s="1"/>
  <c r="I15" i="26" a="1"/>
  <c r="I15" i="26" s="1"/>
  <c r="J15" i="26" a="1"/>
  <c r="J15" i="26" s="1"/>
  <c r="K15" i="26" a="1"/>
  <c r="K15" i="26" s="1"/>
  <c r="L15" i="26" a="1"/>
  <c r="L15" i="26" s="1"/>
  <c r="M15" i="26" a="1"/>
  <c r="M15" i="26" s="1"/>
  <c r="F16" i="26" a="1"/>
  <c r="F16" i="26" s="1"/>
  <c r="AE16" i="26" s="1"/>
  <c r="G16" i="26" a="1"/>
  <c r="G16" i="26" s="1"/>
  <c r="H16" i="26" a="1"/>
  <c r="H16" i="26" s="1"/>
  <c r="I16" i="26" a="1"/>
  <c r="I16" i="26" s="1"/>
  <c r="J16" i="26" a="1"/>
  <c r="J16" i="26" s="1"/>
  <c r="K16" i="26" a="1"/>
  <c r="K16" i="26" s="1"/>
  <c r="L16" i="26" a="1"/>
  <c r="L16" i="26" s="1"/>
  <c r="M16" i="26" a="1"/>
  <c r="M16" i="26" s="1"/>
  <c r="F17" i="26" a="1"/>
  <c r="F17" i="26" s="1"/>
  <c r="AG17" i="26" s="1"/>
  <c r="G17" i="26" a="1"/>
  <c r="G17" i="26" s="1"/>
  <c r="H17" i="26" a="1"/>
  <c r="H17" i="26" s="1"/>
  <c r="I17" i="26" a="1"/>
  <c r="I17" i="26" s="1"/>
  <c r="J17" i="26" a="1"/>
  <c r="J17" i="26" s="1"/>
  <c r="K17" i="26" a="1"/>
  <c r="K17" i="26" s="1"/>
  <c r="L17" i="26" a="1"/>
  <c r="L17" i="26" s="1"/>
  <c r="M17" i="26" a="1"/>
  <c r="M17" i="26" s="1"/>
  <c r="F18" i="26" a="1"/>
  <c r="F18" i="26" s="1"/>
  <c r="AF18" i="26" s="1"/>
  <c r="G18" i="26" a="1"/>
  <c r="G18" i="26" s="1"/>
  <c r="H18" i="26" a="1"/>
  <c r="H18" i="26" s="1"/>
  <c r="I18" i="26" a="1"/>
  <c r="I18" i="26" s="1"/>
  <c r="J18" i="26" a="1"/>
  <c r="J18" i="26" s="1"/>
  <c r="K18" i="26" a="1"/>
  <c r="K18" i="26" s="1"/>
  <c r="L18" i="26" a="1"/>
  <c r="L18" i="26" s="1"/>
  <c r="M18" i="26" a="1"/>
  <c r="M18" i="26" s="1"/>
  <c r="F19" i="26" a="1"/>
  <c r="F19" i="26" s="1"/>
  <c r="AF19" i="26" s="1"/>
  <c r="G19" i="26" a="1"/>
  <c r="G19" i="26" s="1"/>
  <c r="H19" i="26" a="1"/>
  <c r="H19" i="26" s="1"/>
  <c r="I19" i="26" a="1"/>
  <c r="I19" i="26" s="1"/>
  <c r="J19" i="26" a="1"/>
  <c r="J19" i="26" s="1"/>
  <c r="K19" i="26" a="1"/>
  <c r="K19" i="26" s="1"/>
  <c r="L19" i="26" a="1"/>
  <c r="L19" i="26" s="1"/>
  <c r="M19" i="26" a="1"/>
  <c r="M19" i="26" s="1"/>
  <c r="F20" i="26" a="1"/>
  <c r="F20" i="26" s="1"/>
  <c r="AF20" i="26" s="1"/>
  <c r="G20" i="26" a="1"/>
  <c r="G20" i="26" s="1"/>
  <c r="H20" i="26" a="1"/>
  <c r="H20" i="26" s="1"/>
  <c r="I20" i="26" a="1"/>
  <c r="I20" i="26" s="1"/>
  <c r="J20" i="26" a="1"/>
  <c r="J20" i="26" s="1"/>
  <c r="K20" i="26" a="1"/>
  <c r="K20" i="26" s="1"/>
  <c r="L20" i="26" a="1"/>
  <c r="L20" i="26" s="1"/>
  <c r="M20" i="26" a="1"/>
  <c r="M20" i="26" s="1"/>
  <c r="F21" i="26" a="1"/>
  <c r="F21" i="26" s="1"/>
  <c r="AE21" i="26" s="1"/>
  <c r="G21" i="26" a="1"/>
  <c r="G21" i="26" s="1"/>
  <c r="H21" i="26" a="1"/>
  <c r="H21" i="26" s="1"/>
  <c r="I21" i="26" a="1"/>
  <c r="I21" i="26" s="1"/>
  <c r="J21" i="26" a="1"/>
  <c r="J21" i="26" s="1"/>
  <c r="K21" i="26" a="1"/>
  <c r="K21" i="26" s="1"/>
  <c r="L21" i="26" a="1"/>
  <c r="L21" i="26" s="1"/>
  <c r="M21" i="26" a="1"/>
  <c r="M21" i="26" s="1"/>
  <c r="F22" i="26" a="1"/>
  <c r="F22" i="26" s="1"/>
  <c r="AE22" i="26" s="1"/>
  <c r="G22" i="26" a="1"/>
  <c r="G22" i="26" s="1"/>
  <c r="H22" i="26" a="1"/>
  <c r="H22" i="26" s="1"/>
  <c r="I22" i="26" a="1"/>
  <c r="I22" i="26" s="1"/>
  <c r="J22" i="26" a="1"/>
  <c r="J22" i="26" s="1"/>
  <c r="K22" i="26" a="1"/>
  <c r="K22" i="26" s="1"/>
  <c r="L22" i="26" a="1"/>
  <c r="L22" i="26" s="1"/>
  <c r="M22" i="26" a="1"/>
  <c r="M22" i="26" s="1"/>
  <c r="F23" i="26" a="1"/>
  <c r="F23" i="26" s="1"/>
  <c r="AG23" i="26" s="1"/>
  <c r="G23" i="26" a="1"/>
  <c r="G23" i="26" s="1"/>
  <c r="H23" i="26" a="1"/>
  <c r="H23" i="26" s="1"/>
  <c r="I23" i="26" a="1"/>
  <c r="I23" i="26" s="1"/>
  <c r="J23" i="26" a="1"/>
  <c r="J23" i="26" s="1"/>
  <c r="K23" i="26" a="1"/>
  <c r="K23" i="26" s="1"/>
  <c r="L23" i="26" a="1"/>
  <c r="L23" i="26" s="1"/>
  <c r="M23" i="26" a="1"/>
  <c r="M23" i="26" s="1"/>
  <c r="F24" i="26" a="1"/>
  <c r="F24" i="26" s="1"/>
  <c r="AF24" i="26" s="1"/>
  <c r="G24" i="26" a="1"/>
  <c r="G24" i="26" s="1"/>
  <c r="H24" i="26" a="1"/>
  <c r="H24" i="26" s="1"/>
  <c r="I24" i="26" a="1"/>
  <c r="I24" i="26" s="1"/>
  <c r="J24" i="26" a="1"/>
  <c r="J24" i="26" s="1"/>
  <c r="K24" i="26" a="1"/>
  <c r="K24" i="26" s="1"/>
  <c r="L24" i="26" a="1"/>
  <c r="L24" i="26" s="1"/>
  <c r="M24" i="26" a="1"/>
  <c r="M24" i="26" s="1"/>
  <c r="F25" i="26" a="1"/>
  <c r="F25" i="26" s="1"/>
  <c r="AF25" i="26" s="1"/>
  <c r="G25" i="26" a="1"/>
  <c r="G25" i="26" s="1"/>
  <c r="H25" i="26" a="1"/>
  <c r="H25" i="26" s="1"/>
  <c r="I25" i="26" a="1"/>
  <c r="I25" i="26" s="1"/>
  <c r="J25" i="26" a="1"/>
  <c r="J25" i="26" s="1"/>
  <c r="K25" i="26" a="1"/>
  <c r="K25" i="26" s="1"/>
  <c r="L25" i="26" a="1"/>
  <c r="L25" i="26" s="1"/>
  <c r="M25" i="26" a="1"/>
  <c r="M25" i="26" s="1"/>
  <c r="F26" i="26" a="1"/>
  <c r="F26" i="26" s="1"/>
  <c r="AF26" i="26" s="1"/>
  <c r="G26" i="26" a="1"/>
  <c r="G26" i="26" s="1"/>
  <c r="H26" i="26" a="1"/>
  <c r="H26" i="26" s="1"/>
  <c r="I26" i="26" a="1"/>
  <c r="I26" i="26" s="1"/>
  <c r="J26" i="26" a="1"/>
  <c r="J26" i="26" s="1"/>
  <c r="K26" i="26" a="1"/>
  <c r="K26" i="26" s="1"/>
  <c r="L26" i="26" a="1"/>
  <c r="L26" i="26" s="1"/>
  <c r="M26" i="26" a="1"/>
  <c r="M26" i="26" s="1"/>
  <c r="F27" i="26" a="1"/>
  <c r="F27" i="26" s="1"/>
  <c r="AE27" i="26" s="1"/>
  <c r="G27" i="26" a="1"/>
  <c r="G27" i="26" s="1"/>
  <c r="H27" i="26" a="1"/>
  <c r="H27" i="26" s="1"/>
  <c r="I27" i="26" a="1"/>
  <c r="I27" i="26" s="1"/>
  <c r="J27" i="26" a="1"/>
  <c r="J27" i="26" s="1"/>
  <c r="K27" i="26" a="1"/>
  <c r="K27" i="26" s="1"/>
  <c r="L27" i="26" a="1"/>
  <c r="L27" i="26" s="1"/>
  <c r="M27" i="26" a="1"/>
  <c r="M27" i="26" s="1"/>
  <c r="F28" i="26" a="1"/>
  <c r="F28" i="26" s="1"/>
  <c r="AE28" i="26" s="1"/>
  <c r="G28" i="26" a="1"/>
  <c r="G28" i="26" s="1"/>
  <c r="H28" i="26" a="1"/>
  <c r="H28" i="26" s="1"/>
  <c r="I28" i="26" a="1"/>
  <c r="I28" i="26" s="1"/>
  <c r="J28" i="26" a="1"/>
  <c r="J28" i="26" s="1"/>
  <c r="K28" i="26" a="1"/>
  <c r="K28" i="26" s="1"/>
  <c r="L28" i="26" a="1"/>
  <c r="L28" i="26" s="1"/>
  <c r="M28" i="26" a="1"/>
  <c r="M28" i="26" s="1"/>
  <c r="F29" i="26" a="1"/>
  <c r="F29" i="26" s="1"/>
  <c r="AG29" i="26" s="1"/>
  <c r="G29" i="26" a="1"/>
  <c r="G29" i="26" s="1"/>
  <c r="H29" i="26" a="1"/>
  <c r="H29" i="26" s="1"/>
  <c r="I29" i="26" a="1"/>
  <c r="I29" i="26" s="1"/>
  <c r="J29" i="26" a="1"/>
  <c r="J29" i="26" s="1"/>
  <c r="K29" i="26" a="1"/>
  <c r="K29" i="26" s="1"/>
  <c r="L29" i="26" a="1"/>
  <c r="L29" i="26" s="1"/>
  <c r="M29" i="26" a="1"/>
  <c r="M29" i="26" s="1"/>
  <c r="F30" i="26" a="1"/>
  <c r="F30" i="26" s="1"/>
  <c r="AF30" i="26" s="1"/>
  <c r="G30" i="26" a="1"/>
  <c r="G30" i="26" s="1"/>
  <c r="H30" i="26" a="1"/>
  <c r="H30" i="26" s="1"/>
  <c r="I30" i="26" a="1"/>
  <c r="I30" i="26" s="1"/>
  <c r="J30" i="26" a="1"/>
  <c r="J30" i="26" s="1"/>
  <c r="K30" i="26" a="1"/>
  <c r="K30" i="26" s="1"/>
  <c r="L30" i="26" a="1"/>
  <c r="L30" i="26" s="1"/>
  <c r="M30" i="26" a="1"/>
  <c r="M30" i="26" s="1"/>
  <c r="F31" i="26" a="1"/>
  <c r="F31" i="26" s="1"/>
  <c r="AF31" i="26" s="1"/>
  <c r="G31" i="26" a="1"/>
  <c r="G31" i="26" s="1"/>
  <c r="H31" i="26" a="1"/>
  <c r="H31" i="26" s="1"/>
  <c r="I31" i="26" a="1"/>
  <c r="I31" i="26" s="1"/>
  <c r="J31" i="26" a="1"/>
  <c r="J31" i="26" s="1"/>
  <c r="K31" i="26" a="1"/>
  <c r="K31" i="26" s="1"/>
  <c r="L31" i="26" a="1"/>
  <c r="L31" i="26" s="1"/>
  <c r="M31" i="26" a="1"/>
  <c r="M31" i="26" s="1"/>
  <c r="F32" i="26" a="1"/>
  <c r="F32" i="26" s="1"/>
  <c r="AF32" i="26" s="1"/>
  <c r="G32" i="26" a="1"/>
  <c r="G32" i="26" s="1"/>
  <c r="H32" i="26" a="1"/>
  <c r="H32" i="26" s="1"/>
  <c r="I32" i="26" a="1"/>
  <c r="I32" i="26" s="1"/>
  <c r="J32" i="26" a="1"/>
  <c r="J32" i="26" s="1"/>
  <c r="K32" i="26" a="1"/>
  <c r="K32" i="26" s="1"/>
  <c r="L32" i="26" a="1"/>
  <c r="L32" i="26" s="1"/>
  <c r="M32" i="26" a="1"/>
  <c r="M32" i="26" s="1"/>
  <c r="F33" i="26" a="1"/>
  <c r="F33" i="26" s="1"/>
  <c r="AE33" i="26" s="1"/>
  <c r="G33" i="26" a="1"/>
  <c r="G33" i="26" s="1"/>
  <c r="H33" i="26" a="1"/>
  <c r="H33" i="26" s="1"/>
  <c r="I33" i="26" a="1"/>
  <c r="I33" i="26" s="1"/>
  <c r="J33" i="26" a="1"/>
  <c r="J33" i="26" s="1"/>
  <c r="K33" i="26" a="1"/>
  <c r="K33" i="26" s="1"/>
  <c r="L33" i="26" a="1"/>
  <c r="L33" i="26" s="1"/>
  <c r="M33" i="26" a="1"/>
  <c r="M33" i="26" s="1"/>
  <c r="F34" i="26" a="1"/>
  <c r="F34" i="26" s="1"/>
  <c r="AE34" i="26" s="1"/>
  <c r="G34" i="26" a="1"/>
  <c r="G34" i="26" s="1"/>
  <c r="H34" i="26" a="1"/>
  <c r="H34" i="26" s="1"/>
  <c r="I34" i="26" a="1"/>
  <c r="I34" i="26" s="1"/>
  <c r="J34" i="26" a="1"/>
  <c r="J34" i="26" s="1"/>
  <c r="K34" i="26" a="1"/>
  <c r="K34" i="26" s="1"/>
  <c r="L34" i="26" a="1"/>
  <c r="L34" i="26" s="1"/>
  <c r="M34" i="26" a="1"/>
  <c r="M34" i="26" s="1"/>
  <c r="F35" i="26" a="1"/>
  <c r="F35" i="26" s="1"/>
  <c r="AG35" i="26" s="1"/>
  <c r="G35" i="26" a="1"/>
  <c r="G35" i="26" s="1"/>
  <c r="H35" i="26" a="1"/>
  <c r="H35" i="26" s="1"/>
  <c r="I35" i="26" a="1"/>
  <c r="I35" i="26" s="1"/>
  <c r="J35" i="26" a="1"/>
  <c r="J35" i="26" s="1"/>
  <c r="K35" i="26" a="1"/>
  <c r="K35" i="26" s="1"/>
  <c r="L35" i="26" a="1"/>
  <c r="L35" i="26" s="1"/>
  <c r="M35" i="26" a="1"/>
  <c r="M35" i="26" s="1"/>
  <c r="F36" i="26" a="1"/>
  <c r="F36" i="26" s="1"/>
  <c r="AF36" i="26" s="1"/>
  <c r="G36" i="26" a="1"/>
  <c r="G36" i="26" s="1"/>
  <c r="H36" i="26" a="1"/>
  <c r="H36" i="26" s="1"/>
  <c r="I36" i="26" a="1"/>
  <c r="I36" i="26" s="1"/>
  <c r="J36" i="26" a="1"/>
  <c r="J36" i="26" s="1"/>
  <c r="K36" i="26" a="1"/>
  <c r="K36" i="26" s="1"/>
  <c r="L36" i="26" a="1"/>
  <c r="L36" i="26" s="1"/>
  <c r="M36" i="26" a="1"/>
  <c r="M36" i="26" s="1"/>
  <c r="F37" i="26" a="1"/>
  <c r="F37" i="26" s="1"/>
  <c r="AF37" i="26" s="1"/>
  <c r="G37" i="26" a="1"/>
  <c r="G37" i="26" s="1"/>
  <c r="H37" i="26" a="1"/>
  <c r="H37" i="26" s="1"/>
  <c r="I37" i="26" a="1"/>
  <c r="I37" i="26" s="1"/>
  <c r="J37" i="26" a="1"/>
  <c r="J37" i="26" s="1"/>
  <c r="K37" i="26" a="1"/>
  <c r="K37" i="26" s="1"/>
  <c r="L37" i="26" a="1"/>
  <c r="L37" i="26" s="1"/>
  <c r="M37" i="26" a="1"/>
  <c r="M37" i="26" s="1"/>
  <c r="F38" i="26" a="1"/>
  <c r="F38" i="26" s="1"/>
  <c r="AF38" i="26" s="1"/>
  <c r="G38" i="26" a="1"/>
  <c r="G38" i="26" s="1"/>
  <c r="H38" i="26" a="1"/>
  <c r="H38" i="26" s="1"/>
  <c r="I38" i="26" a="1"/>
  <c r="I38" i="26" s="1"/>
  <c r="J38" i="26" a="1"/>
  <c r="J38" i="26" s="1"/>
  <c r="K38" i="26" a="1"/>
  <c r="K38" i="26" s="1"/>
  <c r="L38" i="26" a="1"/>
  <c r="L38" i="26" s="1"/>
  <c r="M38" i="26" a="1"/>
  <c r="M38" i="26" s="1"/>
  <c r="F39" i="26" a="1"/>
  <c r="F39" i="26" s="1"/>
  <c r="AE39" i="26" s="1"/>
  <c r="G39" i="26" a="1"/>
  <c r="G39" i="26" s="1"/>
  <c r="H39" i="26" a="1"/>
  <c r="H39" i="26" s="1"/>
  <c r="I39" i="26" a="1"/>
  <c r="I39" i="26" s="1"/>
  <c r="J39" i="26" a="1"/>
  <c r="J39" i="26" s="1"/>
  <c r="K39" i="26" a="1"/>
  <c r="K39" i="26" s="1"/>
  <c r="L39" i="26" a="1"/>
  <c r="L39" i="26" s="1"/>
  <c r="M39" i="26" a="1"/>
  <c r="M39" i="26" s="1"/>
  <c r="F40" i="26" a="1"/>
  <c r="F40" i="26" s="1"/>
  <c r="AE40" i="26" s="1"/>
  <c r="G40" i="26" a="1"/>
  <c r="G40" i="26" s="1"/>
  <c r="H40" i="26" a="1"/>
  <c r="H40" i="26" s="1"/>
  <c r="I40" i="26" a="1"/>
  <c r="I40" i="26" s="1"/>
  <c r="J40" i="26" a="1"/>
  <c r="J40" i="26" s="1"/>
  <c r="K40" i="26" a="1"/>
  <c r="K40" i="26" s="1"/>
  <c r="L40" i="26" a="1"/>
  <c r="L40" i="26" s="1"/>
  <c r="M40" i="26" a="1"/>
  <c r="M40" i="26" s="1"/>
  <c r="F41" i="26" a="1"/>
  <c r="F41" i="26" s="1"/>
  <c r="AG41" i="26" s="1"/>
  <c r="G41" i="26" a="1"/>
  <c r="G41" i="26" s="1"/>
  <c r="H41" i="26" a="1"/>
  <c r="H41" i="26" s="1"/>
  <c r="I41" i="26" a="1"/>
  <c r="I41" i="26" s="1"/>
  <c r="J41" i="26" a="1"/>
  <c r="J41" i="26" s="1"/>
  <c r="K41" i="26" a="1"/>
  <c r="K41" i="26" s="1"/>
  <c r="L41" i="26" a="1"/>
  <c r="L41" i="26" s="1"/>
  <c r="M41" i="26" a="1"/>
  <c r="M41" i="26" s="1"/>
  <c r="F42" i="26" a="1"/>
  <c r="F42" i="26" s="1"/>
  <c r="AF42" i="26" s="1"/>
  <c r="G42" i="26" a="1"/>
  <c r="G42" i="26" s="1"/>
  <c r="H42" i="26" a="1"/>
  <c r="H42" i="26" s="1"/>
  <c r="I42" i="26" a="1"/>
  <c r="I42" i="26" s="1"/>
  <c r="J42" i="26" a="1"/>
  <c r="J42" i="26" s="1"/>
  <c r="K42" i="26" a="1"/>
  <c r="K42" i="26" s="1"/>
  <c r="L42" i="26" a="1"/>
  <c r="L42" i="26" s="1"/>
  <c r="M42" i="26" a="1"/>
  <c r="M42" i="26" s="1"/>
  <c r="F43" i="26" a="1"/>
  <c r="F43" i="26" s="1"/>
  <c r="AF43" i="26" s="1"/>
  <c r="G43" i="26" a="1"/>
  <c r="G43" i="26" s="1"/>
  <c r="H43" i="26" a="1"/>
  <c r="H43" i="26" s="1"/>
  <c r="I43" i="26" a="1"/>
  <c r="I43" i="26" s="1"/>
  <c r="J43" i="26" a="1"/>
  <c r="J43" i="26" s="1"/>
  <c r="K43" i="26" a="1"/>
  <c r="K43" i="26" s="1"/>
  <c r="L43" i="26" a="1"/>
  <c r="L43" i="26" s="1"/>
  <c r="M43" i="26" a="1"/>
  <c r="M43" i="26" s="1"/>
  <c r="F44" i="26" a="1"/>
  <c r="F44" i="26" s="1"/>
  <c r="AF44" i="26" s="1"/>
  <c r="G44" i="26" a="1"/>
  <c r="G44" i="26" s="1"/>
  <c r="H44" i="26" a="1"/>
  <c r="H44" i="26" s="1"/>
  <c r="I44" i="26" a="1"/>
  <c r="I44" i="26" s="1"/>
  <c r="J44" i="26" a="1"/>
  <c r="J44" i="26" s="1"/>
  <c r="K44" i="26" a="1"/>
  <c r="K44" i="26" s="1"/>
  <c r="L44" i="26" a="1"/>
  <c r="L44" i="26" s="1"/>
  <c r="M44" i="26" a="1"/>
  <c r="M44" i="26" s="1"/>
  <c r="G45" i="26" a="1"/>
  <c r="G45" i="26" s="1"/>
  <c r="H45" i="26" a="1"/>
  <c r="H45" i="26" s="1"/>
  <c r="I45" i="26" a="1"/>
  <c r="I45" i="26" s="1"/>
  <c r="J45" i="26" a="1"/>
  <c r="J45" i="26" s="1"/>
  <c r="K45" i="26" a="1"/>
  <c r="K45" i="26" s="1"/>
  <c r="L45" i="26" a="1"/>
  <c r="L45" i="26" s="1"/>
  <c r="M45" i="26" a="1"/>
  <c r="M45" i="26" s="1"/>
  <c r="F46" i="26" a="1"/>
  <c r="F46" i="26" s="1"/>
  <c r="AE46" i="26" s="1"/>
  <c r="G46" i="26" a="1"/>
  <c r="G46" i="26" s="1"/>
  <c r="H46" i="26" a="1"/>
  <c r="H46" i="26" s="1"/>
  <c r="I46" i="26" a="1"/>
  <c r="I46" i="26" s="1"/>
  <c r="J46" i="26" a="1"/>
  <c r="J46" i="26" s="1"/>
  <c r="K46" i="26" a="1"/>
  <c r="K46" i="26" s="1"/>
  <c r="L46" i="26" a="1"/>
  <c r="L46" i="26" s="1"/>
  <c r="M46" i="26" a="1"/>
  <c r="M46" i="26" s="1"/>
  <c r="F47" i="26" a="1"/>
  <c r="F47" i="26" s="1"/>
  <c r="AE47" i="26" s="1"/>
  <c r="G47" i="26" a="1"/>
  <c r="G47" i="26" s="1"/>
  <c r="H47" i="26" a="1"/>
  <c r="H47" i="26" s="1"/>
  <c r="I47" i="26" a="1"/>
  <c r="I47" i="26" s="1"/>
  <c r="J47" i="26" a="1"/>
  <c r="J47" i="26" s="1"/>
  <c r="K47" i="26" a="1"/>
  <c r="K47" i="26" s="1"/>
  <c r="L47" i="26" a="1"/>
  <c r="L47" i="26" s="1"/>
  <c r="M47" i="26" a="1"/>
  <c r="M47" i="26" s="1"/>
  <c r="F48" i="26" a="1"/>
  <c r="F48" i="26" s="1"/>
  <c r="AG48" i="26" s="1"/>
  <c r="G48" i="26" a="1"/>
  <c r="G48" i="26" s="1"/>
  <c r="H48" i="26" a="1"/>
  <c r="H48" i="26" s="1"/>
  <c r="I48" i="26" a="1"/>
  <c r="I48" i="26" s="1"/>
  <c r="J48" i="26" a="1"/>
  <c r="J48" i="26" s="1"/>
  <c r="K48" i="26" a="1"/>
  <c r="K48" i="26" s="1"/>
  <c r="L48" i="26" a="1"/>
  <c r="L48" i="26" s="1"/>
  <c r="M48" i="26" a="1"/>
  <c r="M48" i="26" s="1"/>
  <c r="F49" i="26" a="1"/>
  <c r="F49" i="26" s="1"/>
  <c r="AF49" i="26" s="1"/>
  <c r="G49" i="26" a="1"/>
  <c r="G49" i="26" s="1"/>
  <c r="H49" i="26" a="1"/>
  <c r="H49" i="26" s="1"/>
  <c r="I49" i="26" a="1"/>
  <c r="I49" i="26" s="1"/>
  <c r="J49" i="26" a="1"/>
  <c r="J49" i="26" s="1"/>
  <c r="K49" i="26" a="1"/>
  <c r="K49" i="26" s="1"/>
  <c r="L49" i="26" a="1"/>
  <c r="L49" i="26" s="1"/>
  <c r="M49" i="26" a="1"/>
  <c r="M49" i="26" s="1"/>
  <c r="F50" i="26" a="1"/>
  <c r="F50" i="26" s="1"/>
  <c r="AF50" i="26" s="1"/>
  <c r="G50" i="26" a="1"/>
  <c r="G50" i="26" s="1"/>
  <c r="H50" i="26" a="1"/>
  <c r="H50" i="26" s="1"/>
  <c r="I50" i="26" a="1"/>
  <c r="I50" i="26" s="1"/>
  <c r="J50" i="26" a="1"/>
  <c r="J50" i="26" s="1"/>
  <c r="K50" i="26" a="1"/>
  <c r="K50" i="26" s="1"/>
  <c r="L50" i="26" a="1"/>
  <c r="L50" i="26" s="1"/>
  <c r="M50" i="26" a="1"/>
  <c r="M50" i="26" s="1"/>
  <c r="F51" i="26" a="1"/>
  <c r="F51" i="26" s="1"/>
  <c r="AF51" i="26" s="1"/>
  <c r="G51" i="26" a="1"/>
  <c r="G51" i="26" s="1"/>
  <c r="H51" i="26" a="1"/>
  <c r="H51" i="26" s="1"/>
  <c r="I51" i="26" a="1"/>
  <c r="I51" i="26" s="1"/>
  <c r="J51" i="26" a="1"/>
  <c r="J51" i="26" s="1"/>
  <c r="K51" i="26" a="1"/>
  <c r="K51" i="26" s="1"/>
  <c r="L51" i="26" a="1"/>
  <c r="L51" i="26" s="1"/>
  <c r="M51" i="26" a="1"/>
  <c r="M51" i="26" s="1"/>
  <c r="F52" i="26" a="1"/>
  <c r="F52" i="26" s="1"/>
  <c r="AE52" i="26" s="1"/>
  <c r="G52" i="26" a="1"/>
  <c r="G52" i="26" s="1"/>
  <c r="H52" i="26" a="1"/>
  <c r="H52" i="26" s="1"/>
  <c r="I52" i="26" a="1"/>
  <c r="I52" i="26" s="1"/>
  <c r="J52" i="26" a="1"/>
  <c r="J52" i="26" s="1"/>
  <c r="K52" i="26" a="1"/>
  <c r="K52" i="26" s="1"/>
  <c r="L52" i="26" a="1"/>
  <c r="L52" i="26" s="1"/>
  <c r="M52" i="26" a="1"/>
  <c r="M52" i="26" s="1"/>
  <c r="F53" i="26" a="1"/>
  <c r="F53" i="26" s="1"/>
  <c r="AE53" i="26" s="1"/>
  <c r="G53" i="26" a="1"/>
  <c r="G53" i="26" s="1"/>
  <c r="H53" i="26" a="1"/>
  <c r="H53" i="26" s="1"/>
  <c r="I53" i="26" a="1"/>
  <c r="I53" i="26" s="1"/>
  <c r="J53" i="26" a="1"/>
  <c r="J53" i="26" s="1"/>
  <c r="K53" i="26" a="1"/>
  <c r="K53" i="26" s="1"/>
  <c r="L53" i="26" a="1"/>
  <c r="L53" i="26" s="1"/>
  <c r="M53" i="26" a="1"/>
  <c r="M53" i="26" s="1"/>
  <c r="F54" i="26" a="1"/>
  <c r="F54" i="26" s="1"/>
  <c r="AG54" i="26" s="1"/>
  <c r="G54" i="26" a="1"/>
  <c r="G54" i="26" s="1"/>
  <c r="H54" i="26" a="1"/>
  <c r="H54" i="26" s="1"/>
  <c r="I54" i="26" a="1"/>
  <c r="I54" i="26" s="1"/>
  <c r="J54" i="26" a="1"/>
  <c r="J54" i="26" s="1"/>
  <c r="K54" i="26" a="1"/>
  <c r="K54" i="26" s="1"/>
  <c r="L54" i="26" a="1"/>
  <c r="L54" i="26" s="1"/>
  <c r="M54" i="26" a="1"/>
  <c r="M54" i="26" s="1"/>
  <c r="G5" i="26" a="1"/>
  <c r="G5" i="26" s="1"/>
  <c r="H5" i="26" a="1"/>
  <c r="H5" i="26" s="1"/>
  <c r="I5" i="26" a="1"/>
  <c r="I5" i="26" s="1"/>
  <c r="J5" i="26" a="1"/>
  <c r="J5" i="26" s="1"/>
  <c r="K5" i="26" a="1"/>
  <c r="K5" i="26" s="1"/>
  <c r="L5" i="26" a="1"/>
  <c r="L5" i="26" s="1"/>
  <c r="M5" i="26" a="1"/>
  <c r="M5" i="26" s="1"/>
  <c r="F5" i="26" a="1"/>
  <c r="F5" i="26" s="1"/>
  <c r="AG5" i="26" s="1"/>
  <c r="J53" i="25"/>
  <c r="K53" i="25"/>
  <c r="H23" i="25"/>
  <c r="E24" i="25" s="1"/>
  <c r="H6" i="25"/>
  <c r="B38" i="25" a="1"/>
  <c r="B38" i="25" s="1"/>
  <c r="B39" i="25" a="1"/>
  <c r="B39" i="25" s="1"/>
  <c r="B40" i="25" a="1"/>
  <c r="B40" i="25" s="1"/>
  <c r="B41" i="25" a="1"/>
  <c r="B41" i="25" s="1"/>
  <c r="B42" i="25" a="1"/>
  <c r="B42" i="25" s="1"/>
  <c r="B43" i="25" a="1"/>
  <c r="B43" i="25" s="1"/>
  <c r="B44" i="25" a="1"/>
  <c r="B44" i="25" s="1"/>
  <c r="B45" i="25" a="1"/>
  <c r="B45" i="25" s="1"/>
  <c r="B46" i="25" a="1"/>
  <c r="B46" i="25" s="1"/>
  <c r="B47" i="25" a="1"/>
  <c r="B47" i="25" s="1"/>
  <c r="B48" i="25" a="1"/>
  <c r="B48" i="25" s="1"/>
  <c r="B49" i="25" a="1"/>
  <c r="B49" i="25" s="1"/>
  <c r="B50" i="25" a="1"/>
  <c r="B50" i="25" s="1"/>
  <c r="B51" i="25" a="1"/>
  <c r="B51" i="25" s="1"/>
  <c r="B52" i="25" a="1"/>
  <c r="B52" i="25" s="1"/>
  <c r="B53" i="25" a="1"/>
  <c r="B53" i="25" s="1"/>
  <c r="B25" i="25" a="1"/>
  <c r="B25" i="25" s="1"/>
  <c r="B26" i="25" a="1"/>
  <c r="B26" i="25" s="1"/>
  <c r="B27" i="25" a="1"/>
  <c r="B27" i="25" s="1"/>
  <c r="B28" i="25" a="1"/>
  <c r="B28" i="25" s="1"/>
  <c r="B29" i="25" a="1"/>
  <c r="B29" i="25" s="1"/>
  <c r="B30" i="25" a="1"/>
  <c r="B30" i="25" s="1"/>
  <c r="B31" i="25" a="1"/>
  <c r="B31" i="25" s="1"/>
  <c r="B32" i="25" a="1"/>
  <c r="B32" i="25" s="1"/>
  <c r="B33" i="25" a="1"/>
  <c r="B33" i="25" s="1"/>
  <c r="B34" i="25" a="1"/>
  <c r="B34" i="25" s="1"/>
  <c r="B35" i="25" a="1"/>
  <c r="B35" i="25" s="1"/>
  <c r="B36" i="25" a="1"/>
  <c r="B36" i="25" s="1"/>
  <c r="B37" i="25" a="1"/>
  <c r="B37" i="25" s="1"/>
  <c r="B54" i="25" a="1"/>
  <c r="B54" i="25" s="1"/>
  <c r="B55" i="25" a="1"/>
  <c r="B55" i="25" s="1"/>
  <c r="B56" i="25" a="1"/>
  <c r="B56" i="25" s="1"/>
  <c r="B57" i="25" a="1"/>
  <c r="B57" i="25" s="1"/>
  <c r="B58" i="25" a="1"/>
  <c r="B58" i="25" s="1"/>
  <c r="B59" i="25" a="1"/>
  <c r="B59" i="25" s="1"/>
  <c r="B60" i="25" a="1"/>
  <c r="B60" i="25" s="1"/>
  <c r="B61" i="25" a="1"/>
  <c r="B61" i="25" s="1"/>
  <c r="B62" i="25" a="1"/>
  <c r="B62" i="25" s="1"/>
  <c r="B63" i="25" a="1"/>
  <c r="B63" i="25" s="1"/>
  <c r="B64" i="25" a="1"/>
  <c r="B64" i="25" s="1"/>
  <c r="B65" i="25" a="1"/>
  <c r="B65" i="25" s="1"/>
  <c r="B66" i="25" a="1"/>
  <c r="B66" i="25" s="1"/>
  <c r="B67" i="25" a="1"/>
  <c r="B67" i="25" s="1"/>
  <c r="B68" i="25" a="1"/>
  <c r="B68" i="25" s="1"/>
  <c r="B69" i="25" a="1"/>
  <c r="B69" i="25" s="1"/>
  <c r="B70" i="25" a="1"/>
  <c r="B70" i="25" s="1"/>
  <c r="B71" i="25" a="1"/>
  <c r="B71" i="25" s="1"/>
  <c r="B72" i="25" a="1"/>
  <c r="B72" i="25" s="1"/>
  <c r="B73" i="25" a="1"/>
  <c r="B73" i="25" s="1"/>
  <c r="B24" i="25" a="1"/>
  <c r="B24" i="25" s="1"/>
  <c r="E7" i="25"/>
  <c r="D7" i="25"/>
  <c r="F7" i="25" s="1"/>
  <c r="B21" i="25" a="1"/>
  <c r="B21" i="25" s="1"/>
  <c r="B8" i="25" a="1"/>
  <c r="B8" i="25" s="1"/>
  <c r="B9" i="25" a="1"/>
  <c r="B9" i="25" s="1"/>
  <c r="B10" i="25" a="1"/>
  <c r="B10" i="25" s="1"/>
  <c r="B11" i="25" a="1"/>
  <c r="B11" i="25" s="1"/>
  <c r="B12" i="25" a="1"/>
  <c r="B12" i="25" s="1"/>
  <c r="B13" i="25" a="1"/>
  <c r="B13" i="25" s="1"/>
  <c r="B14" i="25" a="1"/>
  <c r="B14" i="25" s="1"/>
  <c r="B15" i="25" a="1"/>
  <c r="B15" i="25" s="1"/>
  <c r="B16" i="25" a="1"/>
  <c r="B16" i="25" s="1"/>
  <c r="B17" i="25" a="1"/>
  <c r="B17" i="25" s="1"/>
  <c r="B18" i="25" a="1"/>
  <c r="B18" i="25" s="1"/>
  <c r="B19" i="25" a="1"/>
  <c r="B19" i="25" s="1"/>
  <c r="B20" i="25" a="1"/>
  <c r="B20" i="25" s="1"/>
  <c r="B7" i="25" a="1"/>
  <c r="B7" i="25" s="1"/>
  <c r="H46" i="22"/>
  <c r="D46" i="22"/>
  <c r="H45" i="22"/>
  <c r="D45" i="22"/>
  <c r="H44" i="22"/>
  <c r="D44" i="22"/>
  <c r="H43" i="22"/>
  <c r="D43" i="22"/>
  <c r="H42" i="22"/>
  <c r="D42" i="22"/>
  <c r="H41" i="22"/>
  <c r="D41" i="22"/>
  <c r="H40" i="22"/>
  <c r="D40" i="22"/>
  <c r="H39" i="22"/>
  <c r="D39" i="22"/>
  <c r="H38" i="22"/>
  <c r="D38" i="22"/>
  <c r="H37" i="22"/>
  <c r="D37" i="22"/>
  <c r="H36" i="22"/>
  <c r="D36" i="22"/>
  <c r="H35" i="22"/>
  <c r="D35" i="22"/>
  <c r="H34" i="22"/>
  <c r="D34" i="22"/>
  <c r="H33" i="22"/>
  <c r="D33" i="22"/>
  <c r="H32" i="22"/>
  <c r="D32" i="22"/>
  <c r="H31" i="22"/>
  <c r="D31" i="22"/>
  <c r="H30" i="22"/>
  <c r="D30" i="22"/>
  <c r="H29" i="22"/>
  <c r="D29" i="22"/>
  <c r="H28" i="22"/>
  <c r="D28" i="22"/>
  <c r="H27" i="22"/>
  <c r="D27" i="22"/>
  <c r="H26" i="22"/>
  <c r="D26" i="22"/>
  <c r="H25" i="22"/>
  <c r="D25" i="22"/>
  <c r="H24" i="22"/>
  <c r="D24" i="22"/>
  <c r="H23" i="22"/>
  <c r="D23" i="22"/>
  <c r="H22" i="22"/>
  <c r="D22" i="22"/>
  <c r="H21" i="22"/>
  <c r="D21" i="22"/>
  <c r="H20" i="22"/>
  <c r="D20" i="22"/>
  <c r="H19" i="22"/>
  <c r="D19" i="22"/>
  <c r="H18" i="22"/>
  <c r="D18" i="22"/>
  <c r="H17" i="22"/>
  <c r="D17" i="22"/>
  <c r="H16" i="22"/>
  <c r="D16" i="22"/>
  <c r="H15" i="22"/>
  <c r="D15" i="22"/>
  <c r="H14" i="22"/>
  <c r="D14" i="22"/>
  <c r="H13" i="22"/>
  <c r="D13" i="22"/>
  <c r="H12" i="22"/>
  <c r="D12" i="22"/>
  <c r="H11" i="22"/>
  <c r="D11" i="22"/>
  <c r="H10" i="22"/>
  <c r="D10" i="22"/>
  <c r="H9" i="22"/>
  <c r="D9" i="22"/>
  <c r="H8" i="22"/>
  <c r="D8" i="22"/>
  <c r="H7" i="22"/>
  <c r="D7" i="22"/>
  <c r="H6" i="22"/>
  <c r="D6" i="22"/>
  <c r="L7" i="18"/>
  <c r="L8" i="18"/>
  <c r="L9" i="18"/>
  <c r="L10" i="18"/>
  <c r="L11" i="18"/>
  <c r="L12" i="18"/>
  <c r="L13" i="18"/>
  <c r="L14" i="18"/>
  <c r="L15" i="18"/>
  <c r="L16" i="18"/>
  <c r="L6" i="18"/>
  <c r="H3" i="20" a="1"/>
  <c r="H3" i="20" s="1"/>
  <c r="J3" i="19" a="1"/>
  <c r="J3" i="19" s="1"/>
  <c r="G3" i="19" a="1"/>
  <c r="G3" i="19" s="1"/>
  <c r="K3" i="21"/>
  <c r="K3" i="21" a="1"/>
  <c r="J3" i="21"/>
  <c r="J3" i="21" a="1"/>
  <c r="L3" i="21" a="1"/>
  <c r="L3" i="21" s="1"/>
  <c r="H3" i="21" a="1"/>
  <c r="H3" i="21" s="1"/>
  <c r="G3" i="21" a="1"/>
  <c r="G3" i="21" s="1"/>
  <c r="F3" i="21" a="1"/>
  <c r="F3" i="21" s="1"/>
  <c r="E3" i="21" a="1"/>
  <c r="E3" i="21" s="1"/>
  <c r="D3" i="21" a="1"/>
  <c r="D3" i="21" s="1"/>
  <c r="C3" i="21" a="1"/>
  <c r="C3" i="21" s="1"/>
  <c r="B3" i="21" a="1"/>
  <c r="B3" i="21" s="1"/>
  <c r="D7" i="20"/>
  <c r="E7" i="20" s="1" a="1"/>
  <c r="E7" i="20" s="1"/>
  <c r="D8" i="20"/>
  <c r="F8" i="20" s="1" a="1"/>
  <c r="F8" i="20" s="1"/>
  <c r="D9" i="20"/>
  <c r="E9" i="20" s="1" a="1"/>
  <c r="E9" i="20" s="1"/>
  <c r="D10" i="20"/>
  <c r="H10" i="20" s="1" a="1"/>
  <c r="H10" i="20" s="1"/>
  <c r="D11" i="20"/>
  <c r="E11" i="20" s="1" a="1"/>
  <c r="E11" i="20" s="1"/>
  <c r="D12" i="20"/>
  <c r="E12" i="20" s="1" a="1"/>
  <c r="E12" i="20" s="1"/>
  <c r="D13" i="20"/>
  <c r="E13" i="20" s="1" a="1"/>
  <c r="E13" i="20" s="1"/>
  <c r="D14" i="20"/>
  <c r="E14" i="20" s="1" a="1"/>
  <c r="E14" i="20" s="1"/>
  <c r="D15" i="20"/>
  <c r="H15" i="20" s="1" a="1"/>
  <c r="H15" i="20" s="1"/>
  <c r="D16" i="20"/>
  <c r="E16" i="20" s="1" a="1"/>
  <c r="E16" i="20" s="1"/>
  <c r="D17" i="20"/>
  <c r="H17" i="20" s="1" a="1"/>
  <c r="H17" i="20" s="1"/>
  <c r="D18" i="20"/>
  <c r="H18" i="20" s="1" a="1"/>
  <c r="H18" i="20" s="1"/>
  <c r="D19" i="20"/>
  <c r="E19" i="20" s="1" a="1"/>
  <c r="E19" i="20" s="1"/>
  <c r="D20" i="20"/>
  <c r="F20" i="20" s="1" a="1"/>
  <c r="F20" i="20" s="1"/>
  <c r="D21" i="20"/>
  <c r="E21" i="20" s="1" a="1"/>
  <c r="E21" i="20" s="1"/>
  <c r="D22" i="20"/>
  <c r="H22" i="20" s="1" a="1"/>
  <c r="H22" i="20" s="1"/>
  <c r="D23" i="20"/>
  <c r="E23" i="20" s="1" a="1"/>
  <c r="E23" i="20" s="1"/>
  <c r="D24" i="20"/>
  <c r="E24" i="20" s="1" a="1"/>
  <c r="E24" i="20" s="1"/>
  <c r="D25" i="20"/>
  <c r="E25" i="20" s="1" a="1"/>
  <c r="E25" i="20" s="1"/>
  <c r="D26" i="20"/>
  <c r="E26" i="20" s="1" a="1"/>
  <c r="E26" i="20" s="1"/>
  <c r="G3" i="20" a="1"/>
  <c r="G3" i="20" s="1"/>
  <c r="D6" i="20"/>
  <c r="F6" i="20" s="1" a="1"/>
  <c r="F6" i="20" s="1"/>
  <c r="F3" i="20" a="1"/>
  <c r="F3" i="20" s="1"/>
  <c r="E3" i="20" a="1"/>
  <c r="E3" i="20" s="1"/>
  <c r="D3" i="20" a="1"/>
  <c r="D3" i="20" s="1"/>
  <c r="C3" i="20" a="1"/>
  <c r="C3" i="20" s="1"/>
  <c r="B3" i="20" a="1"/>
  <c r="B3" i="20" s="1"/>
  <c r="H3" i="19" a="1"/>
  <c r="H3" i="19" s="1"/>
  <c r="I3" i="19" a="1"/>
  <c r="I3" i="19" s="1"/>
  <c r="C3" i="19" a="1"/>
  <c r="C3" i="19" s="1"/>
  <c r="D3" i="19" a="1"/>
  <c r="D3" i="19" s="1"/>
  <c r="F3" i="19" a="1"/>
  <c r="F3" i="19" s="1"/>
  <c r="E3" i="19" a="1"/>
  <c r="E3" i="19" s="1"/>
  <c r="B3" i="19" a="1"/>
  <c r="B3" i="19" s="1"/>
  <c r="E17" i="18"/>
  <c r="F17" i="18" s="1" a="1"/>
  <c r="F17" i="18" s="1"/>
  <c r="E18" i="18"/>
  <c r="F18" i="18" a="1"/>
  <c r="F18" i="18" s="1"/>
  <c r="G18" i="18" a="1"/>
  <c r="G18" i="18" s="1"/>
  <c r="H18" i="18" a="1"/>
  <c r="H18" i="18" s="1"/>
  <c r="I18" i="18" a="1"/>
  <c r="I18" i="18" s="1"/>
  <c r="J18" i="18" a="1"/>
  <c r="J18" i="18" s="1"/>
  <c r="E19" i="18"/>
  <c r="F19" i="18" a="1"/>
  <c r="F19" i="18" s="1"/>
  <c r="G19" i="18" a="1"/>
  <c r="G19" i="18" s="1"/>
  <c r="H19" i="18" a="1"/>
  <c r="H19" i="18" s="1"/>
  <c r="I19" i="18" a="1"/>
  <c r="I19" i="18" s="1"/>
  <c r="J19" i="18" a="1"/>
  <c r="J19" i="18" s="1"/>
  <c r="E20" i="18"/>
  <c r="F20" i="18" a="1"/>
  <c r="F20" i="18" s="1"/>
  <c r="G20" i="18" a="1"/>
  <c r="G20" i="18" s="1"/>
  <c r="H20" i="18" a="1"/>
  <c r="H20" i="18" s="1"/>
  <c r="I20" i="18" a="1"/>
  <c r="I20" i="18" s="1"/>
  <c r="J20" i="18" a="1"/>
  <c r="J20" i="18" s="1"/>
  <c r="E21" i="18"/>
  <c r="F21" i="18" a="1"/>
  <c r="F21" i="18" s="1"/>
  <c r="G21" i="18" a="1"/>
  <c r="G21" i="18" s="1"/>
  <c r="H21" i="18" a="1"/>
  <c r="H21" i="18" s="1"/>
  <c r="I21" i="18" a="1"/>
  <c r="I21" i="18" s="1"/>
  <c r="J21" i="18" a="1"/>
  <c r="J21" i="18" s="1"/>
  <c r="E22" i="18"/>
  <c r="F22" i="18" a="1"/>
  <c r="F22" i="18" s="1"/>
  <c r="G22" i="18" a="1"/>
  <c r="G22" i="18" s="1"/>
  <c r="H22" i="18" a="1"/>
  <c r="H22" i="18" s="1"/>
  <c r="I22" i="18" a="1"/>
  <c r="I22" i="18" s="1"/>
  <c r="J22" i="18" a="1"/>
  <c r="J22" i="18" s="1"/>
  <c r="E23" i="18"/>
  <c r="F23" i="18" a="1"/>
  <c r="F23" i="18" s="1"/>
  <c r="G23" i="18" a="1"/>
  <c r="G23" i="18" s="1"/>
  <c r="H23" i="18" a="1"/>
  <c r="H23" i="18" s="1"/>
  <c r="I23" i="18" a="1"/>
  <c r="I23" i="18" s="1"/>
  <c r="J23" i="18" a="1"/>
  <c r="J23" i="18" s="1"/>
  <c r="E24" i="18"/>
  <c r="F24" i="18" a="1"/>
  <c r="F24" i="18" s="1"/>
  <c r="G24" i="18" a="1"/>
  <c r="G24" i="18" s="1"/>
  <c r="H24" i="18" a="1"/>
  <c r="H24" i="18" s="1"/>
  <c r="I24" i="18" a="1"/>
  <c r="I24" i="18" s="1"/>
  <c r="J24" i="18" a="1"/>
  <c r="J24" i="18" s="1"/>
  <c r="E25" i="18"/>
  <c r="F25" i="18" a="1"/>
  <c r="F25" i="18" s="1"/>
  <c r="G25" i="18" a="1"/>
  <c r="G25" i="18" s="1"/>
  <c r="H25" i="18" a="1"/>
  <c r="H25" i="18" s="1"/>
  <c r="I25" i="18" a="1"/>
  <c r="I25" i="18" s="1"/>
  <c r="J25" i="18" a="1"/>
  <c r="J25" i="18" s="1"/>
  <c r="E26" i="18"/>
  <c r="F26" i="18" a="1"/>
  <c r="F26" i="18" s="1"/>
  <c r="G26" i="18" a="1"/>
  <c r="G26" i="18" s="1"/>
  <c r="H26" i="18" a="1"/>
  <c r="H26" i="18" s="1"/>
  <c r="I26" i="18" a="1"/>
  <c r="I26" i="18" s="1"/>
  <c r="J26" i="18" a="1"/>
  <c r="J26" i="18" s="1"/>
  <c r="B26" i="18" a="1"/>
  <c r="B26" i="18" s="1"/>
  <c r="B8" i="18" a="1"/>
  <c r="B8" i="18" s="1"/>
  <c r="B15" i="18" a="1"/>
  <c r="B15" i="18" s="1"/>
  <c r="B12" i="18" a="1"/>
  <c r="B12" i="18" s="1"/>
  <c r="B7" i="18" a="1"/>
  <c r="B7" i="18" s="1"/>
  <c r="B16" i="18" a="1"/>
  <c r="B16" i="18" s="1"/>
  <c r="B10" i="18" a="1"/>
  <c r="B10" i="18" s="1"/>
  <c r="B6" i="18" a="1"/>
  <c r="B6" i="18" s="1"/>
  <c r="B14" i="18" a="1"/>
  <c r="B14" i="18" s="1"/>
  <c r="B13" i="18" a="1"/>
  <c r="B13" i="18" s="1"/>
  <c r="B9" i="18" a="1"/>
  <c r="B9" i="18" s="1"/>
  <c r="B17" i="18" a="1"/>
  <c r="B17" i="18" s="1"/>
  <c r="B18" i="18" a="1"/>
  <c r="B18" i="18" s="1"/>
  <c r="B19" i="18" a="1"/>
  <c r="B19" i="18" s="1"/>
  <c r="B20" i="18" a="1"/>
  <c r="B20" i="18" s="1"/>
  <c r="B21" i="18" a="1"/>
  <c r="B21" i="18" s="1"/>
  <c r="B22" i="18" a="1"/>
  <c r="B22" i="18" s="1"/>
  <c r="B23" i="18" a="1"/>
  <c r="B23" i="18" s="1"/>
  <c r="B24" i="18" a="1"/>
  <c r="B24" i="18" s="1"/>
  <c r="B25" i="18" a="1"/>
  <c r="B25" i="18" s="1"/>
  <c r="E27" i="18"/>
  <c r="F27" i="18" a="1"/>
  <c r="F27" i="18" s="1"/>
  <c r="G27" i="18" a="1"/>
  <c r="G27" i="18" s="1"/>
  <c r="H27" i="18" a="1"/>
  <c r="H27" i="18" s="1"/>
  <c r="I27" i="18" a="1"/>
  <c r="I27" i="18" s="1"/>
  <c r="J27" i="18" a="1"/>
  <c r="J27" i="18" s="1"/>
  <c r="E28" i="18"/>
  <c r="F28" i="18" a="1"/>
  <c r="F28" i="18" s="1"/>
  <c r="G28" i="18" a="1"/>
  <c r="G28" i="18" s="1"/>
  <c r="H28" i="18" a="1"/>
  <c r="H28" i="18" s="1"/>
  <c r="I28" i="18" a="1"/>
  <c r="I28" i="18" s="1"/>
  <c r="J28" i="18" a="1"/>
  <c r="J28" i="18" s="1"/>
  <c r="E29" i="18"/>
  <c r="F29" i="18" a="1"/>
  <c r="F29" i="18" s="1"/>
  <c r="G29" i="18" a="1"/>
  <c r="G29" i="18" s="1"/>
  <c r="H29" i="18" a="1"/>
  <c r="H29" i="18" s="1"/>
  <c r="I29" i="18" a="1"/>
  <c r="I29" i="18" s="1"/>
  <c r="J29" i="18" a="1"/>
  <c r="J29" i="18" s="1"/>
  <c r="I3" i="18" a="1"/>
  <c r="I3" i="18" s="1"/>
  <c r="H3" i="18" a="1"/>
  <c r="H3" i="18" s="1"/>
  <c r="G3" i="18" a="1"/>
  <c r="G3" i="18" s="1"/>
  <c r="C3" i="18" a="1"/>
  <c r="C3" i="18" s="1"/>
  <c r="D3" i="18" a="1"/>
  <c r="D3" i="18" s="1"/>
  <c r="E3" i="18" a="1"/>
  <c r="E3" i="18" s="1"/>
  <c r="F3" i="18" a="1"/>
  <c r="F3" i="18" s="1"/>
  <c r="J3" i="18" a="1"/>
  <c r="J3" i="18" s="1"/>
  <c r="B3" i="18" a="1"/>
  <c r="B3" i="18" s="1"/>
  <c r="B11" i="18" a="1"/>
  <c r="B11" i="18" s="1"/>
  <c r="S18" i="16"/>
  <c r="S19" i="16"/>
  <c r="S20" i="16"/>
  <c r="S21" i="16"/>
  <c r="S22" i="16"/>
  <c r="S23" i="16"/>
  <c r="S24" i="16"/>
  <c r="S25" i="16"/>
  <c r="S26" i="16"/>
  <c r="S27" i="16"/>
  <c r="S28" i="16"/>
  <c r="S17" i="16"/>
  <c r="S16" i="16"/>
  <c r="S15" i="16"/>
  <c r="S14" i="16"/>
  <c r="S13" i="16"/>
  <c r="S12" i="16"/>
  <c r="S11" i="16"/>
  <c r="S10" i="16"/>
  <c r="S9" i="16"/>
  <c r="S8" i="16"/>
  <c r="S7" i="16"/>
  <c r="S6" i="16"/>
  <c r="G4" i="17"/>
  <c r="G5" i="17"/>
  <c r="G6" i="17"/>
  <c r="G7" i="17"/>
  <c r="G8" i="17"/>
  <c r="G9" i="17"/>
  <c r="G10" i="17"/>
  <c r="G11" i="17"/>
  <c r="G12" i="17"/>
  <c r="G13" i="17"/>
  <c r="G14" i="17"/>
  <c r="G3" i="17"/>
  <c r="B22" i="16"/>
  <c r="H22" i="16" s="1" a="1"/>
  <c r="H22" i="16" s="1"/>
  <c r="B21" i="16"/>
  <c r="J21" i="16" s="1" a="1"/>
  <c r="J21" i="16" s="1"/>
  <c r="B20" i="16"/>
  <c r="F20" i="16" s="1" a="1"/>
  <c r="F20" i="16" s="1"/>
  <c r="B19" i="16"/>
  <c r="F19" i="16" s="1" a="1"/>
  <c r="F19" i="16" s="1"/>
  <c r="B18" i="16"/>
  <c r="G18" i="16" s="1" a="1"/>
  <c r="G18" i="16" s="1"/>
  <c r="B17" i="16"/>
  <c r="B16" i="16"/>
  <c r="B15" i="16"/>
  <c r="B14" i="16"/>
  <c r="I14" i="16" s="1" a="1"/>
  <c r="I14" i="16" s="1"/>
  <c r="B13" i="16"/>
  <c r="F13" i="16" s="1" a="1"/>
  <c r="F13" i="16" s="1"/>
  <c r="B12" i="16"/>
  <c r="B11" i="16"/>
  <c r="B10" i="16"/>
  <c r="B9" i="16"/>
  <c r="B8" i="16"/>
  <c r="B7" i="16"/>
  <c r="G7" i="16" s="1" a="1"/>
  <c r="G7" i="16" s="1"/>
  <c r="B6" i="16"/>
  <c r="G6" i="16" s="1" a="1"/>
  <c r="G6" i="16" s="1"/>
  <c r="K3" i="16" a="1"/>
  <c r="K3" i="16" s="1"/>
  <c r="J3" i="16" a="1"/>
  <c r="J3" i="16" s="1"/>
  <c r="I3" i="16" a="1"/>
  <c r="I3" i="16" s="1"/>
  <c r="H3" i="16" a="1"/>
  <c r="H3" i="16" s="1"/>
  <c r="G3" i="16" a="1"/>
  <c r="G3" i="16" s="1"/>
  <c r="F3" i="16" a="1"/>
  <c r="F3" i="16" s="1"/>
  <c r="E3" i="16" a="1"/>
  <c r="E3" i="16" s="1"/>
  <c r="D3" i="16" a="1"/>
  <c r="D3" i="16" s="1"/>
  <c r="B7" i="15"/>
  <c r="B9" i="15"/>
  <c r="B8" i="15"/>
  <c r="B10" i="15"/>
  <c r="B11" i="15"/>
  <c r="B13" i="15"/>
  <c r="B14" i="15"/>
  <c r="B15" i="15"/>
  <c r="B16" i="15"/>
  <c r="B17" i="15"/>
  <c r="B18" i="15"/>
  <c r="B19" i="15"/>
  <c r="B20" i="15"/>
  <c r="B21" i="15"/>
  <c r="B22" i="15"/>
  <c r="B23" i="15"/>
  <c r="B6" i="15"/>
  <c r="H3" i="15" a="1"/>
  <c r="H3" i="15" s="1"/>
  <c r="G3" i="15" a="1"/>
  <c r="G3" i="15" s="1"/>
  <c r="F3" i="15" a="1"/>
  <c r="F3" i="15" s="1"/>
  <c r="J3" i="15" a="1"/>
  <c r="J3" i="15" s="1"/>
  <c r="K3" i="15" a="1"/>
  <c r="K3" i="15" s="1"/>
  <c r="E3" i="15" a="1"/>
  <c r="E3" i="15" s="1"/>
  <c r="D3" i="15" a="1"/>
  <c r="D3" i="15" s="1"/>
  <c r="B6" i="14" a="1"/>
  <c r="B6" i="14"/>
  <c r="B7" i="14" a="1"/>
  <c r="B7" i="14"/>
  <c r="B8" i="14" a="1"/>
  <c r="B8" i="14" s="1"/>
  <c r="B9" i="14" a="1"/>
  <c r="B9" i="14" s="1"/>
  <c r="B10" i="14" a="1"/>
  <c r="B10" i="14" s="1"/>
  <c r="B11" i="14" a="1"/>
  <c r="B11" i="14"/>
  <c r="B12" i="14" a="1"/>
  <c r="B12" i="14"/>
  <c r="B13" i="14" a="1"/>
  <c r="B13" i="14"/>
  <c r="B14" i="14" a="1"/>
  <c r="B14" i="14" s="1"/>
  <c r="B15" i="14" a="1"/>
  <c r="B15" i="14" s="1"/>
  <c r="B16" i="14" a="1"/>
  <c r="B16" i="14" s="1"/>
  <c r="B17" i="14" a="1"/>
  <c r="B17" i="14"/>
  <c r="B18" i="14" a="1"/>
  <c r="B18" i="14"/>
  <c r="B19" i="14" a="1"/>
  <c r="B19" i="14"/>
  <c r="B20" i="14" a="1"/>
  <c r="B20" i="14" s="1"/>
  <c r="B21" i="14" a="1"/>
  <c r="B21" i="14" s="1"/>
  <c r="B22" i="14" a="1"/>
  <c r="B22" i="14" s="1"/>
  <c r="B23" i="14" a="1"/>
  <c r="B23" i="14"/>
  <c r="B24" i="14" a="1"/>
  <c r="B24" i="14"/>
  <c r="B25" i="14" a="1"/>
  <c r="B25" i="14"/>
  <c r="B26" i="14" a="1"/>
  <c r="B26" i="14" s="1"/>
  <c r="B27" i="14" a="1"/>
  <c r="B27" i="14" s="1"/>
  <c r="B28" i="14" a="1"/>
  <c r="B28" i="14" s="1"/>
  <c r="B29" i="14" a="1"/>
  <c r="B29" i="14"/>
  <c r="B30" i="14" a="1"/>
  <c r="B30" i="14"/>
  <c r="B31" i="14" a="1"/>
  <c r="B31" i="14"/>
  <c r="B32" i="14" a="1"/>
  <c r="B32" i="14" s="1"/>
  <c r="B33" i="14" a="1"/>
  <c r="B33" i="14" s="1"/>
  <c r="B34" i="14" a="1"/>
  <c r="B34" i="14" s="1"/>
  <c r="B35" i="14" a="1"/>
  <c r="B35" i="14"/>
  <c r="B36" i="14" a="1"/>
  <c r="B36" i="14"/>
  <c r="B37" i="14" a="1"/>
  <c r="B37" i="14"/>
  <c r="B38" i="14" a="1"/>
  <c r="B38" i="14" s="1"/>
  <c r="B39" i="14" a="1"/>
  <c r="B39" i="14" s="1"/>
  <c r="B40" i="14" a="1"/>
  <c r="B40" i="14" s="1"/>
  <c r="B41" i="14" a="1"/>
  <c r="B41" i="14"/>
  <c r="B42" i="14" a="1"/>
  <c r="B42" i="14"/>
  <c r="B43" i="14" a="1"/>
  <c r="B43" i="14"/>
  <c r="B44" i="14" a="1"/>
  <c r="B44" i="14" s="1"/>
  <c r="B45" i="14" a="1"/>
  <c r="B45" i="14" s="1"/>
  <c r="B46" i="14" a="1"/>
  <c r="B46" i="14" s="1"/>
  <c r="B47" i="14" a="1"/>
  <c r="B47" i="14"/>
  <c r="B48" i="14" a="1"/>
  <c r="B48" i="14"/>
  <c r="B49" i="14" a="1"/>
  <c r="B49" i="14"/>
  <c r="B50" i="14" a="1"/>
  <c r="B50" i="14" s="1"/>
  <c r="B51" i="14" a="1"/>
  <c r="B51" i="14" s="1"/>
  <c r="B52" i="14" a="1"/>
  <c r="B52" i="14" s="1"/>
  <c r="B53" i="14" a="1"/>
  <c r="B53" i="14"/>
  <c r="B54" i="14" a="1"/>
  <c r="B54" i="14"/>
  <c r="B55" i="14" a="1"/>
  <c r="B55" i="14"/>
  <c r="B56" i="14" a="1"/>
  <c r="B56" i="14" s="1"/>
  <c r="B57" i="14" a="1"/>
  <c r="B57" i="14" s="1"/>
  <c r="B58" i="14" a="1"/>
  <c r="B58" i="14" s="1"/>
  <c r="B59" i="14" a="1"/>
  <c r="B59" i="14"/>
  <c r="B60" i="14" a="1"/>
  <c r="B60" i="14"/>
  <c r="B61" i="14" a="1"/>
  <c r="B61" i="14"/>
  <c r="B62" i="14" a="1"/>
  <c r="B62" i="14" s="1"/>
  <c r="B63" i="14" a="1"/>
  <c r="B63" i="14" s="1"/>
  <c r="B64" i="14" a="1"/>
  <c r="B64" i="14" s="1"/>
  <c r="B65" i="14" a="1"/>
  <c r="B65" i="14"/>
  <c r="B66" i="14" a="1"/>
  <c r="B66" i="14"/>
  <c r="B67" i="14" a="1"/>
  <c r="B67" i="14"/>
  <c r="B68" i="14" a="1"/>
  <c r="B68" i="14" s="1"/>
  <c r="B69" i="14" a="1"/>
  <c r="B69" i="14" s="1"/>
  <c r="B70" i="14" a="1"/>
  <c r="B70" i="14" s="1"/>
  <c r="B71" i="14" a="1"/>
  <c r="B71" i="14"/>
  <c r="B72" i="14" a="1"/>
  <c r="B72" i="14"/>
  <c r="B73" i="14" a="1"/>
  <c r="B73" i="14"/>
  <c r="B74" i="14" a="1"/>
  <c r="B74" i="14" s="1"/>
  <c r="B75" i="14" a="1"/>
  <c r="B75" i="14" s="1"/>
  <c r="B76" i="14" a="1"/>
  <c r="B76" i="14" s="1"/>
  <c r="B77" i="14" a="1"/>
  <c r="B77" i="14"/>
  <c r="B78" i="14" a="1"/>
  <c r="B78" i="14"/>
  <c r="B79" i="14" a="1"/>
  <c r="B79" i="14"/>
  <c r="B5" i="14" a="1"/>
  <c r="B5" i="14" s="1"/>
  <c r="M1" i="13" a="1"/>
  <c r="M1" i="13" s="1"/>
  <c r="L1" i="13" a="1"/>
  <c r="L1" i="13" s="1"/>
  <c r="K1" i="13" a="1"/>
  <c r="K1" i="13" s="1"/>
  <c r="J1" i="13" a="1"/>
  <c r="J1" i="13" s="1"/>
  <c r="I1" i="13" a="1"/>
  <c r="I1" i="13" s="1"/>
  <c r="H1" i="13" a="1"/>
  <c r="H1" i="13" s="1"/>
  <c r="G1" i="13"/>
  <c r="G1" i="13" a="1"/>
  <c r="F1" i="13" a="1"/>
  <c r="F1" i="13" s="1"/>
  <c r="D1" i="13" a="1"/>
  <c r="D1" i="13" s="1"/>
  <c r="C1" i="13" a="1"/>
  <c r="C1" i="13" s="1"/>
  <c r="B1" i="13" a="1"/>
  <c r="B1" i="13" s="1"/>
  <c r="F101" i="8" a="1"/>
  <c r="F101" i="8" s="1"/>
  <c r="F24" i="8" a="1"/>
  <c r="F24" i="8" s="1"/>
  <c r="K24" i="8" a="1"/>
  <c r="K24" i="8" s="1"/>
  <c r="F25" i="8" a="1"/>
  <c r="F25" i="8" s="1"/>
  <c r="K25" i="8" a="1"/>
  <c r="K25" i="8" s="1"/>
  <c r="F26" i="8" a="1"/>
  <c r="F26" i="8" s="1"/>
  <c r="K26" i="8" a="1"/>
  <c r="K26" i="8" s="1"/>
  <c r="F27" i="8" a="1"/>
  <c r="F27" i="8" s="1"/>
  <c r="K27" i="8" a="1"/>
  <c r="K27" i="8" s="1"/>
  <c r="F28" i="8" a="1"/>
  <c r="F28" i="8" s="1"/>
  <c r="K28" i="8" a="1"/>
  <c r="K28" i="8" s="1"/>
  <c r="F29" i="8" a="1"/>
  <c r="F29" i="8" s="1"/>
  <c r="K29" i="8" a="1"/>
  <c r="K29" i="8" s="1"/>
  <c r="F30" i="8" a="1"/>
  <c r="F30" i="8" s="1"/>
  <c r="K30" i="8" a="1"/>
  <c r="K30" i="8" s="1"/>
  <c r="F31" i="8" a="1"/>
  <c r="F31" i="8" s="1"/>
  <c r="K31" i="8" a="1"/>
  <c r="K31" i="8" s="1"/>
  <c r="F32" i="8" a="1"/>
  <c r="F32" i="8" s="1"/>
  <c r="K32" i="8" a="1"/>
  <c r="K32" i="8" s="1"/>
  <c r="F33" i="8" a="1"/>
  <c r="F33" i="8" s="1"/>
  <c r="K33" i="8" a="1"/>
  <c r="K33" i="8" s="1"/>
  <c r="F34" i="8" a="1"/>
  <c r="F34" i="8" s="1"/>
  <c r="K34" i="8" a="1"/>
  <c r="K34" i="8" s="1"/>
  <c r="F35" i="8" a="1"/>
  <c r="F35" i="8" s="1"/>
  <c r="K35" i="8" a="1"/>
  <c r="K35" i="8" s="1"/>
  <c r="F36" i="8" a="1"/>
  <c r="F36" i="8" s="1"/>
  <c r="K36" i="8" a="1"/>
  <c r="K36" i="8" s="1"/>
  <c r="F37" i="8" a="1"/>
  <c r="F37" i="8" s="1"/>
  <c r="K37" i="8" a="1"/>
  <c r="K37" i="8" s="1"/>
  <c r="F38" i="8" a="1"/>
  <c r="F38" i="8" s="1"/>
  <c r="K38" i="8" a="1"/>
  <c r="K38" i="8" s="1"/>
  <c r="F39" i="8" a="1"/>
  <c r="F39" i="8" s="1"/>
  <c r="K39" i="8" a="1"/>
  <c r="K39" i="8" s="1"/>
  <c r="F40" i="8" a="1"/>
  <c r="F40" i="8" s="1"/>
  <c r="K40" i="8" a="1"/>
  <c r="K40" i="8" s="1"/>
  <c r="F41" i="8" a="1"/>
  <c r="F41" i="8" s="1"/>
  <c r="K41" i="8" a="1"/>
  <c r="K41" i="8" s="1"/>
  <c r="F42" i="8" a="1"/>
  <c r="F42" i="8" s="1"/>
  <c r="K42" i="8" a="1"/>
  <c r="K42" i="8" s="1"/>
  <c r="F43" i="8" a="1"/>
  <c r="F43" i="8" s="1"/>
  <c r="K43" i="8" a="1"/>
  <c r="K43" i="8" s="1"/>
  <c r="F44" i="8" a="1"/>
  <c r="F44" i="8" s="1"/>
  <c r="K44" i="8" a="1"/>
  <c r="K44" i="8" s="1"/>
  <c r="F45" i="8" a="1"/>
  <c r="F45" i="8" s="1"/>
  <c r="K45" i="8" a="1"/>
  <c r="K45" i="8" s="1"/>
  <c r="F46" i="8" a="1"/>
  <c r="F46" i="8" s="1"/>
  <c r="K46" i="8" a="1"/>
  <c r="K46" i="8" s="1"/>
  <c r="F47" i="8" a="1"/>
  <c r="F47" i="8" s="1"/>
  <c r="K47" i="8" a="1"/>
  <c r="K47" i="8" s="1"/>
  <c r="F48" i="8" a="1"/>
  <c r="F48" i="8" s="1"/>
  <c r="K48" i="8" a="1"/>
  <c r="K48" i="8" s="1"/>
  <c r="F49" i="8" a="1"/>
  <c r="F49" i="8" s="1"/>
  <c r="K49" i="8" a="1"/>
  <c r="K49" i="8" s="1"/>
  <c r="F50" i="8" a="1"/>
  <c r="F50" i="8" s="1"/>
  <c r="K50" i="8" a="1"/>
  <c r="K50" i="8" s="1"/>
  <c r="F51" i="8" a="1"/>
  <c r="F51" i="8" s="1"/>
  <c r="K51" i="8" a="1"/>
  <c r="K51" i="8" s="1"/>
  <c r="F52" i="8" a="1"/>
  <c r="F52" i="8" s="1"/>
  <c r="K52" i="8" a="1"/>
  <c r="K52" i="8" s="1"/>
  <c r="F53" i="8" a="1"/>
  <c r="F53" i="8" s="1"/>
  <c r="K53" i="8" a="1"/>
  <c r="K53" i="8" s="1"/>
  <c r="F54" i="8" a="1"/>
  <c r="F54" i="8" s="1"/>
  <c r="K54" i="8" a="1"/>
  <c r="K54" i="8" s="1"/>
  <c r="F55" i="8" a="1"/>
  <c r="F55" i="8" s="1"/>
  <c r="K55" i="8" a="1"/>
  <c r="K55" i="8" s="1"/>
  <c r="F56" i="8" a="1"/>
  <c r="F56" i="8" s="1"/>
  <c r="K56" i="8" a="1"/>
  <c r="K56" i="8" s="1"/>
  <c r="F57" i="8" a="1"/>
  <c r="F57" i="8" s="1"/>
  <c r="K57" i="8" a="1"/>
  <c r="K57" i="8" s="1"/>
  <c r="F58" i="8" a="1"/>
  <c r="F58" i="8" s="1"/>
  <c r="K58" i="8" a="1"/>
  <c r="K58" i="8" s="1"/>
  <c r="F59" i="8" a="1"/>
  <c r="F59" i="8" s="1"/>
  <c r="K59" i="8" a="1"/>
  <c r="K59" i="8" s="1"/>
  <c r="F60" i="8" a="1"/>
  <c r="F60" i="8" s="1"/>
  <c r="K60" i="8" a="1"/>
  <c r="K60" i="8" s="1"/>
  <c r="F61" i="8" a="1"/>
  <c r="F61" i="8" s="1"/>
  <c r="K61" i="8" a="1"/>
  <c r="K61" i="8" s="1"/>
  <c r="F62" i="8" a="1"/>
  <c r="F62" i="8" s="1"/>
  <c r="K62" i="8" a="1"/>
  <c r="K62" i="8" s="1"/>
  <c r="F63" i="8" a="1"/>
  <c r="F63" i="8" s="1"/>
  <c r="K63" i="8" a="1"/>
  <c r="K63" i="8" s="1"/>
  <c r="F64" i="8" a="1"/>
  <c r="F64" i="8" s="1"/>
  <c r="K64" i="8" a="1"/>
  <c r="K64" i="8" s="1"/>
  <c r="F65" i="8" a="1"/>
  <c r="F65" i="8" s="1"/>
  <c r="K65" i="8" a="1"/>
  <c r="K65" i="8" s="1"/>
  <c r="F66" i="8" a="1"/>
  <c r="F66" i="8" s="1"/>
  <c r="K66" i="8" a="1"/>
  <c r="K66" i="8" s="1"/>
  <c r="F67" i="8" a="1"/>
  <c r="F67" i="8" s="1"/>
  <c r="K67" i="8" a="1"/>
  <c r="K67" i="8" s="1"/>
  <c r="F68" i="8" a="1"/>
  <c r="F68" i="8" s="1"/>
  <c r="K68" i="8" a="1"/>
  <c r="K68" i="8" s="1"/>
  <c r="F69" i="8" a="1"/>
  <c r="F69" i="8" s="1"/>
  <c r="K69" i="8" a="1"/>
  <c r="K69" i="8" s="1"/>
  <c r="F70" i="8" a="1"/>
  <c r="F70" i="8" s="1"/>
  <c r="K70" i="8" a="1"/>
  <c r="K70" i="8" s="1"/>
  <c r="F71" i="8" a="1"/>
  <c r="F71" i="8" s="1"/>
  <c r="K71" i="8" a="1"/>
  <c r="K71" i="8" s="1"/>
  <c r="F72" i="8" a="1"/>
  <c r="F72" i="8" s="1"/>
  <c r="K72" i="8" a="1"/>
  <c r="K72" i="8" s="1"/>
  <c r="F73" i="8" a="1"/>
  <c r="F73" i="8" s="1"/>
  <c r="K73" i="8" a="1"/>
  <c r="K73" i="8" s="1"/>
  <c r="F74" i="8" a="1"/>
  <c r="F74" i="8" s="1"/>
  <c r="K74" i="8" a="1"/>
  <c r="K74" i="8" s="1"/>
  <c r="F75" i="8" a="1"/>
  <c r="F75" i="8" s="1"/>
  <c r="K75" i="8" a="1"/>
  <c r="K75" i="8" s="1"/>
  <c r="F76" i="8" a="1"/>
  <c r="F76" i="8" s="1"/>
  <c r="K76" i="8" a="1"/>
  <c r="K76" i="8" s="1"/>
  <c r="F77" i="8" a="1"/>
  <c r="F77" i="8" s="1"/>
  <c r="K77" i="8" a="1"/>
  <c r="K77" i="8" s="1"/>
  <c r="F78" i="8" a="1"/>
  <c r="F78" i="8" s="1"/>
  <c r="K78" i="8" a="1"/>
  <c r="K78" i="8" s="1"/>
  <c r="F79" i="8" a="1"/>
  <c r="F79" i="8" s="1"/>
  <c r="K79" i="8" a="1"/>
  <c r="K79" i="8" s="1"/>
  <c r="F80" i="8" a="1"/>
  <c r="F80" i="8" s="1"/>
  <c r="K80" i="8" a="1"/>
  <c r="K80" i="8" s="1"/>
  <c r="F81" i="8" a="1"/>
  <c r="F81" i="8" s="1"/>
  <c r="K81" i="8" a="1"/>
  <c r="K81" i="8" s="1"/>
  <c r="F82" i="8" a="1"/>
  <c r="F82" i="8" s="1"/>
  <c r="K82" i="8" a="1"/>
  <c r="K82" i="8" s="1"/>
  <c r="F83" i="8" a="1"/>
  <c r="F83" i="8" s="1"/>
  <c r="K83" i="8" a="1"/>
  <c r="K83" i="8" s="1"/>
  <c r="F84" i="8" a="1"/>
  <c r="F84" i="8" s="1"/>
  <c r="K84" i="8" a="1"/>
  <c r="K84" i="8" s="1"/>
  <c r="F85" i="8" a="1"/>
  <c r="F85" i="8" s="1"/>
  <c r="K85" i="8" a="1"/>
  <c r="K85" i="8" s="1"/>
  <c r="F86" i="8" a="1"/>
  <c r="F86" i="8" s="1"/>
  <c r="K86" i="8" a="1"/>
  <c r="K86" i="8" s="1"/>
  <c r="F87" i="8" a="1"/>
  <c r="F87" i="8" s="1"/>
  <c r="K87" i="8" a="1"/>
  <c r="K87" i="8" s="1"/>
  <c r="F88" i="8" a="1"/>
  <c r="F88" i="8" s="1"/>
  <c r="K88" i="8" a="1"/>
  <c r="K88" i="8" s="1"/>
  <c r="F89" i="8" a="1"/>
  <c r="F89" i="8" s="1"/>
  <c r="K89" i="8" a="1"/>
  <c r="K89" i="8" s="1"/>
  <c r="F90" i="8" a="1"/>
  <c r="F90" i="8" s="1"/>
  <c r="K90" i="8" a="1"/>
  <c r="K90" i="8" s="1"/>
  <c r="F91" i="8" a="1"/>
  <c r="F91" i="8" s="1"/>
  <c r="K91" i="8" a="1"/>
  <c r="K91" i="8" s="1"/>
  <c r="F92" i="8" a="1"/>
  <c r="F92" i="8" s="1"/>
  <c r="K92" i="8" a="1"/>
  <c r="K92" i="8" s="1"/>
  <c r="F93" i="8" a="1"/>
  <c r="F93" i="8" s="1"/>
  <c r="K93" i="8" a="1"/>
  <c r="K93" i="8" s="1"/>
  <c r="F94" i="8" a="1"/>
  <c r="F94" i="8" s="1"/>
  <c r="K94" i="8" a="1"/>
  <c r="K94" i="8" s="1"/>
  <c r="F95" i="8" a="1"/>
  <c r="F95" i="8" s="1"/>
  <c r="K95" i="8" a="1"/>
  <c r="K95" i="8" s="1"/>
  <c r="F96" i="8" a="1"/>
  <c r="F96" i="8" s="1"/>
  <c r="K96" i="8" a="1"/>
  <c r="K96" i="8" s="1"/>
  <c r="F97" i="8" a="1"/>
  <c r="F97" i="8" s="1"/>
  <c r="K97" i="8" a="1"/>
  <c r="K97" i="8" s="1"/>
  <c r="F98" i="8" a="1"/>
  <c r="F98" i="8" s="1"/>
  <c r="K98" i="8" a="1"/>
  <c r="K98" i="8" s="1"/>
  <c r="F99" i="8" a="1"/>
  <c r="F99" i="8" s="1"/>
  <c r="K99" i="8" a="1"/>
  <c r="K99" i="8" s="1"/>
  <c r="F100" i="8" a="1"/>
  <c r="F100" i="8" s="1"/>
  <c r="K100" i="8" a="1"/>
  <c r="K100" i="8" s="1"/>
  <c r="K101" i="8" a="1"/>
  <c r="K101" i="8" s="1"/>
  <c r="F102" i="8" a="1"/>
  <c r="F102" i="8" s="1"/>
  <c r="K102" i="8" a="1"/>
  <c r="K102" i="8" s="1"/>
  <c r="F103" i="8" a="1"/>
  <c r="F103" i="8" s="1"/>
  <c r="K103" i="8" a="1"/>
  <c r="K103" i="8" s="1"/>
  <c r="F104" i="8" a="1"/>
  <c r="F104" i="8" s="1"/>
  <c r="K104" i="8" a="1"/>
  <c r="K104" i="8" s="1"/>
  <c r="F105" i="8" a="1"/>
  <c r="F105" i="8" s="1"/>
  <c r="K105" i="8" a="1"/>
  <c r="K105" i="8" s="1"/>
  <c r="F7" i="8" a="1"/>
  <c r="F7" i="8" s="1"/>
  <c r="K7" i="8" a="1"/>
  <c r="K7" i="8" s="1"/>
  <c r="F8" i="8" a="1"/>
  <c r="F8" i="8" s="1"/>
  <c r="K8" i="8" a="1"/>
  <c r="K8" i="8" s="1"/>
  <c r="F9" i="8" a="1"/>
  <c r="F9" i="8" s="1"/>
  <c r="K9" i="8" a="1"/>
  <c r="K9" i="8" s="1"/>
  <c r="F10" i="8" a="1"/>
  <c r="F10" i="8" s="1"/>
  <c r="K10" i="8" a="1"/>
  <c r="K10" i="8" s="1"/>
  <c r="F11" i="8" a="1"/>
  <c r="F11" i="8" s="1"/>
  <c r="K11" i="8" a="1"/>
  <c r="K11" i="8" s="1"/>
  <c r="F12" i="8" a="1"/>
  <c r="F12" i="8" s="1"/>
  <c r="K12" i="8" a="1"/>
  <c r="K12" i="8" s="1"/>
  <c r="F13" i="8" a="1"/>
  <c r="F13" i="8" s="1"/>
  <c r="K13" i="8" a="1"/>
  <c r="K13" i="8" s="1"/>
  <c r="F14" i="8" a="1"/>
  <c r="F14" i="8" s="1"/>
  <c r="K14" i="8" a="1"/>
  <c r="K14" i="8" s="1"/>
  <c r="F15" i="8" a="1"/>
  <c r="F15" i="8" s="1"/>
  <c r="K15" i="8" a="1"/>
  <c r="K15" i="8" s="1"/>
  <c r="F16" i="8" a="1"/>
  <c r="F16" i="8" s="1"/>
  <c r="K16" i="8" a="1"/>
  <c r="K16" i="8" s="1"/>
  <c r="F17" i="8" a="1"/>
  <c r="F17" i="8" s="1"/>
  <c r="K17" i="8" a="1"/>
  <c r="K17" i="8" s="1"/>
  <c r="F18" i="8" a="1"/>
  <c r="F18" i="8" s="1"/>
  <c r="H18" i="8" a="1"/>
  <c r="H18" i="8" s="1"/>
  <c r="I18" i="8" a="1"/>
  <c r="I18" i="8" s="1"/>
  <c r="K18" i="8" a="1"/>
  <c r="K18" i="8" s="1"/>
  <c r="F19" i="8" a="1"/>
  <c r="F19" i="8" s="1"/>
  <c r="K19" i="8" a="1"/>
  <c r="K19" i="8" s="1"/>
  <c r="F20" i="8" a="1"/>
  <c r="F20" i="8" s="1"/>
  <c r="K20" i="8" a="1"/>
  <c r="K20" i="8" s="1"/>
  <c r="F21" i="8" a="1"/>
  <c r="F21" i="8" s="1"/>
  <c r="K21" i="8" a="1"/>
  <c r="K21" i="8" s="1"/>
  <c r="F22" i="8" a="1"/>
  <c r="F22" i="8" s="1"/>
  <c r="K22" i="8" a="1"/>
  <c r="K22" i="8" s="1"/>
  <c r="F23" i="8" a="1"/>
  <c r="F23" i="8" s="1"/>
  <c r="K23" i="8" a="1"/>
  <c r="K23" i="8" s="1"/>
  <c r="G6" i="8" a="1"/>
  <c r="G6" i="8" s="1"/>
  <c r="K6" i="8" a="1"/>
  <c r="K6" i="8" s="1"/>
  <c r="F6" i="8" a="1"/>
  <c r="F6" i="8" s="1"/>
  <c r="R2" i="4" a="1"/>
  <c r="R2" i="4" s="1"/>
  <c r="H2" i="4" a="1"/>
  <c r="H2" i="4" s="1"/>
  <c r="I2" i="4" a="1"/>
  <c r="I2" i="4" s="1"/>
  <c r="J2" i="4" a="1"/>
  <c r="J2" i="4"/>
  <c r="K2" i="4" a="1"/>
  <c r="K2" i="4" s="1"/>
  <c r="L2" i="4" a="1"/>
  <c r="L2" i="4" s="1"/>
  <c r="M2" i="4" a="1"/>
  <c r="M2" i="4"/>
  <c r="N2" i="4" a="1"/>
  <c r="N2" i="4" s="1"/>
  <c r="O2" i="4" a="1"/>
  <c r="O2" i="4" s="1"/>
  <c r="P2" i="4" a="1"/>
  <c r="P2" i="4" s="1"/>
  <c r="Q2" i="4" a="1"/>
  <c r="Q2" i="4" s="1"/>
  <c r="G2" i="8"/>
  <c r="H2" i="8" s="1"/>
  <c r="I2" i="8" s="1"/>
  <c r="J2" i="8" s="1"/>
  <c r="J102" i="8" s="1" a="1"/>
  <c r="J102" i="8" s="1"/>
  <c r="G2" i="5" a="1"/>
  <c r="G2" i="5" s="1"/>
  <c r="H2" i="5" a="1"/>
  <c r="H2" i="5" s="1"/>
  <c r="M2" i="5" a="1"/>
  <c r="M2" i="5" s="1"/>
  <c r="I2" i="5" a="1"/>
  <c r="I2" i="5" s="1"/>
  <c r="K2" i="5" a="1"/>
  <c r="K2" i="5" s="1"/>
  <c r="J2" i="5" a="1"/>
  <c r="J2" i="5" s="1"/>
  <c r="L2" i="5" a="1"/>
  <c r="L2" i="5" s="1"/>
  <c r="F2" i="5" a="1"/>
  <c r="F2" i="5" s="1"/>
  <c r="E2" i="7" a="1"/>
  <c r="E2" i="7" s="1"/>
  <c r="C2" i="7" a="1"/>
  <c r="C2" i="7" s="1"/>
  <c r="D2" i="7" a="1"/>
  <c r="D2" i="7" s="1"/>
  <c r="F2" i="7" a="1"/>
  <c r="F2" i="7" s="1"/>
  <c r="G2" i="7" a="1"/>
  <c r="G2" i="7" s="1"/>
  <c r="H2" i="7" a="1"/>
  <c r="H2" i="7" s="1"/>
  <c r="I2" i="7" a="1"/>
  <c r="I2" i="7" s="1"/>
  <c r="B2" i="7" a="1"/>
  <c r="B2" i="7" s="1"/>
  <c r="W5" i="11"/>
  <c r="J7" i="29" l="1" a="1"/>
  <c r="J7" i="29" s="1"/>
  <c r="F7" i="29" a="1"/>
  <c r="F7" i="29" s="1"/>
  <c r="G10" i="29" a="1"/>
  <c r="G10" i="29" s="1"/>
  <c r="F13" i="29" a="1"/>
  <c r="F13" i="29" s="1"/>
  <c r="G21" i="16" a="1"/>
  <c r="G21" i="16" s="1"/>
  <c r="O53" i="47" a="1"/>
  <c r="O53" i="47" s="1"/>
  <c r="N53" i="47" a="1"/>
  <c r="N53" i="47" s="1"/>
  <c r="M53" i="47"/>
  <c r="O8" i="47" a="1"/>
  <c r="O8" i="47" s="1"/>
  <c r="N8" i="47" a="1"/>
  <c r="N8" i="47" s="1"/>
  <c r="M8" i="47"/>
  <c r="O42" i="47" a="1"/>
  <c r="O42" i="47" s="1"/>
  <c r="N42" i="47" a="1"/>
  <c r="N42" i="47" s="1"/>
  <c r="M42" i="47"/>
  <c r="N33" i="47" a="1"/>
  <c r="N33" i="47" s="1"/>
  <c r="M33" i="47"/>
  <c r="O33" i="47" a="1"/>
  <c r="O33" i="47" s="1"/>
  <c r="N45" i="47" a="1"/>
  <c r="N45" i="47" s="1"/>
  <c r="M45" i="47"/>
  <c r="O45" i="47" a="1"/>
  <c r="O45" i="47" s="1"/>
  <c r="N21" i="47" a="1"/>
  <c r="N21" i="47" s="1"/>
  <c r="M21" i="47"/>
  <c r="O21" i="47" a="1"/>
  <c r="O21" i="47" s="1"/>
  <c r="N5" i="47" a="1"/>
  <c r="N5" i="47" s="1"/>
  <c r="O5" i="47" a="1"/>
  <c r="O5" i="47" s="1"/>
  <c r="M5" i="47"/>
  <c r="O32" i="47" a="1"/>
  <c r="O32" i="47" s="1"/>
  <c r="N32" i="47" a="1"/>
  <c r="N32" i="47" s="1"/>
  <c r="M32" i="47"/>
  <c r="O11" i="47" a="1"/>
  <c r="O11" i="47" s="1"/>
  <c r="N11" i="47" a="1"/>
  <c r="N11" i="47" s="1"/>
  <c r="M11" i="47"/>
  <c r="M14" i="47"/>
  <c r="N14" i="47" a="1"/>
  <c r="N14" i="47" s="1"/>
  <c r="O14" i="47" a="1"/>
  <c r="O14" i="47" s="1"/>
  <c r="O20" i="47" a="1"/>
  <c r="O20" i="47" s="1"/>
  <c r="N20" i="47" a="1"/>
  <c r="N20" i="47" s="1"/>
  <c r="M20" i="47"/>
  <c r="N29" i="47" a="1"/>
  <c r="N29" i="47" s="1"/>
  <c r="O29" i="47" a="1"/>
  <c r="O29" i="47" s="1"/>
  <c r="M29" i="47"/>
  <c r="O44" i="47" a="1"/>
  <c r="O44" i="47" s="1"/>
  <c r="N44" i="47" a="1"/>
  <c r="N44" i="47" s="1"/>
  <c r="M44" i="47"/>
  <c r="O23" i="47" a="1"/>
  <c r="O23" i="47" s="1"/>
  <c r="N23" i="47" a="1"/>
  <c r="N23" i="47" s="1"/>
  <c r="M23" i="47"/>
  <c r="M26" i="47"/>
  <c r="N26" i="47" a="1"/>
  <c r="N26" i="47" s="1"/>
  <c r="O26" i="47" a="1"/>
  <c r="O26" i="47" s="1"/>
  <c r="M46" i="47"/>
  <c r="O46" i="47" a="1"/>
  <c r="O46" i="47" s="1"/>
  <c r="N46" i="47" a="1"/>
  <c r="N46" i="47" s="1"/>
  <c r="O22" i="47" a="1"/>
  <c r="O22" i="47" s="1"/>
  <c r="N22" i="47" a="1"/>
  <c r="N22" i="47" s="1"/>
  <c r="M22" i="47"/>
  <c r="O15" i="47" a="1"/>
  <c r="O15" i="47" s="1"/>
  <c r="N15" i="47" a="1"/>
  <c r="N15" i="47" s="1"/>
  <c r="M15" i="47"/>
  <c r="O35" i="47" a="1"/>
  <c r="O35" i="47" s="1"/>
  <c r="N35" i="47" a="1"/>
  <c r="N35" i="47" s="1"/>
  <c r="M35" i="47"/>
  <c r="M38" i="47"/>
  <c r="O38" i="47" a="1"/>
  <c r="O38" i="47" s="1"/>
  <c r="N38" i="47" a="1"/>
  <c r="N38" i="47" s="1"/>
  <c r="O36" i="47" a="1"/>
  <c r="O36" i="47" s="1"/>
  <c r="N36" i="47" a="1"/>
  <c r="N36" i="47" s="1"/>
  <c r="M36" i="47"/>
  <c r="O13" i="47" a="1"/>
  <c r="O13" i="47" s="1"/>
  <c r="N13" i="47" a="1"/>
  <c r="N13" i="47" s="1"/>
  <c r="M13" i="47"/>
  <c r="O47" i="47" a="1"/>
  <c r="O47" i="47" s="1"/>
  <c r="N47" i="47" a="1"/>
  <c r="N47" i="47" s="1"/>
  <c r="M47" i="47"/>
  <c r="M50" i="47"/>
  <c r="O50" i="47" a="1"/>
  <c r="O50" i="47" s="1"/>
  <c r="N50" i="47" a="1"/>
  <c r="N50" i="47" s="1"/>
  <c r="N41" i="47" a="1"/>
  <c r="N41" i="47" s="1"/>
  <c r="O41" i="47" a="1"/>
  <c r="O41" i="47" s="1"/>
  <c r="M41" i="47"/>
  <c r="O25" i="47" a="1"/>
  <c r="O25" i="47" s="1"/>
  <c r="N25" i="47" a="1"/>
  <c r="N25" i="47" s="1"/>
  <c r="M25" i="47"/>
  <c r="N16" i="47" a="1"/>
  <c r="N16" i="47" s="1"/>
  <c r="M16" i="47"/>
  <c r="O16" i="47" a="1"/>
  <c r="O16" i="47" s="1"/>
  <c r="O39" i="47" a="1"/>
  <c r="O39" i="47" s="1"/>
  <c r="N39" i="47" a="1"/>
  <c r="N39" i="47" s="1"/>
  <c r="M39" i="47"/>
  <c r="O12" i="47" a="1"/>
  <c r="O12" i="47" s="1"/>
  <c r="M12" i="47"/>
  <c r="N12" i="47" a="1"/>
  <c r="N12" i="47" s="1"/>
  <c r="O37" i="47" a="1"/>
  <c r="O37" i="47" s="1"/>
  <c r="N37" i="47" a="1"/>
  <c r="N37" i="47" s="1"/>
  <c r="M37" i="47"/>
  <c r="N28" i="47" a="1"/>
  <c r="N28" i="47" s="1"/>
  <c r="M28" i="47"/>
  <c r="O28" i="47" a="1"/>
  <c r="O28" i="47" s="1"/>
  <c r="O7" i="47" a="1"/>
  <c r="O7" i="47" s="1"/>
  <c r="M7" i="47"/>
  <c r="N7" i="47" a="1"/>
  <c r="N7" i="47" s="1"/>
  <c r="O51" i="47" a="1"/>
  <c r="O51" i="47" s="1"/>
  <c r="N51" i="47" a="1"/>
  <c r="N51" i="47" s="1"/>
  <c r="M51" i="47"/>
  <c r="N17" i="47" a="1"/>
  <c r="N17" i="47" s="1"/>
  <c r="O17" i="47" a="1"/>
  <c r="O17" i="47" s="1"/>
  <c r="M17" i="47"/>
  <c r="O34" i="47" a="1"/>
  <c r="O34" i="47" s="1"/>
  <c r="N34" i="47" a="1"/>
  <c r="N34" i="47" s="1"/>
  <c r="M34" i="47"/>
  <c r="O49" i="47" a="1"/>
  <c r="O49" i="47" s="1"/>
  <c r="N49" i="47" a="1"/>
  <c r="N49" i="47" s="1"/>
  <c r="M49" i="47"/>
  <c r="N40" i="47" a="1"/>
  <c r="N40" i="47" s="1"/>
  <c r="M40" i="47"/>
  <c r="O40" i="47" a="1"/>
  <c r="O40" i="47" s="1"/>
  <c r="O19" i="47" a="1"/>
  <c r="O19" i="47" s="1"/>
  <c r="M19" i="47"/>
  <c r="N19" i="47" a="1"/>
  <c r="N19" i="47" s="1"/>
  <c r="O54" i="47" a="1"/>
  <c r="O54" i="47" s="1"/>
  <c r="N54" i="47" a="1"/>
  <c r="N54" i="47" s="1"/>
  <c r="M54" i="47"/>
  <c r="O10" i="47" a="1"/>
  <c r="O10" i="47" s="1"/>
  <c r="N10" i="47" a="1"/>
  <c r="N10" i="47" s="1"/>
  <c r="M10" i="47"/>
  <c r="O48" i="47" a="1"/>
  <c r="O48" i="47" s="1"/>
  <c r="N48" i="47" a="1"/>
  <c r="N48" i="47" s="1"/>
  <c r="M48" i="47"/>
  <c r="O6" i="47" a="1"/>
  <c r="O6" i="47" s="1"/>
  <c r="N6" i="47" a="1"/>
  <c r="N6" i="47" s="1"/>
  <c r="M6" i="47"/>
  <c r="N52" i="47" a="1"/>
  <c r="N52" i="47" s="1"/>
  <c r="M52" i="47"/>
  <c r="O52" i="47" a="1"/>
  <c r="O52" i="47" s="1"/>
  <c r="O31" i="47" a="1"/>
  <c r="O31" i="47" s="1"/>
  <c r="M31" i="47"/>
  <c r="N31" i="47" a="1"/>
  <c r="N31" i="47" s="1"/>
  <c r="O30" i="47" a="1"/>
  <c r="O30" i="47" s="1"/>
  <c r="N30" i="47" a="1"/>
  <c r="N30" i="47" s="1"/>
  <c r="M30" i="47"/>
  <c r="O24" i="47" a="1"/>
  <c r="O24" i="47" s="1"/>
  <c r="N24" i="47" a="1"/>
  <c r="N24" i="47" s="1"/>
  <c r="M24" i="47"/>
  <c r="O27" i="47" a="1"/>
  <c r="O27" i="47" s="1"/>
  <c r="N27" i="47" a="1"/>
  <c r="N27" i="47" s="1"/>
  <c r="M27" i="47"/>
  <c r="O18" i="47" a="1"/>
  <c r="O18" i="47" s="1"/>
  <c r="N18" i="47" a="1"/>
  <c r="N18" i="47" s="1"/>
  <c r="M18" i="47"/>
  <c r="N9" i="47" a="1"/>
  <c r="N9" i="47" s="1"/>
  <c r="M9" i="47"/>
  <c r="O9" i="47" a="1"/>
  <c r="O9" i="47" s="1"/>
  <c r="O43" i="47" a="1"/>
  <c r="O43" i="47" s="1"/>
  <c r="N43" i="47" a="1"/>
  <c r="N43" i="47" s="1"/>
  <c r="M43" i="47"/>
  <c r="N24" i="45" a="1"/>
  <c r="N24" i="45" s="1"/>
  <c r="N13" i="45" a="1"/>
  <c r="N13" i="45" s="1"/>
  <c r="O12" i="46" a="1"/>
  <c r="O12" i="46" s="1"/>
  <c r="N12" i="46" a="1"/>
  <c r="N12" i="46" s="1"/>
  <c r="M12" i="46"/>
  <c r="O51" i="46" a="1"/>
  <c r="O51" i="46" s="1"/>
  <c r="N51" i="46" a="1"/>
  <c r="N51" i="46" s="1"/>
  <c r="M51" i="46"/>
  <c r="O18" i="46" a="1"/>
  <c r="O18" i="46" s="1"/>
  <c r="N18" i="46" a="1"/>
  <c r="N18" i="46" s="1"/>
  <c r="M18" i="46"/>
  <c r="N9" i="46" a="1"/>
  <c r="N9" i="46" s="1"/>
  <c r="M9" i="46"/>
  <c r="O9" i="46" a="1"/>
  <c r="O9" i="46" s="1"/>
  <c r="O36" i="46" a="1"/>
  <c r="O36" i="46" s="1"/>
  <c r="N36" i="46" a="1"/>
  <c r="N36" i="46" s="1"/>
  <c r="M36" i="46"/>
  <c r="O15" i="46" a="1"/>
  <c r="O15" i="46" s="1"/>
  <c r="N15" i="46" a="1"/>
  <c r="N15" i="46" s="1"/>
  <c r="M15" i="46"/>
  <c r="O30" i="46" a="1"/>
  <c r="O30" i="46" s="1"/>
  <c r="N30" i="46" a="1"/>
  <c r="N30" i="46" s="1"/>
  <c r="M30" i="46"/>
  <c r="N21" i="46" a="1"/>
  <c r="N21" i="46" s="1"/>
  <c r="M21" i="46"/>
  <c r="O21" i="46" a="1"/>
  <c r="O21" i="46" s="1"/>
  <c r="O22" i="46" a="1"/>
  <c r="O22" i="46" s="1"/>
  <c r="N22" i="46" a="1"/>
  <c r="N22" i="46" s="1"/>
  <c r="M22" i="46"/>
  <c r="O27" i="46" a="1"/>
  <c r="O27" i="46" s="1"/>
  <c r="N27" i="46" a="1"/>
  <c r="N27" i="46" s="1"/>
  <c r="M27" i="46"/>
  <c r="O42" i="46" a="1"/>
  <c r="O42" i="46" s="1"/>
  <c r="N42" i="46" a="1"/>
  <c r="N42" i="46" s="1"/>
  <c r="M42" i="46"/>
  <c r="N33" i="46" a="1"/>
  <c r="N33" i="46" s="1"/>
  <c r="M33" i="46"/>
  <c r="O33" i="46" a="1"/>
  <c r="O33" i="46" s="1"/>
  <c r="O53" i="46" a="1"/>
  <c r="O53" i="46" s="1"/>
  <c r="N53" i="46" a="1"/>
  <c r="N53" i="46" s="1"/>
  <c r="M53" i="46"/>
  <c r="O8" i="46" a="1"/>
  <c r="O8" i="46" s="1"/>
  <c r="N8" i="46" a="1"/>
  <c r="N8" i="46" s="1"/>
  <c r="M8" i="46"/>
  <c r="O54" i="46" a="1"/>
  <c r="O54" i="46" s="1"/>
  <c r="N54" i="46" a="1"/>
  <c r="N54" i="46" s="1"/>
  <c r="M54" i="46"/>
  <c r="N45" i="46" a="1"/>
  <c r="N45" i="46" s="1"/>
  <c r="M45" i="46"/>
  <c r="O45" i="46" a="1"/>
  <c r="O45" i="46" s="1"/>
  <c r="O41" i="46" a="1"/>
  <c r="O41" i="46" s="1"/>
  <c r="N41" i="46" a="1"/>
  <c r="N41" i="46" s="1"/>
  <c r="M41" i="46"/>
  <c r="O20" i="46" a="1"/>
  <c r="O20" i="46" s="1"/>
  <c r="N20" i="46" a="1"/>
  <c r="N20" i="46" s="1"/>
  <c r="M20" i="46"/>
  <c r="O11" i="46" a="1"/>
  <c r="O11" i="46" s="1"/>
  <c r="N11" i="46" a="1"/>
  <c r="N11" i="46" s="1"/>
  <c r="M11" i="46"/>
  <c r="M14" i="46"/>
  <c r="O14" i="46" a="1"/>
  <c r="O14" i="46" s="1"/>
  <c r="N14" i="46" a="1"/>
  <c r="N14" i="46" s="1"/>
  <c r="O10" i="46" a="1"/>
  <c r="O10" i="46" s="1"/>
  <c r="N10" i="46" a="1"/>
  <c r="N10" i="46" s="1"/>
  <c r="M10" i="46"/>
  <c r="O32" i="46" a="1"/>
  <c r="O32" i="46" s="1"/>
  <c r="N32" i="46" a="1"/>
  <c r="N32" i="46" s="1"/>
  <c r="M32" i="46"/>
  <c r="O23" i="46" a="1"/>
  <c r="O23" i="46" s="1"/>
  <c r="N23" i="46" a="1"/>
  <c r="N23" i="46" s="1"/>
  <c r="M23" i="46"/>
  <c r="M26" i="46"/>
  <c r="O26" i="46" a="1"/>
  <c r="O26" i="46" s="1"/>
  <c r="N26" i="46" a="1"/>
  <c r="N26" i="46" s="1"/>
  <c r="O34" i="46" a="1"/>
  <c r="O34" i="46" s="1"/>
  <c r="N34" i="46" a="1"/>
  <c r="N34" i="46" s="1"/>
  <c r="M34" i="46"/>
  <c r="O44" i="46" a="1"/>
  <c r="O44" i="46" s="1"/>
  <c r="N44" i="46" a="1"/>
  <c r="N44" i="46" s="1"/>
  <c r="M44" i="46"/>
  <c r="O35" i="46" a="1"/>
  <c r="O35" i="46" s="1"/>
  <c r="N35" i="46" a="1"/>
  <c r="N35" i="46" s="1"/>
  <c r="M35" i="46"/>
  <c r="M38" i="46"/>
  <c r="O38" i="46" a="1"/>
  <c r="O38" i="46" s="1"/>
  <c r="N38" i="46" a="1"/>
  <c r="N38" i="46" s="1"/>
  <c r="O48" i="46" a="1"/>
  <c r="O48" i="46" s="1"/>
  <c r="N48" i="46" a="1"/>
  <c r="N48" i="46" s="1"/>
  <c r="M48" i="46"/>
  <c r="O13" i="46" a="1"/>
  <c r="O13" i="46" s="1"/>
  <c r="N13" i="46" a="1"/>
  <c r="N13" i="46" s="1"/>
  <c r="M13" i="46"/>
  <c r="O47" i="46" a="1"/>
  <c r="O47" i="46" s="1"/>
  <c r="N47" i="46" a="1"/>
  <c r="N47" i="46" s="1"/>
  <c r="M47" i="46"/>
  <c r="M50" i="46"/>
  <c r="O50" i="46" a="1"/>
  <c r="O50" i="46" s="1"/>
  <c r="N50" i="46" a="1"/>
  <c r="N50" i="46" s="1"/>
  <c r="O46" i="46" a="1"/>
  <c r="O46" i="46" s="1"/>
  <c r="N46" i="46" a="1"/>
  <c r="N46" i="46" s="1"/>
  <c r="M46" i="46"/>
  <c r="O25" i="46" a="1"/>
  <c r="O25" i="46" s="1"/>
  <c r="N25" i="46" a="1"/>
  <c r="N25" i="46" s="1"/>
  <c r="M25" i="46"/>
  <c r="N16" i="46" a="1"/>
  <c r="N16" i="46" s="1"/>
  <c r="M16" i="46"/>
  <c r="O16" i="46" a="1"/>
  <c r="O16" i="46" s="1"/>
  <c r="O7" i="46" a="1"/>
  <c r="O7" i="46" s="1"/>
  <c r="N7" i="46" a="1"/>
  <c r="N7" i="46" s="1"/>
  <c r="M7" i="46"/>
  <c r="O24" i="46" a="1"/>
  <c r="O24" i="46" s="1"/>
  <c r="N24" i="46" a="1"/>
  <c r="N24" i="46" s="1"/>
  <c r="M24" i="46"/>
  <c r="O37" i="46" a="1"/>
  <c r="O37" i="46" s="1"/>
  <c r="N37" i="46" a="1"/>
  <c r="N37" i="46" s="1"/>
  <c r="M37" i="46"/>
  <c r="N28" i="46" a="1"/>
  <c r="N28" i="46" s="1"/>
  <c r="M28" i="46"/>
  <c r="O28" i="46" a="1"/>
  <c r="O28" i="46" s="1"/>
  <c r="O19" i="46" a="1"/>
  <c r="O19" i="46" s="1"/>
  <c r="N19" i="46" a="1"/>
  <c r="N19" i="46" s="1"/>
  <c r="M19" i="46"/>
  <c r="O17" i="46" a="1"/>
  <c r="O17" i="46" s="1"/>
  <c r="N17" i="46" a="1"/>
  <c r="N17" i="46" s="1"/>
  <c r="M17" i="46"/>
  <c r="O29" i="46" a="1"/>
  <c r="O29" i="46" s="1"/>
  <c r="N29" i="46" a="1"/>
  <c r="N29" i="46" s="1"/>
  <c r="M29" i="46"/>
  <c r="O49" i="46" a="1"/>
  <c r="O49" i="46" s="1"/>
  <c r="N49" i="46" a="1"/>
  <c r="N49" i="46" s="1"/>
  <c r="M49" i="46"/>
  <c r="N40" i="46" a="1"/>
  <c r="N40" i="46" s="1"/>
  <c r="M40" i="46"/>
  <c r="O40" i="46" a="1"/>
  <c r="O40" i="46" s="1"/>
  <c r="O31" i="46" a="1"/>
  <c r="O31" i="46" s="1"/>
  <c r="N31" i="46" a="1"/>
  <c r="N31" i="46" s="1"/>
  <c r="M31" i="46"/>
  <c r="O5" i="46" a="1"/>
  <c r="O5" i="46" s="1"/>
  <c r="N5" i="46" a="1"/>
  <c r="N5" i="46" s="1"/>
  <c r="M5" i="46"/>
  <c r="O39" i="46" a="1"/>
  <c r="O39" i="46" s="1"/>
  <c r="N39" i="46" a="1"/>
  <c r="N39" i="46" s="1"/>
  <c r="M39" i="46"/>
  <c r="O6" i="46" a="1"/>
  <c r="O6" i="46" s="1"/>
  <c r="N6" i="46" a="1"/>
  <c r="N6" i="46" s="1"/>
  <c r="M6" i="46"/>
  <c r="N52" i="46" a="1"/>
  <c r="N52" i="46" s="1"/>
  <c r="M52" i="46"/>
  <c r="O52" i="46" a="1"/>
  <c r="O52" i="46" s="1"/>
  <c r="O43" i="46" a="1"/>
  <c r="O43" i="46" s="1"/>
  <c r="M43" i="46"/>
  <c r="N43" i="46" a="1"/>
  <c r="N43" i="46" s="1"/>
  <c r="N9" i="45" a="1"/>
  <c r="N9" i="45" s="1"/>
  <c r="O9" i="45" a="1"/>
  <c r="O9" i="45" s="1"/>
  <c r="O13" i="45" a="1"/>
  <c r="O13" i="45" s="1"/>
  <c r="M35" i="44" a="1"/>
  <c r="M35" i="44" s="1"/>
  <c r="N35" i="44" a="1"/>
  <c r="N35" i="44" s="1"/>
  <c r="M47" i="44" a="1"/>
  <c r="M47" i="44" s="1"/>
  <c r="N47" i="44" a="1"/>
  <c r="N47" i="44" s="1"/>
  <c r="O47" i="45" a="1"/>
  <c r="O47" i="45" s="1"/>
  <c r="N47" i="45" a="1"/>
  <c r="N47" i="45" s="1"/>
  <c r="M47" i="45"/>
  <c r="O46" i="45" a="1"/>
  <c r="O46" i="45" s="1"/>
  <c r="N46" i="45" a="1"/>
  <c r="N46" i="45" s="1"/>
  <c r="M46" i="45"/>
  <c r="O27" i="45" a="1"/>
  <c r="O27" i="45" s="1"/>
  <c r="N27" i="45" a="1"/>
  <c r="N27" i="45" s="1"/>
  <c r="M27" i="45"/>
  <c r="M17" i="45"/>
  <c r="O17" i="45" a="1"/>
  <c r="O17" i="45" s="1"/>
  <c r="N17" i="45" a="1"/>
  <c r="N17" i="45" s="1"/>
  <c r="M11" i="44" a="1"/>
  <c r="M11" i="44" s="1"/>
  <c r="N11" i="44" a="1"/>
  <c r="N11" i="44" s="1"/>
  <c r="N12" i="44" a="1"/>
  <c r="N12" i="44" s="1"/>
  <c r="M12" i="44" a="1"/>
  <c r="M12" i="44" s="1"/>
  <c r="N24" i="44" a="1"/>
  <c r="N24" i="44" s="1"/>
  <c r="M24" i="44" a="1"/>
  <c r="M24" i="44" s="1"/>
  <c r="N36" i="44" a="1"/>
  <c r="N36" i="44" s="1"/>
  <c r="M36" i="44" a="1"/>
  <c r="M36" i="44" s="1"/>
  <c r="N48" i="44" a="1"/>
  <c r="N48" i="44" s="1"/>
  <c r="M48" i="44" a="1"/>
  <c r="M48" i="44" s="1"/>
  <c r="O51" i="45" a="1"/>
  <c r="O51" i="45" s="1"/>
  <c r="N51" i="45" a="1"/>
  <c r="N51" i="45" s="1"/>
  <c r="M51" i="45"/>
  <c r="O20" i="45" a="1"/>
  <c r="O20" i="45" s="1"/>
  <c r="M20" i="45"/>
  <c r="N20" i="45" a="1"/>
  <c r="N20" i="45" s="1"/>
  <c r="O34" i="45" a="1"/>
  <c r="O34" i="45" s="1"/>
  <c r="N34" i="45" a="1"/>
  <c r="N34" i="45" s="1"/>
  <c r="M34" i="45"/>
  <c r="O19" i="45" a="1"/>
  <c r="O19" i="45" s="1"/>
  <c r="M19" i="45"/>
  <c r="N19" i="45" a="1"/>
  <c r="N19" i="45" s="1"/>
  <c r="N13" i="44" a="1"/>
  <c r="N13" i="44" s="1"/>
  <c r="M13" i="44" a="1"/>
  <c r="M13" i="44" s="1"/>
  <c r="N25" i="44" a="1"/>
  <c r="N25" i="44" s="1"/>
  <c r="M25" i="44" a="1"/>
  <c r="M25" i="44" s="1"/>
  <c r="N37" i="44" a="1"/>
  <c r="N37" i="44" s="1"/>
  <c r="M37" i="44" a="1"/>
  <c r="M37" i="44" s="1"/>
  <c r="N49" i="44" a="1"/>
  <c r="N49" i="44" s="1"/>
  <c r="M49" i="44" a="1"/>
  <c r="M49" i="44" s="1"/>
  <c r="O54" i="45" a="1"/>
  <c r="O54" i="45" s="1"/>
  <c r="N54" i="45" a="1"/>
  <c r="N54" i="45" s="1"/>
  <c r="M54" i="45"/>
  <c r="M33" i="45"/>
  <c r="O33" i="45" a="1"/>
  <c r="O33" i="45" s="1"/>
  <c r="N33" i="45" a="1"/>
  <c r="N33" i="45" s="1"/>
  <c r="O26" i="45" a="1"/>
  <c r="O26" i="45" s="1"/>
  <c r="N26" i="45" a="1"/>
  <c r="N26" i="45" s="1"/>
  <c r="M26" i="45"/>
  <c r="M14" i="44" a="1"/>
  <c r="M14" i="44" s="1"/>
  <c r="N14" i="44" a="1"/>
  <c r="N14" i="44" s="1"/>
  <c r="M26" i="44" a="1"/>
  <c r="M26" i="44" s="1"/>
  <c r="N26" i="44" a="1"/>
  <c r="N26" i="44" s="1"/>
  <c r="M38" i="44" a="1"/>
  <c r="M38" i="44" s="1"/>
  <c r="N38" i="44" a="1"/>
  <c r="N38" i="44" s="1"/>
  <c r="M50" i="44" a="1"/>
  <c r="M50" i="44" s="1"/>
  <c r="N50" i="44" a="1"/>
  <c r="N50" i="44" s="1"/>
  <c r="O12" i="45" a="1"/>
  <c r="O12" i="45" s="1"/>
  <c r="M12" i="45"/>
  <c r="N12" i="45" a="1"/>
  <c r="N12" i="45" s="1"/>
  <c r="O40" i="45" a="1"/>
  <c r="O40" i="45" s="1"/>
  <c r="N40" i="45" a="1"/>
  <c r="N40" i="45" s="1"/>
  <c r="M40" i="45"/>
  <c r="M23" i="44" a="1"/>
  <c r="M23" i="44" s="1"/>
  <c r="N23" i="44" a="1"/>
  <c r="N23" i="44" s="1"/>
  <c r="N15" i="44" a="1"/>
  <c r="N15" i="44" s="1"/>
  <c r="M15" i="44" a="1"/>
  <c r="M15" i="44" s="1"/>
  <c r="N27" i="44" a="1"/>
  <c r="N27" i="44" s="1"/>
  <c r="M27" i="44" a="1"/>
  <c r="M27" i="44" s="1"/>
  <c r="N39" i="44" a="1"/>
  <c r="N39" i="44" s="1"/>
  <c r="M39" i="44" a="1"/>
  <c r="M39" i="44" s="1"/>
  <c r="N51" i="44" a="1"/>
  <c r="N51" i="44" s="1"/>
  <c r="M51" i="44" a="1"/>
  <c r="M51" i="44" s="1"/>
  <c r="O7" i="45" a="1"/>
  <c r="O7" i="45" s="1"/>
  <c r="M7" i="45"/>
  <c r="N7" i="45" a="1"/>
  <c r="N7" i="45" s="1"/>
  <c r="O35" i="45" a="1"/>
  <c r="O35" i="45" s="1"/>
  <c r="N35" i="45" a="1"/>
  <c r="N35" i="45" s="1"/>
  <c r="M35" i="45"/>
  <c r="N16" i="44" a="1"/>
  <c r="N16" i="44" s="1"/>
  <c r="M16" i="44" a="1"/>
  <c r="M16" i="44" s="1"/>
  <c r="N28" i="44" a="1"/>
  <c r="N28" i="44" s="1"/>
  <c r="M28" i="44" a="1"/>
  <c r="M28" i="44" s="1"/>
  <c r="N40" i="44" a="1"/>
  <c r="N40" i="44" s="1"/>
  <c r="M40" i="44" a="1"/>
  <c r="M40" i="44" s="1"/>
  <c r="N52" i="44" a="1"/>
  <c r="N52" i="44" s="1"/>
  <c r="M52" i="44" a="1"/>
  <c r="M52" i="44" s="1"/>
  <c r="O14" i="45" a="1"/>
  <c r="O14" i="45" s="1"/>
  <c r="M14" i="45"/>
  <c r="N14" i="45" a="1"/>
  <c r="N14" i="45" s="1"/>
  <c r="N41" i="45" a="1"/>
  <c r="N41" i="45" s="1"/>
  <c r="M41" i="45"/>
  <c r="O41" i="45" a="1"/>
  <c r="O41" i="45" s="1"/>
  <c r="O42" i="45" a="1"/>
  <c r="O42" i="45" s="1"/>
  <c r="N42" i="45" a="1"/>
  <c r="N42" i="45" s="1"/>
  <c r="M42" i="45"/>
  <c r="N21" i="45" a="1"/>
  <c r="N21" i="45" s="1"/>
  <c r="M21" i="45"/>
  <c r="O21" i="45" a="1"/>
  <c r="O21" i="45" s="1"/>
  <c r="N6" i="44" a="1"/>
  <c r="N6" i="44" s="1"/>
  <c r="M6" i="44" a="1"/>
  <c r="M6" i="44" s="1"/>
  <c r="M17" i="44" a="1"/>
  <c r="M17" i="44" s="1"/>
  <c r="N17" i="44" a="1"/>
  <c r="N17" i="44" s="1"/>
  <c r="M29" i="44" a="1"/>
  <c r="M29" i="44" s="1"/>
  <c r="N29" i="44" a="1"/>
  <c r="N29" i="44" s="1"/>
  <c r="M41" i="44" a="1"/>
  <c r="M41" i="44" s="1"/>
  <c r="N41" i="44" a="1"/>
  <c r="N41" i="44" s="1"/>
  <c r="M53" i="44" a="1"/>
  <c r="M53" i="44" s="1"/>
  <c r="N53" i="44" a="1"/>
  <c r="N53" i="44" s="1"/>
  <c r="O52" i="45" a="1"/>
  <c r="O52" i="45" s="1"/>
  <c r="N52" i="45" a="1"/>
  <c r="N52" i="45" s="1"/>
  <c r="M52" i="45"/>
  <c r="O48" i="45" a="1"/>
  <c r="O48" i="45" s="1"/>
  <c r="N48" i="45" a="1"/>
  <c r="N48" i="45" s="1"/>
  <c r="M48" i="45"/>
  <c r="M29" i="45"/>
  <c r="O29" i="45" a="1"/>
  <c r="O29" i="45" s="1"/>
  <c r="N29" i="45" a="1"/>
  <c r="N29" i="45" s="1"/>
  <c r="O28" i="45" a="1"/>
  <c r="O28" i="45" s="1"/>
  <c r="M28" i="45"/>
  <c r="N28" i="45" a="1"/>
  <c r="N28" i="45" s="1"/>
  <c r="N5" i="44" a="1"/>
  <c r="N5" i="44" s="1"/>
  <c r="M5" i="44" a="1"/>
  <c r="M5" i="44" s="1"/>
  <c r="N18" i="44" a="1"/>
  <c r="N18" i="44" s="1"/>
  <c r="M18" i="44" a="1"/>
  <c r="M18" i="44" s="1"/>
  <c r="N30" i="44" a="1"/>
  <c r="N30" i="44" s="1"/>
  <c r="M30" i="44" a="1"/>
  <c r="M30" i="44" s="1"/>
  <c r="N42" i="44" a="1"/>
  <c r="N42" i="44" s="1"/>
  <c r="M42" i="44" a="1"/>
  <c r="M42" i="44" s="1"/>
  <c r="N54" i="44" a="1"/>
  <c r="N54" i="44" s="1"/>
  <c r="M54" i="44" a="1"/>
  <c r="M54" i="44" s="1"/>
  <c r="O8" i="45" a="1"/>
  <c r="O8" i="45" s="1"/>
  <c r="M8" i="45"/>
  <c r="N8" i="45" a="1"/>
  <c r="N8" i="45" s="1"/>
  <c r="O43" i="45" a="1"/>
  <c r="O43" i="45" s="1"/>
  <c r="N43" i="45" a="1"/>
  <c r="N43" i="45" s="1"/>
  <c r="M43" i="45"/>
  <c r="O36" i="45" a="1"/>
  <c r="O36" i="45" s="1"/>
  <c r="N36" i="45" a="1"/>
  <c r="N36" i="45" s="1"/>
  <c r="M36" i="45"/>
  <c r="O23" i="45" a="1"/>
  <c r="O23" i="45" s="1"/>
  <c r="M23" i="45"/>
  <c r="N23" i="45" a="1"/>
  <c r="N23" i="45" s="1"/>
  <c r="N7" i="44" a="1"/>
  <c r="N7" i="44" s="1"/>
  <c r="M7" i="44" a="1"/>
  <c r="M7" i="44" s="1"/>
  <c r="N19" i="44" a="1"/>
  <c r="N19" i="44" s="1"/>
  <c r="M19" i="44" a="1"/>
  <c r="M19" i="44" s="1"/>
  <c r="N31" i="44" a="1"/>
  <c r="N31" i="44" s="1"/>
  <c r="M31" i="44" a="1"/>
  <c r="M31" i="44" s="1"/>
  <c r="N43" i="44" a="1"/>
  <c r="N43" i="44" s="1"/>
  <c r="M43" i="44" a="1"/>
  <c r="M43" i="44" s="1"/>
  <c r="O16" i="45" a="1"/>
  <c r="O16" i="45" s="1"/>
  <c r="M16" i="45"/>
  <c r="N16" i="45" a="1"/>
  <c r="N16" i="45" s="1"/>
  <c r="O53" i="45" a="1"/>
  <c r="O53" i="45" s="1"/>
  <c r="N53" i="45" a="1"/>
  <c r="N53" i="45" s="1"/>
  <c r="M53" i="45"/>
  <c r="O49" i="45" a="1"/>
  <c r="O49" i="45" s="1"/>
  <c r="N49" i="45" a="1"/>
  <c r="N49" i="45" s="1"/>
  <c r="M49" i="45"/>
  <c r="O31" i="45" a="1"/>
  <c r="O31" i="45" s="1"/>
  <c r="N31" i="45" a="1"/>
  <c r="N31" i="45" s="1"/>
  <c r="M31" i="45"/>
  <c r="O30" i="45" a="1"/>
  <c r="O30" i="45" s="1"/>
  <c r="N30" i="45" a="1"/>
  <c r="N30" i="45" s="1"/>
  <c r="M30" i="45"/>
  <c r="M8" i="44" a="1"/>
  <c r="M8" i="44" s="1"/>
  <c r="N8" i="44" a="1"/>
  <c r="N8" i="44" s="1"/>
  <c r="M20" i="44" a="1"/>
  <c r="M20" i="44" s="1"/>
  <c r="N20" i="44" a="1"/>
  <c r="N20" i="44" s="1"/>
  <c r="M32" i="44" a="1"/>
  <c r="M32" i="44" s="1"/>
  <c r="N32" i="44" a="1"/>
  <c r="N32" i="44" s="1"/>
  <c r="M44" i="44" a="1"/>
  <c r="M44" i="44" s="1"/>
  <c r="N44" i="44" a="1"/>
  <c r="N44" i="44" s="1"/>
  <c r="O11" i="45" a="1"/>
  <c r="O11" i="45" s="1"/>
  <c r="M11" i="45"/>
  <c r="N11" i="45" a="1"/>
  <c r="N11" i="45" s="1"/>
  <c r="O10" i="45" a="1"/>
  <c r="O10" i="45" s="1"/>
  <c r="M10" i="45"/>
  <c r="N10" i="45" a="1"/>
  <c r="N10" i="45" s="1"/>
  <c r="N37" i="45" a="1"/>
  <c r="N37" i="45" s="1"/>
  <c r="M37" i="45"/>
  <c r="O37" i="45" a="1"/>
  <c r="O37" i="45" s="1"/>
  <c r="O38" i="45" a="1"/>
  <c r="O38" i="45" s="1"/>
  <c r="N38" i="45" a="1"/>
  <c r="N38" i="45" s="1"/>
  <c r="M38" i="45"/>
  <c r="N9" i="44" a="1"/>
  <c r="N9" i="44" s="1"/>
  <c r="M9" i="44" a="1"/>
  <c r="M9" i="44" s="1"/>
  <c r="N21" i="44" a="1"/>
  <c r="N21" i="44" s="1"/>
  <c r="M21" i="44" a="1"/>
  <c r="M21" i="44" s="1"/>
  <c r="N33" i="44" a="1"/>
  <c r="N33" i="44" s="1"/>
  <c r="M33" i="44" a="1"/>
  <c r="M33" i="44" s="1"/>
  <c r="N45" i="44" a="1"/>
  <c r="N45" i="44" s="1"/>
  <c r="M45" i="44" a="1"/>
  <c r="M45" i="44" s="1"/>
  <c r="O18" i="45" a="1"/>
  <c r="O18" i="45" s="1"/>
  <c r="N18" i="45" a="1"/>
  <c r="N18" i="45" s="1"/>
  <c r="M18" i="45"/>
  <c r="N45" i="45" a="1"/>
  <c r="N45" i="45" s="1"/>
  <c r="M45" i="45"/>
  <c r="O45" i="45" a="1"/>
  <c r="O45" i="45" s="1"/>
  <c r="O44" i="45" a="1"/>
  <c r="O44" i="45" s="1"/>
  <c r="N44" i="45" a="1"/>
  <c r="N44" i="45" s="1"/>
  <c r="M44" i="45"/>
  <c r="N25" i="45" a="1"/>
  <c r="N25" i="45" s="1"/>
  <c r="M25" i="45"/>
  <c r="O25" i="45" a="1"/>
  <c r="O25" i="45" s="1"/>
  <c r="N10" i="44" a="1"/>
  <c r="N10" i="44" s="1"/>
  <c r="M10" i="44" a="1"/>
  <c r="M10" i="44" s="1"/>
  <c r="N22" i="44" a="1"/>
  <c r="N22" i="44" s="1"/>
  <c r="M22" i="44" a="1"/>
  <c r="M22" i="44" s="1"/>
  <c r="N34" i="44" a="1"/>
  <c r="N34" i="44" s="1"/>
  <c r="M34" i="44" a="1"/>
  <c r="M34" i="44" s="1"/>
  <c r="N46" i="44" a="1"/>
  <c r="N46" i="44" s="1"/>
  <c r="M46" i="44" a="1"/>
  <c r="M46" i="44" s="1"/>
  <c r="O50" i="45" a="1"/>
  <c r="O50" i="45" s="1"/>
  <c r="N50" i="45" a="1"/>
  <c r="N50" i="45" s="1"/>
  <c r="M50" i="45"/>
  <c r="O39" i="45" a="1"/>
  <c r="O39" i="45" s="1"/>
  <c r="N39" i="45" a="1"/>
  <c r="N39" i="45" s="1"/>
  <c r="M39" i="45"/>
  <c r="O32" i="45" a="1"/>
  <c r="O32" i="45" s="1"/>
  <c r="N32" i="45" a="1"/>
  <c r="N32" i="45" s="1"/>
  <c r="M32" i="45"/>
  <c r="L6" i="44"/>
  <c r="L5" i="44"/>
  <c r="L7" i="44"/>
  <c r="L8" i="44"/>
  <c r="L9" i="44"/>
  <c r="L10" i="44"/>
  <c r="L11" i="44"/>
  <c r="L12" i="44"/>
  <c r="L13" i="44"/>
  <c r="L14" i="44"/>
  <c r="L15" i="44"/>
  <c r="L16" i="44"/>
  <c r="L17" i="44"/>
  <c r="L18" i="44"/>
  <c r="L19" i="44"/>
  <c r="L20" i="44"/>
  <c r="L21" i="44"/>
  <c r="L22" i="44"/>
  <c r="L23" i="44"/>
  <c r="L24" i="44"/>
  <c r="L25" i="44"/>
  <c r="L26" i="44"/>
  <c r="L27" i="44"/>
  <c r="L28" i="44"/>
  <c r="L29" i="44"/>
  <c r="L30" i="44"/>
  <c r="L31" i="44"/>
  <c r="L32" i="44"/>
  <c r="L33" i="44"/>
  <c r="L34" i="44"/>
  <c r="L35" i="44"/>
  <c r="L36" i="44"/>
  <c r="L37" i="44"/>
  <c r="L38" i="44"/>
  <c r="L39" i="44"/>
  <c r="L40" i="44"/>
  <c r="L41" i="44"/>
  <c r="L42" i="44"/>
  <c r="L43" i="44"/>
  <c r="L44" i="44"/>
  <c r="L45" i="44"/>
  <c r="L46" i="44"/>
  <c r="L47" i="44"/>
  <c r="L48" i="44"/>
  <c r="L49" i="44"/>
  <c r="L50" i="44"/>
  <c r="L51" i="44"/>
  <c r="L52" i="44"/>
  <c r="L53" i="44"/>
  <c r="L54" i="44"/>
  <c r="F18" i="16" a="1"/>
  <c r="F18" i="16" s="1"/>
  <c r="F21" i="16" a="1"/>
  <c r="F21" i="16" s="1"/>
  <c r="H21" i="16" a="1"/>
  <c r="H21" i="16" s="1"/>
  <c r="K21" i="16" a="1"/>
  <c r="K21" i="16" s="1"/>
  <c r="H7" i="29" a="1"/>
  <c r="H7" i="29" s="1"/>
  <c r="K19" i="16" a="1"/>
  <c r="K19" i="16" s="1"/>
  <c r="I13" i="16" a="1"/>
  <c r="I13" i="16" s="1"/>
  <c r="F8" i="16" a="1"/>
  <c r="F8" i="16" s="1"/>
  <c r="P40" i="33" a="1"/>
  <c r="P40" i="33" s="1"/>
  <c r="P31" i="33" a="1"/>
  <c r="P31" i="33" s="1"/>
  <c r="P16" i="33" a="1"/>
  <c r="P16" i="33" s="1"/>
  <c r="P25" i="33" a="1"/>
  <c r="P25" i="33" s="1"/>
  <c r="P8" i="33" a="1"/>
  <c r="P8" i="33" s="1"/>
  <c r="P5" i="33" a="1"/>
  <c r="P5" i="33" s="1"/>
  <c r="P52" i="33" a="1"/>
  <c r="P52" i="33" s="1"/>
  <c r="P43" i="33" a="1"/>
  <c r="P43" i="33" s="1"/>
  <c r="O9" i="33" a="1"/>
  <c r="O9" i="33" s="1"/>
  <c r="O43" i="33" a="1"/>
  <c r="O43" i="33" s="1"/>
  <c r="O25" i="33" a="1"/>
  <c r="O25" i="33" s="1"/>
  <c r="P51" i="33" a="1"/>
  <c r="P51" i="33" s="1"/>
  <c r="P48" i="33" a="1"/>
  <c r="P48" i="33" s="1"/>
  <c r="P45" i="33" a="1"/>
  <c r="P45" i="33" s="1"/>
  <c r="P42" i="33" a="1"/>
  <c r="P42" i="33" s="1"/>
  <c r="P39" i="33" a="1"/>
  <c r="P39" i="33" s="1"/>
  <c r="P36" i="33" a="1"/>
  <c r="P36" i="33" s="1"/>
  <c r="P33" i="33" a="1"/>
  <c r="P33" i="33" s="1"/>
  <c r="P30" i="33" a="1"/>
  <c r="P30" i="33" s="1"/>
  <c r="P27" i="33" a="1"/>
  <c r="P27" i="33" s="1"/>
  <c r="P24" i="33" a="1"/>
  <c r="P24" i="33" s="1"/>
  <c r="P21" i="33" a="1"/>
  <c r="P21" i="33" s="1"/>
  <c r="P18" i="33" a="1"/>
  <c r="P18" i="33" s="1"/>
  <c r="P15" i="33" a="1"/>
  <c r="P15" i="33" s="1"/>
  <c r="O53" i="33" a="1"/>
  <c r="O53" i="33" s="1"/>
  <c r="O28" i="33" a="1"/>
  <c r="O28" i="33" s="1"/>
  <c r="P13" i="33" a="1"/>
  <c r="P13" i="33" s="1"/>
  <c r="O11" i="33" a="1"/>
  <c r="O11" i="33" s="1"/>
  <c r="O11" i="34" a="1"/>
  <c r="O11" i="34" s="1"/>
  <c r="O8" i="33" a="1"/>
  <c r="O8" i="33" s="1"/>
  <c r="P54" i="33" a="1"/>
  <c r="P54" i="33" s="1"/>
  <c r="O12" i="33" a="1"/>
  <c r="O12" i="33" s="1"/>
  <c r="P28" i="33" a="1"/>
  <c r="P28" i="33" s="1"/>
  <c r="P11" i="33" a="1"/>
  <c r="P11" i="33" s="1"/>
  <c r="O40" i="33" a="1"/>
  <c r="O40" i="33" s="1"/>
  <c r="O22" i="33" a="1"/>
  <c r="O22" i="33" s="1"/>
  <c r="O51" i="33" a="1"/>
  <c r="O51" i="33" s="1"/>
  <c r="O48" i="33" a="1"/>
  <c r="O48" i="33" s="1"/>
  <c r="O45" i="33" a="1"/>
  <c r="O45" i="33" s="1"/>
  <c r="O42" i="33" a="1"/>
  <c r="O42" i="33" s="1"/>
  <c r="O39" i="33" a="1"/>
  <c r="O39" i="33" s="1"/>
  <c r="O36" i="33" a="1"/>
  <c r="O36" i="33" s="1"/>
  <c r="O33" i="33" a="1"/>
  <c r="O33" i="33" s="1"/>
  <c r="O30" i="33" a="1"/>
  <c r="O30" i="33" s="1"/>
  <c r="O27" i="33" a="1"/>
  <c r="O27" i="33" s="1"/>
  <c r="O24" i="33" a="1"/>
  <c r="O24" i="33" s="1"/>
  <c r="O21" i="33" a="1"/>
  <c r="O21" i="33" s="1"/>
  <c r="O18" i="33" a="1"/>
  <c r="O18" i="33" s="1"/>
  <c r="O15" i="33" a="1"/>
  <c r="O15" i="33" s="1"/>
  <c r="O52" i="33" a="1"/>
  <c r="O52" i="33" s="1"/>
  <c r="O13" i="33" a="1"/>
  <c r="O13" i="33" s="1"/>
  <c r="P10" i="33" a="1"/>
  <c r="P10" i="33" s="1"/>
  <c r="P7" i="33" a="1"/>
  <c r="P7" i="33" s="1"/>
  <c r="O54" i="33" a="1"/>
  <c r="O54" i="33" s="1"/>
  <c r="O34" i="33" a="1"/>
  <c r="O34" i="33" s="1"/>
  <c r="P50" i="33" a="1"/>
  <c r="P50" i="33" s="1"/>
  <c r="P47" i="33" a="1"/>
  <c r="P47" i="33" s="1"/>
  <c r="P44" i="33" a="1"/>
  <c r="P44" i="33" s="1"/>
  <c r="P41" i="33" a="1"/>
  <c r="P41" i="33" s="1"/>
  <c r="P38" i="33" a="1"/>
  <c r="P38" i="33" s="1"/>
  <c r="P35" i="33" a="1"/>
  <c r="P35" i="33" s="1"/>
  <c r="P32" i="33" a="1"/>
  <c r="P32" i="33" s="1"/>
  <c r="P29" i="33" a="1"/>
  <c r="P29" i="33" s="1"/>
  <c r="P26" i="33" a="1"/>
  <c r="P26" i="33" s="1"/>
  <c r="P23" i="33" a="1"/>
  <c r="P23" i="33" s="1"/>
  <c r="P20" i="33" a="1"/>
  <c r="P20" i="33" s="1"/>
  <c r="P17" i="33" a="1"/>
  <c r="P17" i="33" s="1"/>
  <c r="P14" i="33" a="1"/>
  <c r="P14" i="33" s="1"/>
  <c r="P6" i="33" a="1"/>
  <c r="P6" i="33" s="1"/>
  <c r="P46" i="33" a="1"/>
  <c r="P46" i="33" s="1"/>
  <c r="P34" i="33" a="1"/>
  <c r="P34" i="33" s="1"/>
  <c r="P19" i="33" a="1"/>
  <c r="P19" i="33" s="1"/>
  <c r="O5" i="33" a="1"/>
  <c r="O5" i="33" s="1"/>
  <c r="O46" i="33" a="1"/>
  <c r="O46" i="33" s="1"/>
  <c r="O31" i="33" a="1"/>
  <c r="O31" i="33" s="1"/>
  <c r="O16" i="33" a="1"/>
  <c r="O16" i="33" s="1"/>
  <c r="P12" i="33" a="1"/>
  <c r="P12" i="33" s="1"/>
  <c r="O10" i="33" a="1"/>
  <c r="O10" i="33" s="1"/>
  <c r="O7" i="33" a="1"/>
  <c r="O7" i="33" s="1"/>
  <c r="P53" i="33" a="1"/>
  <c r="P53" i="33" s="1"/>
  <c r="P9" i="33" a="1"/>
  <c r="P9" i="33" s="1"/>
  <c r="P49" i="33" a="1"/>
  <c r="P49" i="33" s="1"/>
  <c r="P37" i="33" a="1"/>
  <c r="P37" i="33" s="1"/>
  <c r="P22" i="33" a="1"/>
  <c r="P22" i="33" s="1"/>
  <c r="O6" i="33" a="1"/>
  <c r="O6" i="33" s="1"/>
  <c r="O49" i="33" a="1"/>
  <c r="O49" i="33" s="1"/>
  <c r="O37" i="33" a="1"/>
  <c r="O37" i="33" s="1"/>
  <c r="O19" i="33" a="1"/>
  <c r="O19" i="33" s="1"/>
  <c r="O50" i="33" a="1"/>
  <c r="O50" i="33" s="1"/>
  <c r="O47" i="33" a="1"/>
  <c r="O47" i="33" s="1"/>
  <c r="O44" i="33" a="1"/>
  <c r="O44" i="33" s="1"/>
  <c r="O41" i="33" a="1"/>
  <c r="O41" i="33" s="1"/>
  <c r="O38" i="33" a="1"/>
  <c r="O38" i="33" s="1"/>
  <c r="O35" i="33" a="1"/>
  <c r="O35" i="33" s="1"/>
  <c r="O32" i="33" a="1"/>
  <c r="O32" i="33" s="1"/>
  <c r="O29" i="33" a="1"/>
  <c r="O29" i="33" s="1"/>
  <c r="O26" i="33" a="1"/>
  <c r="O26" i="33" s="1"/>
  <c r="O23" i="33" a="1"/>
  <c r="O23" i="33" s="1"/>
  <c r="O20" i="33" a="1"/>
  <c r="O20" i="33" s="1"/>
  <c r="O17" i="33" a="1"/>
  <c r="O17" i="33" s="1"/>
  <c r="O14" i="33" a="1"/>
  <c r="O14" i="33" s="1"/>
  <c r="F74" i="21"/>
  <c r="J74" i="21" s="1" a="1"/>
  <c r="J74" i="21" s="1"/>
  <c r="AE51" i="26"/>
  <c r="AE38" i="26"/>
  <c r="AE26" i="26"/>
  <c r="AE14" i="26"/>
  <c r="AF54" i="26"/>
  <c r="AF48" i="26"/>
  <c r="AF41" i="26"/>
  <c r="AF35" i="26"/>
  <c r="AF29" i="26"/>
  <c r="AF23" i="26"/>
  <c r="AF17" i="26"/>
  <c r="AF11" i="26"/>
  <c r="AE50" i="26"/>
  <c r="AE37" i="26"/>
  <c r="AE25" i="26"/>
  <c r="AE13" i="26"/>
  <c r="AG53" i="26"/>
  <c r="AG47" i="26"/>
  <c r="AG40" i="26"/>
  <c r="AG34" i="26"/>
  <c r="AG28" i="26"/>
  <c r="AG22" i="26"/>
  <c r="AG16" i="26"/>
  <c r="AG10" i="26"/>
  <c r="AE49" i="26"/>
  <c r="AE36" i="26"/>
  <c r="AE24" i="26"/>
  <c r="AE12" i="26"/>
  <c r="AF53" i="26"/>
  <c r="AF47" i="26"/>
  <c r="AF40" i="26"/>
  <c r="AF34" i="26"/>
  <c r="AF28" i="26"/>
  <c r="AF22" i="26"/>
  <c r="AF16" i="26"/>
  <c r="AF10" i="26"/>
  <c r="AE48" i="26"/>
  <c r="AE35" i="26"/>
  <c r="AE23" i="26"/>
  <c r="AE11" i="26"/>
  <c r="AG52" i="26"/>
  <c r="AG46" i="26"/>
  <c r="AG39" i="26"/>
  <c r="AG33" i="26"/>
  <c r="AG27" i="26"/>
  <c r="AG21" i="26"/>
  <c r="AG15" i="26"/>
  <c r="AG9" i="26"/>
  <c r="AF52" i="26"/>
  <c r="AF46" i="26"/>
  <c r="AF39" i="26"/>
  <c r="AF33" i="26"/>
  <c r="AF27" i="26"/>
  <c r="AF21" i="26"/>
  <c r="AF15" i="26"/>
  <c r="AF9" i="26"/>
  <c r="AG51" i="26"/>
  <c r="AG44" i="26"/>
  <c r="AG38" i="26"/>
  <c r="AG32" i="26"/>
  <c r="AG26" i="26"/>
  <c r="AG20" i="26"/>
  <c r="AG14" i="26"/>
  <c r="AG8" i="26"/>
  <c r="AE44" i="26"/>
  <c r="AE32" i="26"/>
  <c r="AE20" i="26"/>
  <c r="AE8" i="26"/>
  <c r="AE43" i="26"/>
  <c r="AE31" i="26"/>
  <c r="AE19" i="26"/>
  <c r="AE7" i="26"/>
  <c r="AG50" i="26"/>
  <c r="AG43" i="26"/>
  <c r="AG37" i="26"/>
  <c r="AG31" i="26"/>
  <c r="AG25" i="26"/>
  <c r="AG19" i="26"/>
  <c r="AG13" i="26"/>
  <c r="AG7" i="26"/>
  <c r="AE5" i="26"/>
  <c r="AE42" i="26"/>
  <c r="AE30" i="26"/>
  <c r="AE18" i="26"/>
  <c r="AE6" i="26"/>
  <c r="AE54" i="26"/>
  <c r="AE41" i="26"/>
  <c r="AE29" i="26"/>
  <c r="AE17" i="26"/>
  <c r="AF5" i="26"/>
  <c r="AG49" i="26"/>
  <c r="AG42" i="26"/>
  <c r="AG36" i="26"/>
  <c r="AG30" i="26"/>
  <c r="AG24" i="26"/>
  <c r="AG18" i="26"/>
  <c r="AG12" i="26"/>
  <c r="AG6" i="26"/>
  <c r="AE45" i="26"/>
  <c r="AF45" i="26"/>
  <c r="AG45" i="26"/>
  <c r="I25" i="29" a="1"/>
  <c r="I25" i="29" s="1"/>
  <c r="H25" i="29" a="1"/>
  <c r="H25" i="29" s="1"/>
  <c r="F24" i="29" a="1"/>
  <c r="F24" i="29" s="1"/>
  <c r="J24" i="29" a="1"/>
  <c r="J24" i="29" s="1"/>
  <c r="I26" i="29" a="1"/>
  <c r="I26" i="29" s="1"/>
  <c r="H26" i="29" a="1"/>
  <c r="H26" i="29" s="1"/>
  <c r="F25" i="29" a="1"/>
  <c r="F25" i="29" s="1"/>
  <c r="G26" i="29" a="1"/>
  <c r="G26" i="29" s="1"/>
  <c r="J25" i="29" a="1"/>
  <c r="J25" i="29" s="1"/>
  <c r="I23" i="29" a="1"/>
  <c r="I23" i="29" s="1"/>
  <c r="F26" i="29" a="1"/>
  <c r="F26" i="29" s="1"/>
  <c r="H23" i="29" a="1"/>
  <c r="H23" i="29" s="1"/>
  <c r="G23" i="29" a="1"/>
  <c r="G23" i="29" s="1"/>
  <c r="I24" i="29" a="1"/>
  <c r="I24" i="29" s="1"/>
  <c r="H24" i="29" a="1"/>
  <c r="H24" i="29" s="1"/>
  <c r="F23" i="29" a="1"/>
  <c r="F23" i="29" s="1"/>
  <c r="I14" i="29" a="1"/>
  <c r="I14" i="29" s="1"/>
  <c r="F6" i="29" a="1"/>
  <c r="F6" i="29" s="1"/>
  <c r="G9" i="29" a="1"/>
  <c r="G9" i="29" s="1"/>
  <c r="J16" i="29" a="1"/>
  <c r="J16" i="29" s="1"/>
  <c r="I19" i="29" a="1"/>
  <c r="I19" i="29" s="1"/>
  <c r="H21" i="29" a="1"/>
  <c r="H21" i="29" s="1"/>
  <c r="J9" i="29" a="1"/>
  <c r="J9" i="29" s="1"/>
  <c r="G19" i="29" a="1"/>
  <c r="G19" i="29" s="1"/>
  <c r="I15" i="29" a="1"/>
  <c r="I15" i="29" s="1"/>
  <c r="G21" i="29" a="1"/>
  <c r="G21" i="29" s="1"/>
  <c r="F9" i="29" a="1"/>
  <c r="F9" i="29" s="1"/>
  <c r="H16" i="29" a="1"/>
  <c r="H16" i="29" s="1"/>
  <c r="J8" i="29" a="1"/>
  <c r="J8" i="29" s="1"/>
  <c r="H9" i="29" a="1"/>
  <c r="H9" i="29" s="1"/>
  <c r="I21" i="29" a="1"/>
  <c r="I21" i="29" s="1"/>
  <c r="F21" i="29" a="1"/>
  <c r="F21" i="29" s="1"/>
  <c r="H19" i="29" a="1"/>
  <c r="H19" i="29" s="1"/>
  <c r="F8" i="29" a="1"/>
  <c r="F8" i="29" s="1"/>
  <c r="I9" i="29" a="1"/>
  <c r="I9" i="29" s="1"/>
  <c r="G18" i="29" a="1"/>
  <c r="G18" i="29" s="1"/>
  <c r="F20" i="29" a="1"/>
  <c r="F20" i="29" s="1"/>
  <c r="J22" i="29" a="1"/>
  <c r="J22" i="29" s="1"/>
  <c r="G8" i="29" a="1"/>
  <c r="G8" i="29" s="1"/>
  <c r="H18" i="29" a="1"/>
  <c r="H18" i="29" s="1"/>
  <c r="G20" i="29" a="1"/>
  <c r="G20" i="29" s="1"/>
  <c r="F22" i="29" a="1"/>
  <c r="F22" i="29" s="1"/>
  <c r="H8" i="29" a="1"/>
  <c r="H8" i="29" s="1"/>
  <c r="J10" i="29" a="1"/>
  <c r="J10" i="29" s="1"/>
  <c r="J14" i="29" a="1"/>
  <c r="J14" i="29" s="1"/>
  <c r="I18" i="29" a="1"/>
  <c r="I18" i="29" s="1"/>
  <c r="H20" i="29" a="1"/>
  <c r="H20" i="29" s="1"/>
  <c r="G22" i="29" a="1"/>
  <c r="G22" i="29" s="1"/>
  <c r="G7" i="29" a="1"/>
  <c r="G7" i="29" s="1"/>
  <c r="I8" i="29" a="1"/>
  <c r="I8" i="29" s="1"/>
  <c r="F10" i="29" a="1"/>
  <c r="F10" i="29" s="1"/>
  <c r="F14" i="29" a="1"/>
  <c r="F14" i="29" s="1"/>
  <c r="I20" i="29" a="1"/>
  <c r="I20" i="29" s="1"/>
  <c r="H22" i="29" a="1"/>
  <c r="H22" i="29" s="1"/>
  <c r="C85" i="30"/>
  <c r="C73" i="30"/>
  <c r="C61" i="30"/>
  <c r="C49" i="30"/>
  <c r="C37" i="30"/>
  <c r="C25" i="30"/>
  <c r="C84" i="30"/>
  <c r="C72" i="30"/>
  <c r="C60" i="30"/>
  <c r="C48" i="30"/>
  <c r="C36" i="30"/>
  <c r="C24" i="30"/>
  <c r="C83" i="30"/>
  <c r="C71" i="30"/>
  <c r="C59" i="30"/>
  <c r="C47" i="30"/>
  <c r="C35" i="30"/>
  <c r="C23" i="30"/>
  <c r="C13" i="30"/>
  <c r="C82" i="30"/>
  <c r="C70" i="30"/>
  <c r="C58" i="30"/>
  <c r="C46" i="30"/>
  <c r="C34" i="30"/>
  <c r="C22" i="30"/>
  <c r="C12" i="30"/>
  <c r="C81" i="30"/>
  <c r="C69" i="30"/>
  <c r="C57" i="30"/>
  <c r="C45" i="30"/>
  <c r="C33" i="30"/>
  <c r="C21" i="30"/>
  <c r="C11" i="30"/>
  <c r="C80" i="30"/>
  <c r="C68" i="30"/>
  <c r="C56" i="30"/>
  <c r="C44" i="30"/>
  <c r="C32" i="30"/>
  <c r="C20" i="30"/>
  <c r="C10" i="30"/>
  <c r="C79" i="30"/>
  <c r="C67" i="30"/>
  <c r="C55" i="30"/>
  <c r="C43" i="30"/>
  <c r="C31" i="30"/>
  <c r="C19" i="30"/>
  <c r="C78" i="30"/>
  <c r="C66" i="30"/>
  <c r="C54" i="30"/>
  <c r="C42" i="30"/>
  <c r="C30" i="30"/>
  <c r="C18" i="30"/>
  <c r="C77" i="30"/>
  <c r="C65" i="30"/>
  <c r="C53" i="30"/>
  <c r="C41" i="30"/>
  <c r="C29" i="30"/>
  <c r="C17" i="30"/>
  <c r="C9" i="30"/>
  <c r="C76" i="30"/>
  <c r="C64" i="30"/>
  <c r="C52" i="30"/>
  <c r="C40" i="30"/>
  <c r="C28" i="30"/>
  <c r="C16" i="30"/>
  <c r="C8" i="30"/>
  <c r="C5" i="30"/>
  <c r="G5" i="30" s="1" a="1"/>
  <c r="G5" i="30" s="1"/>
  <c r="C75" i="30"/>
  <c r="C63" i="30"/>
  <c r="C51" i="30"/>
  <c r="C39" i="30"/>
  <c r="C27" i="30"/>
  <c r="C15" i="30"/>
  <c r="C7" i="30"/>
  <c r="C86" i="30"/>
  <c r="C74" i="30"/>
  <c r="C62" i="30"/>
  <c r="C50" i="30"/>
  <c r="C38" i="30"/>
  <c r="C26" i="30"/>
  <c r="C14" i="30"/>
  <c r="C6" i="30"/>
  <c r="J11" i="29" a="1"/>
  <c r="J11" i="29" s="1"/>
  <c r="H17" i="29" a="1"/>
  <c r="H17" i="29" s="1"/>
  <c r="H6" i="29" a="1"/>
  <c r="H6" i="29" s="1"/>
  <c r="J12" i="29" a="1"/>
  <c r="J12" i="29" s="1"/>
  <c r="I16" i="29" a="1"/>
  <c r="I16" i="29" s="1"/>
  <c r="F11" i="29" a="1"/>
  <c r="F11" i="29" s="1"/>
  <c r="J13" i="29" a="1"/>
  <c r="J13" i="29" s="1"/>
  <c r="I17" i="29" a="1"/>
  <c r="I17" i="29" s="1"/>
  <c r="I6" i="29" a="1"/>
  <c r="I6" i="29" s="1"/>
  <c r="F12" i="29" a="1"/>
  <c r="F12" i="29" s="1"/>
  <c r="G11" i="29" a="1"/>
  <c r="G11" i="29" s="1"/>
  <c r="J15" i="29" a="1"/>
  <c r="J15" i="29" s="1"/>
  <c r="G12" i="29" a="1"/>
  <c r="G12" i="29" s="1"/>
  <c r="H11" i="29" a="1"/>
  <c r="H11" i="29" s="1"/>
  <c r="G13" i="29" a="1"/>
  <c r="G13" i="29" s="1"/>
  <c r="F15" i="29" a="1"/>
  <c r="F15" i="29" s="1"/>
  <c r="J17" i="29" a="1"/>
  <c r="J17" i="29" s="1"/>
  <c r="J6" i="29" a="1"/>
  <c r="J6" i="29" s="1"/>
  <c r="I10" i="29" a="1"/>
  <c r="I10" i="29" s="1"/>
  <c r="H12" i="29" a="1"/>
  <c r="H12" i="29" s="1"/>
  <c r="G14" i="29" a="1"/>
  <c r="G14" i="29" s="1"/>
  <c r="F16" i="29" a="1"/>
  <c r="F16" i="29" s="1"/>
  <c r="J18" i="29" a="1"/>
  <c r="J18" i="29" s="1"/>
  <c r="I22" i="29" a="1"/>
  <c r="I22" i="29" s="1"/>
  <c r="I11" i="29" a="1"/>
  <c r="I11" i="29" s="1"/>
  <c r="H13" i="29" a="1"/>
  <c r="H13" i="29" s="1"/>
  <c r="G15" i="29" a="1"/>
  <c r="G15" i="29" s="1"/>
  <c r="F17" i="29" a="1"/>
  <c r="F17" i="29" s="1"/>
  <c r="J19" i="29" a="1"/>
  <c r="J19" i="29" s="1"/>
  <c r="V6" i="26"/>
  <c r="W6" i="26" s="1"/>
  <c r="Q34" i="26"/>
  <c r="R34" i="26" s="1"/>
  <c r="Q42" i="26"/>
  <c r="R42" i="26" s="1"/>
  <c r="Q27" i="26"/>
  <c r="R27" i="26" s="1"/>
  <c r="Q18" i="26"/>
  <c r="R18" i="26" s="1"/>
  <c r="V33" i="26"/>
  <c r="W33" i="26" s="1"/>
  <c r="Q50" i="26"/>
  <c r="R50" i="26" s="1"/>
  <c r="Q49" i="26"/>
  <c r="R49" i="26" s="1"/>
  <c r="Q41" i="26"/>
  <c r="R41" i="26" s="1"/>
  <c r="Q25" i="26"/>
  <c r="R25" i="26" s="1"/>
  <c r="Q17" i="26"/>
  <c r="R17" i="26" s="1"/>
  <c r="Q9" i="26"/>
  <c r="R9" i="26" s="1"/>
  <c r="V49" i="26"/>
  <c r="W49" i="26" s="1"/>
  <c r="V31" i="26"/>
  <c r="W31" i="26" s="1"/>
  <c r="V13" i="26"/>
  <c r="W13" i="26" s="1"/>
  <c r="V15" i="26"/>
  <c r="W15" i="26" s="1"/>
  <c r="Q26" i="26"/>
  <c r="R26" i="26" s="1"/>
  <c r="V5" i="26"/>
  <c r="W5" i="26" s="1"/>
  <c r="Q48" i="26"/>
  <c r="R48" i="26" s="1"/>
  <c r="Q33" i="26"/>
  <c r="R33" i="26" s="1"/>
  <c r="Q24" i="26"/>
  <c r="R24" i="26" s="1"/>
  <c r="Q8" i="26"/>
  <c r="R8" i="26" s="1"/>
  <c r="V48" i="26"/>
  <c r="W48" i="26" s="1"/>
  <c r="V40" i="26"/>
  <c r="W40" i="26" s="1"/>
  <c r="V30" i="26"/>
  <c r="W30" i="26" s="1"/>
  <c r="V22" i="26"/>
  <c r="W22" i="26" s="1"/>
  <c r="V12" i="26"/>
  <c r="W12" i="26" s="1"/>
  <c r="V23" i="26"/>
  <c r="W23" i="26" s="1"/>
  <c r="Q5" i="26"/>
  <c r="R5" i="26" s="1"/>
  <c r="Q40" i="26"/>
  <c r="R40" i="26" s="1"/>
  <c r="Q32" i="26"/>
  <c r="R32" i="26" s="1"/>
  <c r="Q16" i="26"/>
  <c r="R16" i="26" s="1"/>
  <c r="Q7" i="26"/>
  <c r="R7" i="26" s="1"/>
  <c r="V39" i="26"/>
  <c r="W39" i="26" s="1"/>
  <c r="V21" i="26"/>
  <c r="W21" i="26" s="1"/>
  <c r="V50" i="26"/>
  <c r="W50" i="26" s="1"/>
  <c r="Q47" i="26"/>
  <c r="R47" i="26" s="1"/>
  <c r="Q31" i="26"/>
  <c r="R31" i="26" s="1"/>
  <c r="Q23" i="26"/>
  <c r="R23" i="26" s="1"/>
  <c r="Q15" i="26"/>
  <c r="R15" i="26" s="1"/>
  <c r="V47" i="26"/>
  <c r="W47" i="26" s="1"/>
  <c r="V38" i="26"/>
  <c r="W38" i="26" s="1"/>
  <c r="V29" i="26"/>
  <c r="W29" i="26" s="1"/>
  <c r="V20" i="26"/>
  <c r="W20" i="26" s="1"/>
  <c r="V11" i="26"/>
  <c r="W11" i="26" s="1"/>
  <c r="Q51" i="26"/>
  <c r="R51" i="26" s="1"/>
  <c r="Q10" i="26"/>
  <c r="R10" i="26" s="1"/>
  <c r="Q54" i="26"/>
  <c r="R54" i="26" s="1"/>
  <c r="Q39" i="26"/>
  <c r="R39" i="26" s="1"/>
  <c r="Q30" i="26"/>
  <c r="R30" i="26" s="1"/>
  <c r="Q14" i="26"/>
  <c r="R14" i="26" s="1"/>
  <c r="Q6" i="26"/>
  <c r="R6" i="26" s="1"/>
  <c r="V37" i="26"/>
  <c r="W37" i="26" s="1"/>
  <c r="V19" i="26"/>
  <c r="W19" i="26" s="1"/>
  <c r="Q46" i="26"/>
  <c r="R46" i="26" s="1"/>
  <c r="Q38" i="26"/>
  <c r="R38" i="26" s="1"/>
  <c r="Q22" i="26"/>
  <c r="R22" i="26" s="1"/>
  <c r="Q13" i="26"/>
  <c r="R13" i="26" s="1"/>
  <c r="V54" i="26"/>
  <c r="W54" i="26" s="1"/>
  <c r="V46" i="26"/>
  <c r="W46" i="26" s="1"/>
  <c r="V36" i="26"/>
  <c r="W36" i="26" s="1"/>
  <c r="V28" i="26"/>
  <c r="W28" i="26" s="1"/>
  <c r="V18" i="26"/>
  <c r="W18" i="26" s="1"/>
  <c r="V10" i="26"/>
  <c r="W10" i="26" s="1"/>
  <c r="V32" i="26"/>
  <c r="W32" i="26" s="1"/>
  <c r="Q53" i="26"/>
  <c r="R53" i="26" s="1"/>
  <c r="Q37" i="26"/>
  <c r="R37" i="26" s="1"/>
  <c r="Q29" i="26"/>
  <c r="R29" i="26" s="1"/>
  <c r="V45" i="26"/>
  <c r="W45" i="26" s="1"/>
  <c r="V27" i="26"/>
  <c r="W27" i="26" s="1"/>
  <c r="V9" i="26"/>
  <c r="W9" i="26" s="1"/>
  <c r="V41" i="26"/>
  <c r="W41" i="26" s="1"/>
  <c r="Q45" i="26"/>
  <c r="R45" i="26" s="1"/>
  <c r="Q36" i="26"/>
  <c r="R36" i="26" s="1"/>
  <c r="Q21" i="26"/>
  <c r="R21" i="26" s="1"/>
  <c r="Q12" i="26"/>
  <c r="R12" i="26" s="1"/>
  <c r="V53" i="26"/>
  <c r="W53" i="26" s="1"/>
  <c r="V44" i="26"/>
  <c r="W44" i="26" s="1"/>
  <c r="V35" i="26"/>
  <c r="W35" i="26" s="1"/>
  <c r="V26" i="26"/>
  <c r="W26" i="26" s="1"/>
  <c r="V17" i="26"/>
  <c r="W17" i="26" s="1"/>
  <c r="V8" i="26"/>
  <c r="W8" i="26" s="1"/>
  <c r="V51" i="26"/>
  <c r="W51" i="26" s="1"/>
  <c r="V14" i="26"/>
  <c r="W14" i="26" s="1"/>
  <c r="Q52" i="26"/>
  <c r="R52" i="26" s="1"/>
  <c r="Q44" i="26"/>
  <c r="R44" i="26" s="1"/>
  <c r="Q28" i="26"/>
  <c r="R28" i="26" s="1"/>
  <c r="Q20" i="26"/>
  <c r="R20" i="26" s="1"/>
  <c r="V43" i="26"/>
  <c r="W43" i="26" s="1"/>
  <c r="V25" i="26"/>
  <c r="W25" i="26" s="1"/>
  <c r="V7" i="26"/>
  <c r="W7" i="26" s="1"/>
  <c r="Q43" i="26"/>
  <c r="R43" i="26" s="1"/>
  <c r="Q35" i="26"/>
  <c r="R35" i="26" s="1"/>
  <c r="Q19" i="26"/>
  <c r="R19" i="26" s="1"/>
  <c r="Q11" i="26"/>
  <c r="R11" i="26" s="1"/>
  <c r="V52" i="26"/>
  <c r="W52" i="26" s="1"/>
  <c r="V42" i="26"/>
  <c r="W42" i="26" s="1"/>
  <c r="V34" i="26"/>
  <c r="W34" i="26" s="1"/>
  <c r="V24" i="26"/>
  <c r="W24" i="26" s="1"/>
  <c r="V16" i="26"/>
  <c r="W16" i="26" s="1"/>
  <c r="F42" i="21"/>
  <c r="H42" i="21" s="1" a="1"/>
  <c r="H42" i="21" s="1"/>
  <c r="D24" i="25"/>
  <c r="H24" i="25" s="1"/>
  <c r="D25" i="25" s="1"/>
  <c r="H7" i="25"/>
  <c r="F80" i="21"/>
  <c r="G80" i="21" s="1" a="1"/>
  <c r="G80" i="21" s="1"/>
  <c r="F76" i="21"/>
  <c r="K76" i="21" s="1" a="1"/>
  <c r="K76" i="21" s="1"/>
  <c r="F13" i="21"/>
  <c r="G13" i="21" s="1" a="1"/>
  <c r="G13" i="21" s="1"/>
  <c r="F12" i="21"/>
  <c r="J12" i="21" s="1" a="1"/>
  <c r="J12" i="21" s="1"/>
  <c r="F52" i="21"/>
  <c r="K52" i="21" s="1" a="1"/>
  <c r="K52" i="21" s="1"/>
  <c r="F21" i="21"/>
  <c r="G21" i="21" s="1" a="1"/>
  <c r="G21" i="21" s="1"/>
  <c r="F67" i="21"/>
  <c r="G67" i="21" s="1" a="1"/>
  <c r="G67" i="21" s="1"/>
  <c r="F96" i="21"/>
  <c r="K96" i="21" s="1" a="1"/>
  <c r="K96" i="21" s="1"/>
  <c r="F28" i="21"/>
  <c r="H28" i="21" s="1" a="1"/>
  <c r="H28" i="21" s="1"/>
  <c r="D23" i="19"/>
  <c r="E23" i="19" s="1" a="1"/>
  <c r="E23" i="19" s="1"/>
  <c r="F15" i="21"/>
  <c r="H15" i="21" s="1" a="1"/>
  <c r="H15" i="21" s="1"/>
  <c r="F19" i="21"/>
  <c r="H19" i="21" s="1" a="1"/>
  <c r="H19" i="21" s="1"/>
  <c r="D13" i="19"/>
  <c r="H13" i="19" s="1" a="1"/>
  <c r="H13" i="19" s="1"/>
  <c r="D25" i="19"/>
  <c r="H25" i="19" s="1" a="1"/>
  <c r="H25" i="19" s="1"/>
  <c r="F94" i="21"/>
  <c r="G94" i="21" s="1" a="1"/>
  <c r="G94" i="21" s="1"/>
  <c r="F86" i="21"/>
  <c r="K86" i="21" s="1" a="1"/>
  <c r="K86" i="21" s="1"/>
  <c r="F72" i="21"/>
  <c r="G72" i="21" s="1" a="1"/>
  <c r="G72" i="21" s="1"/>
  <c r="F64" i="21"/>
  <c r="J64" i="21" s="1" a="1"/>
  <c r="J64" i="21" s="1"/>
  <c r="F58" i="21"/>
  <c r="J58" i="21" s="1" a="1"/>
  <c r="J58" i="21" s="1"/>
  <c r="F46" i="21"/>
  <c r="J46" i="21" s="1" a="1"/>
  <c r="J46" i="21" s="1"/>
  <c r="F18" i="21"/>
  <c r="H18" i="21" s="1" a="1"/>
  <c r="H18" i="21" s="1"/>
  <c r="F9" i="21"/>
  <c r="G9" i="21" s="1" a="1"/>
  <c r="G9" i="21" s="1"/>
  <c r="F23" i="21"/>
  <c r="H23" i="21" s="1" a="1"/>
  <c r="H23" i="21" s="1"/>
  <c r="F29" i="21"/>
  <c r="G29" i="21" s="1" a="1"/>
  <c r="G29" i="21" s="1"/>
  <c r="D9" i="19"/>
  <c r="F9" i="19" s="1" a="1"/>
  <c r="F9" i="19" s="1"/>
  <c r="F79" i="21"/>
  <c r="J79" i="21" s="1" a="1"/>
  <c r="J79" i="21" s="1"/>
  <c r="F20" i="21"/>
  <c r="G20" i="21" s="1" a="1"/>
  <c r="G20" i="21" s="1"/>
  <c r="F65" i="21"/>
  <c r="G65" i="21" s="1" a="1"/>
  <c r="G65" i="21" s="1"/>
  <c r="D14" i="19"/>
  <c r="I14" i="19" s="1" a="1"/>
  <c r="I14" i="19" s="1"/>
  <c r="D26" i="19"/>
  <c r="F26" i="19" s="1" a="1"/>
  <c r="F26" i="19" s="1"/>
  <c r="F93" i="21"/>
  <c r="I93" i="21" s="1" a="1"/>
  <c r="I93" i="21" s="1"/>
  <c r="F85" i="21"/>
  <c r="K85" i="21" s="1" a="1"/>
  <c r="K85" i="21" s="1"/>
  <c r="F78" i="21"/>
  <c r="L78" i="21" s="1" a="1"/>
  <c r="L78" i="21" s="1"/>
  <c r="F51" i="21"/>
  <c r="F45" i="21"/>
  <c r="H45" i="21" s="1" a="1"/>
  <c r="H45" i="21" s="1"/>
  <c r="D20" i="19"/>
  <c r="F20" i="19" s="1" a="1"/>
  <c r="F20" i="19" s="1"/>
  <c r="F48" i="21"/>
  <c r="J48" i="21" s="1" a="1"/>
  <c r="J48" i="21" s="1"/>
  <c r="F8" i="21"/>
  <c r="J8" i="21" s="1" a="1"/>
  <c r="J8" i="21" s="1"/>
  <c r="F35" i="21"/>
  <c r="F60" i="21"/>
  <c r="D11" i="19"/>
  <c r="E11" i="19" s="1" a="1"/>
  <c r="E11" i="19" s="1"/>
  <c r="F34" i="21"/>
  <c r="J34" i="21" s="1" a="1"/>
  <c r="J34" i="21" s="1"/>
  <c r="F95" i="21"/>
  <c r="G95" i="21" s="1" a="1"/>
  <c r="G95" i="21" s="1"/>
  <c r="F40" i="21"/>
  <c r="J40" i="21" s="1" a="1"/>
  <c r="J40" i="21" s="1"/>
  <c r="D15" i="19"/>
  <c r="E15" i="19" s="1" a="1"/>
  <c r="E15" i="19" s="1"/>
  <c r="D27" i="19"/>
  <c r="I27" i="19" s="1" a="1"/>
  <c r="I27" i="19" s="1"/>
  <c r="F84" i="21"/>
  <c r="G84" i="21" s="1" a="1"/>
  <c r="G84" i="21" s="1"/>
  <c r="F71" i="21"/>
  <c r="G71" i="21" s="1" a="1"/>
  <c r="G71" i="21" s="1"/>
  <c r="F57" i="21"/>
  <c r="J57" i="21" s="1" a="1"/>
  <c r="J57" i="21" s="1"/>
  <c r="F39" i="21"/>
  <c r="H39" i="21" s="1" a="1"/>
  <c r="H39" i="21" s="1"/>
  <c r="F32" i="21"/>
  <c r="H32" i="21" s="1" a="1"/>
  <c r="H32" i="21" s="1"/>
  <c r="F26" i="21"/>
  <c r="K26" i="21" s="1" a="1"/>
  <c r="K26" i="21" s="1"/>
  <c r="D32" i="19"/>
  <c r="G32" i="19" s="1" a="1"/>
  <c r="G32" i="19" s="1"/>
  <c r="D8" i="19"/>
  <c r="F8" i="19" s="1" a="1"/>
  <c r="F8" i="19" s="1"/>
  <c r="F22" i="21"/>
  <c r="K22" i="21" s="1" a="1"/>
  <c r="K22" i="21" s="1"/>
  <c r="F66" i="21"/>
  <c r="H66" i="21" s="1" a="1"/>
  <c r="H66" i="21" s="1"/>
  <c r="F41" i="21"/>
  <c r="G41" i="21" s="1" a="1"/>
  <c r="G41" i="21" s="1"/>
  <c r="D12" i="19"/>
  <c r="H12" i="19" s="1" a="1"/>
  <c r="H12" i="19" s="1"/>
  <c r="F73" i="21"/>
  <c r="J73" i="21" s="1" a="1"/>
  <c r="J73" i="21" s="1"/>
  <c r="F47" i="21"/>
  <c r="F10" i="21"/>
  <c r="K10" i="21" s="1" a="1"/>
  <c r="K10" i="21" s="1"/>
  <c r="D16" i="19"/>
  <c r="I16" i="19" s="1" a="1"/>
  <c r="I16" i="19" s="1"/>
  <c r="D28" i="19"/>
  <c r="H28" i="19" s="1" a="1"/>
  <c r="H28" i="19" s="1"/>
  <c r="F77" i="21"/>
  <c r="H77" i="21" s="1" a="1"/>
  <c r="H77" i="21" s="1"/>
  <c r="F70" i="21"/>
  <c r="H70" i="21" s="1" a="1"/>
  <c r="H70" i="21" s="1"/>
  <c r="F63" i="21"/>
  <c r="H63" i="21" s="1" a="1"/>
  <c r="H63" i="21" s="1"/>
  <c r="F56" i="21"/>
  <c r="K56" i="21" s="1" a="1"/>
  <c r="K56" i="21" s="1"/>
  <c r="F38" i="21"/>
  <c r="G38" i="21" s="1" a="1"/>
  <c r="G38" i="21" s="1"/>
  <c r="F75" i="21"/>
  <c r="G75" i="21" s="1" a="1"/>
  <c r="G75" i="21" s="1"/>
  <c r="D22" i="19"/>
  <c r="E22" i="19" s="1" a="1"/>
  <c r="E22" i="19" s="1"/>
  <c r="F27" i="21"/>
  <c r="K27" i="21" s="1" a="1"/>
  <c r="K27" i="21" s="1"/>
  <c r="D24" i="19"/>
  <c r="H24" i="19" s="1" a="1"/>
  <c r="H24" i="19" s="1"/>
  <c r="F33" i="21"/>
  <c r="H33" i="21" s="1" a="1"/>
  <c r="H33" i="21" s="1"/>
  <c r="D17" i="19"/>
  <c r="F17" i="19" s="1" a="1"/>
  <c r="F17" i="19" s="1"/>
  <c r="D29" i="19"/>
  <c r="F29" i="19" s="1" a="1"/>
  <c r="F29" i="19" s="1"/>
  <c r="F92" i="21"/>
  <c r="J92" i="21" s="1" a="1"/>
  <c r="J92" i="21" s="1"/>
  <c r="F83" i="21"/>
  <c r="K83" i="21" s="1" a="1"/>
  <c r="K83" i="21" s="1"/>
  <c r="F69" i="21"/>
  <c r="J69" i="21" s="1" a="1"/>
  <c r="J69" i="21" s="1"/>
  <c r="F55" i="21"/>
  <c r="H55" i="21" s="1" a="1"/>
  <c r="H55" i="21" s="1"/>
  <c r="F50" i="21"/>
  <c r="H50" i="21" s="1" a="1"/>
  <c r="H50" i="21" s="1"/>
  <c r="F44" i="21"/>
  <c r="K44" i="21" s="1" a="1"/>
  <c r="K44" i="21" s="1"/>
  <c r="F37" i="21"/>
  <c r="G37" i="21" s="1" a="1"/>
  <c r="G37" i="21" s="1"/>
  <c r="F31" i="21"/>
  <c r="J31" i="21" s="1" a="1"/>
  <c r="J31" i="21" s="1"/>
  <c r="F25" i="21"/>
  <c r="K25" i="21" s="1" a="1"/>
  <c r="K25" i="21" s="1"/>
  <c r="F61" i="21"/>
  <c r="K61" i="21" s="1" a="1"/>
  <c r="K61" i="21" s="1"/>
  <c r="D21" i="19"/>
  <c r="G21" i="19" s="1" a="1"/>
  <c r="G21" i="19" s="1"/>
  <c r="F87" i="21"/>
  <c r="K87" i="21" s="1" a="1"/>
  <c r="K87" i="21" s="1"/>
  <c r="F59" i="21"/>
  <c r="H59" i="21" s="1" a="1"/>
  <c r="H59" i="21" s="1"/>
  <c r="D10" i="19"/>
  <c r="F10" i="19" s="1" a="1"/>
  <c r="F10" i="19" s="1"/>
  <c r="D18" i="19"/>
  <c r="E18" i="19" s="1" a="1"/>
  <c r="E18" i="19" s="1"/>
  <c r="D30" i="19"/>
  <c r="G30" i="19" s="1" a="1"/>
  <c r="G30" i="19" s="1"/>
  <c r="F88" i="21"/>
  <c r="F82" i="21"/>
  <c r="H82" i="21" s="1" a="1"/>
  <c r="H82" i="21" s="1"/>
  <c r="F54" i="21"/>
  <c r="G54" i="21" s="1" a="1"/>
  <c r="G54" i="21" s="1"/>
  <c r="F43" i="21"/>
  <c r="H43" i="21" s="1" a="1"/>
  <c r="H43" i="21" s="1"/>
  <c r="F36" i="21"/>
  <c r="K36" i="21" s="1" a="1"/>
  <c r="K36" i="21" s="1"/>
  <c r="F24" i="21"/>
  <c r="J24" i="21" s="1" a="1"/>
  <c r="J24" i="21" s="1"/>
  <c r="F17" i="21"/>
  <c r="F14" i="21"/>
  <c r="D7" i="19"/>
  <c r="F7" i="19" s="1" a="1"/>
  <c r="F7" i="19" s="1"/>
  <c r="F90" i="21"/>
  <c r="F11" i="21"/>
  <c r="H11" i="21" s="1" a="1"/>
  <c r="H11" i="21" s="1"/>
  <c r="F89" i="21"/>
  <c r="K89" i="21" s="1" a="1"/>
  <c r="K89" i="21" s="1"/>
  <c r="D6" i="19"/>
  <c r="I6" i="19" s="1" a="1"/>
  <c r="I6" i="19" s="1"/>
  <c r="D19" i="19"/>
  <c r="E19" i="19" s="1" a="1"/>
  <c r="E19" i="19" s="1"/>
  <c r="D31" i="19"/>
  <c r="G31" i="19" s="1" a="1"/>
  <c r="G31" i="19" s="1"/>
  <c r="F91" i="21"/>
  <c r="G91" i="21" s="1" a="1"/>
  <c r="G91" i="21" s="1"/>
  <c r="F81" i="21"/>
  <c r="H81" i="21" s="1" a="1"/>
  <c r="H81" i="21" s="1"/>
  <c r="F68" i="21"/>
  <c r="J68" i="21" s="1" a="1"/>
  <c r="J68" i="21" s="1"/>
  <c r="F62" i="21"/>
  <c r="F53" i="21"/>
  <c r="J53" i="21" s="1" a="1"/>
  <c r="J53" i="21" s="1"/>
  <c r="F49" i="21"/>
  <c r="F30" i="21"/>
  <c r="H30" i="21" s="1" a="1"/>
  <c r="H30" i="21" s="1"/>
  <c r="F16" i="21"/>
  <c r="L16" i="21" s="1" a="1"/>
  <c r="L16" i="21" s="1"/>
  <c r="H25" i="20" a="1"/>
  <c r="H25" i="20" s="1"/>
  <c r="G13" i="20" a="1"/>
  <c r="G13" i="20" s="1"/>
  <c r="H8" i="20" a="1"/>
  <c r="H8" i="20" s="1"/>
  <c r="H19" i="20" a="1"/>
  <c r="H19" i="20" s="1"/>
  <c r="G24" i="20" a="1"/>
  <c r="G24" i="20" s="1"/>
  <c r="G18" i="20" a="1"/>
  <c r="G18" i="20" s="1"/>
  <c r="H13" i="20" a="1"/>
  <c r="H13" i="20" s="1"/>
  <c r="G7" i="20" a="1"/>
  <c r="G7" i="20" s="1"/>
  <c r="H24" i="20" a="1"/>
  <c r="H24" i="20" s="1"/>
  <c r="G12" i="20" a="1"/>
  <c r="G12" i="20" s="1"/>
  <c r="H7" i="20" a="1"/>
  <c r="H7" i="20" s="1"/>
  <c r="G23" i="20" a="1"/>
  <c r="G23" i="20" s="1"/>
  <c r="G17" i="20" a="1"/>
  <c r="G17" i="20" s="1"/>
  <c r="H12" i="20" a="1"/>
  <c r="H12" i="20" s="1"/>
  <c r="H23" i="20" a="1"/>
  <c r="H23" i="20" s="1"/>
  <c r="G11" i="20" a="1"/>
  <c r="G11" i="20" s="1"/>
  <c r="G22" i="20" a="1"/>
  <c r="G22" i="20" s="1"/>
  <c r="G16" i="20" a="1"/>
  <c r="G16" i="20" s="1"/>
  <c r="H11" i="20" a="1"/>
  <c r="H11" i="20" s="1"/>
  <c r="H16" i="20" a="1"/>
  <c r="H16" i="20" s="1"/>
  <c r="G10" i="20" a="1"/>
  <c r="G10" i="20" s="1"/>
  <c r="G6" i="20" a="1"/>
  <c r="G6" i="20" s="1"/>
  <c r="G21" i="20" a="1"/>
  <c r="G21" i="20" s="1"/>
  <c r="H6" i="20" a="1"/>
  <c r="H6" i="20" s="1"/>
  <c r="H21" i="20" a="1"/>
  <c r="H21" i="20" s="1"/>
  <c r="G15" i="20" a="1"/>
  <c r="G15" i="20" s="1"/>
  <c r="G26" i="20" a="1"/>
  <c r="G26" i="20" s="1"/>
  <c r="G20" i="20" a="1"/>
  <c r="G20" i="20" s="1"/>
  <c r="G9" i="20" a="1"/>
  <c r="G9" i="20" s="1"/>
  <c r="H26" i="20" a="1"/>
  <c r="H26" i="20" s="1"/>
  <c r="H20" i="20" a="1"/>
  <c r="H20" i="20" s="1"/>
  <c r="G14" i="20" a="1"/>
  <c r="G14" i="20" s="1"/>
  <c r="H9" i="20" a="1"/>
  <c r="H9" i="20" s="1"/>
  <c r="G25" i="20" a="1"/>
  <c r="G25" i="20" s="1"/>
  <c r="G19" i="20" a="1"/>
  <c r="G19" i="20" s="1"/>
  <c r="H14" i="20" a="1"/>
  <c r="H14" i="20" s="1"/>
  <c r="G8" i="20" a="1"/>
  <c r="G8" i="20" s="1"/>
  <c r="F13" i="20" a="1"/>
  <c r="F13" i="20" s="1"/>
  <c r="E22" i="20" a="1"/>
  <c r="E22" i="20" s="1"/>
  <c r="F21" i="20" a="1"/>
  <c r="F21" i="20" s="1"/>
  <c r="E18" i="20" a="1"/>
  <c r="E18" i="20" s="1"/>
  <c r="F11" i="20" a="1"/>
  <c r="F11" i="20" s="1"/>
  <c r="F15" i="20" a="1"/>
  <c r="F15" i="20" s="1"/>
  <c r="E15" i="20" a="1"/>
  <c r="E15" i="20" s="1"/>
  <c r="E10" i="20" a="1"/>
  <c r="E10" i="20" s="1"/>
  <c r="F26" i="20" a="1"/>
  <c r="F26" i="20" s="1"/>
  <c r="F14" i="20" a="1"/>
  <c r="F14" i="20" s="1"/>
  <c r="F25" i="20" a="1"/>
  <c r="F25" i="20" s="1"/>
  <c r="E17" i="20" a="1"/>
  <c r="E17" i="20" s="1"/>
  <c r="F9" i="20" a="1"/>
  <c r="F9" i="20" s="1"/>
  <c r="E6" i="20" a="1"/>
  <c r="E6" i="20" s="1"/>
  <c r="F23" i="20" a="1"/>
  <c r="F23" i="20" s="1"/>
  <c r="F18" i="20" a="1"/>
  <c r="F18" i="20" s="1"/>
  <c r="E20" i="20" a="1"/>
  <c r="E20" i="20" s="1"/>
  <c r="F16" i="20" a="1"/>
  <c r="F16" i="20" s="1"/>
  <c r="E8" i="20" a="1"/>
  <c r="E8" i="20" s="1"/>
  <c r="F19" i="20" a="1"/>
  <c r="F19" i="20" s="1"/>
  <c r="F7" i="20" a="1"/>
  <c r="F7" i="20" s="1"/>
  <c r="F24" i="20" a="1"/>
  <c r="F24" i="20" s="1"/>
  <c r="F12" i="20" a="1"/>
  <c r="F12" i="20" s="1"/>
  <c r="F17" i="20" a="1"/>
  <c r="F17" i="20" s="1"/>
  <c r="F22" i="20" a="1"/>
  <c r="F22" i="20" s="1"/>
  <c r="F10" i="20" a="1"/>
  <c r="F10" i="20" s="1"/>
  <c r="H17" i="18" a="1"/>
  <c r="H17" i="18" s="1"/>
  <c r="J17" i="18" a="1"/>
  <c r="J17" i="18" s="1"/>
  <c r="I17" i="18" a="1"/>
  <c r="I17" i="18" s="1"/>
  <c r="G17" i="18" a="1"/>
  <c r="G17" i="18" s="1"/>
  <c r="K22" i="16" a="1"/>
  <c r="K22" i="16" s="1"/>
  <c r="F22" i="16" a="1"/>
  <c r="F22" i="16" s="1"/>
  <c r="I21" i="16" a="1"/>
  <c r="I21" i="16" s="1"/>
  <c r="G22" i="16" a="1"/>
  <c r="G22" i="16" s="1"/>
  <c r="H14" i="16" a="1"/>
  <c r="H14" i="16" s="1"/>
  <c r="G14" i="16" a="1"/>
  <c r="G14" i="16" s="1"/>
  <c r="J14" i="16" a="1"/>
  <c r="J14" i="16" s="1"/>
  <c r="F6" i="16" a="1"/>
  <c r="F6" i="16" s="1"/>
  <c r="K17" i="16" a="1"/>
  <c r="K17" i="16" s="1"/>
  <c r="F17" i="16" a="1"/>
  <c r="F17" i="16" s="1"/>
  <c r="K16" i="16" a="1"/>
  <c r="K16" i="16" s="1"/>
  <c r="H15" i="16" a="1"/>
  <c r="H15" i="16" s="1"/>
  <c r="I15" i="16" a="1"/>
  <c r="I15" i="16" s="1"/>
  <c r="J15" i="16" a="1"/>
  <c r="J15" i="16" s="1"/>
  <c r="H13" i="16" a="1"/>
  <c r="H13" i="16" s="1"/>
  <c r="G9" i="16" a="1"/>
  <c r="G9" i="16" s="1"/>
  <c r="H18" i="16" a="1"/>
  <c r="H18" i="16" s="1"/>
  <c r="J18" i="16" a="1"/>
  <c r="J18" i="16" s="1"/>
  <c r="G15" i="16" a="1"/>
  <c r="G15" i="16" s="1"/>
  <c r="G8" i="16" a="1"/>
  <c r="G8" i="16" s="1"/>
  <c r="K18" i="16" a="1"/>
  <c r="K18" i="16" s="1"/>
  <c r="F15" i="16" a="1"/>
  <c r="F15" i="16" s="1"/>
  <c r="H8" i="16" a="1"/>
  <c r="H8" i="16" s="1"/>
  <c r="K7" i="16" a="1"/>
  <c r="K7" i="16" s="1"/>
  <c r="I8" i="16" a="1"/>
  <c r="I8" i="16" s="1"/>
  <c r="F7" i="16" a="1"/>
  <c r="F7" i="16" s="1"/>
  <c r="G12" i="16" a="1"/>
  <c r="G12" i="16" s="1"/>
  <c r="F9" i="16" a="1"/>
  <c r="F9" i="16" s="1"/>
  <c r="H12" i="16" a="1"/>
  <c r="H12" i="16" s="1"/>
  <c r="K10" i="16" a="1"/>
  <c r="K10" i="16" s="1"/>
  <c r="F14" i="16" a="1"/>
  <c r="F14" i="16" s="1"/>
  <c r="F10" i="16" a="1"/>
  <c r="F10" i="16" s="1"/>
  <c r="I18" i="16" a="1"/>
  <c r="I18" i="16" s="1"/>
  <c r="K11" i="16" a="1"/>
  <c r="K11" i="16" s="1"/>
  <c r="H9" i="16" a="1"/>
  <c r="H9" i="16" s="1"/>
  <c r="G19" i="16" a="1"/>
  <c r="G19" i="16" s="1"/>
  <c r="F16" i="16" a="1"/>
  <c r="F16" i="16" s="1"/>
  <c r="K14" i="16" a="1"/>
  <c r="K14" i="16" s="1"/>
  <c r="J13" i="16" a="1"/>
  <c r="J13" i="16" s="1"/>
  <c r="I12" i="16" a="1"/>
  <c r="I12" i="16" s="1"/>
  <c r="H6" i="16" a="1"/>
  <c r="H6" i="16" s="1"/>
  <c r="G20" i="16" a="1"/>
  <c r="G20" i="16" s="1"/>
  <c r="F11" i="16" a="1"/>
  <c r="F11" i="16" s="1"/>
  <c r="G17" i="16" a="1"/>
  <c r="G17" i="16" s="1"/>
  <c r="K15" i="16" a="1"/>
  <c r="K15" i="16" s="1"/>
  <c r="J8" i="16" a="1"/>
  <c r="J8" i="16" s="1"/>
  <c r="I22" i="16" a="1"/>
  <c r="I22" i="16" s="1"/>
  <c r="H7" i="16" a="1"/>
  <c r="H7" i="16" s="1"/>
  <c r="G10" i="16" a="1"/>
  <c r="G10" i="16" s="1"/>
  <c r="I9" i="16" a="1"/>
  <c r="I9" i="16" s="1"/>
  <c r="H19" i="16" a="1"/>
  <c r="H19" i="16" s="1"/>
  <c r="G16" i="16" a="1"/>
  <c r="G16" i="16" s="1"/>
  <c r="K13" i="16" a="1"/>
  <c r="K13" i="16" s="1"/>
  <c r="J12" i="16" a="1"/>
  <c r="J12" i="16" s="1"/>
  <c r="I6" i="16" a="1"/>
  <c r="I6" i="16" s="1"/>
  <c r="H20" i="16" a="1"/>
  <c r="H20" i="16" s="1"/>
  <c r="G11" i="16" a="1"/>
  <c r="G11" i="16" s="1"/>
  <c r="H17" i="16" a="1"/>
  <c r="H17" i="16" s="1"/>
  <c r="K8" i="16" a="1"/>
  <c r="K8" i="16" s="1"/>
  <c r="J22" i="16" a="1"/>
  <c r="J22" i="16" s="1"/>
  <c r="I7" i="16" a="1"/>
  <c r="I7" i="16" s="1"/>
  <c r="H10" i="16" a="1"/>
  <c r="H10" i="16" s="1"/>
  <c r="J9" i="16" a="1"/>
  <c r="J9" i="16" s="1"/>
  <c r="I19" i="16" a="1"/>
  <c r="I19" i="16" s="1"/>
  <c r="H16" i="16" a="1"/>
  <c r="H16" i="16" s="1"/>
  <c r="K12" i="16" a="1"/>
  <c r="K12" i="16" s="1"/>
  <c r="J6" i="16" a="1"/>
  <c r="J6" i="16" s="1"/>
  <c r="I20" i="16" a="1"/>
  <c r="I20" i="16" s="1"/>
  <c r="H11" i="16" a="1"/>
  <c r="H11" i="16" s="1"/>
  <c r="I17" i="16" a="1"/>
  <c r="I17" i="16" s="1"/>
  <c r="J7" i="16" a="1"/>
  <c r="J7" i="16" s="1"/>
  <c r="I10" i="16" a="1"/>
  <c r="I10" i="16" s="1"/>
  <c r="K9" i="16" a="1"/>
  <c r="K9" i="16" s="1"/>
  <c r="J19" i="16" a="1"/>
  <c r="J19" i="16" s="1"/>
  <c r="I16" i="16" a="1"/>
  <c r="I16" i="16" s="1"/>
  <c r="G13" i="16" a="1"/>
  <c r="G13" i="16" s="1"/>
  <c r="F12" i="16" a="1"/>
  <c r="F12" i="16" s="1"/>
  <c r="K6" i="16" a="1"/>
  <c r="K6" i="16" s="1"/>
  <c r="J20" i="16" a="1"/>
  <c r="J20" i="16" s="1"/>
  <c r="I11" i="16" a="1"/>
  <c r="I11" i="16" s="1"/>
  <c r="J17" i="16" a="1"/>
  <c r="J17" i="16" s="1"/>
  <c r="J10" i="16" a="1"/>
  <c r="J10" i="16" s="1"/>
  <c r="J16" i="16" a="1"/>
  <c r="J16" i="16" s="1"/>
  <c r="K20" i="16" a="1"/>
  <c r="K20" i="16" s="1"/>
  <c r="J11" i="16" a="1"/>
  <c r="J11" i="16" s="1"/>
  <c r="J8" i="8" a="1"/>
  <c r="J8" i="8" s="1"/>
  <c r="G15" i="8" a="1"/>
  <c r="G15" i="8" s="1"/>
  <c r="I20" i="8" a="1"/>
  <c r="I20" i="8" s="1"/>
  <c r="G11" i="8" a="1"/>
  <c r="G11" i="8" s="1"/>
  <c r="J103" i="8" a="1"/>
  <c r="J103" i="8" s="1"/>
  <c r="J99" i="8" a="1"/>
  <c r="J99" i="8" s="1"/>
  <c r="J95" i="8" a="1"/>
  <c r="J95" i="8" s="1"/>
  <c r="J91" i="8" a="1"/>
  <c r="J91" i="8" s="1"/>
  <c r="J87" i="8" a="1"/>
  <c r="J87" i="8" s="1"/>
  <c r="J83" i="8" a="1"/>
  <c r="J83" i="8" s="1"/>
  <c r="J79" i="8" a="1"/>
  <c r="J79" i="8" s="1"/>
  <c r="J75" i="8" a="1"/>
  <c r="J75" i="8" s="1"/>
  <c r="J71" i="8" a="1"/>
  <c r="J71" i="8" s="1"/>
  <c r="J67" i="8" a="1"/>
  <c r="J67" i="8" s="1"/>
  <c r="J63" i="8" a="1"/>
  <c r="J63" i="8" s="1"/>
  <c r="J59" i="8" a="1"/>
  <c r="J59" i="8" s="1"/>
  <c r="J55" i="8" a="1"/>
  <c r="J55" i="8" s="1"/>
  <c r="J51" i="8" a="1"/>
  <c r="J51" i="8" s="1"/>
  <c r="J47" i="8" a="1"/>
  <c r="J47" i="8" s="1"/>
  <c r="J33" i="8" a="1"/>
  <c r="J33" i="8" s="1"/>
  <c r="G18" i="8" a="1"/>
  <c r="G18" i="8" s="1"/>
  <c r="H20" i="8" a="1"/>
  <c r="H20" i="8" s="1"/>
  <c r="J14" i="8" a="1"/>
  <c r="J14" i="8" s="1"/>
  <c r="G103" i="8" a="1"/>
  <c r="G103" i="8" s="1"/>
  <c r="I99" i="8" a="1"/>
  <c r="I99" i="8" s="1"/>
  <c r="I95" i="8" a="1"/>
  <c r="I95" i="8" s="1"/>
  <c r="I91" i="8" a="1"/>
  <c r="I91" i="8" s="1"/>
  <c r="I87" i="8" a="1"/>
  <c r="I87" i="8" s="1"/>
  <c r="I83" i="8" a="1"/>
  <c r="I83" i="8" s="1"/>
  <c r="I79" i="8" a="1"/>
  <c r="I79" i="8" s="1"/>
  <c r="I75" i="8" a="1"/>
  <c r="I75" i="8" s="1"/>
  <c r="I71" i="8" a="1"/>
  <c r="I71" i="8" s="1"/>
  <c r="I67" i="8" a="1"/>
  <c r="I67" i="8" s="1"/>
  <c r="I63" i="8" a="1"/>
  <c r="I63" i="8" s="1"/>
  <c r="I59" i="8" a="1"/>
  <c r="I59" i="8" s="1"/>
  <c r="I55" i="8" a="1"/>
  <c r="I55" i="8" s="1"/>
  <c r="I51" i="8" a="1"/>
  <c r="I51" i="8" s="1"/>
  <c r="I47" i="8" a="1"/>
  <c r="I47" i="8" s="1"/>
  <c r="J22" i="8" a="1"/>
  <c r="J22" i="8" s="1"/>
  <c r="G20" i="8" a="1"/>
  <c r="G20" i="8" s="1"/>
  <c r="G17" i="8" a="1"/>
  <c r="G17" i="8" s="1"/>
  <c r="G14" i="8" a="1"/>
  <c r="G14" i="8" s="1"/>
  <c r="G7" i="8" a="1"/>
  <c r="G7" i="8" s="1"/>
  <c r="J37" i="8" a="1"/>
  <c r="J37" i="8" s="1"/>
  <c r="I22" i="8" a="1"/>
  <c r="I22" i="8" s="1"/>
  <c r="J10" i="8" a="1"/>
  <c r="J10" i="8" s="1"/>
  <c r="J27" i="8" a="1"/>
  <c r="J27" i="8" s="1"/>
  <c r="H22" i="8" a="1"/>
  <c r="H22" i="8" s="1"/>
  <c r="G10" i="8" a="1"/>
  <c r="G10" i="8" s="1"/>
  <c r="G102" i="8" a="1"/>
  <c r="G102" i="8" s="1"/>
  <c r="J41" i="8" a="1"/>
  <c r="J41" i="8" s="1"/>
  <c r="J20" i="8" a="1"/>
  <c r="J20" i="8" s="1"/>
  <c r="J43" i="8" a="1"/>
  <c r="J43" i="8" s="1"/>
  <c r="G22" i="8" a="1"/>
  <c r="G22" i="8" s="1"/>
  <c r="G19" i="8" a="1"/>
  <c r="G19" i="8" s="1"/>
  <c r="J16" i="8" a="1"/>
  <c r="J16" i="8" s="1"/>
  <c r="G13" i="8" a="1"/>
  <c r="G13" i="8" s="1"/>
  <c r="J105" i="8" a="1"/>
  <c r="J105" i="8" s="1"/>
  <c r="J31" i="8" a="1"/>
  <c r="J31" i="8" s="1"/>
  <c r="G8" i="8" a="1"/>
  <c r="G8" i="8" s="1"/>
  <c r="J6" i="8" a="1"/>
  <c r="J6" i="8" s="1"/>
  <c r="H16" i="8" a="1"/>
  <c r="H16" i="8" s="1"/>
  <c r="G105" i="8" a="1"/>
  <c r="G105" i="8" s="1"/>
  <c r="J97" i="8" a="1"/>
  <c r="J97" i="8" s="1"/>
  <c r="J93" i="8" a="1"/>
  <c r="J93" i="8" s="1"/>
  <c r="J89" i="8" a="1"/>
  <c r="J89" i="8" s="1"/>
  <c r="J85" i="8" a="1"/>
  <c r="J85" i="8" s="1"/>
  <c r="J81" i="8" a="1"/>
  <c r="J81" i="8" s="1"/>
  <c r="J77" i="8" a="1"/>
  <c r="J77" i="8" s="1"/>
  <c r="J73" i="8" a="1"/>
  <c r="J73" i="8" s="1"/>
  <c r="J69" i="8" a="1"/>
  <c r="J69" i="8" s="1"/>
  <c r="J65" i="8" a="1"/>
  <c r="J65" i="8" s="1"/>
  <c r="J61" i="8" a="1"/>
  <c r="J61" i="8" s="1"/>
  <c r="J57" i="8" a="1"/>
  <c r="J57" i="8" s="1"/>
  <c r="J53" i="8" a="1"/>
  <c r="J53" i="8" s="1"/>
  <c r="J49" i="8" a="1"/>
  <c r="J49" i="8" s="1"/>
  <c r="J45" i="8" a="1"/>
  <c r="J45" i="8" s="1"/>
  <c r="I6" i="8" a="1"/>
  <c r="I6" i="8" s="1"/>
  <c r="G16" i="8" a="1"/>
  <c r="G16" i="8" s="1"/>
  <c r="G9" i="8" a="1"/>
  <c r="G9" i="8" s="1"/>
  <c r="J101" i="8" a="1"/>
  <c r="J101" i="8" s="1"/>
  <c r="I97" i="8" a="1"/>
  <c r="I97" i="8" s="1"/>
  <c r="I93" i="8" a="1"/>
  <c r="I93" i="8" s="1"/>
  <c r="I89" i="8" a="1"/>
  <c r="I89" i="8" s="1"/>
  <c r="I85" i="8" a="1"/>
  <c r="I85" i="8" s="1"/>
  <c r="I81" i="8" a="1"/>
  <c r="I81" i="8" s="1"/>
  <c r="I77" i="8" a="1"/>
  <c r="I77" i="8" s="1"/>
  <c r="I73" i="8" a="1"/>
  <c r="I73" i="8" s="1"/>
  <c r="I69" i="8" a="1"/>
  <c r="I69" i="8" s="1"/>
  <c r="I65" i="8" a="1"/>
  <c r="I65" i="8" s="1"/>
  <c r="I61" i="8" a="1"/>
  <c r="I61" i="8" s="1"/>
  <c r="I57" i="8" a="1"/>
  <c r="I57" i="8" s="1"/>
  <c r="I53" i="8" a="1"/>
  <c r="I53" i="8" s="1"/>
  <c r="I49" i="8" a="1"/>
  <c r="I49" i="8" s="1"/>
  <c r="J35" i="8" a="1"/>
  <c r="J35" i="8" s="1"/>
  <c r="G23" i="8" a="1"/>
  <c r="G23" i="8" s="1"/>
  <c r="H6" i="8" a="1"/>
  <c r="H6" i="8" s="1"/>
  <c r="G21" i="8" a="1"/>
  <c r="G21" i="8" s="1"/>
  <c r="J18" i="8" a="1"/>
  <c r="J18" i="8" s="1"/>
  <c r="O11" i="35" s="1" a="1"/>
  <c r="O11" i="35" s="1"/>
  <c r="J12" i="8" a="1"/>
  <c r="J12" i="8" s="1"/>
  <c r="G101" i="8" a="1"/>
  <c r="G101" i="8" s="1"/>
  <c r="J25" i="8" a="1"/>
  <c r="J25" i="8" s="1"/>
  <c r="G12" i="8" a="1"/>
  <c r="G12" i="8" s="1"/>
  <c r="G104" i="8" a="1"/>
  <c r="G104" i="8" s="1"/>
  <c r="J39" i="8" a="1"/>
  <c r="J39" i="8" s="1"/>
  <c r="J29" i="8" a="1"/>
  <c r="J29" i="8" s="1"/>
  <c r="I45" i="8" a="1"/>
  <c r="I45" i="8" s="1"/>
  <c r="I43" i="8" a="1"/>
  <c r="I43" i="8" s="1"/>
  <c r="I41" i="8" a="1"/>
  <c r="I41" i="8" s="1"/>
  <c r="I39" i="8" a="1"/>
  <c r="I39" i="8" s="1"/>
  <c r="I37" i="8" a="1"/>
  <c r="I37" i="8" s="1"/>
  <c r="I35" i="8" a="1"/>
  <c r="I35" i="8" s="1"/>
  <c r="I33" i="8" a="1"/>
  <c r="I33" i="8" s="1"/>
  <c r="I31" i="8" a="1"/>
  <c r="I31" i="8" s="1"/>
  <c r="I29" i="8" a="1"/>
  <c r="I29" i="8" s="1"/>
  <c r="I27" i="8" a="1"/>
  <c r="I27" i="8" s="1"/>
  <c r="I25" i="8" a="1"/>
  <c r="I25" i="8" s="1"/>
  <c r="I16" i="8" a="1"/>
  <c r="I16" i="8" s="1"/>
  <c r="I14" i="8" a="1"/>
  <c r="I14" i="8" s="1"/>
  <c r="I12" i="8" a="1"/>
  <c r="I12" i="8" s="1"/>
  <c r="I10" i="8" a="1"/>
  <c r="I10" i="8" s="1"/>
  <c r="I8" i="8" a="1"/>
  <c r="I8" i="8" s="1"/>
  <c r="I105" i="8" a="1"/>
  <c r="I105" i="8" s="1"/>
  <c r="I103" i="8" a="1"/>
  <c r="I103" i="8" s="1"/>
  <c r="I101" i="8" a="1"/>
  <c r="I101" i="8" s="1"/>
  <c r="H99" i="8" a="1"/>
  <c r="H99" i="8" s="1"/>
  <c r="H97" i="8" a="1"/>
  <c r="H97" i="8" s="1"/>
  <c r="H95" i="8" a="1"/>
  <c r="H95" i="8" s="1"/>
  <c r="H93" i="8" a="1"/>
  <c r="H93" i="8" s="1"/>
  <c r="H91" i="8" a="1"/>
  <c r="H91" i="8" s="1"/>
  <c r="H89" i="8" a="1"/>
  <c r="H89" i="8" s="1"/>
  <c r="H87" i="8" a="1"/>
  <c r="H87" i="8" s="1"/>
  <c r="H85" i="8" a="1"/>
  <c r="H85" i="8" s="1"/>
  <c r="H83" i="8" a="1"/>
  <c r="H83" i="8" s="1"/>
  <c r="H81" i="8" a="1"/>
  <c r="H81" i="8" s="1"/>
  <c r="H79" i="8" a="1"/>
  <c r="H79" i="8" s="1"/>
  <c r="H77" i="8" a="1"/>
  <c r="H77" i="8" s="1"/>
  <c r="H75" i="8" a="1"/>
  <c r="H75" i="8" s="1"/>
  <c r="H73" i="8" a="1"/>
  <c r="H73" i="8" s="1"/>
  <c r="H71" i="8" a="1"/>
  <c r="H71" i="8" s="1"/>
  <c r="H69" i="8" a="1"/>
  <c r="H69" i="8" s="1"/>
  <c r="H67" i="8" a="1"/>
  <c r="H67" i="8" s="1"/>
  <c r="H65" i="8" a="1"/>
  <c r="H65" i="8" s="1"/>
  <c r="H63" i="8" a="1"/>
  <c r="H63" i="8" s="1"/>
  <c r="H61" i="8" a="1"/>
  <c r="H61" i="8" s="1"/>
  <c r="H59" i="8" a="1"/>
  <c r="H59" i="8" s="1"/>
  <c r="H57" i="8" a="1"/>
  <c r="H57" i="8" s="1"/>
  <c r="H55" i="8" a="1"/>
  <c r="H55" i="8" s="1"/>
  <c r="H53" i="8" a="1"/>
  <c r="H53" i="8" s="1"/>
  <c r="H51" i="8" a="1"/>
  <c r="H51" i="8" s="1"/>
  <c r="H49" i="8" a="1"/>
  <c r="H49" i="8" s="1"/>
  <c r="H47" i="8" a="1"/>
  <c r="H47" i="8" s="1"/>
  <c r="H45" i="8" a="1"/>
  <c r="H45" i="8" s="1"/>
  <c r="H43" i="8" a="1"/>
  <c r="H43" i="8" s="1"/>
  <c r="H41" i="8" a="1"/>
  <c r="H41" i="8" s="1"/>
  <c r="H39" i="8" a="1"/>
  <c r="H39" i="8" s="1"/>
  <c r="H37" i="8" a="1"/>
  <c r="H37" i="8" s="1"/>
  <c r="H35" i="8" a="1"/>
  <c r="H35" i="8" s="1"/>
  <c r="H33" i="8" a="1"/>
  <c r="H33" i="8" s="1"/>
  <c r="H31" i="8" a="1"/>
  <c r="H31" i="8" s="1"/>
  <c r="H29" i="8" a="1"/>
  <c r="H29" i="8" s="1"/>
  <c r="H27" i="8" a="1"/>
  <c r="H27" i="8" s="1"/>
  <c r="H25" i="8" a="1"/>
  <c r="H25" i="8" s="1"/>
  <c r="H14" i="8" a="1"/>
  <c r="H14" i="8" s="1"/>
  <c r="H12" i="8" a="1"/>
  <c r="H12" i="8" s="1"/>
  <c r="H10" i="8" a="1"/>
  <c r="H10" i="8" s="1"/>
  <c r="H8" i="8" a="1"/>
  <c r="H8" i="8" s="1"/>
  <c r="H105" i="8" a="1"/>
  <c r="H105" i="8" s="1"/>
  <c r="H103" i="8" a="1"/>
  <c r="H103" i="8" s="1"/>
  <c r="H101" i="8" a="1"/>
  <c r="H101" i="8" s="1"/>
  <c r="G99" i="8" a="1"/>
  <c r="G99" i="8" s="1"/>
  <c r="G97" i="8" a="1"/>
  <c r="G97" i="8" s="1"/>
  <c r="G95" i="8" a="1"/>
  <c r="G95" i="8" s="1"/>
  <c r="G93" i="8" a="1"/>
  <c r="G93" i="8" s="1"/>
  <c r="G91" i="8" a="1"/>
  <c r="G91" i="8" s="1"/>
  <c r="G89" i="8" a="1"/>
  <c r="G89" i="8" s="1"/>
  <c r="G87" i="8" a="1"/>
  <c r="G87" i="8" s="1"/>
  <c r="G85" i="8" a="1"/>
  <c r="G85" i="8" s="1"/>
  <c r="G83" i="8" a="1"/>
  <c r="G83" i="8" s="1"/>
  <c r="G81" i="8" a="1"/>
  <c r="G81" i="8" s="1"/>
  <c r="G79" i="8" a="1"/>
  <c r="G79" i="8" s="1"/>
  <c r="G77" i="8" a="1"/>
  <c r="G77" i="8" s="1"/>
  <c r="G75" i="8" a="1"/>
  <c r="G75" i="8" s="1"/>
  <c r="G73" i="8" a="1"/>
  <c r="G73" i="8" s="1"/>
  <c r="G71" i="8" a="1"/>
  <c r="G71" i="8" s="1"/>
  <c r="G69" i="8" a="1"/>
  <c r="G69" i="8" s="1"/>
  <c r="G67" i="8" a="1"/>
  <c r="G67" i="8" s="1"/>
  <c r="G65" i="8" a="1"/>
  <c r="G65" i="8" s="1"/>
  <c r="G63" i="8" a="1"/>
  <c r="G63" i="8" s="1"/>
  <c r="G61" i="8" a="1"/>
  <c r="G61" i="8" s="1"/>
  <c r="G59" i="8" a="1"/>
  <c r="G59" i="8" s="1"/>
  <c r="G57" i="8" a="1"/>
  <c r="G57" i="8" s="1"/>
  <c r="G55" i="8" a="1"/>
  <c r="G55" i="8" s="1"/>
  <c r="G53" i="8" a="1"/>
  <c r="G53" i="8" s="1"/>
  <c r="G51" i="8" a="1"/>
  <c r="G51" i="8" s="1"/>
  <c r="G49" i="8" a="1"/>
  <c r="G49" i="8" s="1"/>
  <c r="G47" i="8" a="1"/>
  <c r="G47" i="8" s="1"/>
  <c r="G45" i="8" a="1"/>
  <c r="G45" i="8" s="1"/>
  <c r="G43" i="8" a="1"/>
  <c r="G43" i="8" s="1"/>
  <c r="G41" i="8" a="1"/>
  <c r="G41" i="8" s="1"/>
  <c r="G39" i="8" a="1"/>
  <c r="G39" i="8" s="1"/>
  <c r="G37" i="8" a="1"/>
  <c r="G37" i="8" s="1"/>
  <c r="G35" i="8" a="1"/>
  <c r="G35" i="8" s="1"/>
  <c r="G33" i="8" a="1"/>
  <c r="G33" i="8" s="1"/>
  <c r="G31" i="8" a="1"/>
  <c r="G31" i="8" s="1"/>
  <c r="G29" i="8" a="1"/>
  <c r="G29" i="8" s="1"/>
  <c r="G27" i="8" a="1"/>
  <c r="G27" i="8" s="1"/>
  <c r="G25" i="8" a="1"/>
  <c r="G25" i="8" s="1"/>
  <c r="J100" i="8" a="1"/>
  <c r="J100" i="8" s="1"/>
  <c r="J98" i="8" a="1"/>
  <c r="J98" i="8" s="1"/>
  <c r="J96" i="8" a="1"/>
  <c r="J96" i="8" s="1"/>
  <c r="J94" i="8" a="1"/>
  <c r="J94" i="8" s="1"/>
  <c r="J92" i="8" a="1"/>
  <c r="J92" i="8" s="1"/>
  <c r="J90" i="8" a="1"/>
  <c r="J90" i="8" s="1"/>
  <c r="J88" i="8" a="1"/>
  <c r="J88" i="8" s="1"/>
  <c r="J86" i="8" a="1"/>
  <c r="J86" i="8" s="1"/>
  <c r="J84" i="8" a="1"/>
  <c r="J84" i="8" s="1"/>
  <c r="J82" i="8" a="1"/>
  <c r="J82" i="8" s="1"/>
  <c r="J80" i="8" a="1"/>
  <c r="J80" i="8" s="1"/>
  <c r="J78" i="8" a="1"/>
  <c r="J78" i="8" s="1"/>
  <c r="J76" i="8" a="1"/>
  <c r="J76" i="8" s="1"/>
  <c r="J74" i="8" a="1"/>
  <c r="J74" i="8" s="1"/>
  <c r="J72" i="8" a="1"/>
  <c r="J72" i="8" s="1"/>
  <c r="J70" i="8" a="1"/>
  <c r="J70" i="8" s="1"/>
  <c r="J68" i="8" a="1"/>
  <c r="J68" i="8" s="1"/>
  <c r="J66" i="8" a="1"/>
  <c r="J66" i="8" s="1"/>
  <c r="J64" i="8" a="1"/>
  <c r="J64" i="8" s="1"/>
  <c r="J62" i="8" a="1"/>
  <c r="J62" i="8" s="1"/>
  <c r="J60" i="8" a="1"/>
  <c r="J60" i="8" s="1"/>
  <c r="J58" i="8" a="1"/>
  <c r="J58" i="8" s="1"/>
  <c r="J56" i="8" a="1"/>
  <c r="J56" i="8" s="1"/>
  <c r="J54" i="8" a="1"/>
  <c r="J54" i="8" s="1"/>
  <c r="J52" i="8" a="1"/>
  <c r="J52" i="8" s="1"/>
  <c r="J50" i="8" a="1"/>
  <c r="J50" i="8" s="1"/>
  <c r="J48" i="8" a="1"/>
  <c r="J48" i="8" s="1"/>
  <c r="J46" i="8" a="1"/>
  <c r="J46" i="8" s="1"/>
  <c r="J44" i="8" a="1"/>
  <c r="J44" i="8" s="1"/>
  <c r="J42" i="8" a="1"/>
  <c r="J42" i="8" s="1"/>
  <c r="J40" i="8" a="1"/>
  <c r="J40" i="8" s="1"/>
  <c r="J38" i="8" a="1"/>
  <c r="J38" i="8" s="1"/>
  <c r="J36" i="8" a="1"/>
  <c r="J36" i="8" s="1"/>
  <c r="J34" i="8" a="1"/>
  <c r="J34" i="8" s="1"/>
  <c r="J32" i="8" a="1"/>
  <c r="J32" i="8" s="1"/>
  <c r="J30" i="8" a="1"/>
  <c r="J30" i="8" s="1"/>
  <c r="J28" i="8" a="1"/>
  <c r="J28" i="8" s="1"/>
  <c r="J26" i="8" a="1"/>
  <c r="J26" i="8" s="1"/>
  <c r="J24" i="8" a="1"/>
  <c r="J24" i="8" s="1"/>
  <c r="J23" i="8" a="1"/>
  <c r="J23" i="8" s="1"/>
  <c r="J21" i="8" a="1"/>
  <c r="J21" i="8" s="1"/>
  <c r="J19" i="8" a="1"/>
  <c r="J19" i="8" s="1"/>
  <c r="J17" i="8" a="1"/>
  <c r="J17" i="8" s="1"/>
  <c r="J15" i="8" a="1"/>
  <c r="J15" i="8" s="1"/>
  <c r="J13" i="8" a="1"/>
  <c r="J13" i="8" s="1"/>
  <c r="J11" i="8" a="1"/>
  <c r="J11" i="8" s="1"/>
  <c r="J9" i="8" a="1"/>
  <c r="J9" i="8" s="1"/>
  <c r="J7" i="8" a="1"/>
  <c r="J7" i="8" s="1"/>
  <c r="J104" i="8" a="1"/>
  <c r="J104" i="8" s="1"/>
  <c r="I100" i="8" a="1"/>
  <c r="I100" i="8" s="1"/>
  <c r="I98" i="8" a="1"/>
  <c r="I98" i="8" s="1"/>
  <c r="I96" i="8" a="1"/>
  <c r="I96" i="8" s="1"/>
  <c r="I94" i="8" a="1"/>
  <c r="I94" i="8" s="1"/>
  <c r="I92" i="8" a="1"/>
  <c r="I92" i="8" s="1"/>
  <c r="I90" i="8" a="1"/>
  <c r="I90" i="8" s="1"/>
  <c r="I88" i="8" a="1"/>
  <c r="I88" i="8" s="1"/>
  <c r="I86" i="8" a="1"/>
  <c r="I86" i="8" s="1"/>
  <c r="I84" i="8" a="1"/>
  <c r="I84" i="8" s="1"/>
  <c r="I82" i="8" a="1"/>
  <c r="I82" i="8" s="1"/>
  <c r="I80" i="8" a="1"/>
  <c r="I80" i="8" s="1"/>
  <c r="I78" i="8" a="1"/>
  <c r="I78" i="8" s="1"/>
  <c r="I76" i="8" a="1"/>
  <c r="I76" i="8" s="1"/>
  <c r="I74" i="8" a="1"/>
  <c r="I74" i="8" s="1"/>
  <c r="I72" i="8" a="1"/>
  <c r="I72" i="8" s="1"/>
  <c r="I70" i="8" a="1"/>
  <c r="I70" i="8" s="1"/>
  <c r="I68" i="8" a="1"/>
  <c r="I68" i="8" s="1"/>
  <c r="I66" i="8" a="1"/>
  <c r="I66" i="8" s="1"/>
  <c r="I64" i="8" a="1"/>
  <c r="I64" i="8" s="1"/>
  <c r="I62" i="8" a="1"/>
  <c r="I62" i="8" s="1"/>
  <c r="I60" i="8" a="1"/>
  <c r="I60" i="8" s="1"/>
  <c r="I58" i="8" a="1"/>
  <c r="I58" i="8" s="1"/>
  <c r="I56" i="8" a="1"/>
  <c r="I56" i="8" s="1"/>
  <c r="I54" i="8" a="1"/>
  <c r="I54" i="8" s="1"/>
  <c r="I52" i="8" a="1"/>
  <c r="I52" i="8" s="1"/>
  <c r="I50" i="8" a="1"/>
  <c r="I50" i="8" s="1"/>
  <c r="I48" i="8" a="1"/>
  <c r="I48" i="8" s="1"/>
  <c r="I46" i="8" a="1"/>
  <c r="I46" i="8" s="1"/>
  <c r="I44" i="8" a="1"/>
  <c r="I44" i="8" s="1"/>
  <c r="I42" i="8" a="1"/>
  <c r="I42" i="8" s="1"/>
  <c r="I40" i="8" a="1"/>
  <c r="I40" i="8" s="1"/>
  <c r="I38" i="8" a="1"/>
  <c r="I38" i="8" s="1"/>
  <c r="I36" i="8" a="1"/>
  <c r="I36" i="8" s="1"/>
  <c r="I34" i="8" a="1"/>
  <c r="I34" i="8" s="1"/>
  <c r="I32" i="8" a="1"/>
  <c r="I32" i="8" s="1"/>
  <c r="I30" i="8" a="1"/>
  <c r="I30" i="8" s="1"/>
  <c r="I28" i="8" a="1"/>
  <c r="I28" i="8" s="1"/>
  <c r="I26" i="8" a="1"/>
  <c r="I26" i="8" s="1"/>
  <c r="I24" i="8" a="1"/>
  <c r="I24" i="8" s="1"/>
  <c r="I23" i="8" a="1"/>
  <c r="I23" i="8" s="1"/>
  <c r="I21" i="8" a="1"/>
  <c r="I21" i="8" s="1"/>
  <c r="I19" i="8" a="1"/>
  <c r="I19" i="8" s="1"/>
  <c r="I15" i="8" a="1"/>
  <c r="I15" i="8" s="1"/>
  <c r="I13" i="8" a="1"/>
  <c r="I13" i="8" s="1"/>
  <c r="I11" i="8" a="1"/>
  <c r="I11" i="8" s="1"/>
  <c r="I9" i="8" a="1"/>
  <c r="I9" i="8" s="1"/>
  <c r="I7" i="8" a="1"/>
  <c r="I7" i="8" s="1"/>
  <c r="I104" i="8" a="1"/>
  <c r="I104" i="8" s="1"/>
  <c r="I102" i="8" a="1"/>
  <c r="I102" i="8" s="1"/>
  <c r="H100" i="8" a="1"/>
  <c r="H100" i="8" s="1"/>
  <c r="H98" i="8" a="1"/>
  <c r="H98" i="8" s="1"/>
  <c r="H96" i="8" a="1"/>
  <c r="H96" i="8" s="1"/>
  <c r="H94" i="8" a="1"/>
  <c r="H94" i="8" s="1"/>
  <c r="H92" i="8" a="1"/>
  <c r="H92" i="8" s="1"/>
  <c r="H90" i="8" a="1"/>
  <c r="H90" i="8" s="1"/>
  <c r="H88" i="8" a="1"/>
  <c r="H88" i="8" s="1"/>
  <c r="H86" i="8" a="1"/>
  <c r="H86" i="8" s="1"/>
  <c r="H84" i="8" a="1"/>
  <c r="H84" i="8" s="1"/>
  <c r="H82" i="8" a="1"/>
  <c r="H82" i="8" s="1"/>
  <c r="H80" i="8" a="1"/>
  <c r="H80" i="8" s="1"/>
  <c r="H78" i="8" a="1"/>
  <c r="H78" i="8" s="1"/>
  <c r="H76" i="8" a="1"/>
  <c r="H76" i="8" s="1"/>
  <c r="H74" i="8" a="1"/>
  <c r="H74" i="8" s="1"/>
  <c r="H72" i="8" a="1"/>
  <c r="H72" i="8" s="1"/>
  <c r="H70" i="8" a="1"/>
  <c r="H70" i="8" s="1"/>
  <c r="H68" i="8" a="1"/>
  <c r="H68" i="8" s="1"/>
  <c r="H66" i="8" a="1"/>
  <c r="H66" i="8" s="1"/>
  <c r="H64" i="8" a="1"/>
  <c r="H64" i="8" s="1"/>
  <c r="H62" i="8" a="1"/>
  <c r="H62" i="8" s="1"/>
  <c r="H60" i="8" a="1"/>
  <c r="H60" i="8" s="1"/>
  <c r="H58" i="8" a="1"/>
  <c r="H58" i="8" s="1"/>
  <c r="H56" i="8" a="1"/>
  <c r="H56" i="8" s="1"/>
  <c r="H54" i="8" a="1"/>
  <c r="H54" i="8" s="1"/>
  <c r="H52" i="8" a="1"/>
  <c r="H52" i="8" s="1"/>
  <c r="H50" i="8" a="1"/>
  <c r="H50" i="8" s="1"/>
  <c r="H48" i="8" a="1"/>
  <c r="H48" i="8" s="1"/>
  <c r="H46" i="8" a="1"/>
  <c r="H46" i="8" s="1"/>
  <c r="H44" i="8" a="1"/>
  <c r="H44" i="8" s="1"/>
  <c r="H42" i="8" a="1"/>
  <c r="H42" i="8" s="1"/>
  <c r="H40" i="8" a="1"/>
  <c r="H40" i="8" s="1"/>
  <c r="H38" i="8" a="1"/>
  <c r="H38" i="8" s="1"/>
  <c r="H36" i="8" a="1"/>
  <c r="H36" i="8" s="1"/>
  <c r="H34" i="8" a="1"/>
  <c r="H34" i="8" s="1"/>
  <c r="H32" i="8" a="1"/>
  <c r="H32" i="8" s="1"/>
  <c r="H30" i="8" a="1"/>
  <c r="H30" i="8" s="1"/>
  <c r="H28" i="8" a="1"/>
  <c r="H28" i="8" s="1"/>
  <c r="H26" i="8" a="1"/>
  <c r="H26" i="8" s="1"/>
  <c r="H24" i="8" a="1"/>
  <c r="H24" i="8" s="1"/>
  <c r="H23" i="8" a="1"/>
  <c r="H23" i="8" s="1"/>
  <c r="H21" i="8" a="1"/>
  <c r="H21" i="8" s="1"/>
  <c r="H19" i="8" a="1"/>
  <c r="H19" i="8" s="1"/>
  <c r="H17" i="8" a="1"/>
  <c r="H17" i="8" s="1"/>
  <c r="H15" i="8" a="1"/>
  <c r="H15" i="8" s="1"/>
  <c r="H13" i="8" a="1"/>
  <c r="H13" i="8" s="1"/>
  <c r="H11" i="8" a="1"/>
  <c r="H11" i="8" s="1"/>
  <c r="H9" i="8" a="1"/>
  <c r="H9" i="8" s="1"/>
  <c r="H7" i="8" a="1"/>
  <c r="H7" i="8" s="1"/>
  <c r="H104" i="8" a="1"/>
  <c r="H104" i="8" s="1"/>
  <c r="H102" i="8" a="1"/>
  <c r="H102" i="8" s="1"/>
  <c r="G100" i="8" a="1"/>
  <c r="G100" i="8" s="1"/>
  <c r="G98" i="8" a="1"/>
  <c r="G98" i="8" s="1"/>
  <c r="G96" i="8" a="1"/>
  <c r="G96" i="8" s="1"/>
  <c r="G94" i="8" a="1"/>
  <c r="G94" i="8" s="1"/>
  <c r="G92" i="8" a="1"/>
  <c r="G92" i="8" s="1"/>
  <c r="G90" i="8" a="1"/>
  <c r="G90" i="8" s="1"/>
  <c r="G88" i="8" a="1"/>
  <c r="G88" i="8" s="1"/>
  <c r="G86" i="8" a="1"/>
  <c r="G86" i="8" s="1"/>
  <c r="G84" i="8" a="1"/>
  <c r="G84" i="8" s="1"/>
  <c r="G82" i="8" a="1"/>
  <c r="G82" i="8" s="1"/>
  <c r="G80" i="8" a="1"/>
  <c r="G80" i="8" s="1"/>
  <c r="G78" i="8" a="1"/>
  <c r="G78" i="8" s="1"/>
  <c r="G76" i="8" a="1"/>
  <c r="G76" i="8" s="1"/>
  <c r="G74" i="8" a="1"/>
  <c r="G74" i="8" s="1"/>
  <c r="G72" i="8" a="1"/>
  <c r="G72" i="8" s="1"/>
  <c r="G70" i="8" a="1"/>
  <c r="G70" i="8" s="1"/>
  <c r="G68" i="8" a="1"/>
  <c r="G68" i="8" s="1"/>
  <c r="G66" i="8" a="1"/>
  <c r="G66" i="8" s="1"/>
  <c r="G64" i="8" a="1"/>
  <c r="G64" i="8" s="1"/>
  <c r="G62" i="8" a="1"/>
  <c r="G62" i="8" s="1"/>
  <c r="G60" i="8" a="1"/>
  <c r="G60" i="8" s="1"/>
  <c r="G58" i="8" a="1"/>
  <c r="G58" i="8" s="1"/>
  <c r="G56" i="8" a="1"/>
  <c r="G56" i="8" s="1"/>
  <c r="G54" i="8" a="1"/>
  <c r="G54" i="8" s="1"/>
  <c r="G52" i="8" a="1"/>
  <c r="G52" i="8" s="1"/>
  <c r="G50" i="8" a="1"/>
  <c r="G50" i="8" s="1"/>
  <c r="G48" i="8" a="1"/>
  <c r="G48" i="8" s="1"/>
  <c r="G46" i="8" a="1"/>
  <c r="G46" i="8" s="1"/>
  <c r="G44" i="8" a="1"/>
  <c r="G44" i="8" s="1"/>
  <c r="G42" i="8" a="1"/>
  <c r="G42" i="8" s="1"/>
  <c r="G40" i="8" a="1"/>
  <c r="G40" i="8" s="1"/>
  <c r="G38" i="8" a="1"/>
  <c r="G38" i="8" s="1"/>
  <c r="G36" i="8" a="1"/>
  <c r="G36" i="8" s="1"/>
  <c r="G34" i="8" a="1"/>
  <c r="G34" i="8" s="1"/>
  <c r="G32" i="8" a="1"/>
  <c r="G32" i="8" s="1"/>
  <c r="G30" i="8" a="1"/>
  <c r="G30" i="8" s="1"/>
  <c r="G28" i="8" a="1"/>
  <c r="G28" i="8" s="1"/>
  <c r="G26" i="8" a="1"/>
  <c r="G26" i="8" s="1"/>
  <c r="G24" i="8" a="1"/>
  <c r="G24" i="8" s="1"/>
  <c r="C3" i="8" a="1"/>
  <c r="C3" i="8" s="1"/>
  <c r="D3" i="8" a="1"/>
  <c r="D3" i="8" s="1"/>
  <c r="E3" i="8" a="1"/>
  <c r="E3" i="8" s="1"/>
  <c r="F3" i="8" a="1"/>
  <c r="F3" i="8" s="1"/>
  <c r="G3" i="8" a="1"/>
  <c r="G3" i="8" s="1"/>
  <c r="H3" i="8" a="1"/>
  <c r="H3" i="8" s="1"/>
  <c r="I3" i="8" a="1"/>
  <c r="I3" i="8" s="1"/>
  <c r="J3" i="8" a="1"/>
  <c r="J3" i="8" s="1"/>
  <c r="K3" i="8" a="1"/>
  <c r="K3" i="8" s="1"/>
  <c r="B3" i="8" a="1"/>
  <c r="B3" i="8" s="1"/>
  <c r="C2" i="4" a="1"/>
  <c r="C2" i="4" s="1"/>
  <c r="D2" i="4" a="1"/>
  <c r="D2" i="4" s="1"/>
  <c r="E2" i="4" a="1"/>
  <c r="E2" i="4" s="1"/>
  <c r="F2" i="4" a="1"/>
  <c r="F2" i="4" s="1"/>
  <c r="G2" i="4" a="1"/>
  <c r="G2" i="4" s="1"/>
  <c r="B2" i="4" a="1"/>
  <c r="B2" i="4" s="1"/>
  <c r="B2" i="5" a="1"/>
  <c r="B2" i="5" s="1"/>
  <c r="C2" i="5" a="1"/>
  <c r="C2" i="5" s="1"/>
  <c r="D2" i="5" a="1"/>
  <c r="D2" i="5" s="1"/>
  <c r="C1" i="2" a="1"/>
  <c r="C1" i="2"/>
  <c r="D1" i="2" a="1"/>
  <c r="D1" i="2"/>
  <c r="E1" i="2" a="1"/>
  <c r="E1" i="2"/>
  <c r="F1" i="2" a="1"/>
  <c r="F1" i="2"/>
  <c r="G1" i="2" a="1"/>
  <c r="G1" i="2" s="1"/>
  <c r="H1" i="2" a="1"/>
  <c r="H1" i="2" s="1"/>
  <c r="I1" i="2" a="1"/>
  <c r="I1" i="2"/>
  <c r="F2" i="2"/>
  <c r="G2" i="2"/>
  <c r="H2" i="2"/>
  <c r="I2" i="2"/>
  <c r="B1" i="2" a="1"/>
  <c r="B1" i="2" s="1"/>
  <c r="C6" i="2"/>
  <c r="D6" i="2" a="1"/>
  <c r="D6" i="2" s="1"/>
  <c r="C7" i="2"/>
  <c r="D7" i="2" a="1"/>
  <c r="D7" i="2" s="1"/>
  <c r="C8" i="2"/>
  <c r="D8" i="2" a="1"/>
  <c r="D8" i="2" s="1"/>
  <c r="C9" i="2"/>
  <c r="D9" i="2" a="1"/>
  <c r="D9" i="2" s="1"/>
  <c r="C10" i="2"/>
  <c r="D10" i="2" a="1"/>
  <c r="D10" i="2" s="1"/>
  <c r="C11" i="2"/>
  <c r="D11" i="2" a="1"/>
  <c r="D11" i="2" s="1"/>
  <c r="C12" i="2"/>
  <c r="D12" i="2" a="1"/>
  <c r="D12" i="2" s="1"/>
  <c r="C13" i="2"/>
  <c r="D13" i="2" a="1"/>
  <c r="D13" i="2" s="1"/>
  <c r="C14" i="2"/>
  <c r="D14" i="2" a="1"/>
  <c r="D14" i="2" s="1"/>
  <c r="C15" i="2"/>
  <c r="D15" i="2" a="1"/>
  <c r="D15" i="2" s="1"/>
  <c r="C16" i="2"/>
  <c r="D16" i="2" a="1"/>
  <c r="D16" i="2" s="1"/>
  <c r="C17" i="2"/>
  <c r="D17" i="2" a="1"/>
  <c r="D17" i="2" s="1"/>
  <c r="C18" i="2"/>
  <c r="D18" i="2" a="1"/>
  <c r="D18" i="2" s="1"/>
  <c r="C19" i="2"/>
  <c r="D19" i="2" a="1"/>
  <c r="D19" i="2" s="1"/>
  <c r="C20" i="2"/>
  <c r="D20" i="2" a="1"/>
  <c r="D20" i="2" s="1"/>
  <c r="C21" i="2"/>
  <c r="D21" i="2" a="1"/>
  <c r="D21" i="2" s="1"/>
  <c r="C22" i="2"/>
  <c r="D22" i="2" a="1"/>
  <c r="D22" i="2" s="1"/>
  <c r="C23" i="2"/>
  <c r="D23" i="2" a="1"/>
  <c r="D23" i="2" s="1"/>
  <c r="C24" i="2"/>
  <c r="D24" i="2" a="1"/>
  <c r="D24" i="2" s="1"/>
  <c r="C25" i="2"/>
  <c r="D25" i="2" a="1"/>
  <c r="D25" i="2" s="1"/>
  <c r="C26" i="2"/>
  <c r="D26" i="2" a="1"/>
  <c r="D26" i="2" s="1"/>
  <c r="C27" i="2"/>
  <c r="D27" i="2" a="1"/>
  <c r="D27" i="2" s="1"/>
  <c r="C28" i="2"/>
  <c r="D28" i="2" a="1"/>
  <c r="D28" i="2" s="1"/>
  <c r="C29" i="2"/>
  <c r="D29" i="2" a="1"/>
  <c r="D29" i="2" s="1"/>
  <c r="C30" i="2"/>
  <c r="D30" i="2" a="1"/>
  <c r="D30" i="2" s="1"/>
  <c r="C31" i="2"/>
  <c r="D31" i="2" a="1"/>
  <c r="D31" i="2" s="1"/>
  <c r="C32" i="2"/>
  <c r="D32" i="2" a="1"/>
  <c r="D32" i="2" s="1"/>
  <c r="C33" i="2"/>
  <c r="D33" i="2" a="1"/>
  <c r="D33" i="2" s="1"/>
  <c r="C34" i="2"/>
  <c r="D34" i="2" a="1"/>
  <c r="D34" i="2" s="1"/>
  <c r="C35" i="2"/>
  <c r="D35" i="2" a="1"/>
  <c r="D35" i="2" s="1"/>
  <c r="C36" i="2"/>
  <c r="D36" i="2" a="1"/>
  <c r="D36" i="2" s="1"/>
  <c r="C37" i="2"/>
  <c r="D37" i="2" a="1"/>
  <c r="D37" i="2" s="1"/>
  <c r="C38" i="2"/>
  <c r="D38" i="2" a="1"/>
  <c r="D38" i="2" s="1"/>
  <c r="C39" i="2"/>
  <c r="D39" i="2" a="1"/>
  <c r="D39" i="2" s="1"/>
  <c r="C40" i="2"/>
  <c r="D40" i="2" a="1"/>
  <c r="D40" i="2" s="1"/>
  <c r="C41" i="2"/>
  <c r="D41" i="2" a="1"/>
  <c r="D41" i="2" s="1"/>
  <c r="C42" i="2"/>
  <c r="D42" i="2" a="1"/>
  <c r="D42" i="2" s="1"/>
  <c r="C43" i="2"/>
  <c r="D43" i="2" a="1"/>
  <c r="D43" i="2" s="1"/>
  <c r="C44" i="2"/>
  <c r="D44" i="2" a="1"/>
  <c r="D44" i="2" s="1"/>
  <c r="C45" i="2"/>
  <c r="D45" i="2" a="1"/>
  <c r="D45" i="2" s="1"/>
  <c r="C46" i="2"/>
  <c r="D46" i="2" a="1"/>
  <c r="D46" i="2" s="1"/>
  <c r="C47" i="2"/>
  <c r="D47" i="2" a="1"/>
  <c r="D47" i="2" s="1"/>
  <c r="C48" i="2"/>
  <c r="D48" i="2" a="1"/>
  <c r="D48" i="2" s="1"/>
  <c r="C49" i="2"/>
  <c r="D49" i="2" a="1"/>
  <c r="D49" i="2" s="1"/>
  <c r="C50" i="2"/>
  <c r="D50" i="2" a="1"/>
  <c r="D50" i="2" s="1"/>
  <c r="C51" i="2"/>
  <c r="D51" i="2" a="1"/>
  <c r="D51" i="2" s="1"/>
  <c r="C52" i="2"/>
  <c r="D52" i="2" a="1"/>
  <c r="D52" i="2" s="1"/>
  <c r="C53" i="2"/>
  <c r="D53" i="2" a="1"/>
  <c r="D53" i="2" s="1"/>
  <c r="C54" i="2"/>
  <c r="D54" i="2" a="1"/>
  <c r="D54" i="2" s="1"/>
  <c r="C5" i="2"/>
  <c r="D5" i="2" a="1"/>
  <c r="D5" i="2" s="1"/>
  <c r="L74" i="21" l="1" a="1"/>
  <c r="L74" i="21" s="1"/>
  <c r="K74" i="21" a="1"/>
  <c r="K74" i="21" s="1"/>
  <c r="V11" i="35"/>
  <c r="S11" i="35"/>
  <c r="AA11" i="35"/>
  <c r="X11" i="35"/>
  <c r="W11" i="35"/>
  <c r="T11" i="35"/>
  <c r="R11" i="35"/>
  <c r="P5" i="35" a="1"/>
  <c r="P5" i="35" s="1"/>
  <c r="P5" i="34" a="1"/>
  <c r="P5" i="34" s="1"/>
  <c r="Y5" i="34" s="1"/>
  <c r="P52" i="35" a="1"/>
  <c r="P52" i="35" s="1"/>
  <c r="P52" i="34" a="1"/>
  <c r="P52" i="34" s="1"/>
  <c r="Y52" i="34" s="1"/>
  <c r="P36" i="35" a="1"/>
  <c r="P36" i="35" s="1"/>
  <c r="P36" i="34" a="1"/>
  <c r="P36" i="34" s="1"/>
  <c r="U36" i="34" s="1"/>
  <c r="O42" i="35" a="1"/>
  <c r="O42" i="35" s="1"/>
  <c r="O42" i="34" a="1"/>
  <c r="O42" i="34" s="1"/>
  <c r="T42" i="34" s="1"/>
  <c r="P19" i="35" a="1"/>
  <c r="P19" i="35" s="1"/>
  <c r="P19" i="34" a="1"/>
  <c r="P19" i="34" s="1"/>
  <c r="Y19" i="34" s="1"/>
  <c r="P45" i="35" a="1"/>
  <c r="P45" i="35" s="1"/>
  <c r="P45" i="34" a="1"/>
  <c r="P45" i="34" s="1"/>
  <c r="Y45" i="34" s="1"/>
  <c r="O19" i="35" a="1"/>
  <c r="O19" i="35" s="1"/>
  <c r="O19" i="34" a="1"/>
  <c r="O19" i="34" s="1"/>
  <c r="AA19" i="34" s="1"/>
  <c r="O31" i="35" a="1"/>
  <c r="O31" i="35" s="1"/>
  <c r="O31" i="34" a="1"/>
  <c r="O31" i="34" s="1"/>
  <c r="V31" i="34" s="1"/>
  <c r="P54" i="35" a="1"/>
  <c r="P54" i="35" s="1"/>
  <c r="P54" i="34" a="1"/>
  <c r="P54" i="34" s="1"/>
  <c r="U54" i="34" s="1"/>
  <c r="P8" i="35" a="1"/>
  <c r="P8" i="35" s="1"/>
  <c r="P8" i="34" a="1"/>
  <c r="P8" i="34" s="1"/>
  <c r="Y8" i="34" s="1"/>
  <c r="O20" i="35" a="1"/>
  <c r="O20" i="35" s="1"/>
  <c r="O20" i="34" a="1"/>
  <c r="O20" i="34" s="1"/>
  <c r="X20" i="34" s="1"/>
  <c r="O32" i="35" a="1"/>
  <c r="O32" i="35" s="1"/>
  <c r="O32" i="34" a="1"/>
  <c r="O32" i="34" s="1"/>
  <c r="X32" i="34" s="1"/>
  <c r="O44" i="35" a="1"/>
  <c r="O44" i="35" s="1"/>
  <c r="O44" i="34" a="1"/>
  <c r="O44" i="34" s="1"/>
  <c r="S44" i="34" s="1"/>
  <c r="O6" i="35" a="1"/>
  <c r="O6" i="35" s="1"/>
  <c r="O6" i="34" a="1"/>
  <c r="O6" i="34" s="1"/>
  <c r="P21" i="35" a="1"/>
  <c r="P21" i="35" s="1"/>
  <c r="P21" i="34" a="1"/>
  <c r="P21" i="34" s="1"/>
  <c r="Y21" i="34" s="1"/>
  <c r="P42" i="35" a="1"/>
  <c r="P42" i="35" s="1"/>
  <c r="P42" i="34" a="1"/>
  <c r="P42" i="34" s="1"/>
  <c r="U42" i="34" s="1"/>
  <c r="P25" i="35" a="1"/>
  <c r="P25" i="35" s="1"/>
  <c r="P25" i="34" a="1"/>
  <c r="P25" i="34" s="1"/>
  <c r="Y25" i="34" s="1"/>
  <c r="P49" i="35" a="1"/>
  <c r="P49" i="35" s="1"/>
  <c r="P49" i="34" a="1"/>
  <c r="P49" i="34" s="1"/>
  <c r="Y49" i="34" s="1"/>
  <c r="O30" i="35" a="1"/>
  <c r="O30" i="35" s="1"/>
  <c r="O30" i="34" a="1"/>
  <c r="O30" i="34" s="1"/>
  <c r="T30" i="34" s="1"/>
  <c r="O33" i="35" a="1"/>
  <c r="O33" i="35" s="1"/>
  <c r="O33" i="34" a="1"/>
  <c r="O33" i="34" s="1"/>
  <c r="V33" i="34" s="1"/>
  <c r="P22" i="35" a="1"/>
  <c r="P22" i="35" s="1"/>
  <c r="P22" i="34" a="1"/>
  <c r="P22" i="34" s="1"/>
  <c r="Y22" i="34" s="1"/>
  <c r="P44" i="35" a="1"/>
  <c r="P44" i="35" s="1"/>
  <c r="P44" i="34" a="1"/>
  <c r="P44" i="34" s="1"/>
  <c r="U44" i="34" s="1"/>
  <c r="P27" i="35" a="1"/>
  <c r="P27" i="35" s="1"/>
  <c r="P27" i="34" a="1"/>
  <c r="P27" i="34" s="1"/>
  <c r="Y27" i="34" s="1"/>
  <c r="P51" i="35" a="1"/>
  <c r="P51" i="35" s="1"/>
  <c r="P51" i="34" a="1"/>
  <c r="P51" i="34" s="1"/>
  <c r="Y51" i="34" s="1"/>
  <c r="P10" i="35" a="1"/>
  <c r="P10" i="35" s="1"/>
  <c r="P10" i="34" a="1"/>
  <c r="P10" i="34" s="1"/>
  <c r="Y10" i="34" s="1"/>
  <c r="O22" i="35" a="1"/>
  <c r="O22" i="35" s="1"/>
  <c r="O22" i="34" a="1"/>
  <c r="O22" i="34" s="1"/>
  <c r="O34" i="35" a="1"/>
  <c r="O34" i="35" s="1"/>
  <c r="O34" i="34" a="1"/>
  <c r="O34" i="34" s="1"/>
  <c r="V34" i="34" s="1"/>
  <c r="O46" i="35" a="1"/>
  <c r="O46" i="35" s="1"/>
  <c r="O46" i="34" a="1"/>
  <c r="O46" i="34" s="1"/>
  <c r="S46" i="34" s="1"/>
  <c r="O8" i="35" a="1"/>
  <c r="O8" i="35" s="1"/>
  <c r="O8" i="34" a="1"/>
  <c r="O8" i="34" s="1"/>
  <c r="S8" i="34" s="1"/>
  <c r="P23" i="35" a="1"/>
  <c r="P23" i="35" s="1"/>
  <c r="P23" i="34" a="1"/>
  <c r="P23" i="34" s="1"/>
  <c r="Y23" i="34" s="1"/>
  <c r="P46" i="35" a="1"/>
  <c r="P46" i="35" s="1"/>
  <c r="P46" i="34" a="1"/>
  <c r="P46" i="34" s="1"/>
  <c r="Y46" i="34" s="1"/>
  <c r="P29" i="35" a="1"/>
  <c r="P29" i="35" s="1"/>
  <c r="P29" i="34" a="1"/>
  <c r="P29" i="34" s="1"/>
  <c r="G74" i="21" a="1"/>
  <c r="G74" i="21" s="1"/>
  <c r="P9" i="35" a="1"/>
  <c r="P9" i="35" s="1"/>
  <c r="P9" i="34" a="1"/>
  <c r="P9" i="34" s="1"/>
  <c r="Y9" i="34" s="1"/>
  <c r="O45" i="35" a="1"/>
  <c r="O45" i="35" s="1"/>
  <c r="O45" i="34" a="1"/>
  <c r="O45" i="34" s="1"/>
  <c r="W45" i="34" s="1"/>
  <c r="O7" i="35" a="1"/>
  <c r="O7" i="35" s="1"/>
  <c r="O7" i="34" a="1"/>
  <c r="O7" i="34" s="1"/>
  <c r="S7" i="34" s="1"/>
  <c r="P11" i="35" a="1"/>
  <c r="P11" i="35" s="1"/>
  <c r="P11" i="34" a="1"/>
  <c r="P11" i="34" s="1"/>
  <c r="Y11" i="34" s="1"/>
  <c r="O23" i="35" a="1"/>
  <c r="O23" i="35" s="1"/>
  <c r="O23" i="34" a="1"/>
  <c r="O23" i="34" s="1"/>
  <c r="T23" i="34" s="1"/>
  <c r="O35" i="35" a="1"/>
  <c r="O35" i="35" s="1"/>
  <c r="O35" i="34" a="1"/>
  <c r="O35" i="34" s="1"/>
  <c r="W35" i="34" s="1"/>
  <c r="O47" i="35" a="1"/>
  <c r="O47" i="35" s="1"/>
  <c r="O47" i="34" a="1"/>
  <c r="O47" i="34" s="1"/>
  <c r="S47" i="34" s="1"/>
  <c r="O9" i="35" a="1"/>
  <c r="O9" i="35" s="1"/>
  <c r="O9" i="34" a="1"/>
  <c r="O9" i="34" s="1"/>
  <c r="X9" i="34" s="1"/>
  <c r="P24" i="35" a="1"/>
  <c r="P24" i="35" s="1"/>
  <c r="P24" i="34" a="1"/>
  <c r="P24" i="34" s="1"/>
  <c r="Y24" i="34" s="1"/>
  <c r="P48" i="35" a="1"/>
  <c r="P48" i="35" s="1"/>
  <c r="P48" i="34" a="1"/>
  <c r="P48" i="34" s="1"/>
  <c r="Y48" i="34" s="1"/>
  <c r="P31" i="35" a="1"/>
  <c r="P31" i="35" s="1"/>
  <c r="P31" i="34" a="1"/>
  <c r="P31" i="34" s="1"/>
  <c r="Y31" i="34" s="1"/>
  <c r="H74" i="21" a="1"/>
  <c r="H74" i="21" s="1"/>
  <c r="O43" i="35" a="1"/>
  <c r="O43" i="35" s="1"/>
  <c r="O43" i="34" a="1"/>
  <c r="O43" i="34" s="1"/>
  <c r="X43" i="34" s="1"/>
  <c r="P20" i="35" a="1"/>
  <c r="P20" i="35" s="1"/>
  <c r="P20" i="34" a="1"/>
  <c r="P20" i="34" s="1"/>
  <c r="Y20" i="34" s="1"/>
  <c r="P47" i="35" a="1"/>
  <c r="P47" i="35" s="1"/>
  <c r="P47" i="34" a="1"/>
  <c r="P47" i="34" s="1"/>
  <c r="U47" i="34" s="1"/>
  <c r="O29" i="35" a="1"/>
  <c r="O29" i="35" s="1"/>
  <c r="O29" i="34" a="1"/>
  <c r="O29" i="34" s="1"/>
  <c r="AA29" i="34" s="1"/>
  <c r="P43" i="35" a="1"/>
  <c r="P43" i="35" s="1"/>
  <c r="P43" i="34" a="1"/>
  <c r="P43" i="34" s="1"/>
  <c r="Y43" i="34" s="1"/>
  <c r="P40" i="35" a="1"/>
  <c r="P40" i="35" s="1"/>
  <c r="P40" i="34" a="1"/>
  <c r="P40" i="34" s="1"/>
  <c r="Y40" i="34" s="1"/>
  <c r="O12" i="35" a="1"/>
  <c r="O12" i="35" s="1"/>
  <c r="O12" i="34" a="1"/>
  <c r="O12" i="34" s="1"/>
  <c r="W12" i="34" s="1"/>
  <c r="O24" i="35" a="1"/>
  <c r="O24" i="35" s="1"/>
  <c r="O24" i="34" a="1"/>
  <c r="O24" i="34" s="1"/>
  <c r="X24" i="34" s="1"/>
  <c r="O25" i="35" a="1"/>
  <c r="O25" i="35" s="1"/>
  <c r="O25" i="34" a="1"/>
  <c r="O25" i="34" s="1"/>
  <c r="X25" i="34" s="1"/>
  <c r="P14" i="35" a="1"/>
  <c r="P14" i="35" s="1"/>
  <c r="P14" i="34" a="1"/>
  <c r="P14" i="34" s="1"/>
  <c r="Y14" i="34" s="1"/>
  <c r="O17" i="35" a="1"/>
  <c r="O17" i="35" s="1"/>
  <c r="O17" i="34" a="1"/>
  <c r="O17" i="34" s="1"/>
  <c r="V17" i="34" s="1"/>
  <c r="P6" i="35" a="1"/>
  <c r="P6" i="35" s="1"/>
  <c r="P6" i="34" a="1"/>
  <c r="P6" i="34" s="1"/>
  <c r="Y6" i="34" s="1"/>
  <c r="P38" i="35" a="1"/>
  <c r="P38" i="35" s="1"/>
  <c r="P38" i="34" a="1"/>
  <c r="P38" i="34" s="1"/>
  <c r="Y38" i="34" s="1"/>
  <c r="P12" i="35" a="1"/>
  <c r="P12" i="35" s="1"/>
  <c r="P12" i="34" a="1"/>
  <c r="P12" i="34" s="1"/>
  <c r="Y12" i="34" s="1"/>
  <c r="O10" i="35" a="1"/>
  <c r="O10" i="35" s="1"/>
  <c r="O10" i="34" a="1"/>
  <c r="O10" i="34" s="1"/>
  <c r="W10" i="34" s="1"/>
  <c r="O37" i="35" a="1"/>
  <c r="O37" i="35" s="1"/>
  <c r="O37" i="34" a="1"/>
  <c r="O37" i="34" s="1"/>
  <c r="AA37" i="34" s="1"/>
  <c r="P28" i="35" a="1"/>
  <c r="P28" i="35" s="1"/>
  <c r="P28" i="34" a="1"/>
  <c r="P28" i="34" s="1"/>
  <c r="Y28" i="34" s="1"/>
  <c r="O38" i="35" a="1"/>
  <c r="O38" i="35" s="1"/>
  <c r="O38" i="34" a="1"/>
  <c r="O38" i="34" s="1"/>
  <c r="P30" i="35" a="1"/>
  <c r="P30" i="35" s="1"/>
  <c r="P30" i="34" a="1"/>
  <c r="P30" i="34" s="1"/>
  <c r="Y30" i="34" s="1"/>
  <c r="O18" i="35" a="1"/>
  <c r="O18" i="35" s="1"/>
  <c r="O18" i="34" a="1"/>
  <c r="O18" i="34" s="1"/>
  <c r="T18" i="34" s="1"/>
  <c r="P53" i="35" a="1"/>
  <c r="P53" i="35" s="1"/>
  <c r="P53" i="34" a="1"/>
  <c r="P53" i="34" s="1"/>
  <c r="U53" i="34" s="1"/>
  <c r="O36" i="35" a="1"/>
  <c r="O36" i="35" s="1"/>
  <c r="O36" i="34" a="1"/>
  <c r="O36" i="34" s="1"/>
  <c r="T36" i="34" s="1"/>
  <c r="P50" i="35" a="1"/>
  <c r="P50" i="35" s="1"/>
  <c r="P50" i="34" a="1"/>
  <c r="P50" i="34" s="1"/>
  <c r="Y50" i="34" s="1"/>
  <c r="P33" i="35" a="1"/>
  <c r="P33" i="35" s="1"/>
  <c r="P33" i="34" a="1"/>
  <c r="P33" i="34" s="1"/>
  <c r="Y33" i="34" s="1"/>
  <c r="P13" i="35" a="1"/>
  <c r="P13" i="35" s="1"/>
  <c r="P13" i="34" a="1"/>
  <c r="P13" i="34" s="1"/>
  <c r="Y13" i="34" s="1"/>
  <c r="O49" i="35" a="1"/>
  <c r="O49" i="35" s="1"/>
  <c r="O49" i="34" a="1"/>
  <c r="O49" i="34" s="1"/>
  <c r="W49" i="34" s="1"/>
  <c r="O13" i="35" a="1"/>
  <c r="O13" i="35" s="1"/>
  <c r="O13" i="34" a="1"/>
  <c r="O13" i="34" s="1"/>
  <c r="AA13" i="34" s="1"/>
  <c r="P35" i="35" a="1"/>
  <c r="P35" i="35" s="1"/>
  <c r="P35" i="34" a="1"/>
  <c r="P35" i="34" s="1"/>
  <c r="U35" i="34" s="1"/>
  <c r="O14" i="35" a="1"/>
  <c r="O14" i="35" s="1"/>
  <c r="O14" i="34" a="1"/>
  <c r="O14" i="34" s="1"/>
  <c r="S14" i="34" s="1"/>
  <c r="O26" i="35" a="1"/>
  <c r="O26" i="35" s="1"/>
  <c r="O26" i="34" a="1"/>
  <c r="O26" i="34" s="1"/>
  <c r="T26" i="34" s="1"/>
  <c r="O50" i="35" a="1"/>
  <c r="O50" i="35" s="1"/>
  <c r="O50" i="34" a="1"/>
  <c r="O50" i="34" s="1"/>
  <c r="AA50" i="34" s="1"/>
  <c r="P15" i="35" a="1"/>
  <c r="P15" i="35" s="1"/>
  <c r="P15" i="34" a="1"/>
  <c r="P15" i="34" s="1"/>
  <c r="Y15" i="34" s="1"/>
  <c r="P37" i="35" a="1"/>
  <c r="P37" i="35" s="1"/>
  <c r="P37" i="34" a="1"/>
  <c r="P37" i="34" s="1"/>
  <c r="Y37" i="34" s="1"/>
  <c r="O41" i="35" a="1"/>
  <c r="O41" i="35" s="1"/>
  <c r="O41" i="34" a="1"/>
  <c r="O41" i="34" s="1"/>
  <c r="W41" i="34" s="1"/>
  <c r="P18" i="35" a="1"/>
  <c r="P18" i="35" s="1"/>
  <c r="P18" i="34" a="1"/>
  <c r="P18" i="34" s="1"/>
  <c r="Y18" i="34" s="1"/>
  <c r="P7" i="35" a="1"/>
  <c r="P7" i="35" s="1"/>
  <c r="P7" i="34" a="1"/>
  <c r="P7" i="34" s="1"/>
  <c r="O21" i="35" a="1"/>
  <c r="O21" i="35" s="1"/>
  <c r="O21" i="34" a="1"/>
  <c r="O21" i="34" s="1"/>
  <c r="AA21" i="34" s="1"/>
  <c r="O48" i="35" a="1"/>
  <c r="O48" i="35" s="1"/>
  <c r="O48" i="34" a="1"/>
  <c r="O48" i="34" s="1"/>
  <c r="W48" i="34" s="1"/>
  <c r="P26" i="35" a="1"/>
  <c r="P26" i="35" s="1"/>
  <c r="P26" i="34" a="1"/>
  <c r="P26" i="34" s="1"/>
  <c r="Y26" i="34" s="1"/>
  <c r="O53" i="35" a="1"/>
  <c r="O53" i="35" s="1"/>
  <c r="O53" i="34" a="1"/>
  <c r="O53" i="34" s="1"/>
  <c r="S53" i="34" s="1"/>
  <c r="O15" i="35" a="1"/>
  <c r="O15" i="35" s="1"/>
  <c r="O15" i="34" a="1"/>
  <c r="O15" i="34" s="1"/>
  <c r="AA15" i="34" s="1"/>
  <c r="O27" i="35" a="1"/>
  <c r="O27" i="35" s="1"/>
  <c r="O27" i="34" a="1"/>
  <c r="O27" i="34" s="1"/>
  <c r="O39" i="35" a="1"/>
  <c r="O39" i="35" s="1"/>
  <c r="O39" i="34" a="1"/>
  <c r="O39" i="34" s="1"/>
  <c r="X39" i="34" s="1"/>
  <c r="O51" i="35" a="1"/>
  <c r="O51" i="35" s="1"/>
  <c r="O51" i="34" a="1"/>
  <c r="O51" i="34" s="1"/>
  <c r="T51" i="34" s="1"/>
  <c r="P16" i="35" a="1"/>
  <c r="P16" i="35" s="1"/>
  <c r="P16" i="34" a="1"/>
  <c r="P16" i="34" s="1"/>
  <c r="Y16" i="34" s="1"/>
  <c r="P32" i="35" a="1"/>
  <c r="P32" i="35" s="1"/>
  <c r="P32" i="34" a="1"/>
  <c r="P32" i="34" s="1"/>
  <c r="Y32" i="34" s="1"/>
  <c r="P39" i="35" a="1"/>
  <c r="P39" i="35" s="1"/>
  <c r="P39" i="34" a="1"/>
  <c r="P39" i="34" s="1"/>
  <c r="U39" i="34" s="1"/>
  <c r="O54" i="35" a="1"/>
  <c r="O54" i="35" s="1"/>
  <c r="O54" i="34" a="1"/>
  <c r="O54" i="34" s="1"/>
  <c r="O16" i="35" a="1"/>
  <c r="O16" i="35" s="1"/>
  <c r="O16" i="34" a="1"/>
  <c r="O16" i="34" s="1"/>
  <c r="V16" i="34" s="1"/>
  <c r="O28" i="35" a="1"/>
  <c r="O28" i="35" s="1"/>
  <c r="O28" i="34" a="1"/>
  <c r="O28" i="34" s="1"/>
  <c r="T28" i="34" s="1"/>
  <c r="O40" i="35" a="1"/>
  <c r="O40" i="35" s="1"/>
  <c r="O40" i="34" a="1"/>
  <c r="O40" i="34" s="1"/>
  <c r="AA40" i="34" s="1"/>
  <c r="O52" i="35" a="1"/>
  <c r="O52" i="35" s="1"/>
  <c r="O52" i="34" a="1"/>
  <c r="O52" i="34" s="1"/>
  <c r="S52" i="34" s="1"/>
  <c r="P17" i="35" a="1"/>
  <c r="P17" i="35" s="1"/>
  <c r="P17" i="34" a="1"/>
  <c r="P17" i="34" s="1"/>
  <c r="Y17" i="34" s="1"/>
  <c r="P34" i="35" a="1"/>
  <c r="P34" i="35" s="1"/>
  <c r="P34" i="34" a="1"/>
  <c r="P34" i="34" s="1"/>
  <c r="Y34" i="34" s="1"/>
  <c r="O5" i="35" a="1"/>
  <c r="O5" i="35" s="1"/>
  <c r="O5" i="34" a="1"/>
  <c r="O5" i="34" s="1"/>
  <c r="R5" i="34" s="1"/>
  <c r="P41" i="35" a="1"/>
  <c r="P41" i="35" s="1"/>
  <c r="P41" i="34" a="1"/>
  <c r="P41" i="34" s="1"/>
  <c r="Y41" i="34" s="1"/>
  <c r="R26" i="33"/>
  <c r="S26" i="33"/>
  <c r="T26" i="33"/>
  <c r="W26" i="33"/>
  <c r="X26" i="33"/>
  <c r="V26" i="33"/>
  <c r="AA26" i="33"/>
  <c r="R44" i="33"/>
  <c r="S44" i="33"/>
  <c r="T44" i="33"/>
  <c r="W44" i="33"/>
  <c r="X44" i="33"/>
  <c r="V44" i="33"/>
  <c r="AA44" i="33"/>
  <c r="R7" i="33"/>
  <c r="S7" i="33"/>
  <c r="T7" i="33"/>
  <c r="V7" i="33"/>
  <c r="X7" i="33"/>
  <c r="W7" i="33"/>
  <c r="AA7" i="33"/>
  <c r="U35" i="33"/>
  <c r="Y35" i="33"/>
  <c r="V34" i="33"/>
  <c r="W34" i="33"/>
  <c r="X34" i="33"/>
  <c r="T34" i="33"/>
  <c r="S34" i="33"/>
  <c r="R34" i="33"/>
  <c r="AA34" i="33"/>
  <c r="AA15" i="33"/>
  <c r="V15" i="33"/>
  <c r="W15" i="33"/>
  <c r="X15" i="33"/>
  <c r="R15" i="33"/>
  <c r="S15" i="33"/>
  <c r="T15" i="33"/>
  <c r="V33" i="33"/>
  <c r="W33" i="33"/>
  <c r="X33" i="33"/>
  <c r="R33" i="33"/>
  <c r="S33" i="33"/>
  <c r="T33" i="33"/>
  <c r="AA33" i="33"/>
  <c r="V51" i="33"/>
  <c r="W51" i="33"/>
  <c r="X51" i="33"/>
  <c r="R51" i="33"/>
  <c r="S51" i="33"/>
  <c r="T51" i="33"/>
  <c r="AA51" i="33"/>
  <c r="U54" i="33"/>
  <c r="Y54" i="33"/>
  <c r="U15" i="33"/>
  <c r="Y15" i="33"/>
  <c r="U33" i="33"/>
  <c r="Y33" i="33"/>
  <c r="U51" i="33"/>
  <c r="Y51" i="33"/>
  <c r="U5" i="33"/>
  <c r="Y5" i="33"/>
  <c r="V6" i="33"/>
  <c r="W6" i="33"/>
  <c r="X6" i="33"/>
  <c r="R6" i="33"/>
  <c r="S6" i="33"/>
  <c r="T6" i="33"/>
  <c r="AA6" i="33"/>
  <c r="W5" i="33"/>
  <c r="S5" i="33"/>
  <c r="T5" i="33"/>
  <c r="V5" i="33"/>
  <c r="X5" i="33"/>
  <c r="R5" i="33"/>
  <c r="AA5" i="33"/>
  <c r="U17" i="33"/>
  <c r="Y17" i="33"/>
  <c r="Y22" i="33"/>
  <c r="U22" i="33"/>
  <c r="U19" i="33"/>
  <c r="Y19" i="33"/>
  <c r="Y20" i="33"/>
  <c r="U20" i="33"/>
  <c r="V54" i="33"/>
  <c r="W54" i="33"/>
  <c r="X54" i="33"/>
  <c r="R54" i="33"/>
  <c r="S54" i="33"/>
  <c r="T54" i="33"/>
  <c r="AA54" i="33"/>
  <c r="V36" i="33"/>
  <c r="W36" i="33"/>
  <c r="X36" i="33"/>
  <c r="S36" i="33"/>
  <c r="T36" i="33"/>
  <c r="R36" i="33"/>
  <c r="AA36" i="33"/>
  <c r="V22" i="33"/>
  <c r="W22" i="33"/>
  <c r="X22" i="33"/>
  <c r="T22" i="33"/>
  <c r="R22" i="33"/>
  <c r="S22" i="33"/>
  <c r="AA22" i="33"/>
  <c r="U36" i="33"/>
  <c r="Y36" i="33"/>
  <c r="Y8" i="33"/>
  <c r="U8" i="33"/>
  <c r="R29" i="33"/>
  <c r="S29" i="33"/>
  <c r="T29" i="33"/>
  <c r="W29" i="33"/>
  <c r="V29" i="33"/>
  <c r="X29" i="33"/>
  <c r="AA29" i="33"/>
  <c r="R47" i="33"/>
  <c r="S47" i="33"/>
  <c r="T47" i="33"/>
  <c r="W47" i="33"/>
  <c r="V47" i="33"/>
  <c r="X47" i="33"/>
  <c r="AA47" i="33"/>
  <c r="V10" i="33"/>
  <c r="W10" i="33"/>
  <c r="X10" i="33"/>
  <c r="T10" i="33"/>
  <c r="S10" i="33"/>
  <c r="R10" i="33"/>
  <c r="AA10" i="33"/>
  <c r="Y38" i="33"/>
  <c r="U38" i="33"/>
  <c r="V18" i="33"/>
  <c r="W18" i="33"/>
  <c r="X18" i="33"/>
  <c r="S18" i="33"/>
  <c r="R18" i="33"/>
  <c r="T18" i="33"/>
  <c r="AA18" i="33"/>
  <c r="W36" i="34"/>
  <c r="R8" i="33"/>
  <c r="S8" i="33"/>
  <c r="T8" i="33"/>
  <c r="W8" i="33"/>
  <c r="X8" i="33"/>
  <c r="V8" i="33"/>
  <c r="AA8" i="33"/>
  <c r="U18" i="33"/>
  <c r="Y18" i="33"/>
  <c r="R25" i="33"/>
  <c r="V25" i="33"/>
  <c r="S25" i="33"/>
  <c r="T25" i="33"/>
  <c r="W25" i="33"/>
  <c r="X25" i="33"/>
  <c r="AA25" i="33"/>
  <c r="R14" i="33"/>
  <c r="S14" i="33"/>
  <c r="T14" i="33"/>
  <c r="W14" i="33"/>
  <c r="X14" i="33"/>
  <c r="V14" i="33"/>
  <c r="AA14" i="33"/>
  <c r="R32" i="33"/>
  <c r="S32" i="33"/>
  <c r="T32" i="33"/>
  <c r="W32" i="33"/>
  <c r="X32" i="33"/>
  <c r="V32" i="33"/>
  <c r="AA32" i="33"/>
  <c r="R50" i="33"/>
  <c r="S50" i="33"/>
  <c r="T50" i="33"/>
  <c r="W50" i="33"/>
  <c r="X50" i="33"/>
  <c r="V50" i="33"/>
  <c r="AA50" i="33"/>
  <c r="Y34" i="33"/>
  <c r="U34" i="33"/>
  <c r="U23" i="33"/>
  <c r="Y23" i="33"/>
  <c r="U41" i="33"/>
  <c r="Y41" i="33"/>
  <c r="V21" i="33"/>
  <c r="W21" i="33"/>
  <c r="X21" i="33"/>
  <c r="R21" i="33"/>
  <c r="S21" i="33"/>
  <c r="T21" i="33"/>
  <c r="AA21" i="33"/>
  <c r="V39" i="33"/>
  <c r="W39" i="33"/>
  <c r="X39" i="33"/>
  <c r="R39" i="33"/>
  <c r="S39" i="33"/>
  <c r="T39" i="33"/>
  <c r="AA39" i="33"/>
  <c r="V40" i="33"/>
  <c r="W40" i="33"/>
  <c r="X40" i="33"/>
  <c r="R40" i="33"/>
  <c r="S40" i="33"/>
  <c r="T40" i="33"/>
  <c r="AA40" i="33"/>
  <c r="W11" i="34"/>
  <c r="V11" i="34"/>
  <c r="AA11" i="34"/>
  <c r="X11" i="34"/>
  <c r="R11" i="34"/>
  <c r="S11" i="34"/>
  <c r="T11" i="34"/>
  <c r="U21" i="33"/>
  <c r="Y21" i="33"/>
  <c r="U39" i="33"/>
  <c r="Y39" i="33"/>
  <c r="U37" i="33"/>
  <c r="Y37" i="33"/>
  <c r="U12" i="33"/>
  <c r="Y12" i="33"/>
  <c r="U7" i="33"/>
  <c r="Y7" i="33"/>
  <c r="R11" i="33"/>
  <c r="S11" i="33"/>
  <c r="T11" i="33"/>
  <c r="W11" i="33"/>
  <c r="V11" i="33"/>
  <c r="X11" i="33"/>
  <c r="AA11" i="33"/>
  <c r="R43" i="33"/>
  <c r="S43" i="33"/>
  <c r="V43" i="33"/>
  <c r="T43" i="33"/>
  <c r="W43" i="33"/>
  <c r="X43" i="33"/>
  <c r="AA43" i="33"/>
  <c r="U25" i="33"/>
  <c r="Y25" i="33"/>
  <c r="R35" i="33"/>
  <c r="S35" i="33"/>
  <c r="T35" i="33"/>
  <c r="W35" i="33"/>
  <c r="V35" i="33"/>
  <c r="X35" i="33"/>
  <c r="AA35" i="33"/>
  <c r="Y46" i="33"/>
  <c r="U46" i="33"/>
  <c r="Y10" i="33"/>
  <c r="U10" i="33"/>
  <c r="V42" i="33"/>
  <c r="W42" i="33"/>
  <c r="X42" i="33"/>
  <c r="S42" i="33"/>
  <c r="R42" i="33"/>
  <c r="T42" i="33"/>
  <c r="AA42" i="33"/>
  <c r="U11" i="33"/>
  <c r="Y11" i="33"/>
  <c r="U24" i="33"/>
  <c r="Y24" i="33"/>
  <c r="U42" i="33"/>
  <c r="Y42" i="33"/>
  <c r="T9" i="34"/>
  <c r="Y16" i="33"/>
  <c r="U16" i="33"/>
  <c r="R17" i="33"/>
  <c r="S17" i="33"/>
  <c r="T17" i="33"/>
  <c r="W17" i="33"/>
  <c r="V17" i="33"/>
  <c r="X17" i="33"/>
  <c r="AA17" i="33"/>
  <c r="R19" i="33"/>
  <c r="S19" i="33"/>
  <c r="T19" i="33"/>
  <c r="V19" i="33"/>
  <c r="X19" i="33"/>
  <c r="W19" i="33"/>
  <c r="AA19" i="33"/>
  <c r="U49" i="33"/>
  <c r="Y49" i="33"/>
  <c r="V16" i="33"/>
  <c r="W16" i="33"/>
  <c r="X16" i="33"/>
  <c r="R16" i="33"/>
  <c r="T16" i="33"/>
  <c r="S16" i="33"/>
  <c r="AA16" i="33"/>
  <c r="Y26" i="33"/>
  <c r="U26" i="33"/>
  <c r="Y44" i="33"/>
  <c r="U44" i="33"/>
  <c r="V24" i="33"/>
  <c r="W24" i="33"/>
  <c r="X24" i="33"/>
  <c r="T24" i="33"/>
  <c r="S24" i="33"/>
  <c r="R24" i="33"/>
  <c r="AA24" i="33"/>
  <c r="U13" i="33"/>
  <c r="Y13" i="33"/>
  <c r="V9" i="33"/>
  <c r="W9" i="33"/>
  <c r="X9" i="33"/>
  <c r="R9" i="33"/>
  <c r="S9" i="33"/>
  <c r="T9" i="33"/>
  <c r="AA9" i="33"/>
  <c r="R20" i="33"/>
  <c r="S20" i="33"/>
  <c r="T20" i="33"/>
  <c r="W20" i="33"/>
  <c r="X20" i="33"/>
  <c r="V20" i="33"/>
  <c r="AA20" i="33"/>
  <c r="R38" i="33"/>
  <c r="S38" i="33"/>
  <c r="T38" i="33"/>
  <c r="W38" i="33"/>
  <c r="X38" i="33"/>
  <c r="V38" i="33"/>
  <c r="AA38" i="33"/>
  <c r="R37" i="33"/>
  <c r="S37" i="33"/>
  <c r="T37" i="33"/>
  <c r="V37" i="33"/>
  <c r="X37" i="33"/>
  <c r="W37" i="33"/>
  <c r="AA37" i="33"/>
  <c r="U6" i="33"/>
  <c r="Y6" i="33"/>
  <c r="U29" i="33"/>
  <c r="Y29" i="33"/>
  <c r="U47" i="33"/>
  <c r="Y47" i="33"/>
  <c r="V13" i="33"/>
  <c r="R13" i="33"/>
  <c r="S13" i="33"/>
  <c r="T13" i="33"/>
  <c r="X13" i="33"/>
  <c r="W13" i="33"/>
  <c r="AA13" i="33"/>
  <c r="V27" i="33"/>
  <c r="W27" i="33"/>
  <c r="X27" i="33"/>
  <c r="R27" i="33"/>
  <c r="S27" i="33"/>
  <c r="T27" i="33"/>
  <c r="AA27" i="33"/>
  <c r="V45" i="33"/>
  <c r="W45" i="33"/>
  <c r="X45" i="33"/>
  <c r="R45" i="33"/>
  <c r="S45" i="33"/>
  <c r="T45" i="33"/>
  <c r="AA45" i="33"/>
  <c r="Y28" i="33"/>
  <c r="U28" i="33"/>
  <c r="V28" i="33"/>
  <c r="W28" i="33"/>
  <c r="X28" i="33"/>
  <c r="S28" i="33"/>
  <c r="R28" i="33"/>
  <c r="T28" i="33"/>
  <c r="AA28" i="33"/>
  <c r="U27" i="33"/>
  <c r="Y27" i="33"/>
  <c r="U45" i="33"/>
  <c r="Y45" i="33"/>
  <c r="U43" i="33"/>
  <c r="Y43" i="33"/>
  <c r="U31" i="33"/>
  <c r="Y31" i="33"/>
  <c r="U9" i="33"/>
  <c r="Y9" i="33"/>
  <c r="R31" i="33"/>
  <c r="S31" i="33"/>
  <c r="V31" i="33"/>
  <c r="T31" i="33"/>
  <c r="W31" i="33"/>
  <c r="X31" i="33"/>
  <c r="AA31" i="33"/>
  <c r="R49" i="33"/>
  <c r="S49" i="33"/>
  <c r="T49" i="33"/>
  <c r="V49" i="33"/>
  <c r="W49" i="33"/>
  <c r="X49" i="33"/>
  <c r="AA49" i="33"/>
  <c r="U53" i="33"/>
  <c r="Y53" i="33"/>
  <c r="V46" i="33"/>
  <c r="W46" i="33"/>
  <c r="X46" i="33"/>
  <c r="S46" i="33"/>
  <c r="T46" i="33"/>
  <c r="R46" i="33"/>
  <c r="AA46" i="33"/>
  <c r="Y50" i="33"/>
  <c r="U50" i="33"/>
  <c r="V52" i="33"/>
  <c r="W52" i="33"/>
  <c r="X52" i="33"/>
  <c r="S52" i="33"/>
  <c r="R52" i="33"/>
  <c r="T52" i="33"/>
  <c r="AA52" i="33"/>
  <c r="V12" i="33"/>
  <c r="W12" i="33"/>
  <c r="X12" i="33"/>
  <c r="S12" i="33"/>
  <c r="T12" i="33"/>
  <c r="R12" i="33"/>
  <c r="AA12" i="33"/>
  <c r="W53" i="34"/>
  <c r="Y52" i="33"/>
  <c r="U52" i="33"/>
  <c r="Y40" i="33"/>
  <c r="U40" i="33"/>
  <c r="R23" i="33"/>
  <c r="S23" i="33"/>
  <c r="T23" i="33"/>
  <c r="W23" i="33"/>
  <c r="V23" i="33"/>
  <c r="X23" i="33"/>
  <c r="AA23" i="33"/>
  <c r="R41" i="33"/>
  <c r="S41" i="33"/>
  <c r="T41" i="33"/>
  <c r="W41" i="33"/>
  <c r="V41" i="33"/>
  <c r="X41" i="33"/>
  <c r="AA41" i="33"/>
  <c r="Y14" i="33"/>
  <c r="U14" i="33"/>
  <c r="Y32" i="33"/>
  <c r="U32" i="33"/>
  <c r="V30" i="33"/>
  <c r="W30" i="33"/>
  <c r="X30" i="33"/>
  <c r="R30" i="33"/>
  <c r="S30" i="33"/>
  <c r="T30" i="33"/>
  <c r="AA30" i="33"/>
  <c r="V48" i="33"/>
  <c r="W48" i="33"/>
  <c r="X48" i="33"/>
  <c r="T48" i="33"/>
  <c r="R48" i="33"/>
  <c r="S48" i="33"/>
  <c r="AA48" i="33"/>
  <c r="R53" i="33"/>
  <c r="S53" i="33"/>
  <c r="T53" i="33"/>
  <c r="V53" i="33"/>
  <c r="W53" i="33"/>
  <c r="X53" i="33"/>
  <c r="AA53" i="33"/>
  <c r="U30" i="33"/>
  <c r="Y30" i="33"/>
  <c r="U48" i="33"/>
  <c r="Y48" i="33"/>
  <c r="C78" i="13"/>
  <c r="D78" i="13" s="1" a="1"/>
  <c r="D78" i="13" s="1"/>
  <c r="AG55" i="26"/>
  <c r="AF55" i="26"/>
  <c r="I23" i="21" a="1"/>
  <c r="I23" i="21" s="1"/>
  <c r="I84" i="21" a="1"/>
  <c r="I84" i="21" s="1"/>
  <c r="I45" i="21" a="1"/>
  <c r="I45" i="21" s="1"/>
  <c r="J42" i="21" a="1"/>
  <c r="J42" i="21" s="1"/>
  <c r="L67" i="21" a="1"/>
  <c r="L67" i="21" s="1"/>
  <c r="J67" i="21" a="1"/>
  <c r="J67" i="21" s="1"/>
  <c r="I21" i="21" a="1"/>
  <c r="I21" i="21" s="1"/>
  <c r="J21" i="21" a="1"/>
  <c r="J21" i="21" s="1"/>
  <c r="D26" i="30" a="1"/>
  <c r="D26" i="30" s="1"/>
  <c r="L26" i="30" a="1"/>
  <c r="L26" i="30" s="1"/>
  <c r="M26" i="30" a="1"/>
  <c r="M26" i="30" s="1"/>
  <c r="G26" i="30" a="1"/>
  <c r="G26" i="30" s="1"/>
  <c r="H26" i="30" a="1"/>
  <c r="H26" i="30" s="1"/>
  <c r="I26" i="30" a="1"/>
  <c r="I26" i="30" s="1"/>
  <c r="J26" i="30" a="1"/>
  <c r="J26" i="30" s="1"/>
  <c r="K26" i="30" a="1"/>
  <c r="K26" i="30" s="1"/>
  <c r="D75" i="30" a="1"/>
  <c r="D75" i="30" s="1"/>
  <c r="H75" i="30" a="1"/>
  <c r="H75" i="30" s="1"/>
  <c r="I75" i="30" a="1"/>
  <c r="I75" i="30" s="1"/>
  <c r="J75" i="30" a="1"/>
  <c r="J75" i="30" s="1"/>
  <c r="K75" i="30" a="1"/>
  <c r="K75" i="30" s="1"/>
  <c r="L75" i="30" a="1"/>
  <c r="L75" i="30" s="1"/>
  <c r="M75" i="30" a="1"/>
  <c r="M75" i="30" s="1"/>
  <c r="G75" i="30" a="1"/>
  <c r="G75" i="30" s="1"/>
  <c r="D41" i="30" a="1"/>
  <c r="D41" i="30" s="1"/>
  <c r="G41" i="30" a="1"/>
  <c r="G41" i="30" s="1"/>
  <c r="H41" i="30" a="1"/>
  <c r="H41" i="30" s="1"/>
  <c r="I41" i="30" a="1"/>
  <c r="I41" i="30" s="1"/>
  <c r="J41" i="30" a="1"/>
  <c r="J41" i="30" s="1"/>
  <c r="K41" i="30" a="1"/>
  <c r="K41" i="30" s="1"/>
  <c r="L41" i="30" a="1"/>
  <c r="L41" i="30" s="1"/>
  <c r="M41" i="30" a="1"/>
  <c r="M41" i="30" s="1"/>
  <c r="D43" i="30" a="1"/>
  <c r="D43" i="30" s="1"/>
  <c r="K43" i="30" a="1"/>
  <c r="K43" i="30" s="1"/>
  <c r="L43" i="30" a="1"/>
  <c r="L43" i="30" s="1"/>
  <c r="M43" i="30" a="1"/>
  <c r="M43" i="30" s="1"/>
  <c r="G43" i="30" a="1"/>
  <c r="G43" i="30" s="1"/>
  <c r="H43" i="30" a="1"/>
  <c r="H43" i="30" s="1"/>
  <c r="J43" i="30" a="1"/>
  <c r="J43" i="30" s="1"/>
  <c r="I43" i="30" a="1"/>
  <c r="I43" i="30" s="1"/>
  <c r="D21" i="30" a="1"/>
  <c r="D21" i="30" s="1"/>
  <c r="M21" i="30" a="1"/>
  <c r="M21" i="30" s="1"/>
  <c r="G21" i="30" a="1"/>
  <c r="G21" i="30" s="1"/>
  <c r="H21" i="30" a="1"/>
  <c r="H21" i="30" s="1"/>
  <c r="I21" i="30" a="1"/>
  <c r="I21" i="30" s="1"/>
  <c r="J21" i="30" a="1"/>
  <c r="J21" i="30" s="1"/>
  <c r="K21" i="30" a="1"/>
  <c r="K21" i="30" s="1"/>
  <c r="L21" i="30" a="1"/>
  <c r="L21" i="30" s="1"/>
  <c r="D82" i="30" a="1"/>
  <c r="D82" i="30" s="1"/>
  <c r="H82" i="30" a="1"/>
  <c r="H82" i="30" s="1"/>
  <c r="I82" i="30" a="1"/>
  <c r="I82" i="30" s="1"/>
  <c r="J82" i="30" a="1"/>
  <c r="J82" i="30" s="1"/>
  <c r="K82" i="30" a="1"/>
  <c r="K82" i="30" s="1"/>
  <c r="L82" i="30" a="1"/>
  <c r="L82" i="30" s="1"/>
  <c r="G82" i="30" a="1"/>
  <c r="G82" i="30" s="1"/>
  <c r="M82" i="30" a="1"/>
  <c r="M82" i="30" s="1"/>
  <c r="D72" i="30" a="1"/>
  <c r="D72" i="30" s="1"/>
  <c r="K72" i="30" a="1"/>
  <c r="K72" i="30" s="1"/>
  <c r="L72" i="30" a="1"/>
  <c r="L72" i="30" s="1"/>
  <c r="M72" i="30" a="1"/>
  <c r="M72" i="30" s="1"/>
  <c r="G72" i="30" a="1"/>
  <c r="G72" i="30" s="1"/>
  <c r="H72" i="30" a="1"/>
  <c r="H72" i="30" s="1"/>
  <c r="I72" i="30" a="1"/>
  <c r="I72" i="30" s="1"/>
  <c r="J72" i="30" a="1"/>
  <c r="J72" i="30" s="1"/>
  <c r="D38" i="30" a="1"/>
  <c r="D38" i="30" s="1"/>
  <c r="K38" i="30" a="1"/>
  <c r="K38" i="30" s="1"/>
  <c r="L38" i="30" a="1"/>
  <c r="L38" i="30" s="1"/>
  <c r="M38" i="30" a="1"/>
  <c r="M38" i="30" s="1"/>
  <c r="G38" i="30" a="1"/>
  <c r="G38" i="30" s="1"/>
  <c r="H38" i="30" a="1"/>
  <c r="H38" i="30" s="1"/>
  <c r="I38" i="30" a="1"/>
  <c r="I38" i="30" s="1"/>
  <c r="J38" i="30" a="1"/>
  <c r="J38" i="30" s="1"/>
  <c r="D53" i="30" a="1"/>
  <c r="D53" i="30" s="1"/>
  <c r="M53" i="30" a="1"/>
  <c r="M53" i="30" s="1"/>
  <c r="G53" i="30" a="1"/>
  <c r="G53" i="30" s="1"/>
  <c r="H53" i="30" a="1"/>
  <c r="H53" i="30" s="1"/>
  <c r="I53" i="30" a="1"/>
  <c r="I53" i="30" s="1"/>
  <c r="K53" i="30" a="1"/>
  <c r="K53" i="30" s="1"/>
  <c r="L53" i="30" a="1"/>
  <c r="L53" i="30" s="1"/>
  <c r="J53" i="30" a="1"/>
  <c r="J53" i="30" s="1"/>
  <c r="D55" i="30" a="1"/>
  <c r="D55" i="30" s="1"/>
  <c r="G55" i="30" a="1"/>
  <c r="G55" i="30" s="1"/>
  <c r="H55" i="30" a="1"/>
  <c r="H55" i="30" s="1"/>
  <c r="I55" i="30" a="1"/>
  <c r="I55" i="30" s="1"/>
  <c r="J55" i="30" a="1"/>
  <c r="J55" i="30" s="1"/>
  <c r="K55" i="30" a="1"/>
  <c r="K55" i="30" s="1"/>
  <c r="L55" i="30" a="1"/>
  <c r="L55" i="30" s="1"/>
  <c r="M55" i="30" a="1"/>
  <c r="M55" i="30" s="1"/>
  <c r="D33" i="30" a="1"/>
  <c r="D33" i="30" s="1"/>
  <c r="J33" i="30" a="1"/>
  <c r="J33" i="30" s="1"/>
  <c r="I33" i="30" a="1"/>
  <c r="I33" i="30" s="1"/>
  <c r="K33" i="30" a="1"/>
  <c r="K33" i="30" s="1"/>
  <c r="L33" i="30" a="1"/>
  <c r="L33" i="30" s="1"/>
  <c r="M33" i="30" a="1"/>
  <c r="M33" i="30" s="1"/>
  <c r="H33" i="30" a="1"/>
  <c r="H33" i="30" s="1"/>
  <c r="G33" i="30" a="1"/>
  <c r="G33" i="30" s="1"/>
  <c r="D13" i="30" a="1"/>
  <c r="D13" i="30" s="1"/>
  <c r="H13" i="30" a="1"/>
  <c r="H13" i="30" s="1"/>
  <c r="I13" i="30" a="1"/>
  <c r="I13" i="30" s="1"/>
  <c r="J13" i="30" a="1"/>
  <c r="J13" i="30" s="1"/>
  <c r="K13" i="30" a="1"/>
  <c r="K13" i="30" s="1"/>
  <c r="L13" i="30" a="1"/>
  <c r="L13" i="30" s="1"/>
  <c r="G13" i="30" a="1"/>
  <c r="G13" i="30" s="1"/>
  <c r="M13" i="30" a="1"/>
  <c r="M13" i="30" s="1"/>
  <c r="D84" i="30" a="1"/>
  <c r="D84" i="30" s="1"/>
  <c r="J84" i="30" a="1"/>
  <c r="J84" i="30" s="1"/>
  <c r="K84" i="30" a="1"/>
  <c r="K84" i="30" s="1"/>
  <c r="L84" i="30" a="1"/>
  <c r="L84" i="30" s="1"/>
  <c r="M84" i="30" a="1"/>
  <c r="M84" i="30" s="1"/>
  <c r="G84" i="30" a="1"/>
  <c r="G84" i="30" s="1"/>
  <c r="H84" i="30" a="1"/>
  <c r="H84" i="30" s="1"/>
  <c r="I84" i="30" a="1"/>
  <c r="I84" i="30" s="1"/>
  <c r="D50" i="30" a="1"/>
  <c r="D50" i="30" s="1"/>
  <c r="G50" i="30" a="1"/>
  <c r="G50" i="30" s="1"/>
  <c r="H50" i="30" a="1"/>
  <c r="H50" i="30" s="1"/>
  <c r="I50" i="30" a="1"/>
  <c r="I50" i="30" s="1"/>
  <c r="J50" i="30" a="1"/>
  <c r="J50" i="30" s="1"/>
  <c r="K50" i="30" a="1"/>
  <c r="K50" i="30" s="1"/>
  <c r="L50" i="30" a="1"/>
  <c r="L50" i="30" s="1"/>
  <c r="M50" i="30" a="1"/>
  <c r="M50" i="30" s="1"/>
  <c r="D8" i="30" a="1"/>
  <c r="D8" i="30" s="1"/>
  <c r="I8" i="30" a="1"/>
  <c r="I8" i="30" s="1"/>
  <c r="J8" i="30" a="1"/>
  <c r="J8" i="30" s="1"/>
  <c r="K8" i="30" a="1"/>
  <c r="K8" i="30" s="1"/>
  <c r="L8" i="30" a="1"/>
  <c r="L8" i="30" s="1"/>
  <c r="M8" i="30" a="1"/>
  <c r="M8" i="30" s="1"/>
  <c r="G8" i="30" a="1"/>
  <c r="G8" i="30" s="1"/>
  <c r="H8" i="30" a="1"/>
  <c r="H8" i="30" s="1"/>
  <c r="D65" i="30" a="1"/>
  <c r="D65" i="30" s="1"/>
  <c r="G65" i="30" a="1"/>
  <c r="G65" i="30" s="1"/>
  <c r="H65" i="30" a="1"/>
  <c r="H65" i="30" s="1"/>
  <c r="I65" i="30" a="1"/>
  <c r="I65" i="30" s="1"/>
  <c r="J65" i="30" a="1"/>
  <c r="J65" i="30" s="1"/>
  <c r="K65" i="30" a="1"/>
  <c r="K65" i="30" s="1"/>
  <c r="L65" i="30" a="1"/>
  <c r="L65" i="30" s="1"/>
  <c r="M65" i="30" a="1"/>
  <c r="M65" i="30" s="1"/>
  <c r="D67" i="30" a="1"/>
  <c r="D67" i="30" s="1"/>
  <c r="K67" i="30" a="1"/>
  <c r="K67" i="30" s="1"/>
  <c r="L67" i="30" a="1"/>
  <c r="L67" i="30" s="1"/>
  <c r="M67" i="30" a="1"/>
  <c r="M67" i="30" s="1"/>
  <c r="G67" i="30" a="1"/>
  <c r="G67" i="30" s="1"/>
  <c r="H67" i="30" a="1"/>
  <c r="H67" i="30" s="1"/>
  <c r="J67" i="30" a="1"/>
  <c r="J67" i="30" s="1"/>
  <c r="I67" i="30" a="1"/>
  <c r="I67" i="30" s="1"/>
  <c r="D45" i="30" a="1"/>
  <c r="D45" i="30" s="1"/>
  <c r="G45" i="30" a="1"/>
  <c r="G45" i="30" s="1"/>
  <c r="H45" i="30" a="1"/>
  <c r="H45" i="30" s="1"/>
  <c r="I45" i="30" a="1"/>
  <c r="I45" i="30" s="1"/>
  <c r="J45" i="30" a="1"/>
  <c r="J45" i="30" s="1"/>
  <c r="K45" i="30" a="1"/>
  <c r="K45" i="30" s="1"/>
  <c r="M45" i="30" a="1"/>
  <c r="M45" i="30" s="1"/>
  <c r="L45" i="30" a="1"/>
  <c r="L45" i="30" s="1"/>
  <c r="D23" i="30" a="1"/>
  <c r="D23" i="30" s="1"/>
  <c r="G23" i="30" a="1"/>
  <c r="G23" i="30" s="1"/>
  <c r="I23" i="30" a="1"/>
  <c r="I23" i="30" s="1"/>
  <c r="J23" i="30" a="1"/>
  <c r="J23" i="30" s="1"/>
  <c r="K23" i="30" a="1"/>
  <c r="K23" i="30" s="1"/>
  <c r="H23" i="30" a="1"/>
  <c r="H23" i="30" s="1"/>
  <c r="L23" i="30" a="1"/>
  <c r="L23" i="30" s="1"/>
  <c r="M23" i="30" a="1"/>
  <c r="M23" i="30" s="1"/>
  <c r="D25" i="30" a="1"/>
  <c r="D25" i="30" s="1"/>
  <c r="J25" i="30" a="1"/>
  <c r="J25" i="30" s="1"/>
  <c r="K25" i="30" a="1"/>
  <c r="K25" i="30" s="1"/>
  <c r="M25" i="30" a="1"/>
  <c r="M25" i="30" s="1"/>
  <c r="I25" i="30" a="1"/>
  <c r="I25" i="30" s="1"/>
  <c r="L25" i="30" a="1"/>
  <c r="L25" i="30" s="1"/>
  <c r="G25" i="30" a="1"/>
  <c r="G25" i="30" s="1"/>
  <c r="H25" i="30" a="1"/>
  <c r="H25" i="30" s="1"/>
  <c r="H93" i="21" a="1"/>
  <c r="H93" i="21" s="1"/>
  <c r="G42" i="21" a="1"/>
  <c r="G42" i="21" s="1"/>
  <c r="D62" i="30" a="1"/>
  <c r="D62" i="30" s="1"/>
  <c r="K62" i="30" a="1"/>
  <c r="K62" i="30" s="1"/>
  <c r="L62" i="30" a="1"/>
  <c r="L62" i="30" s="1"/>
  <c r="M62" i="30" a="1"/>
  <c r="M62" i="30" s="1"/>
  <c r="G62" i="30" a="1"/>
  <c r="G62" i="30" s="1"/>
  <c r="H62" i="30" a="1"/>
  <c r="H62" i="30" s="1"/>
  <c r="J62" i="30" a="1"/>
  <c r="J62" i="30" s="1"/>
  <c r="I62" i="30" a="1"/>
  <c r="I62" i="30" s="1"/>
  <c r="D16" i="30" a="1"/>
  <c r="D16" i="30" s="1"/>
  <c r="M16" i="30" a="1"/>
  <c r="M16" i="30" s="1"/>
  <c r="H16" i="30" a="1"/>
  <c r="H16" i="30" s="1"/>
  <c r="G16" i="30" a="1"/>
  <c r="G16" i="30" s="1"/>
  <c r="I16" i="30" a="1"/>
  <c r="I16" i="30" s="1"/>
  <c r="J16" i="30" a="1"/>
  <c r="J16" i="30" s="1"/>
  <c r="K16" i="30" a="1"/>
  <c r="K16" i="30" s="1"/>
  <c r="L16" i="30" a="1"/>
  <c r="L16" i="30" s="1"/>
  <c r="D77" i="30" a="1"/>
  <c r="D77" i="30" s="1"/>
  <c r="K77" i="30" a="1"/>
  <c r="K77" i="30" s="1"/>
  <c r="L77" i="30" a="1"/>
  <c r="L77" i="30" s="1"/>
  <c r="M77" i="30" a="1"/>
  <c r="M77" i="30" s="1"/>
  <c r="G77" i="30" a="1"/>
  <c r="G77" i="30" s="1"/>
  <c r="J77" i="30" a="1"/>
  <c r="J77" i="30" s="1"/>
  <c r="H77" i="30" a="1"/>
  <c r="H77" i="30" s="1"/>
  <c r="I77" i="30" a="1"/>
  <c r="I77" i="30" s="1"/>
  <c r="D79" i="30" a="1"/>
  <c r="D79" i="30" s="1"/>
  <c r="M79" i="30" a="1"/>
  <c r="M79" i="30" s="1"/>
  <c r="G79" i="30" a="1"/>
  <c r="G79" i="30" s="1"/>
  <c r="H79" i="30" a="1"/>
  <c r="H79" i="30" s="1"/>
  <c r="I79" i="30" a="1"/>
  <c r="I79" i="30" s="1"/>
  <c r="J79" i="30" a="1"/>
  <c r="J79" i="30" s="1"/>
  <c r="L79" i="30" a="1"/>
  <c r="L79" i="30" s="1"/>
  <c r="K79" i="30" a="1"/>
  <c r="K79" i="30" s="1"/>
  <c r="D57" i="30" a="1"/>
  <c r="D57" i="30" s="1"/>
  <c r="K57" i="30" a="1"/>
  <c r="K57" i="30" s="1"/>
  <c r="L57" i="30" a="1"/>
  <c r="L57" i="30" s="1"/>
  <c r="M57" i="30" a="1"/>
  <c r="M57" i="30" s="1"/>
  <c r="G57" i="30" a="1"/>
  <c r="G57" i="30" s="1"/>
  <c r="H57" i="30" a="1"/>
  <c r="H57" i="30" s="1"/>
  <c r="J57" i="30" a="1"/>
  <c r="J57" i="30" s="1"/>
  <c r="I57" i="30" a="1"/>
  <c r="I57" i="30" s="1"/>
  <c r="D35" i="30" a="1"/>
  <c r="D35" i="30" s="1"/>
  <c r="G35" i="30" a="1"/>
  <c r="G35" i="30" s="1"/>
  <c r="H35" i="30" a="1"/>
  <c r="H35" i="30" s="1"/>
  <c r="I35" i="30" a="1"/>
  <c r="I35" i="30" s="1"/>
  <c r="J35" i="30" a="1"/>
  <c r="J35" i="30" s="1"/>
  <c r="K35" i="30" a="1"/>
  <c r="K35" i="30" s="1"/>
  <c r="L35" i="30" a="1"/>
  <c r="L35" i="30" s="1"/>
  <c r="M35" i="30" a="1"/>
  <c r="M35" i="30" s="1"/>
  <c r="D37" i="30" a="1"/>
  <c r="D37" i="30" s="1"/>
  <c r="I37" i="30" a="1"/>
  <c r="I37" i="30" s="1"/>
  <c r="J37" i="30" a="1"/>
  <c r="J37" i="30" s="1"/>
  <c r="K37" i="30" a="1"/>
  <c r="K37" i="30" s="1"/>
  <c r="L37" i="30" a="1"/>
  <c r="L37" i="30" s="1"/>
  <c r="M37" i="30" a="1"/>
  <c r="M37" i="30" s="1"/>
  <c r="G37" i="30" a="1"/>
  <c r="G37" i="30" s="1"/>
  <c r="H37" i="30" a="1"/>
  <c r="H37" i="30" s="1"/>
  <c r="D74" i="30" a="1"/>
  <c r="D74" i="30" s="1"/>
  <c r="G74" i="30" a="1"/>
  <c r="G74" i="30" s="1"/>
  <c r="H74" i="30" a="1"/>
  <c r="H74" i="30" s="1"/>
  <c r="I74" i="30" a="1"/>
  <c r="I74" i="30" s="1"/>
  <c r="J74" i="30" a="1"/>
  <c r="J74" i="30" s="1"/>
  <c r="K74" i="30" a="1"/>
  <c r="K74" i="30" s="1"/>
  <c r="L74" i="30" a="1"/>
  <c r="L74" i="30" s="1"/>
  <c r="M74" i="30" a="1"/>
  <c r="M74" i="30" s="1"/>
  <c r="D28" i="30" a="1"/>
  <c r="D28" i="30" s="1"/>
  <c r="G28" i="30" a="1"/>
  <c r="G28" i="30" s="1"/>
  <c r="H28" i="30" a="1"/>
  <c r="H28" i="30" s="1"/>
  <c r="I28" i="30" a="1"/>
  <c r="I28" i="30" s="1"/>
  <c r="J28" i="30" a="1"/>
  <c r="J28" i="30" s="1"/>
  <c r="K28" i="30" a="1"/>
  <c r="K28" i="30" s="1"/>
  <c r="L28" i="30" a="1"/>
  <c r="L28" i="30" s="1"/>
  <c r="M28" i="30" a="1"/>
  <c r="M28" i="30" s="1"/>
  <c r="D18" i="30" a="1"/>
  <c r="D18" i="30" s="1"/>
  <c r="H18" i="30" a="1"/>
  <c r="H18" i="30" s="1"/>
  <c r="I18" i="30" a="1"/>
  <c r="I18" i="30" s="1"/>
  <c r="J18" i="30" a="1"/>
  <c r="J18" i="30" s="1"/>
  <c r="K18" i="30" a="1"/>
  <c r="K18" i="30" s="1"/>
  <c r="L18" i="30" a="1"/>
  <c r="L18" i="30" s="1"/>
  <c r="G18" i="30" a="1"/>
  <c r="G18" i="30" s="1"/>
  <c r="M18" i="30" a="1"/>
  <c r="M18" i="30" s="1"/>
  <c r="D10" i="30" a="1"/>
  <c r="D10" i="30" s="1"/>
  <c r="M10" i="30" a="1"/>
  <c r="M10" i="30" s="1"/>
  <c r="G10" i="30" a="1"/>
  <c r="G10" i="30" s="1"/>
  <c r="H10" i="30" a="1"/>
  <c r="H10" i="30" s="1"/>
  <c r="I10" i="30" a="1"/>
  <c r="I10" i="30" s="1"/>
  <c r="J10" i="30" a="1"/>
  <c r="J10" i="30" s="1"/>
  <c r="K10" i="30" a="1"/>
  <c r="K10" i="30" s="1"/>
  <c r="L10" i="30" a="1"/>
  <c r="L10" i="30" s="1"/>
  <c r="D69" i="30" a="1"/>
  <c r="D69" i="30" s="1"/>
  <c r="G69" i="30" a="1"/>
  <c r="G69" i="30" s="1"/>
  <c r="H69" i="30" a="1"/>
  <c r="H69" i="30" s="1"/>
  <c r="I69" i="30" a="1"/>
  <c r="I69" i="30" s="1"/>
  <c r="J69" i="30" a="1"/>
  <c r="J69" i="30" s="1"/>
  <c r="K69" i="30" a="1"/>
  <c r="K69" i="30" s="1"/>
  <c r="L69" i="30" a="1"/>
  <c r="L69" i="30" s="1"/>
  <c r="M69" i="30" a="1"/>
  <c r="M69" i="30" s="1"/>
  <c r="D47" i="30" a="1"/>
  <c r="D47" i="30" s="1"/>
  <c r="I47" i="30" a="1"/>
  <c r="I47" i="30" s="1"/>
  <c r="J47" i="30" a="1"/>
  <c r="J47" i="30" s="1"/>
  <c r="K47" i="30" a="1"/>
  <c r="K47" i="30" s="1"/>
  <c r="L47" i="30" a="1"/>
  <c r="L47" i="30" s="1"/>
  <c r="M47" i="30" a="1"/>
  <c r="M47" i="30" s="1"/>
  <c r="H47" i="30" a="1"/>
  <c r="H47" i="30" s="1"/>
  <c r="G47" i="30" a="1"/>
  <c r="G47" i="30" s="1"/>
  <c r="D49" i="30" a="1"/>
  <c r="D49" i="30" s="1"/>
  <c r="M49" i="30" a="1"/>
  <c r="M49" i="30" s="1"/>
  <c r="G49" i="30" a="1"/>
  <c r="G49" i="30" s="1"/>
  <c r="H49" i="30" a="1"/>
  <c r="H49" i="30" s="1"/>
  <c r="I49" i="30" a="1"/>
  <c r="I49" i="30" s="1"/>
  <c r="J49" i="30" a="1"/>
  <c r="J49" i="30" s="1"/>
  <c r="L49" i="30" a="1"/>
  <c r="L49" i="30" s="1"/>
  <c r="K49" i="30" a="1"/>
  <c r="K49" i="30" s="1"/>
  <c r="D86" i="30" a="1"/>
  <c r="D86" i="30" s="1"/>
  <c r="K86" i="30" a="1"/>
  <c r="K86" i="30" s="1"/>
  <c r="L86" i="30" a="1"/>
  <c r="L86" i="30" s="1"/>
  <c r="M86" i="30" a="1"/>
  <c r="M86" i="30" s="1"/>
  <c r="G86" i="30" a="1"/>
  <c r="G86" i="30" s="1"/>
  <c r="H86" i="30" a="1"/>
  <c r="H86" i="30" s="1"/>
  <c r="I86" i="30" a="1"/>
  <c r="I86" i="30" s="1"/>
  <c r="J86" i="30" a="1"/>
  <c r="J86" i="30" s="1"/>
  <c r="D40" i="30" a="1"/>
  <c r="D40" i="30" s="1"/>
  <c r="G40" i="30" a="1"/>
  <c r="G40" i="30" s="1"/>
  <c r="H40" i="30" a="1"/>
  <c r="H40" i="30" s="1"/>
  <c r="I40" i="30" a="1"/>
  <c r="I40" i="30" s="1"/>
  <c r="J40" i="30" a="1"/>
  <c r="J40" i="30" s="1"/>
  <c r="K40" i="30" a="1"/>
  <c r="K40" i="30" s="1"/>
  <c r="M40" i="30" a="1"/>
  <c r="M40" i="30" s="1"/>
  <c r="L40" i="30" a="1"/>
  <c r="L40" i="30" s="1"/>
  <c r="D30" i="30" a="1"/>
  <c r="D30" i="30" s="1"/>
  <c r="K30" i="30" a="1"/>
  <c r="K30" i="30" s="1"/>
  <c r="L30" i="30" a="1"/>
  <c r="L30" i="30" s="1"/>
  <c r="M30" i="30" a="1"/>
  <c r="M30" i="30" s="1"/>
  <c r="G30" i="30" a="1"/>
  <c r="G30" i="30" s="1"/>
  <c r="H30" i="30" a="1"/>
  <c r="H30" i="30" s="1"/>
  <c r="I30" i="30" a="1"/>
  <c r="I30" i="30" s="1"/>
  <c r="J30" i="30" a="1"/>
  <c r="J30" i="30" s="1"/>
  <c r="D20" i="30" a="1"/>
  <c r="D20" i="30" s="1"/>
  <c r="J20" i="30" a="1"/>
  <c r="J20" i="30" s="1"/>
  <c r="K20" i="30" a="1"/>
  <c r="K20" i="30" s="1"/>
  <c r="L20" i="30" a="1"/>
  <c r="L20" i="30" s="1"/>
  <c r="I20" i="30" a="1"/>
  <c r="I20" i="30" s="1"/>
  <c r="M20" i="30" a="1"/>
  <c r="M20" i="30" s="1"/>
  <c r="H20" i="30" a="1"/>
  <c r="H20" i="30" s="1"/>
  <c r="G20" i="30" a="1"/>
  <c r="G20" i="30" s="1"/>
  <c r="D81" i="30" a="1"/>
  <c r="D81" i="30" s="1"/>
  <c r="G81" i="30" a="1"/>
  <c r="G81" i="30" s="1"/>
  <c r="H81" i="30" a="1"/>
  <c r="H81" i="30" s="1"/>
  <c r="I81" i="30" a="1"/>
  <c r="I81" i="30" s="1"/>
  <c r="J81" i="30" a="1"/>
  <c r="J81" i="30" s="1"/>
  <c r="K81" i="30" a="1"/>
  <c r="K81" i="30" s="1"/>
  <c r="L81" i="30" a="1"/>
  <c r="L81" i="30" s="1"/>
  <c r="M81" i="30" a="1"/>
  <c r="M81" i="30" s="1"/>
  <c r="D59" i="30" a="1"/>
  <c r="D59" i="30" s="1"/>
  <c r="G59" i="30" a="1"/>
  <c r="G59" i="30" s="1"/>
  <c r="H59" i="30" a="1"/>
  <c r="H59" i="30" s="1"/>
  <c r="I59" i="30" a="1"/>
  <c r="I59" i="30" s="1"/>
  <c r="J59" i="30" a="1"/>
  <c r="J59" i="30" s="1"/>
  <c r="K59" i="30" a="1"/>
  <c r="K59" i="30" s="1"/>
  <c r="L59" i="30" a="1"/>
  <c r="L59" i="30" s="1"/>
  <c r="M59" i="30" a="1"/>
  <c r="M59" i="30" s="1"/>
  <c r="D61" i="30" a="1"/>
  <c r="D61" i="30" s="1"/>
  <c r="J61" i="30" a="1"/>
  <c r="J61" i="30" s="1"/>
  <c r="K61" i="30" a="1"/>
  <c r="K61" i="30" s="1"/>
  <c r="L61" i="30" a="1"/>
  <c r="L61" i="30" s="1"/>
  <c r="M61" i="30" a="1"/>
  <c r="M61" i="30" s="1"/>
  <c r="H61" i="30" a="1"/>
  <c r="H61" i="30" s="1"/>
  <c r="I61" i="30" a="1"/>
  <c r="I61" i="30" s="1"/>
  <c r="G61" i="30" a="1"/>
  <c r="G61" i="30" s="1"/>
  <c r="H67" i="21" a="1"/>
  <c r="H67" i="21" s="1"/>
  <c r="D7" i="30" a="1"/>
  <c r="D7" i="30" s="1"/>
  <c r="H7" i="30" a="1"/>
  <c r="H7" i="30" s="1"/>
  <c r="I7" i="30" a="1"/>
  <c r="I7" i="30" s="1"/>
  <c r="J7" i="30" a="1"/>
  <c r="J7" i="30" s="1"/>
  <c r="K7" i="30" a="1"/>
  <c r="K7" i="30" s="1"/>
  <c r="G7" i="30" a="1"/>
  <c r="G7" i="30" s="1"/>
  <c r="L7" i="30" a="1"/>
  <c r="L7" i="30" s="1"/>
  <c r="M7" i="30" a="1"/>
  <c r="M7" i="30" s="1"/>
  <c r="D52" i="30" a="1"/>
  <c r="D52" i="30" s="1"/>
  <c r="J52" i="30" a="1"/>
  <c r="J52" i="30" s="1"/>
  <c r="K52" i="30" a="1"/>
  <c r="K52" i="30" s="1"/>
  <c r="L52" i="30" a="1"/>
  <c r="L52" i="30" s="1"/>
  <c r="M52" i="30" a="1"/>
  <c r="M52" i="30" s="1"/>
  <c r="G52" i="30" a="1"/>
  <c r="G52" i="30" s="1"/>
  <c r="I52" i="30" a="1"/>
  <c r="I52" i="30" s="1"/>
  <c r="H52" i="30" a="1"/>
  <c r="H52" i="30" s="1"/>
  <c r="D42" i="30" a="1"/>
  <c r="D42" i="30" s="1"/>
  <c r="I42" i="30" a="1"/>
  <c r="I42" i="30" s="1"/>
  <c r="J42" i="30" a="1"/>
  <c r="J42" i="30" s="1"/>
  <c r="K42" i="30" a="1"/>
  <c r="K42" i="30" s="1"/>
  <c r="L42" i="30" a="1"/>
  <c r="L42" i="30" s="1"/>
  <c r="M42" i="30" a="1"/>
  <c r="M42" i="30" s="1"/>
  <c r="G42" i="30" a="1"/>
  <c r="G42" i="30" s="1"/>
  <c r="H42" i="30" a="1"/>
  <c r="H42" i="30" s="1"/>
  <c r="D32" i="30" a="1"/>
  <c r="D32" i="30" s="1"/>
  <c r="I32" i="30" a="1"/>
  <c r="I32" i="30" s="1"/>
  <c r="G32" i="30" a="1"/>
  <c r="G32" i="30" s="1"/>
  <c r="H32" i="30" a="1"/>
  <c r="H32" i="30" s="1"/>
  <c r="J32" i="30" a="1"/>
  <c r="J32" i="30" s="1"/>
  <c r="K32" i="30" a="1"/>
  <c r="K32" i="30" s="1"/>
  <c r="L32" i="30" a="1"/>
  <c r="L32" i="30" s="1"/>
  <c r="M32" i="30" a="1"/>
  <c r="M32" i="30" s="1"/>
  <c r="D12" i="30" a="1"/>
  <c r="D12" i="30" s="1"/>
  <c r="G12" i="30" a="1"/>
  <c r="G12" i="30" s="1"/>
  <c r="H12" i="30" a="1"/>
  <c r="H12" i="30" s="1"/>
  <c r="I12" i="30" a="1"/>
  <c r="I12" i="30" s="1"/>
  <c r="J12" i="30" a="1"/>
  <c r="J12" i="30" s="1"/>
  <c r="K12" i="30" a="1"/>
  <c r="K12" i="30" s="1"/>
  <c r="M12" i="30" a="1"/>
  <c r="M12" i="30" s="1"/>
  <c r="L12" i="30" a="1"/>
  <c r="L12" i="30" s="1"/>
  <c r="D71" i="30" a="1"/>
  <c r="D71" i="30" s="1"/>
  <c r="I71" i="30" a="1"/>
  <c r="I71" i="30" s="1"/>
  <c r="J71" i="30" a="1"/>
  <c r="J71" i="30" s="1"/>
  <c r="K71" i="30" a="1"/>
  <c r="K71" i="30" s="1"/>
  <c r="L71" i="30" a="1"/>
  <c r="L71" i="30" s="1"/>
  <c r="M71" i="30" a="1"/>
  <c r="M71" i="30" s="1"/>
  <c r="H71" i="30" a="1"/>
  <c r="H71" i="30" s="1"/>
  <c r="G71" i="30" a="1"/>
  <c r="G71" i="30" s="1"/>
  <c r="D73" i="30" a="1"/>
  <c r="D73" i="30" s="1"/>
  <c r="L73" i="30" a="1"/>
  <c r="L73" i="30" s="1"/>
  <c r="M73" i="30" a="1"/>
  <c r="M73" i="30" s="1"/>
  <c r="G73" i="30" a="1"/>
  <c r="G73" i="30" s="1"/>
  <c r="H73" i="30" a="1"/>
  <c r="H73" i="30" s="1"/>
  <c r="I73" i="30" a="1"/>
  <c r="I73" i="30" s="1"/>
  <c r="J73" i="30" a="1"/>
  <c r="J73" i="30" s="1"/>
  <c r="K73" i="30" a="1"/>
  <c r="K73" i="30" s="1"/>
  <c r="K67" i="21" a="1"/>
  <c r="K67" i="21" s="1"/>
  <c r="H96" i="21" a="1"/>
  <c r="H96" i="21" s="1"/>
  <c r="H64" i="21" a="1"/>
  <c r="H64" i="21" s="1"/>
  <c r="L66" i="21" a="1"/>
  <c r="L66" i="21" s="1"/>
  <c r="D15" i="30" a="1"/>
  <c r="D15" i="30" s="1"/>
  <c r="L15" i="30" a="1"/>
  <c r="L15" i="30" s="1"/>
  <c r="M15" i="30" a="1"/>
  <c r="M15" i="30" s="1"/>
  <c r="G15" i="30" a="1"/>
  <c r="G15" i="30" s="1"/>
  <c r="J15" i="30" a="1"/>
  <c r="J15" i="30" s="1"/>
  <c r="K15" i="30" a="1"/>
  <c r="K15" i="30" s="1"/>
  <c r="I15" i="30" a="1"/>
  <c r="I15" i="30" s="1"/>
  <c r="H15" i="30" a="1"/>
  <c r="H15" i="30" s="1"/>
  <c r="D64" i="30" a="1"/>
  <c r="D64" i="30" s="1"/>
  <c r="G64" i="30" a="1"/>
  <c r="G64" i="30" s="1"/>
  <c r="H64" i="30" a="1"/>
  <c r="H64" i="30" s="1"/>
  <c r="I64" i="30" a="1"/>
  <c r="I64" i="30" s="1"/>
  <c r="J64" i="30" a="1"/>
  <c r="J64" i="30" s="1"/>
  <c r="K64" i="30" a="1"/>
  <c r="K64" i="30" s="1"/>
  <c r="L64" i="30" a="1"/>
  <c r="L64" i="30" s="1"/>
  <c r="M64" i="30" a="1"/>
  <c r="M64" i="30" s="1"/>
  <c r="D54" i="30" a="1"/>
  <c r="D54" i="30" s="1"/>
  <c r="G54" i="30" a="1"/>
  <c r="G54" i="30" s="1"/>
  <c r="H54" i="30" a="1"/>
  <c r="H54" i="30" s="1"/>
  <c r="I54" i="30" a="1"/>
  <c r="I54" i="30" s="1"/>
  <c r="J54" i="30" a="1"/>
  <c r="J54" i="30" s="1"/>
  <c r="K54" i="30" a="1"/>
  <c r="K54" i="30" s="1"/>
  <c r="L54" i="30" a="1"/>
  <c r="L54" i="30" s="1"/>
  <c r="M54" i="30" a="1"/>
  <c r="M54" i="30" s="1"/>
  <c r="D44" i="30" a="1"/>
  <c r="D44" i="30" s="1"/>
  <c r="L44" i="30" a="1"/>
  <c r="L44" i="30" s="1"/>
  <c r="M44" i="30" a="1"/>
  <c r="M44" i="30" s="1"/>
  <c r="G44" i="30" a="1"/>
  <c r="G44" i="30" s="1"/>
  <c r="H44" i="30" a="1"/>
  <c r="H44" i="30" s="1"/>
  <c r="I44" i="30" a="1"/>
  <c r="I44" i="30" s="1"/>
  <c r="J44" i="30" a="1"/>
  <c r="J44" i="30" s="1"/>
  <c r="K44" i="30" a="1"/>
  <c r="K44" i="30" s="1"/>
  <c r="D22" i="30" a="1"/>
  <c r="D22" i="30" s="1"/>
  <c r="G22" i="30" a="1"/>
  <c r="G22" i="30" s="1"/>
  <c r="H22" i="30" a="1"/>
  <c r="H22" i="30" s="1"/>
  <c r="I22" i="30" a="1"/>
  <c r="I22" i="30" s="1"/>
  <c r="M22" i="30" a="1"/>
  <c r="M22" i="30" s="1"/>
  <c r="K22" i="30" a="1"/>
  <c r="K22" i="30" s="1"/>
  <c r="L22" i="30" a="1"/>
  <c r="L22" i="30" s="1"/>
  <c r="J22" i="30" a="1"/>
  <c r="J22" i="30" s="1"/>
  <c r="D83" i="30" a="1"/>
  <c r="D83" i="30" s="1"/>
  <c r="H83" i="30" a="1"/>
  <c r="H83" i="30" s="1"/>
  <c r="I83" i="30" a="1"/>
  <c r="I83" i="30" s="1"/>
  <c r="J83" i="30" a="1"/>
  <c r="J83" i="30" s="1"/>
  <c r="K83" i="30" a="1"/>
  <c r="K83" i="30" s="1"/>
  <c r="L83" i="30" a="1"/>
  <c r="L83" i="30" s="1"/>
  <c r="M83" i="30" a="1"/>
  <c r="M83" i="30" s="1"/>
  <c r="G83" i="30" a="1"/>
  <c r="G83" i="30" s="1"/>
  <c r="D85" i="30" a="1"/>
  <c r="D85" i="30" s="1"/>
  <c r="K85" i="30" a="1"/>
  <c r="K85" i="30" s="1"/>
  <c r="L85" i="30" a="1"/>
  <c r="L85" i="30" s="1"/>
  <c r="M85" i="30" a="1"/>
  <c r="M85" i="30" s="1"/>
  <c r="G85" i="30" a="1"/>
  <c r="G85" i="30" s="1"/>
  <c r="H85" i="30" a="1"/>
  <c r="H85" i="30" s="1"/>
  <c r="I85" i="30" a="1"/>
  <c r="I85" i="30" s="1"/>
  <c r="J85" i="30" a="1"/>
  <c r="J85" i="30" s="1"/>
  <c r="I58" i="21" a="1"/>
  <c r="I58" i="21" s="1"/>
  <c r="L58" i="21" a="1"/>
  <c r="L58" i="21" s="1"/>
  <c r="H58" i="21" a="1"/>
  <c r="H58" i="21" s="1"/>
  <c r="K93" i="21" a="1"/>
  <c r="K93" i="21" s="1"/>
  <c r="I42" i="21" a="1"/>
  <c r="I42" i="21" s="1"/>
  <c r="L42" i="21" a="1"/>
  <c r="L42" i="21" s="1"/>
  <c r="G58" i="21" a="1"/>
  <c r="G58" i="21" s="1"/>
  <c r="D27" i="30" a="1"/>
  <c r="D27" i="30" s="1"/>
  <c r="H27" i="30" a="1"/>
  <c r="H27" i="30" s="1"/>
  <c r="K27" i="30" a="1"/>
  <c r="K27" i="30" s="1"/>
  <c r="L27" i="30" a="1"/>
  <c r="L27" i="30" s="1"/>
  <c r="M27" i="30" a="1"/>
  <c r="M27" i="30" s="1"/>
  <c r="I27" i="30" a="1"/>
  <c r="I27" i="30" s="1"/>
  <c r="J27" i="30" a="1"/>
  <c r="J27" i="30" s="1"/>
  <c r="G27" i="30" a="1"/>
  <c r="G27" i="30" s="1"/>
  <c r="D76" i="30" a="1"/>
  <c r="D76" i="30" s="1"/>
  <c r="I76" i="30" a="1"/>
  <c r="I76" i="30" s="1"/>
  <c r="J76" i="30" a="1"/>
  <c r="J76" i="30" s="1"/>
  <c r="K76" i="30" a="1"/>
  <c r="K76" i="30" s="1"/>
  <c r="L76" i="30" a="1"/>
  <c r="L76" i="30" s="1"/>
  <c r="M76" i="30" a="1"/>
  <c r="M76" i="30" s="1"/>
  <c r="G76" i="30" a="1"/>
  <c r="G76" i="30" s="1"/>
  <c r="H76" i="30" a="1"/>
  <c r="H76" i="30" s="1"/>
  <c r="D66" i="30" a="1"/>
  <c r="D66" i="30" s="1"/>
  <c r="J66" i="30" a="1"/>
  <c r="J66" i="30" s="1"/>
  <c r="K66" i="30" a="1"/>
  <c r="K66" i="30" s="1"/>
  <c r="L66" i="30" a="1"/>
  <c r="L66" i="30" s="1"/>
  <c r="M66" i="30" a="1"/>
  <c r="M66" i="30" s="1"/>
  <c r="H66" i="30" a="1"/>
  <c r="H66" i="30" s="1"/>
  <c r="I66" i="30" a="1"/>
  <c r="I66" i="30" s="1"/>
  <c r="G66" i="30" a="1"/>
  <c r="G66" i="30" s="1"/>
  <c r="D56" i="30" a="1"/>
  <c r="D56" i="30" s="1"/>
  <c r="I56" i="30" a="1"/>
  <c r="I56" i="30" s="1"/>
  <c r="J56" i="30" a="1"/>
  <c r="J56" i="30" s="1"/>
  <c r="K56" i="30" a="1"/>
  <c r="K56" i="30" s="1"/>
  <c r="L56" i="30" a="1"/>
  <c r="L56" i="30" s="1"/>
  <c r="M56" i="30" a="1"/>
  <c r="M56" i="30" s="1"/>
  <c r="H56" i="30" a="1"/>
  <c r="H56" i="30" s="1"/>
  <c r="G56" i="30" a="1"/>
  <c r="G56" i="30" s="1"/>
  <c r="D34" i="30" a="1"/>
  <c r="D34" i="30" s="1"/>
  <c r="K34" i="30" a="1"/>
  <c r="K34" i="30" s="1"/>
  <c r="L34" i="30" a="1"/>
  <c r="L34" i="30" s="1"/>
  <c r="M34" i="30" a="1"/>
  <c r="M34" i="30" s="1"/>
  <c r="G34" i="30" a="1"/>
  <c r="G34" i="30" s="1"/>
  <c r="I34" i="30" a="1"/>
  <c r="I34" i="30" s="1"/>
  <c r="J34" i="30" a="1"/>
  <c r="J34" i="30" s="1"/>
  <c r="H34" i="30" a="1"/>
  <c r="H34" i="30" s="1"/>
  <c r="D24" i="30" a="1"/>
  <c r="D24" i="30" s="1"/>
  <c r="H24" i="30" a="1"/>
  <c r="H24" i="30" s="1"/>
  <c r="I24" i="30" a="1"/>
  <c r="I24" i="30" s="1"/>
  <c r="J24" i="30" a="1"/>
  <c r="J24" i="30" s="1"/>
  <c r="K24" i="30" a="1"/>
  <c r="K24" i="30" s="1"/>
  <c r="L24" i="30" a="1"/>
  <c r="L24" i="30" s="1"/>
  <c r="G24" i="30" a="1"/>
  <c r="G24" i="30" s="1"/>
  <c r="M24" i="30" a="1"/>
  <c r="M24" i="30" s="1"/>
  <c r="K42" i="21" a="1"/>
  <c r="K42" i="21" s="1"/>
  <c r="G93" i="21" a="1"/>
  <c r="G93" i="21" s="1"/>
  <c r="K21" i="21" a="1"/>
  <c r="K21" i="21" s="1"/>
  <c r="H26" i="19" a="1"/>
  <c r="H26" i="19" s="1"/>
  <c r="K58" i="21" a="1"/>
  <c r="K58" i="21" s="1"/>
  <c r="D39" i="30" a="1"/>
  <c r="D39" i="30" s="1"/>
  <c r="M39" i="30" a="1"/>
  <c r="M39" i="30" s="1"/>
  <c r="G39" i="30" a="1"/>
  <c r="G39" i="30" s="1"/>
  <c r="H39" i="30" a="1"/>
  <c r="H39" i="30" s="1"/>
  <c r="I39" i="30" a="1"/>
  <c r="I39" i="30" s="1"/>
  <c r="K39" i="30" a="1"/>
  <c r="K39" i="30" s="1"/>
  <c r="L39" i="30" a="1"/>
  <c r="L39" i="30" s="1"/>
  <c r="J39" i="30" a="1"/>
  <c r="J39" i="30" s="1"/>
  <c r="D9" i="30" a="1"/>
  <c r="D9" i="30" s="1"/>
  <c r="J9" i="30" a="1"/>
  <c r="J9" i="30" s="1"/>
  <c r="K9" i="30" a="1"/>
  <c r="K9" i="30" s="1"/>
  <c r="L9" i="30" a="1"/>
  <c r="L9" i="30" s="1"/>
  <c r="M9" i="30" a="1"/>
  <c r="M9" i="30" s="1"/>
  <c r="G9" i="30" a="1"/>
  <c r="G9" i="30" s="1"/>
  <c r="H9" i="30" a="1"/>
  <c r="H9" i="30" s="1"/>
  <c r="I9" i="30" a="1"/>
  <c r="I9" i="30" s="1"/>
  <c r="D78" i="30" a="1"/>
  <c r="D78" i="30" s="1"/>
  <c r="L78" i="30" a="1"/>
  <c r="L78" i="30" s="1"/>
  <c r="M78" i="30" a="1"/>
  <c r="M78" i="30" s="1"/>
  <c r="G78" i="30" a="1"/>
  <c r="G78" i="30" s="1"/>
  <c r="H78" i="30" a="1"/>
  <c r="H78" i="30" s="1"/>
  <c r="I78" i="30" a="1"/>
  <c r="I78" i="30" s="1"/>
  <c r="J78" i="30" a="1"/>
  <c r="J78" i="30" s="1"/>
  <c r="K78" i="30" a="1"/>
  <c r="K78" i="30" s="1"/>
  <c r="D68" i="30" a="1"/>
  <c r="D68" i="30" s="1"/>
  <c r="M68" i="30" a="1"/>
  <c r="M68" i="30" s="1"/>
  <c r="G68" i="30" a="1"/>
  <c r="G68" i="30" s="1"/>
  <c r="H68" i="30" a="1"/>
  <c r="H68" i="30" s="1"/>
  <c r="I68" i="30" a="1"/>
  <c r="I68" i="30" s="1"/>
  <c r="K68" i="30" a="1"/>
  <c r="K68" i="30" s="1"/>
  <c r="L68" i="30" a="1"/>
  <c r="L68" i="30" s="1"/>
  <c r="J68" i="30" a="1"/>
  <c r="J68" i="30" s="1"/>
  <c r="D46" i="30" a="1"/>
  <c r="D46" i="30" s="1"/>
  <c r="G46" i="30" a="1"/>
  <c r="G46" i="30" s="1"/>
  <c r="H46" i="30" a="1"/>
  <c r="H46" i="30" s="1"/>
  <c r="I46" i="30" a="1"/>
  <c r="I46" i="30" s="1"/>
  <c r="J46" i="30" a="1"/>
  <c r="J46" i="30" s="1"/>
  <c r="K46" i="30" a="1"/>
  <c r="K46" i="30" s="1"/>
  <c r="L46" i="30" a="1"/>
  <c r="L46" i="30" s="1"/>
  <c r="M46" i="30" a="1"/>
  <c r="M46" i="30" s="1"/>
  <c r="D36" i="30" a="1"/>
  <c r="D36" i="30" s="1"/>
  <c r="G36" i="30" a="1"/>
  <c r="G36" i="30" s="1"/>
  <c r="H36" i="30" a="1"/>
  <c r="H36" i="30" s="1"/>
  <c r="I36" i="30" a="1"/>
  <c r="I36" i="30" s="1"/>
  <c r="J36" i="30" a="1"/>
  <c r="J36" i="30" s="1"/>
  <c r="K36" i="30" a="1"/>
  <c r="K36" i="30" s="1"/>
  <c r="L36" i="30" a="1"/>
  <c r="L36" i="30" s="1"/>
  <c r="M36" i="30" a="1"/>
  <c r="M36" i="30" s="1"/>
  <c r="I67" i="21" a="1"/>
  <c r="I67" i="21" s="1"/>
  <c r="G26" i="19" a="1"/>
  <c r="G26" i="19" s="1"/>
  <c r="H21" i="21" a="1"/>
  <c r="H21" i="21" s="1"/>
  <c r="L96" i="21" a="1"/>
  <c r="L96" i="21" s="1"/>
  <c r="D6" i="30" a="1"/>
  <c r="D6" i="30" s="1"/>
  <c r="I6" i="30" a="1"/>
  <c r="I6" i="30" s="1"/>
  <c r="J6" i="30" a="1"/>
  <c r="J6" i="30" s="1"/>
  <c r="K6" i="30" a="1"/>
  <c r="K6" i="30" s="1"/>
  <c r="L6" i="30" a="1"/>
  <c r="L6" i="30" s="1"/>
  <c r="G6" i="30" a="1"/>
  <c r="G6" i="30" s="1"/>
  <c r="H6" i="30" a="1"/>
  <c r="H6" i="30" s="1"/>
  <c r="M6" i="30" a="1"/>
  <c r="M6" i="30" s="1"/>
  <c r="D51" i="30" a="1"/>
  <c r="D51" i="30" s="1"/>
  <c r="H51" i="30" a="1"/>
  <c r="H51" i="30" s="1"/>
  <c r="I51" i="30" a="1"/>
  <c r="I51" i="30" s="1"/>
  <c r="J51" i="30" a="1"/>
  <c r="J51" i="30" s="1"/>
  <c r="K51" i="30" a="1"/>
  <c r="K51" i="30" s="1"/>
  <c r="L51" i="30" a="1"/>
  <c r="L51" i="30" s="1"/>
  <c r="M51" i="30" a="1"/>
  <c r="M51" i="30" s="1"/>
  <c r="G51" i="30" a="1"/>
  <c r="G51" i="30" s="1"/>
  <c r="D17" i="30" a="1"/>
  <c r="D17" i="30" s="1"/>
  <c r="G17" i="30" a="1"/>
  <c r="G17" i="30" s="1"/>
  <c r="I17" i="30" a="1"/>
  <c r="I17" i="30" s="1"/>
  <c r="J17" i="30" a="1"/>
  <c r="J17" i="30" s="1"/>
  <c r="K17" i="30" a="1"/>
  <c r="K17" i="30" s="1"/>
  <c r="H17" i="30" a="1"/>
  <c r="H17" i="30" s="1"/>
  <c r="L17" i="30" a="1"/>
  <c r="L17" i="30" s="1"/>
  <c r="M17" i="30" a="1"/>
  <c r="M17" i="30" s="1"/>
  <c r="D19" i="30" a="1"/>
  <c r="D19" i="30" s="1"/>
  <c r="J19" i="30" a="1"/>
  <c r="J19" i="30" s="1"/>
  <c r="L19" i="30" a="1"/>
  <c r="L19" i="30" s="1"/>
  <c r="M19" i="30" a="1"/>
  <c r="M19" i="30" s="1"/>
  <c r="G19" i="30" a="1"/>
  <c r="G19" i="30" s="1"/>
  <c r="H19" i="30" a="1"/>
  <c r="H19" i="30" s="1"/>
  <c r="I19" i="30" a="1"/>
  <c r="I19" i="30" s="1"/>
  <c r="K19" i="30" a="1"/>
  <c r="K19" i="30" s="1"/>
  <c r="D80" i="30" a="1"/>
  <c r="D80" i="30" s="1"/>
  <c r="G80" i="30" a="1"/>
  <c r="G80" i="30" s="1"/>
  <c r="H80" i="30" a="1"/>
  <c r="H80" i="30" s="1"/>
  <c r="I80" i="30" a="1"/>
  <c r="I80" i="30" s="1"/>
  <c r="J80" i="30" a="1"/>
  <c r="J80" i="30" s="1"/>
  <c r="K80" i="30" a="1"/>
  <c r="K80" i="30" s="1"/>
  <c r="L80" i="30" a="1"/>
  <c r="L80" i="30" s="1"/>
  <c r="M80" i="30" a="1"/>
  <c r="M80" i="30" s="1"/>
  <c r="D58" i="30" a="1"/>
  <c r="D58" i="30" s="1"/>
  <c r="M58" i="30" a="1"/>
  <c r="M58" i="30" s="1"/>
  <c r="G58" i="30" a="1"/>
  <c r="G58" i="30" s="1"/>
  <c r="H58" i="30" a="1"/>
  <c r="H58" i="30" s="1"/>
  <c r="I58" i="30" a="1"/>
  <c r="I58" i="30" s="1"/>
  <c r="J58" i="30" a="1"/>
  <c r="J58" i="30" s="1"/>
  <c r="L58" i="30" a="1"/>
  <c r="L58" i="30" s="1"/>
  <c r="K58" i="30" a="1"/>
  <c r="K58" i="30" s="1"/>
  <c r="D48" i="30" a="1"/>
  <c r="D48" i="30" s="1"/>
  <c r="K48" i="30" a="1"/>
  <c r="K48" i="30" s="1"/>
  <c r="L48" i="30" a="1"/>
  <c r="L48" i="30" s="1"/>
  <c r="M48" i="30" a="1"/>
  <c r="M48" i="30" s="1"/>
  <c r="G48" i="30" a="1"/>
  <c r="G48" i="30" s="1"/>
  <c r="H48" i="30" a="1"/>
  <c r="H48" i="30" s="1"/>
  <c r="J48" i="30" a="1"/>
  <c r="J48" i="30" s="1"/>
  <c r="I48" i="30" a="1"/>
  <c r="I48" i="30" s="1"/>
  <c r="K46" i="21" a="1"/>
  <c r="K46" i="21" s="1"/>
  <c r="K40" i="21" a="1"/>
  <c r="K40" i="21" s="1"/>
  <c r="I96" i="21" a="1"/>
  <c r="I96" i="21" s="1"/>
  <c r="D14" i="30" a="1"/>
  <c r="D14" i="30" s="1"/>
  <c r="J14" i="30" a="1"/>
  <c r="J14" i="30" s="1"/>
  <c r="K14" i="30" a="1"/>
  <c r="K14" i="30" s="1"/>
  <c r="M14" i="30" a="1"/>
  <c r="M14" i="30" s="1"/>
  <c r="G14" i="30" a="1"/>
  <c r="G14" i="30" s="1"/>
  <c r="H14" i="30" a="1"/>
  <c r="H14" i="30" s="1"/>
  <c r="I14" i="30" a="1"/>
  <c r="I14" i="30" s="1"/>
  <c r="L14" i="30" a="1"/>
  <c r="L14" i="30" s="1"/>
  <c r="D63" i="30" a="1"/>
  <c r="D63" i="30" s="1"/>
  <c r="M63" i="30" a="1"/>
  <c r="M63" i="30" s="1"/>
  <c r="G63" i="30" a="1"/>
  <c r="G63" i="30" s="1"/>
  <c r="H63" i="30" a="1"/>
  <c r="H63" i="30" s="1"/>
  <c r="I63" i="30" a="1"/>
  <c r="I63" i="30" s="1"/>
  <c r="K63" i="30" a="1"/>
  <c r="K63" i="30" s="1"/>
  <c r="L63" i="30" a="1"/>
  <c r="L63" i="30" s="1"/>
  <c r="J63" i="30" a="1"/>
  <c r="J63" i="30" s="1"/>
  <c r="D29" i="30" a="1"/>
  <c r="D29" i="30" s="1"/>
  <c r="I29" i="30" a="1"/>
  <c r="I29" i="30" s="1"/>
  <c r="J29" i="30" a="1"/>
  <c r="J29" i="30" s="1"/>
  <c r="L29" i="30" a="1"/>
  <c r="L29" i="30" s="1"/>
  <c r="M29" i="30" a="1"/>
  <c r="M29" i="30" s="1"/>
  <c r="G29" i="30" a="1"/>
  <c r="G29" i="30" s="1"/>
  <c r="H29" i="30" a="1"/>
  <c r="H29" i="30" s="1"/>
  <c r="K29" i="30" a="1"/>
  <c r="K29" i="30" s="1"/>
  <c r="D31" i="30" a="1"/>
  <c r="D31" i="30" s="1"/>
  <c r="L31" i="30" a="1"/>
  <c r="L31" i="30" s="1"/>
  <c r="M31" i="30" a="1"/>
  <c r="M31" i="30" s="1"/>
  <c r="G31" i="30" a="1"/>
  <c r="G31" i="30" s="1"/>
  <c r="H31" i="30" a="1"/>
  <c r="H31" i="30" s="1"/>
  <c r="I31" i="30" a="1"/>
  <c r="I31" i="30" s="1"/>
  <c r="J31" i="30" a="1"/>
  <c r="J31" i="30" s="1"/>
  <c r="K31" i="30" a="1"/>
  <c r="K31" i="30" s="1"/>
  <c r="D11" i="30" a="1"/>
  <c r="D11" i="30" s="1"/>
  <c r="G11" i="30" a="1"/>
  <c r="G11" i="30" s="1"/>
  <c r="H11" i="30" a="1"/>
  <c r="H11" i="30" s="1"/>
  <c r="I11" i="30" a="1"/>
  <c r="I11" i="30" s="1"/>
  <c r="J11" i="30" a="1"/>
  <c r="J11" i="30" s="1"/>
  <c r="K11" i="30" a="1"/>
  <c r="K11" i="30" s="1"/>
  <c r="L11" i="30" a="1"/>
  <c r="L11" i="30" s="1"/>
  <c r="M11" i="30" a="1"/>
  <c r="M11" i="30" s="1"/>
  <c r="D70" i="30" a="1"/>
  <c r="D70" i="30" s="1"/>
  <c r="H70" i="30" a="1"/>
  <c r="H70" i="30" s="1"/>
  <c r="I70" i="30" a="1"/>
  <c r="I70" i="30" s="1"/>
  <c r="J70" i="30" a="1"/>
  <c r="J70" i="30" s="1"/>
  <c r="K70" i="30" a="1"/>
  <c r="K70" i="30" s="1"/>
  <c r="L70" i="30" a="1"/>
  <c r="L70" i="30" s="1"/>
  <c r="M70" i="30" a="1"/>
  <c r="M70" i="30" s="1"/>
  <c r="G70" i="30" a="1"/>
  <c r="G70" i="30" s="1"/>
  <c r="D60" i="30" a="1"/>
  <c r="D60" i="30" s="1"/>
  <c r="G60" i="30" a="1"/>
  <c r="G60" i="30" s="1"/>
  <c r="H60" i="30" a="1"/>
  <c r="H60" i="30" s="1"/>
  <c r="I60" i="30" a="1"/>
  <c r="I60" i="30" s="1"/>
  <c r="J60" i="30" a="1"/>
  <c r="J60" i="30" s="1"/>
  <c r="K60" i="30" a="1"/>
  <c r="K60" i="30" s="1"/>
  <c r="L60" i="30" a="1"/>
  <c r="L60" i="30" s="1"/>
  <c r="M60" i="30" a="1"/>
  <c r="M60" i="30" s="1"/>
  <c r="G46" i="21" a="1"/>
  <c r="G46" i="21" s="1"/>
  <c r="L45" i="21" a="1"/>
  <c r="L45" i="21" s="1"/>
  <c r="G15" i="21" a="1"/>
  <c r="G15" i="21" s="1"/>
  <c r="H73" i="21" a="1"/>
  <c r="H73" i="21" s="1"/>
  <c r="L52" i="21" a="1"/>
  <c r="L52" i="21" s="1"/>
  <c r="F14" i="19" a="1"/>
  <c r="F14" i="19" s="1"/>
  <c r="E14" i="19" a="1"/>
  <c r="E14" i="19" s="1"/>
  <c r="G52" i="21" a="1"/>
  <c r="G52" i="21" s="1"/>
  <c r="J52" i="21" a="1"/>
  <c r="J52" i="21" s="1"/>
  <c r="H14" i="19" a="1"/>
  <c r="H14" i="19" s="1"/>
  <c r="I72" i="21" a="1"/>
  <c r="I72" i="21" s="1"/>
  <c r="I52" i="21" a="1"/>
  <c r="I52" i="21" s="1"/>
  <c r="G14" i="19" a="1"/>
  <c r="G14" i="19" s="1"/>
  <c r="K72" i="21" a="1"/>
  <c r="K72" i="21" s="1"/>
  <c r="H29" i="21" a="1"/>
  <c r="H29" i="21" s="1"/>
  <c r="J72" i="21" a="1"/>
  <c r="J72" i="21" s="1"/>
  <c r="H52" i="21" a="1"/>
  <c r="H52" i="21" s="1"/>
  <c r="H72" i="21" a="1"/>
  <c r="H72" i="21" s="1"/>
  <c r="L72" i="21" a="1"/>
  <c r="L72" i="21" s="1"/>
  <c r="J14" i="19" a="1"/>
  <c r="J14" i="19" s="1"/>
  <c r="H84" i="21" a="1"/>
  <c r="H84" i="21" s="1"/>
  <c r="J23" i="21" a="1"/>
  <c r="J23" i="21" s="1"/>
  <c r="G73" i="21" a="1"/>
  <c r="G73" i="21" s="1"/>
  <c r="J45" i="21" a="1"/>
  <c r="J45" i="21" s="1"/>
  <c r="H23" i="19" a="1"/>
  <c r="H23" i="19" s="1"/>
  <c r="J23" i="19" a="1"/>
  <c r="J23" i="19" s="1"/>
  <c r="H34" i="21" a="1"/>
  <c r="H34" i="21" s="1"/>
  <c r="I43" i="21" a="1"/>
  <c r="I43" i="21" s="1"/>
  <c r="I23" i="19" a="1"/>
  <c r="I23" i="19" s="1"/>
  <c r="G27" i="19" a="1"/>
  <c r="G27" i="19" s="1"/>
  <c r="F23" i="19" a="1"/>
  <c r="F23" i="19" s="1"/>
  <c r="J12" i="19" a="1"/>
  <c r="J12" i="19" s="1"/>
  <c r="G23" i="19" a="1"/>
  <c r="G23" i="19" s="1"/>
  <c r="H27" i="19" a="1"/>
  <c r="H27" i="19" s="1"/>
  <c r="F12" i="19" a="1"/>
  <c r="F12" i="19" s="1"/>
  <c r="E27" i="19" a="1"/>
  <c r="E27" i="19" s="1"/>
  <c r="I34" i="21" a="1"/>
  <c r="I34" i="21" s="1"/>
  <c r="H71" i="21" a="1"/>
  <c r="H71" i="21" s="1"/>
  <c r="F27" i="19" a="1"/>
  <c r="F27" i="19" s="1"/>
  <c r="G12" i="19" a="1"/>
  <c r="G12" i="19" s="1"/>
  <c r="H9" i="21" a="1"/>
  <c r="H9" i="21" s="1"/>
  <c r="I95" i="21" a="1"/>
  <c r="I95" i="21" s="1"/>
  <c r="L43" i="21" a="1"/>
  <c r="L43" i="21" s="1"/>
  <c r="I22" i="21" a="1"/>
  <c r="I22" i="21" s="1"/>
  <c r="K95" i="21" a="1"/>
  <c r="K95" i="21" s="1"/>
  <c r="I89" i="21" a="1"/>
  <c r="I89" i="21" s="1"/>
  <c r="E32" i="19" a="1"/>
  <c r="E32" i="19" s="1"/>
  <c r="H32" i="19" a="1"/>
  <c r="H32" i="19" s="1"/>
  <c r="J32" i="19" a="1"/>
  <c r="J32" i="19" s="1"/>
  <c r="H11" i="19" a="1"/>
  <c r="H11" i="19" s="1"/>
  <c r="F32" i="19" a="1"/>
  <c r="F32" i="19" s="1"/>
  <c r="I32" i="19" a="1"/>
  <c r="I32" i="19" s="1"/>
  <c r="E30" i="19" a="1"/>
  <c r="E30" i="19" s="1"/>
  <c r="H40" i="21" a="1"/>
  <c r="H40" i="21" s="1"/>
  <c r="E8" i="19" a="1"/>
  <c r="E8" i="19" s="1"/>
  <c r="I9" i="21" a="1"/>
  <c r="I9" i="21" s="1"/>
  <c r="L9" i="21" a="1"/>
  <c r="L9" i="21" s="1"/>
  <c r="K45" i="21" a="1"/>
  <c r="K45" i="21" s="1"/>
  <c r="I48" i="21" a="1"/>
  <c r="I48" i="21" s="1"/>
  <c r="K73" i="21" a="1"/>
  <c r="K73" i="21" s="1"/>
  <c r="I38" i="21" a="1"/>
  <c r="I38" i="21" s="1"/>
  <c r="E12" i="19" a="1"/>
  <c r="E12" i="19" s="1"/>
  <c r="K9" i="21" a="1"/>
  <c r="K9" i="21" s="1"/>
  <c r="E13" i="19" a="1"/>
  <c r="E13" i="19" s="1"/>
  <c r="L10" i="21" a="1"/>
  <c r="L10" i="21" s="1"/>
  <c r="J20" i="19" a="1"/>
  <c r="J20" i="19" s="1"/>
  <c r="I12" i="19" a="1"/>
  <c r="I12" i="19" s="1"/>
  <c r="J19" i="21" a="1"/>
  <c r="J19" i="21" s="1"/>
  <c r="J38" i="21" a="1"/>
  <c r="J38" i="21" s="1"/>
  <c r="G13" i="19" a="1"/>
  <c r="G13" i="19" s="1"/>
  <c r="G24" i="19" a="1"/>
  <c r="G24" i="19" s="1"/>
  <c r="L57" i="21" a="1"/>
  <c r="L57" i="21" s="1"/>
  <c r="G19" i="21" a="1"/>
  <c r="G19" i="21" s="1"/>
  <c r="I91" i="21" a="1"/>
  <c r="I91" i="21" s="1"/>
  <c r="G31" i="21" a="1"/>
  <c r="G31" i="21" s="1"/>
  <c r="L36" i="21" a="1"/>
  <c r="L36" i="21" s="1"/>
  <c r="L47" i="21" a="1"/>
  <c r="L47" i="21" s="1"/>
  <c r="E20" i="19" a="1"/>
  <c r="E20" i="19" s="1"/>
  <c r="F24" i="19" a="1"/>
  <c r="F24" i="19" s="1"/>
  <c r="L23" i="21" a="1"/>
  <c r="L23" i="21" s="1"/>
  <c r="G45" i="21" a="1"/>
  <c r="G45" i="21" s="1"/>
  <c r="J13" i="19" a="1"/>
  <c r="J13" i="19" s="1"/>
  <c r="L29" i="21" a="1"/>
  <c r="L29" i="21" s="1"/>
  <c r="I13" i="19" a="1"/>
  <c r="I13" i="19" s="1"/>
  <c r="H25" i="21" a="1"/>
  <c r="H25" i="21" s="1"/>
  <c r="K71" i="21" a="1"/>
  <c r="K71" i="21" s="1"/>
  <c r="J24" i="19" a="1"/>
  <c r="J24" i="19" s="1"/>
  <c r="H27" i="21" a="1"/>
  <c r="H27" i="21" s="1"/>
  <c r="J84" i="21" a="1"/>
  <c r="J84" i="21" s="1"/>
  <c r="I19" i="21" a="1"/>
  <c r="I19" i="21" s="1"/>
  <c r="L84" i="21" a="1"/>
  <c r="L84" i="21" s="1"/>
  <c r="H20" i="19" a="1"/>
  <c r="H20" i="19" s="1"/>
  <c r="I20" i="19" a="1"/>
  <c r="I20" i="19" s="1"/>
  <c r="H36" i="21" a="1"/>
  <c r="H36" i="21" s="1"/>
  <c r="K19" i="21" a="1"/>
  <c r="K19" i="21" s="1"/>
  <c r="K84" i="21" a="1"/>
  <c r="K84" i="21" s="1"/>
  <c r="L56" i="21" a="1"/>
  <c r="L56" i="21" s="1"/>
  <c r="H95" i="21" a="1"/>
  <c r="H95" i="21" s="1"/>
  <c r="L89" i="21" a="1"/>
  <c r="L89" i="21" s="1"/>
  <c r="J56" i="21" a="1"/>
  <c r="J56" i="21" s="1"/>
  <c r="G18" i="19" a="1"/>
  <c r="G18" i="19" s="1"/>
  <c r="L11" i="21" a="1"/>
  <c r="L11" i="21" s="1"/>
  <c r="J83" i="21" a="1"/>
  <c r="J83" i="21" s="1"/>
  <c r="I11" i="21" a="1"/>
  <c r="I11" i="21" s="1"/>
  <c r="J30" i="21" a="1"/>
  <c r="J30" i="21" s="1"/>
  <c r="L13" i="21" a="1"/>
  <c r="L13" i="21" s="1"/>
  <c r="L46" i="21" a="1"/>
  <c r="L46" i="21" s="1"/>
  <c r="L48" i="21" a="1"/>
  <c r="L48" i="21" s="1"/>
  <c r="I47" i="21" a="1"/>
  <c r="I47" i="21" s="1"/>
  <c r="L71" i="21" a="1"/>
  <c r="L71" i="21" s="1"/>
  <c r="E24" i="19" a="1"/>
  <c r="E24" i="19" s="1"/>
  <c r="K57" i="21" a="1"/>
  <c r="K57" i="21" s="1"/>
  <c r="I80" i="21" a="1"/>
  <c r="I80" i="21" s="1"/>
  <c r="K80" i="21" a="1"/>
  <c r="K80" i="21" s="1"/>
  <c r="I24" i="19" a="1"/>
  <c r="I24" i="19" s="1"/>
  <c r="H46" i="21" a="1"/>
  <c r="H46" i="21" s="1"/>
  <c r="I8" i="21" a="1"/>
  <c r="I8" i="21" s="1"/>
  <c r="L40" i="21" a="1"/>
  <c r="L40" i="21" s="1"/>
  <c r="I46" i="21" a="1"/>
  <c r="I46" i="21" s="1"/>
  <c r="E9" i="19" a="1"/>
  <c r="E9" i="19" s="1"/>
  <c r="G36" i="21" a="1"/>
  <c r="G36" i="21" s="1"/>
  <c r="G39" i="21" a="1"/>
  <c r="G39" i="21" s="1"/>
  <c r="L38" i="21" a="1"/>
  <c r="L38" i="21" s="1"/>
  <c r="G40" i="21" a="1"/>
  <c r="G40" i="21" s="1"/>
  <c r="K82" i="21" a="1"/>
  <c r="K82" i="21" s="1"/>
  <c r="H83" i="21" a="1"/>
  <c r="H83" i="21" s="1"/>
  <c r="E25" i="19" a="1"/>
  <c r="E25" i="19" s="1"/>
  <c r="I56" i="21" a="1"/>
  <c r="I56" i="21" s="1"/>
  <c r="H22" i="21" a="1"/>
  <c r="H22" i="21" s="1"/>
  <c r="H8" i="21" a="1"/>
  <c r="H8" i="21" s="1"/>
  <c r="L54" i="21" a="1"/>
  <c r="L54" i="21" s="1"/>
  <c r="L65" i="21" a="1"/>
  <c r="L65" i="21" s="1"/>
  <c r="I65" i="21" a="1"/>
  <c r="I65" i="21" s="1"/>
  <c r="K79" i="21" a="1"/>
  <c r="K79" i="21" s="1"/>
  <c r="L20" i="21" a="1"/>
  <c r="L20" i="21" s="1"/>
  <c r="I13" i="21" a="1"/>
  <c r="I13" i="21" s="1"/>
  <c r="F31" i="19" a="1"/>
  <c r="F31" i="19" s="1"/>
  <c r="K13" i="21" a="1"/>
  <c r="K13" i="21" s="1"/>
  <c r="H13" i="21" a="1"/>
  <c r="H13" i="21" s="1"/>
  <c r="J25" i="19" a="1"/>
  <c r="J25" i="19" s="1"/>
  <c r="I54" i="21" a="1"/>
  <c r="I54" i="21" s="1"/>
  <c r="H9" i="19" a="1"/>
  <c r="H9" i="19" s="1"/>
  <c r="J43" i="21" a="1"/>
  <c r="J43" i="21" s="1"/>
  <c r="I37" i="21" a="1"/>
  <c r="I37" i="21" s="1"/>
  <c r="H19" i="19" a="1"/>
  <c r="H19" i="19" s="1"/>
  <c r="J80" i="21" a="1"/>
  <c r="J80" i="21" s="1"/>
  <c r="I76" i="21" a="1"/>
  <c r="I76" i="21" s="1"/>
  <c r="I83" i="21" a="1"/>
  <c r="I83" i="21" s="1"/>
  <c r="J36" i="21" a="1"/>
  <c r="J36" i="21" s="1"/>
  <c r="K12" i="21" a="1"/>
  <c r="K12" i="21" s="1"/>
  <c r="I12" i="21" a="1"/>
  <c r="I12" i="21" s="1"/>
  <c r="L76" i="21" a="1"/>
  <c r="L76" i="21" s="1"/>
  <c r="J76" i="21" a="1"/>
  <c r="J76" i="21" s="1"/>
  <c r="I18" i="21" a="1"/>
  <c r="I18" i="21" s="1"/>
  <c r="I82" i="21" a="1"/>
  <c r="I82" i="21" s="1"/>
  <c r="L28" i="21" a="1"/>
  <c r="L28" i="21" s="1"/>
  <c r="L75" i="21" a="1"/>
  <c r="L75" i="21" s="1"/>
  <c r="F19" i="19" a="1"/>
  <c r="F19" i="19" s="1"/>
  <c r="G28" i="21" a="1"/>
  <c r="G28" i="21" s="1"/>
  <c r="I81" i="21" a="1"/>
  <c r="I81" i="21" s="1"/>
  <c r="G82" i="21" a="1"/>
  <c r="G82" i="21" s="1"/>
  <c r="K63" i="21" a="1"/>
  <c r="K63" i="21" s="1"/>
  <c r="G15" i="19" a="1"/>
  <c r="G15" i="19" s="1"/>
  <c r="H10" i="21" a="1"/>
  <c r="H10" i="21" s="1"/>
  <c r="L81" i="21" a="1"/>
  <c r="L81" i="21" s="1"/>
  <c r="L30" i="21" a="1"/>
  <c r="L30" i="21" s="1"/>
  <c r="I10" i="21" a="1"/>
  <c r="I10" i="21" s="1"/>
  <c r="J28" i="21" a="1"/>
  <c r="J28" i="21" s="1"/>
  <c r="L18" i="21" a="1"/>
  <c r="L18" i="21" s="1"/>
  <c r="G48" i="21" a="1"/>
  <c r="G48" i="21" s="1"/>
  <c r="I57" i="21" a="1"/>
  <c r="I57" i="21" s="1"/>
  <c r="L91" i="21" a="1"/>
  <c r="L91" i="21" s="1"/>
  <c r="I9" i="19" a="1"/>
  <c r="I9" i="19" s="1"/>
  <c r="I15" i="19" a="1"/>
  <c r="I15" i="19" s="1"/>
  <c r="K31" i="21" a="1"/>
  <c r="K31" i="21" s="1"/>
  <c r="K28" i="21" a="1"/>
  <c r="K28" i="21" s="1"/>
  <c r="L82" i="21" a="1"/>
  <c r="L82" i="21" s="1"/>
  <c r="J18" i="21" a="1"/>
  <c r="J18" i="21" s="1"/>
  <c r="J15" i="19" a="1"/>
  <c r="J15" i="19" s="1"/>
  <c r="I36" i="21" a="1"/>
  <c r="I36" i="21" s="1"/>
  <c r="G10" i="21" a="1"/>
  <c r="G10" i="21" s="1"/>
  <c r="H24" i="21" a="1"/>
  <c r="H24" i="21" s="1"/>
  <c r="K43" i="21" a="1"/>
  <c r="K43" i="21" s="1"/>
  <c r="G34" i="21" a="1"/>
  <c r="G34" i="21" s="1"/>
  <c r="I19" i="19" a="1"/>
  <c r="I19" i="19" s="1"/>
  <c r="K18" i="21" a="1"/>
  <c r="K18" i="21" s="1"/>
  <c r="I32" i="21" a="1"/>
  <c r="I32" i="21" s="1"/>
  <c r="G12" i="21" a="1"/>
  <c r="G12" i="21" s="1"/>
  <c r="L12" i="21" a="1"/>
  <c r="L12" i="21" s="1"/>
  <c r="G16" i="21" a="1"/>
  <c r="G16" i="21" s="1"/>
  <c r="J20" i="21" a="1"/>
  <c r="J20" i="21" s="1"/>
  <c r="K20" i="21" a="1"/>
  <c r="K20" i="21" s="1"/>
  <c r="G43" i="21" a="1"/>
  <c r="G43" i="21" s="1"/>
  <c r="L35" i="21" a="1"/>
  <c r="L35" i="21" s="1"/>
  <c r="F28" i="19" a="1"/>
  <c r="F28" i="19" s="1"/>
  <c r="H12" i="21" a="1"/>
  <c r="H12" i="21" s="1"/>
  <c r="G76" i="21" a="1"/>
  <c r="G76" i="21" s="1"/>
  <c r="I24" i="21" a="1"/>
  <c r="I24" i="21" s="1"/>
  <c r="I29" i="19" a="1"/>
  <c r="I29" i="19" s="1"/>
  <c r="J29" i="19" a="1"/>
  <c r="J29" i="19" s="1"/>
  <c r="F30" i="19" a="1"/>
  <c r="F30" i="19" s="1"/>
  <c r="J9" i="21" a="1"/>
  <c r="J9" i="21" s="1"/>
  <c r="L93" i="21" a="1"/>
  <c r="L93" i="21" s="1"/>
  <c r="J13" i="21" a="1"/>
  <c r="J13" i="21" s="1"/>
  <c r="H76" i="21" a="1"/>
  <c r="H76" i="21" s="1"/>
  <c r="H87" i="21" a="1"/>
  <c r="H87" i="21" s="1"/>
  <c r="L32" i="21" a="1"/>
  <c r="L32" i="21" s="1"/>
  <c r="H31" i="19" a="1"/>
  <c r="H31" i="19" s="1"/>
  <c r="H20" i="21" a="1"/>
  <c r="H20" i="21" s="1"/>
  <c r="K54" i="21" a="1"/>
  <c r="K54" i="21" s="1"/>
  <c r="G29" i="19" a="1"/>
  <c r="G29" i="19" s="1"/>
  <c r="J54" i="21" a="1"/>
  <c r="J54" i="21" s="1"/>
  <c r="G8" i="21" a="1"/>
  <c r="G8" i="21" s="1"/>
  <c r="I77" i="21" a="1"/>
  <c r="I77" i="21" s="1"/>
  <c r="E28" i="19" a="1"/>
  <c r="E28" i="19" s="1"/>
  <c r="E16" i="19" a="1"/>
  <c r="E16" i="19" s="1"/>
  <c r="L86" i="21" a="1"/>
  <c r="L86" i="21" s="1"/>
  <c r="K48" i="21" a="1"/>
  <c r="K48" i="21" s="1"/>
  <c r="K16" i="21" a="1"/>
  <c r="K16" i="21" s="1"/>
  <c r="H80" i="21" a="1"/>
  <c r="H80" i="21" s="1"/>
  <c r="I79" i="21" a="1"/>
  <c r="I79" i="21" s="1"/>
  <c r="J31" i="19" a="1"/>
  <c r="J31" i="19" s="1"/>
  <c r="L80" i="21" a="1"/>
  <c r="L80" i="21" s="1"/>
  <c r="I18" i="19" a="1"/>
  <c r="I18" i="19" s="1"/>
  <c r="H38" i="21" a="1"/>
  <c r="H38" i="21" s="1"/>
  <c r="K75" i="21" a="1"/>
  <c r="K75" i="21" s="1"/>
  <c r="G18" i="21" a="1"/>
  <c r="G18" i="21" s="1"/>
  <c r="J19" i="19" a="1"/>
  <c r="J19" i="19" s="1"/>
  <c r="H15" i="19" a="1"/>
  <c r="H15" i="19" s="1"/>
  <c r="G44" i="21" a="1"/>
  <c r="G44" i="21" s="1"/>
  <c r="L62" i="21" a="1"/>
  <c r="L62" i="21" s="1"/>
  <c r="J66" i="21" a="1"/>
  <c r="J66" i="21" s="1"/>
  <c r="F15" i="19" a="1"/>
  <c r="F15" i="19" s="1"/>
  <c r="J96" i="21" a="1"/>
  <c r="J96" i="21" s="1"/>
  <c r="G96" i="21" a="1"/>
  <c r="G96" i="21" s="1"/>
  <c r="K38" i="21" a="1"/>
  <c r="K38" i="21" s="1"/>
  <c r="J82" i="21" a="1"/>
  <c r="J82" i="21" s="1"/>
  <c r="I74" i="21" a="1"/>
  <c r="I74" i="21" s="1"/>
  <c r="L24" i="21" a="1"/>
  <c r="L24" i="21" s="1"/>
  <c r="E31" i="19" a="1"/>
  <c r="E31" i="19" s="1"/>
  <c r="G62" i="21" a="1"/>
  <c r="G62" i="21" s="1"/>
  <c r="H29" i="19" a="1"/>
  <c r="H29" i="19" s="1"/>
  <c r="F24" i="25"/>
  <c r="G24" i="25" s="1"/>
  <c r="E25" i="25"/>
  <c r="F25" i="25"/>
  <c r="H25" i="25"/>
  <c r="J24" i="25"/>
  <c r="G25" i="25"/>
  <c r="K25" i="25"/>
  <c r="J25" i="25"/>
  <c r="D26" i="25"/>
  <c r="H26" i="25" s="1"/>
  <c r="E26" i="25"/>
  <c r="E8" i="25"/>
  <c r="D8" i="25"/>
  <c r="G7" i="25"/>
  <c r="K7" i="25"/>
  <c r="J7" i="25"/>
  <c r="L25" i="21" a="1"/>
  <c r="L25" i="21" s="1"/>
  <c r="E29" i="19" a="1"/>
  <c r="E29" i="19" s="1"/>
  <c r="I31" i="19" a="1"/>
  <c r="I31" i="19" s="1"/>
  <c r="K81" i="21" a="1"/>
  <c r="K81" i="21" s="1"/>
  <c r="G81" i="21" a="1"/>
  <c r="G81" i="21" s="1"/>
  <c r="L69" i="21" a="1"/>
  <c r="L69" i="21" s="1"/>
  <c r="L64" i="21" a="1"/>
  <c r="L64" i="21" s="1"/>
  <c r="J26" i="19" a="1"/>
  <c r="J26" i="19" s="1"/>
  <c r="I31" i="21" a="1"/>
  <c r="I31" i="21" s="1"/>
  <c r="H8" i="19" a="1"/>
  <c r="H8" i="19" s="1"/>
  <c r="I25" i="19" a="1"/>
  <c r="I25" i="19" s="1"/>
  <c r="G11" i="19" a="1"/>
  <c r="G11" i="19" s="1"/>
  <c r="J28" i="19" a="1"/>
  <c r="J28" i="19" s="1"/>
  <c r="L33" i="21" a="1"/>
  <c r="L33" i="21" s="1"/>
  <c r="H48" i="21" a="1"/>
  <c r="H48" i="21" s="1"/>
  <c r="I33" i="21" a="1"/>
  <c r="I33" i="21" s="1"/>
  <c r="H16" i="21" a="1"/>
  <c r="H16" i="21" s="1"/>
  <c r="K33" i="21" a="1"/>
  <c r="K33" i="21" s="1"/>
  <c r="I25" i="21" a="1"/>
  <c r="I25" i="21" s="1"/>
  <c r="J18" i="19" a="1"/>
  <c r="J18" i="19" s="1"/>
  <c r="F18" i="19" a="1"/>
  <c r="F18" i="19" s="1"/>
  <c r="G92" i="21" a="1"/>
  <c r="G92" i="21" s="1"/>
  <c r="H18" i="19" a="1"/>
  <c r="H18" i="19" s="1"/>
  <c r="J17" i="19" a="1"/>
  <c r="J17" i="19" s="1"/>
  <c r="E6" i="19" a="1"/>
  <c r="E6" i="19" s="1"/>
  <c r="H21" i="19" a="1"/>
  <c r="H21" i="19" s="1"/>
  <c r="F25" i="19" a="1"/>
  <c r="F25" i="19" s="1"/>
  <c r="G22" i="19" a="1"/>
  <c r="G22" i="19" s="1"/>
  <c r="F16" i="19" a="1"/>
  <c r="F16" i="19" s="1"/>
  <c r="I17" i="19" a="1"/>
  <c r="I17" i="19" s="1"/>
  <c r="H16" i="19" a="1"/>
  <c r="H16" i="19" s="1"/>
  <c r="G64" i="21" a="1"/>
  <c r="G64" i="21" s="1"/>
  <c r="L92" i="21" a="1"/>
  <c r="L92" i="21" s="1"/>
  <c r="G17" i="19" a="1"/>
  <c r="G17" i="19" s="1"/>
  <c r="L8" i="21" a="1"/>
  <c r="L8" i="21" s="1"/>
  <c r="I8" i="19" a="1"/>
  <c r="I8" i="19" s="1"/>
  <c r="F6" i="19" a="1"/>
  <c r="F6" i="19" s="1"/>
  <c r="G24" i="21" a="1"/>
  <c r="G24" i="21" s="1"/>
  <c r="K64" i="21" a="1"/>
  <c r="K64" i="21" s="1"/>
  <c r="H54" i="21" a="1"/>
  <c r="H54" i="21" s="1"/>
  <c r="G33" i="21" a="1"/>
  <c r="G33" i="21" s="1"/>
  <c r="I92" i="21" a="1"/>
  <c r="I92" i="21" s="1"/>
  <c r="E21" i="19" a="1"/>
  <c r="E21" i="19" s="1"/>
  <c r="E17" i="19" a="1"/>
  <c r="E17" i="19" s="1"/>
  <c r="I20" i="21" a="1"/>
  <c r="I20" i="21" s="1"/>
  <c r="J65" i="21" a="1"/>
  <c r="J65" i="21" s="1"/>
  <c r="L85" i="21" a="1"/>
  <c r="L85" i="21" s="1"/>
  <c r="F13" i="19" a="1"/>
  <c r="F13" i="19" s="1"/>
  <c r="K24" i="21" a="1"/>
  <c r="K24" i="21" s="1"/>
  <c r="L22" i="21" a="1"/>
  <c r="L22" i="21" s="1"/>
  <c r="L34" i="21" a="1"/>
  <c r="L34" i="21" s="1"/>
  <c r="K69" i="21" a="1"/>
  <c r="K69" i="21" s="1"/>
  <c r="G77" i="21" a="1"/>
  <c r="G77" i="21" s="1"/>
  <c r="G25" i="19" a="1"/>
  <c r="G25" i="19" s="1"/>
  <c r="H17" i="19" a="1"/>
  <c r="H17" i="19" s="1"/>
  <c r="I26" i="19" a="1"/>
  <c r="I26" i="19" s="1"/>
  <c r="E26" i="19" a="1"/>
  <c r="E26" i="19" s="1"/>
  <c r="J81" i="21" a="1"/>
  <c r="J81" i="21" s="1"/>
  <c r="J33" i="21" a="1"/>
  <c r="J33" i="21" s="1"/>
  <c r="J10" i="21" a="1"/>
  <c r="J10" i="21" s="1"/>
  <c r="G28" i="19" a="1"/>
  <c r="G28" i="19" s="1"/>
  <c r="J51" i="21" a="1"/>
  <c r="J51" i="21" s="1"/>
  <c r="L51" i="21" a="1"/>
  <c r="L51" i="21" s="1"/>
  <c r="H51" i="21" a="1"/>
  <c r="H51" i="21" s="1"/>
  <c r="G51" i="21" a="1"/>
  <c r="G51" i="21" s="1"/>
  <c r="I51" i="21" a="1"/>
  <c r="I51" i="21" s="1"/>
  <c r="J86" i="21" a="1"/>
  <c r="J86" i="21" s="1"/>
  <c r="I86" i="21" a="1"/>
  <c r="I86" i="21" s="1"/>
  <c r="G49" i="21" a="1"/>
  <c r="G49" i="21" s="1"/>
  <c r="J49" i="21" a="1"/>
  <c r="J49" i="21" s="1"/>
  <c r="G63" i="21" a="1"/>
  <c r="G63" i="21" s="1"/>
  <c r="L63" i="21" a="1"/>
  <c r="L63" i="21" s="1"/>
  <c r="I63" i="21" a="1"/>
  <c r="I63" i="21" s="1"/>
  <c r="J41" i="21" a="1"/>
  <c r="J41" i="21" s="1"/>
  <c r="I41" i="21" a="1"/>
  <c r="I41" i="21" s="1"/>
  <c r="L41" i="21" a="1"/>
  <c r="L41" i="21" s="1"/>
  <c r="H78" i="21" a="1"/>
  <c r="H78" i="21" s="1"/>
  <c r="G78" i="21" a="1"/>
  <c r="G78" i="21" s="1"/>
  <c r="I78" i="21" a="1"/>
  <c r="I78" i="21" s="1"/>
  <c r="I66" i="21" a="1"/>
  <c r="I66" i="21" s="1"/>
  <c r="G66" i="21" a="1"/>
  <c r="G66" i="21" s="1"/>
  <c r="G26" i="21" a="1"/>
  <c r="G26" i="21" s="1"/>
  <c r="I26" i="21" a="1"/>
  <c r="I26" i="21" s="1"/>
  <c r="L26" i="21" a="1"/>
  <c r="L26" i="21" s="1"/>
  <c r="J60" i="21" a="1"/>
  <c r="J60" i="21" s="1"/>
  <c r="I60" i="21" a="1"/>
  <c r="I60" i="21" s="1"/>
  <c r="G59" i="21" a="1"/>
  <c r="G59" i="21" s="1"/>
  <c r="I59" i="21" a="1"/>
  <c r="I59" i="21" s="1"/>
  <c r="L21" i="21" a="1"/>
  <c r="L21" i="21" s="1"/>
  <c r="K59" i="21" a="1"/>
  <c r="K59" i="21" s="1"/>
  <c r="J27" i="21" a="1"/>
  <c r="J27" i="21" s="1"/>
  <c r="J77" i="21" a="1"/>
  <c r="J77" i="21" s="1"/>
  <c r="L77" i="21" a="1"/>
  <c r="L77" i="21" s="1"/>
  <c r="G32" i="21" a="1"/>
  <c r="G32" i="21" s="1"/>
  <c r="K32" i="21" a="1"/>
  <c r="K32" i="21" s="1"/>
  <c r="H35" i="21" a="1"/>
  <c r="H35" i="21" s="1"/>
  <c r="K35" i="21" a="1"/>
  <c r="K35" i="21" s="1"/>
  <c r="G35" i="21" a="1"/>
  <c r="G35" i="21" s="1"/>
  <c r="L90" i="21" a="1"/>
  <c r="L90" i="21" s="1"/>
  <c r="G90" i="21" a="1"/>
  <c r="G90" i="21" s="1"/>
  <c r="I90" i="21" a="1"/>
  <c r="I90" i="21" s="1"/>
  <c r="H90" i="21" a="1"/>
  <c r="H90" i="21" s="1"/>
  <c r="E7" i="19" a="1"/>
  <c r="E7" i="19" s="1"/>
  <c r="J62" i="21" a="1"/>
  <c r="J62" i="21" s="1"/>
  <c r="I62" i="21" a="1"/>
  <c r="I62" i="21" s="1"/>
  <c r="K68" i="21" a="1"/>
  <c r="K68" i="21" s="1"/>
  <c r="L68" i="21" a="1"/>
  <c r="L68" i="21" s="1"/>
  <c r="H10" i="19" a="1"/>
  <c r="H10" i="19" s="1"/>
  <c r="J9" i="19" a="1"/>
  <c r="J9" i="19" s="1"/>
  <c r="J11" i="19" a="1"/>
  <c r="J11" i="19" s="1"/>
  <c r="J21" i="19" a="1"/>
  <c r="J21" i="19" s="1"/>
  <c r="I21" i="19" a="1"/>
  <c r="I21" i="19" s="1"/>
  <c r="I29" i="21" a="1"/>
  <c r="I29" i="21" s="1"/>
  <c r="K39" i="21" a="1"/>
  <c r="K39" i="21" s="1"/>
  <c r="I39" i="21" a="1"/>
  <c r="I39" i="21" s="1"/>
  <c r="J39" i="21" a="1"/>
  <c r="J39" i="21" s="1"/>
  <c r="G14" i="21" a="1"/>
  <c r="G14" i="21" s="1"/>
  <c r="H14" i="21" a="1"/>
  <c r="H14" i="21" s="1"/>
  <c r="L14" i="21" a="1"/>
  <c r="L14" i="21" s="1"/>
  <c r="I14" i="21" a="1"/>
  <c r="I14" i="21" s="1"/>
  <c r="K14" i="21" a="1"/>
  <c r="K14" i="21" s="1"/>
  <c r="J14" i="21" a="1"/>
  <c r="J14" i="21" s="1"/>
  <c r="J10" i="19" a="1"/>
  <c r="J10" i="19" s="1"/>
  <c r="H37" i="21" a="1"/>
  <c r="H37" i="21" s="1"/>
  <c r="I68" i="21" a="1"/>
  <c r="I68" i="21" s="1"/>
  <c r="L37" i="21" a="1"/>
  <c r="L37" i="21" s="1"/>
  <c r="L60" i="21" a="1"/>
  <c r="L60" i="21" s="1"/>
  <c r="H68" i="21" a="1"/>
  <c r="H68" i="21" s="1"/>
  <c r="H56" i="21" a="1"/>
  <c r="H56" i="21" s="1"/>
  <c r="K34" i="21" a="1"/>
  <c r="K34" i="21" s="1"/>
  <c r="J94" i="21" a="1"/>
  <c r="J94" i="21" s="1"/>
  <c r="K94" i="21" a="1"/>
  <c r="K94" i="21" s="1"/>
  <c r="L61" i="21" a="1"/>
  <c r="L61" i="21" s="1"/>
  <c r="E10" i="19" a="1"/>
  <c r="E10" i="19" s="1"/>
  <c r="H7" i="19" a="1"/>
  <c r="H7" i="19" s="1"/>
  <c r="H22" i="19" a="1"/>
  <c r="H22" i="19" s="1"/>
  <c r="I30" i="19" a="1"/>
  <c r="I30" i="19" s="1"/>
  <c r="K60" i="21" a="1"/>
  <c r="K60" i="21" s="1"/>
  <c r="I30" i="21" a="1"/>
  <c r="I30" i="21" s="1"/>
  <c r="H26" i="21" a="1"/>
  <c r="H26" i="21" s="1"/>
  <c r="H62" i="21" a="1"/>
  <c r="H62" i="21" s="1"/>
  <c r="J55" i="21" a="1"/>
  <c r="J55" i="21" s="1"/>
  <c r="J61" i="21" a="1"/>
  <c r="J61" i="21" s="1"/>
  <c r="G68" i="21" a="1"/>
  <c r="G68" i="21" s="1"/>
  <c r="G56" i="21" a="1"/>
  <c r="G56" i="21" s="1"/>
  <c r="I70" i="21" a="1"/>
  <c r="I70" i="21" s="1"/>
  <c r="J85" i="21" a="1"/>
  <c r="J85" i="21" s="1"/>
  <c r="H61" i="21" a="1"/>
  <c r="H61" i="21" s="1"/>
  <c r="K8" i="21" a="1"/>
  <c r="K8" i="21" s="1"/>
  <c r="G86" i="21" a="1"/>
  <c r="G86" i="21" s="1"/>
  <c r="K49" i="21" a="1"/>
  <c r="K49" i="21" s="1"/>
  <c r="J35" i="21" a="1"/>
  <c r="J35" i="21" s="1"/>
  <c r="G83" i="21" a="1"/>
  <c r="G83" i="21" s="1"/>
  <c r="L83" i="21" a="1"/>
  <c r="L83" i="21" s="1"/>
  <c r="G16" i="19" a="1"/>
  <c r="G16" i="19" s="1"/>
  <c r="H57" i="21" a="1"/>
  <c r="H57" i="21" s="1"/>
  <c r="G57" i="21" a="1"/>
  <c r="G57" i="21" s="1"/>
  <c r="J26" i="21" a="1"/>
  <c r="J26" i="21" s="1"/>
  <c r="G89" i="21" a="1"/>
  <c r="G89" i="21" s="1"/>
  <c r="L49" i="21" a="1"/>
  <c r="L49" i="21" s="1"/>
  <c r="I49" i="21" a="1"/>
  <c r="I49" i="21" s="1"/>
  <c r="H53" i="21" a="1"/>
  <c r="H53" i="21" s="1"/>
  <c r="I27" i="21" a="1"/>
  <c r="I27" i="21" s="1"/>
  <c r="K37" i="21" a="1"/>
  <c r="K37" i="21" s="1"/>
  <c r="J91" i="21" a="1"/>
  <c r="J91" i="21" s="1"/>
  <c r="K91" i="21" a="1"/>
  <c r="K91" i="21" s="1"/>
  <c r="H92" i="21" a="1"/>
  <c r="H92" i="21" s="1"/>
  <c r="K92" i="21" a="1"/>
  <c r="K92" i="21" s="1"/>
  <c r="J71" i="21" a="1"/>
  <c r="J71" i="21" s="1"/>
  <c r="I71" i="21" a="1"/>
  <c r="I71" i="21" s="1"/>
  <c r="G20" i="19" a="1"/>
  <c r="G20" i="19" s="1"/>
  <c r="K65" i="21" a="1"/>
  <c r="K65" i="21" s="1"/>
  <c r="H65" i="21" a="1"/>
  <c r="H65" i="21" s="1"/>
  <c r="J90" i="21" a="1"/>
  <c r="J90" i="21" s="1"/>
  <c r="G10" i="19" a="1"/>
  <c r="G10" i="19" s="1"/>
  <c r="J8" i="19" a="1"/>
  <c r="J8" i="19" s="1"/>
  <c r="H49" i="21" a="1"/>
  <c r="H49" i="21" s="1"/>
  <c r="I55" i="21" a="1"/>
  <c r="I55" i="21" s="1"/>
  <c r="H94" i="21" a="1"/>
  <c r="H94" i="21" s="1"/>
  <c r="G61" i="21" a="1"/>
  <c r="G61" i="21" s="1"/>
  <c r="G8" i="19" a="1"/>
  <c r="G8" i="19" s="1"/>
  <c r="H6" i="19" a="1"/>
  <c r="H6" i="19" s="1"/>
  <c r="H30" i="19" a="1"/>
  <c r="H30" i="19" s="1"/>
  <c r="J6" i="19" a="1"/>
  <c r="J6" i="19" s="1"/>
  <c r="J27" i="19" a="1"/>
  <c r="J27" i="19" s="1"/>
  <c r="L19" i="21" a="1"/>
  <c r="L19" i="21" s="1"/>
  <c r="K30" i="21" a="1"/>
  <c r="K30" i="21" s="1"/>
  <c r="L55" i="21" a="1"/>
  <c r="L55" i="21" s="1"/>
  <c r="I87" i="21" a="1"/>
  <c r="I87" i="21" s="1"/>
  <c r="G70" i="21" a="1"/>
  <c r="G70" i="21" s="1"/>
  <c r="H89" i="21" a="1"/>
  <c r="H89" i="21" s="1"/>
  <c r="H91" i="21" a="1"/>
  <c r="H91" i="21" s="1"/>
  <c r="J75" i="21" a="1"/>
  <c r="J75" i="21" s="1"/>
  <c r="G53" i="21" a="1"/>
  <c r="G53" i="21" s="1"/>
  <c r="L39" i="21" a="1"/>
  <c r="L39" i="21" s="1"/>
  <c r="K15" i="21" a="1"/>
  <c r="K15" i="21" s="1"/>
  <c r="I15" i="21" a="1"/>
  <c r="I15" i="21" s="1"/>
  <c r="L15" i="21" a="1"/>
  <c r="L15" i="21" s="1"/>
  <c r="J15" i="21" a="1"/>
  <c r="J15" i="21" s="1"/>
  <c r="I10" i="19" a="1"/>
  <c r="I10" i="19" s="1"/>
  <c r="J17" i="21" a="1"/>
  <c r="J17" i="21" s="1"/>
  <c r="G17" i="21" a="1"/>
  <c r="G17" i="21" s="1"/>
  <c r="H17" i="21" a="1"/>
  <c r="H17" i="21" s="1"/>
  <c r="L17" i="21" a="1"/>
  <c r="L17" i="21" s="1"/>
  <c r="K17" i="21" a="1"/>
  <c r="K17" i="21" s="1"/>
  <c r="F11" i="19" a="1"/>
  <c r="F11" i="19" s="1"/>
  <c r="I85" i="21" a="1"/>
  <c r="I85" i="21" s="1"/>
  <c r="L70" i="21" a="1"/>
  <c r="L70" i="21" s="1"/>
  <c r="J22" i="19" a="1"/>
  <c r="J22" i="19" s="1"/>
  <c r="I11" i="19" a="1"/>
  <c r="I11" i="19" s="1"/>
  <c r="J16" i="19" a="1"/>
  <c r="J16" i="19" s="1"/>
  <c r="I28" i="19" a="1"/>
  <c r="I28" i="19" s="1"/>
  <c r="I16" i="21" a="1"/>
  <c r="I16" i="21" s="1"/>
  <c r="I69" i="21" a="1"/>
  <c r="I69" i="21" s="1"/>
  <c r="J32" i="21" a="1"/>
  <c r="J32" i="21" s="1"/>
  <c r="H86" i="21" a="1"/>
  <c r="H86" i="21" s="1"/>
  <c r="H85" i="21" a="1"/>
  <c r="H85" i="21" s="1"/>
  <c r="J89" i="21" a="1"/>
  <c r="J89" i="21" s="1"/>
  <c r="J44" i="21" a="1"/>
  <c r="J44" i="21" s="1"/>
  <c r="K70" i="21" a="1"/>
  <c r="K70" i="21" s="1"/>
  <c r="K53" i="21" a="1"/>
  <c r="K53" i="21" s="1"/>
  <c r="G30" i="21" a="1"/>
  <c r="G30" i="21" s="1"/>
  <c r="J93" i="21" a="1"/>
  <c r="J93" i="21" s="1"/>
  <c r="G55" i="21" a="1"/>
  <c r="G55" i="21" s="1"/>
  <c r="J59" i="21" a="1"/>
  <c r="J59" i="21" s="1"/>
  <c r="K62" i="21" a="1"/>
  <c r="K62" i="21" s="1"/>
  <c r="J37" i="21" a="1"/>
  <c r="J37" i="21" s="1"/>
  <c r="H41" i="21" a="1"/>
  <c r="H41" i="21" s="1"/>
  <c r="G19" i="19" a="1"/>
  <c r="G19" i="19" s="1"/>
  <c r="L79" i="21" a="1"/>
  <c r="L79" i="21" s="1"/>
  <c r="H79" i="21" a="1"/>
  <c r="H79" i="21" s="1"/>
  <c r="G79" i="21" a="1"/>
  <c r="G79" i="21" s="1"/>
  <c r="J50" i="21" a="1"/>
  <c r="J50" i="21" s="1"/>
  <c r="I50" i="21" a="1"/>
  <c r="I50" i="21" s="1"/>
  <c r="K50" i="21" a="1"/>
  <c r="K50" i="21" s="1"/>
  <c r="G7" i="19" a="1"/>
  <c r="G7" i="19" s="1"/>
  <c r="J7" i="19" a="1"/>
  <c r="J7" i="19" s="1"/>
  <c r="F22" i="19" a="1"/>
  <c r="F22" i="19" s="1"/>
  <c r="G50" i="21" a="1"/>
  <c r="G50" i="21" s="1"/>
  <c r="K77" i="21" a="1"/>
  <c r="K77" i="21" s="1"/>
  <c r="G85" i="21" a="1"/>
  <c r="G85" i="21" s="1"/>
  <c r="K90" i="21" a="1"/>
  <c r="K90" i="21" s="1"/>
  <c r="I44" i="21" a="1"/>
  <c r="I44" i="21" s="1"/>
  <c r="L94" i="21" a="1"/>
  <c r="L94" i="21" s="1"/>
  <c r="J70" i="21" a="1"/>
  <c r="J70" i="21" s="1"/>
  <c r="J63" i="21" a="1"/>
  <c r="J63" i="21" s="1"/>
  <c r="L59" i="21" a="1"/>
  <c r="L59" i="21" s="1"/>
  <c r="L27" i="21" a="1"/>
  <c r="L27" i="21" s="1"/>
  <c r="L50" i="21" a="1"/>
  <c r="L50" i="21" s="1"/>
  <c r="I88" i="21" a="1"/>
  <c r="I88" i="21" s="1"/>
  <c r="G88" i="21" a="1"/>
  <c r="G88" i="21" s="1"/>
  <c r="H88" i="21" a="1"/>
  <c r="H88" i="21" s="1"/>
  <c r="L88" i="21" a="1"/>
  <c r="L88" i="21" s="1"/>
  <c r="J88" i="21" a="1"/>
  <c r="J88" i="21" s="1"/>
  <c r="K88" i="21" a="1"/>
  <c r="K88" i="21" s="1"/>
  <c r="H47" i="21" a="1"/>
  <c r="H47" i="21" s="1"/>
  <c r="G47" i="21" a="1"/>
  <c r="G47" i="21" s="1"/>
  <c r="K47" i="21" a="1"/>
  <c r="K47" i="21" s="1"/>
  <c r="J47" i="21" a="1"/>
  <c r="J47" i="21" s="1"/>
  <c r="G9" i="19" a="1"/>
  <c r="G9" i="19" s="1"/>
  <c r="I28" i="21" a="1"/>
  <c r="I28" i="21" s="1"/>
  <c r="G87" i="21" a="1"/>
  <c r="G87" i="21" s="1"/>
  <c r="J87" i="21" a="1"/>
  <c r="J87" i="21" s="1"/>
  <c r="L87" i="21" a="1"/>
  <c r="L87" i="21" s="1"/>
  <c r="G69" i="21" a="1"/>
  <c r="G69" i="21" s="1"/>
  <c r="I17" i="21" a="1"/>
  <c r="I17" i="21" s="1"/>
  <c r="L53" i="21" a="1"/>
  <c r="L53" i="21" s="1"/>
  <c r="K51" i="21" a="1"/>
  <c r="K51" i="21" s="1"/>
  <c r="G25" i="21" a="1"/>
  <c r="G25" i="21" s="1"/>
  <c r="J25" i="21" a="1"/>
  <c r="J25" i="21" s="1"/>
  <c r="I73" i="21" a="1"/>
  <c r="I73" i="21" s="1"/>
  <c r="L73" i="21" a="1"/>
  <c r="L73" i="21" s="1"/>
  <c r="I40" i="21" a="1"/>
  <c r="I40" i="21" s="1"/>
  <c r="K29" i="21" a="1"/>
  <c r="K29" i="21" s="1"/>
  <c r="J29" i="21" a="1"/>
  <c r="J29" i="21" s="1"/>
  <c r="I64" i="21" a="1"/>
  <c r="I64" i="21" s="1"/>
  <c r="I22" i="19" a="1"/>
  <c r="I22" i="19" s="1"/>
  <c r="G60" i="21" a="1"/>
  <c r="G60" i="21" s="1"/>
  <c r="K78" i="21" a="1"/>
  <c r="K78" i="21" s="1"/>
  <c r="I61" i="21" a="1"/>
  <c r="I61" i="21" s="1"/>
  <c r="L44" i="21" a="1"/>
  <c r="L44" i="21" s="1"/>
  <c r="G6" i="19" a="1"/>
  <c r="G6" i="19" s="1"/>
  <c r="F21" i="19" a="1"/>
  <c r="F21" i="19" s="1"/>
  <c r="J30" i="19" a="1"/>
  <c r="J30" i="19" s="1"/>
  <c r="I7" i="19" a="1"/>
  <c r="I7" i="19" s="1"/>
  <c r="G22" i="21" a="1"/>
  <c r="G22" i="21" s="1"/>
  <c r="J16" i="21" a="1"/>
  <c r="J16" i="21" s="1"/>
  <c r="H60" i="21" a="1"/>
  <c r="H60" i="21" s="1"/>
  <c r="G27" i="21" a="1"/>
  <c r="G27" i="21" s="1"/>
  <c r="J78" i="21" a="1"/>
  <c r="J78" i="21" s="1"/>
  <c r="K66" i="21" a="1"/>
  <c r="K66" i="21" s="1"/>
  <c r="K55" i="21" a="1"/>
  <c r="K55" i="21" s="1"/>
  <c r="H44" i="21" a="1"/>
  <c r="H44" i="21" s="1"/>
  <c r="I94" i="21" a="1"/>
  <c r="I94" i="21" s="1"/>
  <c r="H75" i="21" a="1"/>
  <c r="H75" i="21" s="1"/>
  <c r="H69" i="21" a="1"/>
  <c r="H69" i="21" s="1"/>
  <c r="K41" i="21" a="1"/>
  <c r="K41" i="21" s="1"/>
  <c r="I75" i="21" a="1"/>
  <c r="I75" i="21" s="1"/>
  <c r="J22" i="21" a="1"/>
  <c r="J22" i="21" s="1"/>
  <c r="I35" i="21" a="1"/>
  <c r="I35" i="21" s="1"/>
  <c r="I53" i="21" a="1"/>
  <c r="I53" i="21" s="1"/>
  <c r="G11" i="21" a="1"/>
  <c r="G11" i="21" s="1"/>
  <c r="J11" i="21" a="1"/>
  <c r="J11" i="21" s="1"/>
  <c r="K11" i="21" a="1"/>
  <c r="K11" i="21" s="1"/>
  <c r="L31" i="21" a="1"/>
  <c r="L31" i="21" s="1"/>
  <c r="H31" i="21" a="1"/>
  <c r="H31" i="21" s="1"/>
  <c r="L95" i="21" a="1"/>
  <c r="L95" i="21" s="1"/>
  <c r="J95" i="21" a="1"/>
  <c r="J95" i="21" s="1"/>
  <c r="G23" i="21" a="1"/>
  <c r="G23" i="21" s="1"/>
  <c r="K23" i="21" a="1"/>
  <c r="K23" i="21" s="1"/>
  <c r="E6" i="18"/>
  <c r="E14" i="18"/>
  <c r="E8" i="18"/>
  <c r="E13" i="18"/>
  <c r="E9" i="18"/>
  <c r="E11" i="18"/>
  <c r="E15" i="18"/>
  <c r="E16" i="18"/>
  <c r="E12" i="18"/>
  <c r="E7" i="18"/>
  <c r="E10" i="18"/>
  <c r="C79" i="13"/>
  <c r="M79" i="13" s="1" a="1"/>
  <c r="M79" i="13" s="1"/>
  <c r="C47" i="5"/>
  <c r="C33" i="5"/>
  <c r="L33" i="5" s="1" a="1"/>
  <c r="L33" i="5" s="1"/>
  <c r="C31" i="13"/>
  <c r="M31" i="13" s="1" a="1"/>
  <c r="M31" i="13" s="1"/>
  <c r="C26" i="13"/>
  <c r="M26" i="13" s="1" a="1"/>
  <c r="M26" i="13" s="1"/>
  <c r="C62" i="5"/>
  <c r="I62" i="5" s="1" a="1"/>
  <c r="I62" i="5" s="1"/>
  <c r="C75" i="5"/>
  <c r="H75" i="5" s="1" a="1"/>
  <c r="H75" i="5" s="1"/>
  <c r="C39" i="5"/>
  <c r="H39" i="5" s="1" a="1"/>
  <c r="H39" i="5" s="1"/>
  <c r="C36" i="13"/>
  <c r="I36" i="13" s="1" a="1"/>
  <c r="I36" i="13" s="1"/>
  <c r="C70" i="13"/>
  <c r="D70" i="13" s="1" a="1"/>
  <c r="D70" i="13" s="1"/>
  <c r="C77" i="13"/>
  <c r="M77" i="13" s="1" a="1"/>
  <c r="M77" i="13" s="1"/>
  <c r="C47" i="13"/>
  <c r="H47" i="13" s="1" a="1"/>
  <c r="H47" i="13" s="1"/>
  <c r="C33" i="13"/>
  <c r="L33" i="13" s="1" a="1"/>
  <c r="L33" i="13" s="1"/>
  <c r="C76" i="5"/>
  <c r="C20" i="13"/>
  <c r="I20" i="13" s="1" a="1"/>
  <c r="I20" i="13" s="1"/>
  <c r="C28" i="13"/>
  <c r="D28" i="13" s="1" a="1"/>
  <c r="D28" i="13" s="1"/>
  <c r="C42" i="5"/>
  <c r="C48" i="13"/>
  <c r="G48" i="13" s="1" a="1"/>
  <c r="G48" i="13" s="1"/>
  <c r="C61" i="13"/>
  <c r="H61" i="13" s="1" a="1"/>
  <c r="H61" i="13" s="1"/>
  <c r="C77" i="5"/>
  <c r="D77" i="5" s="1" a="1"/>
  <c r="D77" i="5" s="1"/>
  <c r="C42" i="13"/>
  <c r="J42" i="13" s="1" a="1"/>
  <c r="J42" i="13" s="1"/>
  <c r="C10" i="5"/>
  <c r="C6" i="5"/>
  <c r="G6" i="5" s="1" a="1"/>
  <c r="G6" i="5" s="1"/>
  <c r="C39" i="13"/>
  <c r="K39" i="13" s="1" a="1"/>
  <c r="K39" i="13" s="1"/>
  <c r="C73" i="5"/>
  <c r="I73" i="5" s="1" a="1"/>
  <c r="I73" i="5" s="1"/>
  <c r="C58" i="13"/>
  <c r="D58" i="13" s="1" a="1"/>
  <c r="D58" i="13" s="1"/>
  <c r="C27" i="13"/>
  <c r="G27" i="13" s="1" a="1"/>
  <c r="G27" i="13" s="1"/>
  <c r="C54" i="5"/>
  <c r="C23" i="13"/>
  <c r="D23" i="13" s="1" a="1"/>
  <c r="D23" i="13" s="1"/>
  <c r="C66" i="13"/>
  <c r="J66" i="13" s="1" a="1"/>
  <c r="J66" i="13" s="1"/>
  <c r="C50" i="13"/>
  <c r="G50" i="13" s="1" a="1"/>
  <c r="G50" i="13" s="1"/>
  <c r="C72" i="13"/>
  <c r="M72" i="13" s="1" a="1"/>
  <c r="M72" i="13" s="1"/>
  <c r="C66" i="5"/>
  <c r="C64" i="5"/>
  <c r="H64" i="5" s="1" a="1"/>
  <c r="H64" i="5" s="1"/>
  <c r="C21" i="5"/>
  <c r="L21" i="5" s="1" a="1"/>
  <c r="L21" i="5" s="1"/>
  <c r="C34" i="5"/>
  <c r="C70" i="5"/>
  <c r="L70" i="5" s="1" a="1"/>
  <c r="L70" i="5" s="1"/>
  <c r="C40" i="5"/>
  <c r="H40" i="5" s="1" a="1"/>
  <c r="H40" i="5" s="1"/>
  <c r="C38" i="13"/>
  <c r="J38" i="13" s="1" a="1"/>
  <c r="J38" i="13" s="1"/>
  <c r="C51" i="5"/>
  <c r="H51" i="5" s="1" a="1"/>
  <c r="H51" i="5" s="1"/>
  <c r="C21" i="13"/>
  <c r="D21" i="13" s="1" a="1"/>
  <c r="D21" i="13" s="1"/>
  <c r="C62" i="13"/>
  <c r="D62" i="13" s="1" a="1"/>
  <c r="D62" i="13" s="1"/>
  <c r="C29" i="13"/>
  <c r="I29" i="13" s="1" a="1"/>
  <c r="I29" i="13" s="1"/>
  <c r="C51" i="13"/>
  <c r="L51" i="13" s="1" a="1"/>
  <c r="L51" i="13" s="1"/>
  <c r="C15" i="13"/>
  <c r="D15" i="13" s="1" a="1"/>
  <c r="D15" i="13" s="1"/>
  <c r="C65" i="5"/>
  <c r="C46" i="5"/>
  <c r="L46" i="5" s="1" a="1"/>
  <c r="L46" i="5" s="1"/>
  <c r="C38" i="5"/>
  <c r="I38" i="5" s="1" a="1"/>
  <c r="I38" i="5" s="1"/>
  <c r="C53" i="5"/>
  <c r="C59" i="5"/>
  <c r="M59" i="5" s="1" a="1"/>
  <c r="M59" i="5" s="1"/>
  <c r="C74" i="13"/>
  <c r="M74" i="13" s="1" a="1"/>
  <c r="M74" i="13" s="1"/>
  <c r="C41" i="13"/>
  <c r="D41" i="13" s="1" a="1"/>
  <c r="D41" i="13" s="1"/>
  <c r="C63" i="13"/>
  <c r="J63" i="13" s="1" a="1"/>
  <c r="J63" i="13" s="1"/>
  <c r="C8" i="13"/>
  <c r="H8" i="13" s="1" a="1"/>
  <c r="H8" i="13" s="1"/>
  <c r="C27" i="5"/>
  <c r="H27" i="5" s="1" a="1"/>
  <c r="H27" i="5" s="1"/>
  <c r="C8" i="5"/>
  <c r="G8" i="5" s="1" a="1"/>
  <c r="G8" i="5" s="1"/>
  <c r="C45" i="5"/>
  <c r="C58" i="5"/>
  <c r="C28" i="5"/>
  <c r="H28" i="5" s="1" a="1"/>
  <c r="H28" i="5" s="1"/>
  <c r="C13" i="5"/>
  <c r="H13" i="5" s="1" a="1"/>
  <c r="H13" i="5" s="1"/>
  <c r="C60" i="13"/>
  <c r="K60" i="13" s="1" a="1"/>
  <c r="K60" i="13" s="1"/>
  <c r="C75" i="13"/>
  <c r="K75" i="13" s="1" a="1"/>
  <c r="K75" i="13" s="1"/>
  <c r="C54" i="13"/>
  <c r="I54" i="13" s="1" a="1"/>
  <c r="I54" i="13" s="1"/>
  <c r="C7" i="5"/>
  <c r="L7" i="5" s="1" a="1"/>
  <c r="L7" i="5" s="1"/>
  <c r="C20" i="5"/>
  <c r="C57" i="5"/>
  <c r="L57" i="5" s="1" a="1"/>
  <c r="L57" i="5" s="1"/>
  <c r="C14" i="5"/>
  <c r="C41" i="5"/>
  <c r="C25" i="5"/>
  <c r="I25" i="5" s="1" a="1"/>
  <c r="I25" i="5" s="1"/>
  <c r="C16" i="13"/>
  <c r="L16" i="13" s="1" a="1"/>
  <c r="L16" i="13" s="1"/>
  <c r="C22" i="5"/>
  <c r="L22" i="5" s="1" a="1"/>
  <c r="L22" i="5" s="1"/>
  <c r="C59" i="13"/>
  <c r="J59" i="13" s="1" a="1"/>
  <c r="J59" i="13" s="1"/>
  <c r="C52" i="13"/>
  <c r="K52" i="13" s="1" a="1"/>
  <c r="K52" i="13" s="1"/>
  <c r="C19" i="5"/>
  <c r="L19" i="5" s="1" a="1"/>
  <c r="L19" i="5" s="1"/>
  <c r="C32" i="5"/>
  <c r="H32" i="5" s="1" a="1"/>
  <c r="H32" i="5" s="1"/>
  <c r="C69" i="5"/>
  <c r="H69" i="5" s="1" a="1"/>
  <c r="H69" i="5" s="1"/>
  <c r="C63" i="5"/>
  <c r="H63" i="5" s="1" a="1"/>
  <c r="H63" i="5" s="1"/>
  <c r="C12" i="5"/>
  <c r="C37" i="5"/>
  <c r="I37" i="5" s="1" a="1"/>
  <c r="I37" i="5" s="1"/>
  <c r="C73" i="13"/>
  <c r="M73" i="13" s="1" a="1"/>
  <c r="M73" i="13" s="1"/>
  <c r="C71" i="13"/>
  <c r="I71" i="13" s="1" a="1"/>
  <c r="I71" i="13" s="1"/>
  <c r="C30" i="13"/>
  <c r="D30" i="13" s="1" a="1"/>
  <c r="D30" i="13" s="1"/>
  <c r="C44" i="13"/>
  <c r="K44" i="13" s="1" a="1"/>
  <c r="K44" i="13" s="1"/>
  <c r="C19" i="13"/>
  <c r="G19" i="13" s="1" a="1"/>
  <c r="G19" i="13" s="1"/>
  <c r="C31" i="5"/>
  <c r="L31" i="5" s="1" a="1"/>
  <c r="L31" i="5" s="1"/>
  <c r="C44" i="5"/>
  <c r="C5" i="13"/>
  <c r="I5" i="13" s="1" a="1"/>
  <c r="I5" i="13" s="1"/>
  <c r="C16" i="5"/>
  <c r="H16" i="5" s="1" a="1"/>
  <c r="H16" i="5" s="1"/>
  <c r="C24" i="5"/>
  <c r="J24" i="5" s="1" a="1"/>
  <c r="J24" i="5" s="1"/>
  <c r="C49" i="5"/>
  <c r="I49" i="5" s="1" a="1"/>
  <c r="I49" i="5" s="1"/>
  <c r="C9" i="5"/>
  <c r="L9" i="5" s="1" a="1"/>
  <c r="L9" i="5" s="1"/>
  <c r="C11" i="13"/>
  <c r="H11" i="13" s="1" a="1"/>
  <c r="H11" i="13" s="1"/>
  <c r="C43" i="13"/>
  <c r="D43" i="13" s="1" a="1"/>
  <c r="D43" i="13" s="1"/>
  <c r="C14" i="13"/>
  <c r="I14" i="13" s="1" a="1"/>
  <c r="I14" i="13" s="1"/>
  <c r="C6" i="13"/>
  <c r="M6" i="13" s="1" a="1"/>
  <c r="M6" i="13" s="1"/>
  <c r="C76" i="13"/>
  <c r="K76" i="13" s="1" a="1"/>
  <c r="K76" i="13" s="1"/>
  <c r="C67" i="13"/>
  <c r="J67" i="13" s="1" a="1"/>
  <c r="J67" i="13" s="1"/>
  <c r="C22" i="13"/>
  <c r="L22" i="13" s="1" a="1"/>
  <c r="L22" i="13" s="1"/>
  <c r="C25" i="13"/>
  <c r="I25" i="13" s="1" a="1"/>
  <c r="I25" i="13" s="1"/>
  <c r="C7" i="13"/>
  <c r="J7" i="13" s="1" a="1"/>
  <c r="J7" i="13" s="1"/>
  <c r="C43" i="5"/>
  <c r="L43" i="5" s="1" a="1"/>
  <c r="L43" i="5" s="1"/>
  <c r="C56" i="5"/>
  <c r="D56" i="5" s="1" a="1"/>
  <c r="D56" i="5" s="1"/>
  <c r="C50" i="5"/>
  <c r="I50" i="5" s="1" a="1"/>
  <c r="I50" i="5" s="1"/>
  <c r="C17" i="5"/>
  <c r="C36" i="5"/>
  <c r="L36" i="5" s="1" a="1"/>
  <c r="L36" i="5" s="1"/>
  <c r="C61" i="5"/>
  <c r="I61" i="5" s="1" a="1"/>
  <c r="I61" i="5" s="1"/>
  <c r="C49" i="13"/>
  <c r="J49" i="13" s="1" a="1"/>
  <c r="J49" i="13" s="1"/>
  <c r="C65" i="13"/>
  <c r="D65" i="13" s="1" a="1"/>
  <c r="D65" i="13" s="1"/>
  <c r="C55" i="13"/>
  <c r="M55" i="13" s="1" a="1"/>
  <c r="M55" i="13" s="1"/>
  <c r="C56" i="13"/>
  <c r="K56" i="13" s="1" a="1"/>
  <c r="K56" i="13" s="1"/>
  <c r="C35" i="13"/>
  <c r="D35" i="13" s="1" a="1"/>
  <c r="D35" i="13" s="1"/>
  <c r="C45" i="13"/>
  <c r="I45" i="13" s="1" a="1"/>
  <c r="I45" i="13" s="1"/>
  <c r="C34" i="13"/>
  <c r="L34" i="13" s="1" a="1"/>
  <c r="L34" i="13" s="1"/>
  <c r="C10" i="13"/>
  <c r="D10" i="13" s="1" a="1"/>
  <c r="D10" i="13" s="1"/>
  <c r="C55" i="5"/>
  <c r="L55" i="5" s="1" a="1"/>
  <c r="L55" i="5" s="1"/>
  <c r="C68" i="5"/>
  <c r="C74" i="5"/>
  <c r="H74" i="5" s="1" a="1"/>
  <c r="H74" i="5" s="1"/>
  <c r="C11" i="5"/>
  <c r="H11" i="5" s="1" a="1"/>
  <c r="H11" i="5" s="1"/>
  <c r="C48" i="5"/>
  <c r="C72" i="5"/>
  <c r="I72" i="5" s="1" a="1"/>
  <c r="I72" i="5" s="1"/>
  <c r="C40" i="13"/>
  <c r="D40" i="13" s="1" a="1"/>
  <c r="D40" i="13" s="1"/>
  <c r="C64" i="13"/>
  <c r="I64" i="13" s="1" a="1"/>
  <c r="I64" i="13" s="1"/>
  <c r="C37" i="13"/>
  <c r="H37" i="13" s="1" a="1"/>
  <c r="H37" i="13" s="1"/>
  <c r="C13" i="13"/>
  <c r="I13" i="13" s="1" a="1"/>
  <c r="I13" i="13" s="1"/>
  <c r="C57" i="13"/>
  <c r="K57" i="13" s="1" a="1"/>
  <c r="K57" i="13" s="1"/>
  <c r="C24" i="13"/>
  <c r="L24" i="13" s="1" a="1"/>
  <c r="L24" i="13" s="1"/>
  <c r="C46" i="13"/>
  <c r="L46" i="13" s="1" a="1"/>
  <c r="L46" i="13" s="1"/>
  <c r="C32" i="13"/>
  <c r="K32" i="13" s="1" a="1"/>
  <c r="K32" i="13" s="1"/>
  <c r="C18" i="5"/>
  <c r="H18" i="5" s="1" a="1"/>
  <c r="H18" i="5" s="1"/>
  <c r="C67" i="5"/>
  <c r="L67" i="5" s="1" a="1"/>
  <c r="L67" i="5" s="1"/>
  <c r="C5" i="5"/>
  <c r="I5" i="5" s="1" a="1"/>
  <c r="I5" i="5" s="1"/>
  <c r="C52" i="5"/>
  <c r="H52" i="5" s="1" a="1"/>
  <c r="H52" i="5" s="1"/>
  <c r="C23" i="5"/>
  <c r="C60" i="5"/>
  <c r="L60" i="5" s="1" a="1"/>
  <c r="L60" i="5" s="1"/>
  <c r="C15" i="5"/>
  <c r="H15" i="5" s="1" a="1"/>
  <c r="H15" i="5" s="1"/>
  <c r="C17" i="13"/>
  <c r="J17" i="13" s="1" a="1"/>
  <c r="J17" i="13" s="1"/>
  <c r="C53" i="13"/>
  <c r="J53" i="13" s="1" a="1"/>
  <c r="J53" i="13" s="1"/>
  <c r="C12" i="13"/>
  <c r="D12" i="13" s="1" a="1"/>
  <c r="D12" i="13" s="1"/>
  <c r="C18" i="13"/>
  <c r="H18" i="13" s="1" a="1"/>
  <c r="H18" i="13" s="1"/>
  <c r="C9" i="13"/>
  <c r="I9" i="13" s="1" a="1"/>
  <c r="I9" i="13" s="1"/>
  <c r="C68" i="13"/>
  <c r="J68" i="13" s="1" a="1"/>
  <c r="J68" i="13" s="1"/>
  <c r="C69" i="13"/>
  <c r="K69" i="13" s="1" a="1"/>
  <c r="K69" i="13" s="1"/>
  <c r="C30" i="5"/>
  <c r="C78" i="5"/>
  <c r="L78" i="5" s="1" a="1"/>
  <c r="L78" i="5" s="1"/>
  <c r="C26" i="5"/>
  <c r="M26" i="5" s="1" a="1"/>
  <c r="M26" i="5" s="1"/>
  <c r="C29" i="5"/>
  <c r="C35" i="5"/>
  <c r="L35" i="5" s="1" a="1"/>
  <c r="L35" i="5" s="1"/>
  <c r="C71" i="5"/>
  <c r="I26" i="13" a="1"/>
  <c r="I26" i="13" s="1"/>
  <c r="E5" i="2" a="1"/>
  <c r="E5" i="2" s="1"/>
  <c r="G39" i="2" a="1"/>
  <c r="G39" i="2" s="1"/>
  <c r="F31" i="2" a="1"/>
  <c r="F31" i="2" s="1"/>
  <c r="G23" i="2" a="1"/>
  <c r="G23" i="2" s="1"/>
  <c r="G5" i="2" a="1"/>
  <c r="G5" i="2" s="1"/>
  <c r="G44" i="2" a="1"/>
  <c r="G44" i="2" s="1"/>
  <c r="F37" i="2" a="1"/>
  <c r="F37" i="2" s="1"/>
  <c r="F34" i="2" a="1"/>
  <c r="F34" i="2" s="1"/>
  <c r="F26" i="2" a="1"/>
  <c r="F26" i="2" s="1"/>
  <c r="E20" i="2" a="1"/>
  <c r="E20" i="2" s="1"/>
  <c r="F18" i="2" a="1"/>
  <c r="F18" i="2" s="1"/>
  <c r="E16" i="2" a="1"/>
  <c r="E16" i="2" s="1"/>
  <c r="F20" i="2" a="1"/>
  <c r="F20" i="2" s="1"/>
  <c r="F5" i="2" a="1"/>
  <c r="F5" i="2" s="1"/>
  <c r="F41" i="2" a="1"/>
  <c r="F41" i="2" s="1"/>
  <c r="E31" i="2" a="1"/>
  <c r="E31" i="2" s="1"/>
  <c r="F29" i="2" a="1"/>
  <c r="F29" i="2" s="1"/>
  <c r="F23" i="2" a="1"/>
  <c r="F23" i="2" s="1"/>
  <c r="G21" i="2" a="1"/>
  <c r="G21" i="2" s="1"/>
  <c r="E18" i="2" a="1"/>
  <c r="E18" i="2" s="1"/>
  <c r="E13" i="2" a="1"/>
  <c r="E13" i="2" s="1"/>
  <c r="F39" i="2" a="1"/>
  <c r="F39" i="2" s="1"/>
  <c r="G49" i="2" a="1"/>
  <c r="G49" i="2" s="1"/>
  <c r="E37" i="2" a="1"/>
  <c r="E37" i="2" s="1"/>
  <c r="G35" i="2" a="1"/>
  <c r="G35" i="2" s="1"/>
  <c r="E34" i="2" a="1"/>
  <c r="E34" i="2" s="1"/>
  <c r="G32" i="2" a="1"/>
  <c r="G32" i="2" s="1"/>
  <c r="E29" i="2" a="1"/>
  <c r="E29" i="2" s="1"/>
  <c r="G27" i="2" a="1"/>
  <c r="G27" i="2" s="1"/>
  <c r="E26" i="2" a="1"/>
  <c r="E26" i="2" s="1"/>
  <c r="E23" i="2" a="1"/>
  <c r="E23" i="2" s="1"/>
  <c r="G34" i="2" a="1"/>
  <c r="G34" i="2" s="1"/>
  <c r="G41" i="2" a="1"/>
  <c r="G41" i="2" s="1"/>
  <c r="G29" i="2" a="1"/>
  <c r="G29" i="2" s="1"/>
  <c r="E51" i="2" a="1"/>
  <c r="E51" i="2" s="1"/>
  <c r="G46" i="2" a="1"/>
  <c r="G46" i="2" s="1"/>
  <c r="G43" i="2" a="1"/>
  <c r="G43" i="2" s="1"/>
  <c r="F35" i="2" a="1"/>
  <c r="F35" i="2" s="1"/>
  <c r="E32" i="2" a="1"/>
  <c r="E32" i="2" s="1"/>
  <c r="F27" i="2" a="1"/>
  <c r="F27" i="2" s="1"/>
  <c r="F24" i="2" a="1"/>
  <c r="F24" i="2" s="1"/>
  <c r="G19" i="2" a="1"/>
  <c r="G19" i="2" s="1"/>
  <c r="F15" i="2" a="1"/>
  <c r="F15" i="2" s="1"/>
  <c r="E50" i="2" a="1"/>
  <c r="E50" i="2" s="1"/>
  <c r="E33" i="2" a="1"/>
  <c r="E33" i="2" s="1"/>
  <c r="E25" i="2" a="1"/>
  <c r="E25" i="2" s="1"/>
  <c r="E54" i="2" a="1"/>
  <c r="E54" i="2" s="1"/>
  <c r="G24" i="2" a="1"/>
  <c r="G24" i="2" s="1"/>
  <c r="G40" i="2" a="1"/>
  <c r="G40" i="2" s="1"/>
  <c r="G38" i="2" a="1"/>
  <c r="G38" i="2" s="1"/>
  <c r="G30" i="2" a="1"/>
  <c r="G30" i="2" s="1"/>
  <c r="E21" i="2" a="1"/>
  <c r="E21" i="2" s="1"/>
  <c r="F17" i="2" a="1"/>
  <c r="F17" i="2" s="1"/>
  <c r="G37" i="2" a="1"/>
  <c r="G37" i="2" s="1"/>
  <c r="G48" i="2" a="1"/>
  <c r="G48" i="2" s="1"/>
  <c r="F40" i="2" a="1"/>
  <c r="F40" i="2" s="1"/>
  <c r="G36" i="2" a="1"/>
  <c r="G36" i="2" s="1"/>
  <c r="E35" i="2" a="1"/>
  <c r="E35" i="2" s="1"/>
  <c r="G33" i="2" a="1"/>
  <c r="G33" i="2" s="1"/>
  <c r="G28" i="2" a="1"/>
  <c r="G28" i="2" s="1"/>
  <c r="E27" i="2" a="1"/>
  <c r="E27" i="2" s="1"/>
  <c r="G25" i="2" a="1"/>
  <c r="G25" i="2" s="1"/>
  <c r="E24" i="2" a="1"/>
  <c r="E24" i="2" s="1"/>
  <c r="G22" i="2" a="1"/>
  <c r="G22" i="2" s="1"/>
  <c r="F19" i="2" a="1"/>
  <c r="F19" i="2" s="1"/>
  <c r="E15" i="2" a="1"/>
  <c r="E15" i="2" s="1"/>
  <c r="G52" i="2" a="1"/>
  <c r="G52" i="2" s="1"/>
  <c r="F32" i="2" a="1"/>
  <c r="F32" i="2" s="1"/>
  <c r="E53" i="2" a="1"/>
  <c r="E53" i="2" s="1"/>
  <c r="F48" i="2" a="1"/>
  <c r="F48" i="2" s="1"/>
  <c r="F38" i="2" a="1"/>
  <c r="F38" i="2" s="1"/>
  <c r="F36" i="2" a="1"/>
  <c r="F36" i="2" s="1"/>
  <c r="F30" i="2" a="1"/>
  <c r="F30" i="2" s="1"/>
  <c r="F28" i="2" a="1"/>
  <c r="F28" i="2" s="1"/>
  <c r="E17" i="2" a="1"/>
  <c r="E17" i="2" s="1"/>
  <c r="G26" i="2" a="1"/>
  <c r="G26" i="2" s="1"/>
  <c r="G51" i="2" a="1"/>
  <c r="G51" i="2" s="1"/>
  <c r="G45" i="2" a="1"/>
  <c r="G45" i="2" s="1"/>
  <c r="G42" i="2" a="1"/>
  <c r="G42" i="2" s="1"/>
  <c r="F33" i="2" a="1"/>
  <c r="F33" i="2" s="1"/>
  <c r="E30" i="2" a="1"/>
  <c r="E30" i="2" s="1"/>
  <c r="F25" i="2" a="1"/>
  <c r="F25" i="2" s="1"/>
  <c r="F22" i="2" a="1"/>
  <c r="F22" i="2" s="1"/>
  <c r="E19" i="2" a="1"/>
  <c r="E19" i="2" s="1"/>
  <c r="E11" i="2" a="1"/>
  <c r="E11" i="2" s="1"/>
  <c r="G47" i="2" a="1"/>
  <c r="G47" i="2" s="1"/>
  <c r="F21" i="2" a="1"/>
  <c r="F21" i="2" s="1"/>
  <c r="G50" i="2" a="1"/>
  <c r="G50" i="2" s="1"/>
  <c r="E36" i="2" a="1"/>
  <c r="E36" i="2" s="1"/>
  <c r="G31" i="2" a="1"/>
  <c r="G31" i="2" s="1"/>
  <c r="E28" i="2" a="1"/>
  <c r="E28" i="2" s="1"/>
  <c r="E22" i="2" a="1"/>
  <c r="E22" i="2" s="1"/>
  <c r="G20" i="2" a="1"/>
  <c r="G20" i="2" s="1"/>
  <c r="E14" i="2" a="1"/>
  <c r="E14" i="2" s="1"/>
  <c r="H10" i="2" a="1"/>
  <c r="H10" i="2" s="1"/>
  <c r="H9" i="2" a="1"/>
  <c r="H9" i="2" s="1"/>
  <c r="H12" i="2" a="1"/>
  <c r="H12" i="2" s="1"/>
  <c r="G9" i="2" a="1"/>
  <c r="G9" i="2" s="1"/>
  <c r="G8" i="2" a="1"/>
  <c r="G8" i="2" s="1"/>
  <c r="G7" i="2" a="1"/>
  <c r="G7" i="2" s="1"/>
  <c r="G6" i="2" a="1"/>
  <c r="G6" i="2" s="1"/>
  <c r="G10" i="2" a="1"/>
  <c r="G10" i="2" s="1"/>
  <c r="F8" i="2" a="1"/>
  <c r="F8" i="2" s="1"/>
  <c r="F6" i="2" a="1"/>
  <c r="F6" i="2" s="1"/>
  <c r="F44" i="2" a="1"/>
  <c r="F44" i="2" s="1"/>
  <c r="F42" i="2" a="1"/>
  <c r="F42" i="2" s="1"/>
  <c r="E40" i="2" a="1"/>
  <c r="E40" i="2" s="1"/>
  <c r="E38" i="2" a="1"/>
  <c r="E38" i="2" s="1"/>
  <c r="G13" i="2" a="1"/>
  <c r="G13" i="2" s="1"/>
  <c r="G12" i="2" a="1"/>
  <c r="G12" i="2" s="1"/>
  <c r="G11" i="2" a="1"/>
  <c r="G11" i="2" s="1"/>
  <c r="F9" i="2" a="1"/>
  <c r="F9" i="2" s="1"/>
  <c r="F7" i="2" a="1"/>
  <c r="F7" i="2" s="1"/>
  <c r="E6" i="2" a="1"/>
  <c r="E6" i="2" s="1"/>
  <c r="G54" i="2" a="1"/>
  <c r="G54" i="2" s="1"/>
  <c r="F52" i="2" a="1"/>
  <c r="F52" i="2" s="1"/>
  <c r="F47" i="2" a="1"/>
  <c r="F47" i="2" s="1"/>
  <c r="F46" i="2" a="1"/>
  <c r="F46" i="2" s="1"/>
  <c r="F45" i="2" a="1"/>
  <c r="F45" i="2" s="1"/>
  <c r="F43" i="2" a="1"/>
  <c r="F43" i="2" s="1"/>
  <c r="E41" i="2" a="1"/>
  <c r="E41" i="2" s="1"/>
  <c r="E39" i="2" a="1"/>
  <c r="E39" i="2" s="1"/>
  <c r="G14" i="2" a="1"/>
  <c r="G14" i="2" s="1"/>
  <c r="F12" i="2" a="1"/>
  <c r="F12" i="2" s="1"/>
  <c r="F10" i="2" a="1"/>
  <c r="F10" i="2" s="1"/>
  <c r="E8" i="2" a="1"/>
  <c r="E8" i="2" s="1"/>
  <c r="F51" i="2" a="1"/>
  <c r="F51" i="2" s="1"/>
  <c r="F50" i="2" a="1"/>
  <c r="F50" i="2" s="1"/>
  <c r="F49" i="2" a="1"/>
  <c r="F49" i="2" s="1"/>
  <c r="E48" i="2" a="1"/>
  <c r="E48" i="2" s="1"/>
  <c r="E44" i="2" a="1"/>
  <c r="E44" i="2" s="1"/>
  <c r="E42" i="2" a="1"/>
  <c r="E42" i="2" s="1"/>
  <c r="G17" i="2" a="1"/>
  <c r="G17" i="2" s="1"/>
  <c r="G16" i="2" a="1"/>
  <c r="G16" i="2" s="1"/>
  <c r="G15" i="2" a="1"/>
  <c r="G15" i="2" s="1"/>
  <c r="F13" i="2" a="1"/>
  <c r="F13" i="2" s="1"/>
  <c r="F11" i="2" a="1"/>
  <c r="F11" i="2" s="1"/>
  <c r="E10" i="2" a="1"/>
  <c r="E10" i="2" s="1"/>
  <c r="E9" i="2" a="1"/>
  <c r="E9" i="2" s="1"/>
  <c r="E7" i="2" a="1"/>
  <c r="E7" i="2" s="1"/>
  <c r="G53" i="2" a="1"/>
  <c r="G53" i="2" s="1"/>
  <c r="F54" i="2" a="1"/>
  <c r="F54" i="2" s="1"/>
  <c r="F53" i="2" a="1"/>
  <c r="F53" i="2" s="1"/>
  <c r="E52" i="2" a="1"/>
  <c r="E52" i="2" s="1"/>
  <c r="E49" i="2" a="1"/>
  <c r="E49" i="2" s="1"/>
  <c r="E47" i="2" a="1"/>
  <c r="E47" i="2" s="1"/>
  <c r="E46" i="2" a="1"/>
  <c r="E46" i="2" s="1"/>
  <c r="E45" i="2" a="1"/>
  <c r="E45" i="2" s="1"/>
  <c r="E43" i="2" a="1"/>
  <c r="E43" i="2" s="1"/>
  <c r="H30" i="2" a="1"/>
  <c r="H30" i="2" s="1"/>
  <c r="H26" i="2" a="1"/>
  <c r="H26" i="2" s="1"/>
  <c r="H22" i="2" a="1"/>
  <c r="H22" i="2" s="1"/>
  <c r="G18" i="2" a="1"/>
  <c r="G18" i="2" s="1"/>
  <c r="F16" i="2" a="1"/>
  <c r="F16" i="2" s="1"/>
  <c r="F14" i="2" a="1"/>
  <c r="F14" i="2" s="1"/>
  <c r="E12" i="2" a="1"/>
  <c r="E12" i="2" s="1"/>
  <c r="H16" i="2" a="1"/>
  <c r="H16" i="2" s="1"/>
  <c r="U27" i="34" l="1"/>
  <c r="L78" i="13" a="1"/>
  <c r="L78" i="13" s="1"/>
  <c r="AA20" i="34"/>
  <c r="W7" i="34"/>
  <c r="G78" i="13" a="1"/>
  <c r="G78" i="13" s="1"/>
  <c r="W13" i="34"/>
  <c r="V53" i="34"/>
  <c r="S9" i="34"/>
  <c r="V45" i="34"/>
  <c r="X45" i="34"/>
  <c r="AA45" i="34"/>
  <c r="R9" i="34"/>
  <c r="AA9" i="34"/>
  <c r="V9" i="34"/>
  <c r="W9" i="34"/>
  <c r="W33" i="34"/>
  <c r="AA54" i="34"/>
  <c r="R54" i="34"/>
  <c r="R27" i="34"/>
  <c r="V27" i="34"/>
  <c r="T27" i="34"/>
  <c r="T38" i="34"/>
  <c r="W38" i="34"/>
  <c r="V38" i="34"/>
  <c r="Y29" i="34"/>
  <c r="U29" i="34"/>
  <c r="S22" i="34"/>
  <c r="T22" i="34"/>
  <c r="R6" i="34"/>
  <c r="S6" i="34"/>
  <c r="T6" i="34"/>
  <c r="X34" i="34"/>
  <c r="W31" i="34"/>
  <c r="X31" i="34"/>
  <c r="R40" i="34"/>
  <c r="W28" i="34"/>
  <c r="T39" i="34"/>
  <c r="X18" i="34"/>
  <c r="W46" i="34"/>
  <c r="R18" i="34"/>
  <c r="V18" i="34"/>
  <c r="W50" i="34"/>
  <c r="U22" i="34"/>
  <c r="X48" i="34"/>
  <c r="Y44" i="34"/>
  <c r="S54" i="34"/>
  <c r="X33" i="34"/>
  <c r="T7" i="34"/>
  <c r="AA46" i="34"/>
  <c r="V28" i="34"/>
  <c r="W18" i="34"/>
  <c r="Y53" i="34"/>
  <c r="AA28" i="34"/>
  <c r="U41" i="34"/>
  <c r="AA49" i="34"/>
  <c r="AA24" i="34"/>
  <c r="U34" i="34"/>
  <c r="Y36" i="34"/>
  <c r="U20" i="34"/>
  <c r="X49" i="34"/>
  <c r="AA42" i="34"/>
  <c r="R24" i="34"/>
  <c r="U19" i="34"/>
  <c r="V47" i="34"/>
  <c r="R42" i="34"/>
  <c r="T24" i="34"/>
  <c r="X47" i="34"/>
  <c r="V42" i="34"/>
  <c r="T47" i="34"/>
  <c r="W42" i="34"/>
  <c r="T8" i="34"/>
  <c r="Y54" i="34"/>
  <c r="V51" i="34"/>
  <c r="AA48" i="34"/>
  <c r="R20" i="34"/>
  <c r="U9" i="34"/>
  <c r="U38" i="34"/>
  <c r="R51" i="34"/>
  <c r="R49" i="34"/>
  <c r="U30" i="34"/>
  <c r="R48" i="34"/>
  <c r="R28" i="34"/>
  <c r="V24" i="34"/>
  <c r="AA39" i="34"/>
  <c r="AA43" i="34"/>
  <c r="S51" i="34"/>
  <c r="S49" i="34"/>
  <c r="S48" i="34"/>
  <c r="S28" i="34"/>
  <c r="Y42" i="34"/>
  <c r="W24" i="34"/>
  <c r="V21" i="34"/>
  <c r="R43" i="34"/>
  <c r="W51" i="34"/>
  <c r="T49" i="34"/>
  <c r="T48" i="34"/>
  <c r="U21" i="34"/>
  <c r="U8" i="34"/>
  <c r="X51" i="34"/>
  <c r="T46" i="34"/>
  <c r="V49" i="34"/>
  <c r="V48" i="34"/>
  <c r="AA51" i="34"/>
  <c r="V46" i="34"/>
  <c r="U12" i="34"/>
  <c r="X46" i="34"/>
  <c r="X42" i="34"/>
  <c r="AA18" i="34"/>
  <c r="U15" i="34"/>
  <c r="W34" i="34"/>
  <c r="X12" i="34"/>
  <c r="R46" i="34"/>
  <c r="X28" i="34"/>
  <c r="S42" i="34"/>
  <c r="S24" i="34"/>
  <c r="W16" i="34"/>
  <c r="S18" i="34"/>
  <c r="X16" i="34"/>
  <c r="AA16" i="34"/>
  <c r="X21" i="34"/>
  <c r="S43" i="34"/>
  <c r="T34" i="34"/>
  <c r="R12" i="34"/>
  <c r="R16" i="34"/>
  <c r="T21" i="34"/>
  <c r="T43" i="34"/>
  <c r="AA34" i="34"/>
  <c r="S12" i="34"/>
  <c r="S16" i="34"/>
  <c r="R21" i="34"/>
  <c r="V43" i="34"/>
  <c r="R34" i="34"/>
  <c r="W5" i="34"/>
  <c r="AA12" i="34"/>
  <c r="S21" i="34"/>
  <c r="S50" i="34"/>
  <c r="W43" i="34"/>
  <c r="S34" i="34"/>
  <c r="X5" i="34"/>
  <c r="T12" i="34"/>
  <c r="V39" i="34"/>
  <c r="W21" i="34"/>
  <c r="T50" i="34"/>
  <c r="AA5" i="34"/>
  <c r="V12" i="34"/>
  <c r="R39" i="34"/>
  <c r="R50" i="34"/>
  <c r="S5" i="34"/>
  <c r="S39" i="34"/>
  <c r="V50" i="34"/>
  <c r="T16" i="34"/>
  <c r="W39" i="34"/>
  <c r="X50" i="34"/>
  <c r="U13" i="34"/>
  <c r="X17" i="34"/>
  <c r="R37" i="34"/>
  <c r="W32" i="34"/>
  <c r="S37" i="34"/>
  <c r="AA32" i="34"/>
  <c r="T37" i="34"/>
  <c r="R19" i="34"/>
  <c r="V37" i="34"/>
  <c r="V19" i="34"/>
  <c r="X29" i="34"/>
  <c r="R29" i="34"/>
  <c r="U48" i="34"/>
  <c r="R36" i="34"/>
  <c r="S29" i="34"/>
  <c r="V36" i="34"/>
  <c r="W19" i="34"/>
  <c r="M78" i="13" a="1"/>
  <c r="M78" i="13" s="1"/>
  <c r="H78" i="13" a="1"/>
  <c r="H78" i="13" s="1"/>
  <c r="R14" i="34"/>
  <c r="V30" i="34"/>
  <c r="U46" i="34"/>
  <c r="W30" i="34"/>
  <c r="I78" i="13" a="1"/>
  <c r="I78" i="13" s="1"/>
  <c r="J78" i="13" a="1"/>
  <c r="J78" i="13" s="1"/>
  <c r="V5" i="34"/>
  <c r="R44" i="34"/>
  <c r="K78" i="13" a="1"/>
  <c r="K78" i="13" s="1"/>
  <c r="AA17" i="34"/>
  <c r="S26" i="34"/>
  <c r="W17" i="34"/>
  <c r="X52" i="34"/>
  <c r="T53" i="34"/>
  <c r="X41" i="34"/>
  <c r="W37" i="34"/>
  <c r="S17" i="34"/>
  <c r="Y39" i="34"/>
  <c r="T14" i="34"/>
  <c r="U5" i="34"/>
  <c r="T44" i="34"/>
  <c r="W52" i="34"/>
  <c r="AA41" i="34"/>
  <c r="X37" i="34"/>
  <c r="U11" i="34"/>
  <c r="T17" i="34"/>
  <c r="V14" i="34"/>
  <c r="V15" i="34"/>
  <c r="Y35" i="34"/>
  <c r="V7" i="34"/>
  <c r="V44" i="34"/>
  <c r="T52" i="34"/>
  <c r="V41" i="34"/>
  <c r="W14" i="34"/>
  <c r="U18" i="34"/>
  <c r="W15" i="34"/>
  <c r="R7" i="34"/>
  <c r="W44" i="34"/>
  <c r="T5" i="34"/>
  <c r="AA52" i="34"/>
  <c r="X30" i="34"/>
  <c r="R41" i="34"/>
  <c r="U28" i="34"/>
  <c r="X14" i="34"/>
  <c r="X15" i="34"/>
  <c r="X44" i="34"/>
  <c r="U50" i="34"/>
  <c r="AA30" i="34"/>
  <c r="S41" i="34"/>
  <c r="U10" i="34"/>
  <c r="U49" i="34"/>
  <c r="R32" i="34"/>
  <c r="AA14" i="34"/>
  <c r="S15" i="34"/>
  <c r="AA44" i="34"/>
  <c r="R30" i="34"/>
  <c r="U43" i="34"/>
  <c r="S19" i="34"/>
  <c r="S32" i="34"/>
  <c r="T15" i="34"/>
  <c r="R17" i="34"/>
  <c r="S30" i="34"/>
  <c r="T19" i="34"/>
  <c r="T32" i="34"/>
  <c r="X19" i="34"/>
  <c r="U14" i="34"/>
  <c r="V32" i="34"/>
  <c r="W29" i="34"/>
  <c r="S40" i="34"/>
  <c r="R25" i="34"/>
  <c r="W8" i="34"/>
  <c r="V52" i="34"/>
  <c r="AA53" i="34"/>
  <c r="U32" i="34"/>
  <c r="T41" i="34"/>
  <c r="R13" i="34"/>
  <c r="AA25" i="34"/>
  <c r="X8" i="34"/>
  <c r="W47" i="34"/>
  <c r="T29" i="34"/>
  <c r="S13" i="34"/>
  <c r="U26" i="34"/>
  <c r="S25" i="34"/>
  <c r="V8" i="34"/>
  <c r="R52" i="34"/>
  <c r="X53" i="34"/>
  <c r="S45" i="34"/>
  <c r="T13" i="34"/>
  <c r="T20" i="34"/>
  <c r="T25" i="34"/>
  <c r="AA8" i="34"/>
  <c r="X10" i="34"/>
  <c r="AA47" i="34"/>
  <c r="R53" i="34"/>
  <c r="U45" i="34"/>
  <c r="R45" i="34"/>
  <c r="V13" i="34"/>
  <c r="V20" i="34"/>
  <c r="U24" i="34"/>
  <c r="X36" i="34"/>
  <c r="V25" i="34"/>
  <c r="R8" i="34"/>
  <c r="T10" i="34"/>
  <c r="R47" i="34"/>
  <c r="U51" i="34"/>
  <c r="T45" i="34"/>
  <c r="X13" i="34"/>
  <c r="W20" i="34"/>
  <c r="AA36" i="34"/>
  <c r="W25" i="34"/>
  <c r="S10" i="34"/>
  <c r="AA7" i="34"/>
  <c r="U7" i="34"/>
  <c r="Y7" i="34"/>
  <c r="Y47" i="34"/>
  <c r="U16" i="34"/>
  <c r="T40" i="34"/>
  <c r="R10" i="34"/>
  <c r="S20" i="34"/>
  <c r="V40" i="34"/>
  <c r="U23" i="34"/>
  <c r="S36" i="34"/>
  <c r="AA10" i="34"/>
  <c r="V29" i="34"/>
  <c r="X7" i="34"/>
  <c r="W40" i="34"/>
  <c r="V10" i="34"/>
  <c r="X40" i="34"/>
  <c r="U37" i="34"/>
  <c r="U25" i="34"/>
  <c r="F7" i="24" a="1"/>
  <c r="F7" i="24" s="1"/>
  <c r="W27" i="34"/>
  <c r="X38" i="34"/>
  <c r="AA22" i="34"/>
  <c r="T54" i="34"/>
  <c r="AA33" i="34"/>
  <c r="W26" i="34"/>
  <c r="W6" i="34"/>
  <c r="AA23" i="34"/>
  <c r="X27" i="34"/>
  <c r="U6" i="34"/>
  <c r="AA38" i="34"/>
  <c r="V22" i="34"/>
  <c r="V54" i="34"/>
  <c r="V26" i="34"/>
  <c r="X6" i="34"/>
  <c r="V23" i="34"/>
  <c r="AA27" i="34"/>
  <c r="W22" i="34"/>
  <c r="W54" i="34"/>
  <c r="AA26" i="34"/>
  <c r="AA6" i="34"/>
  <c r="W23" i="34"/>
  <c r="X22" i="34"/>
  <c r="V6" i="34"/>
  <c r="X23" i="34"/>
  <c r="R22" i="34"/>
  <c r="R23" i="34"/>
  <c r="R31" i="34"/>
  <c r="U33" i="34"/>
  <c r="U40" i="34"/>
  <c r="S23" i="34"/>
  <c r="AA31" i="34"/>
  <c r="X35" i="34"/>
  <c r="R33" i="34"/>
  <c r="R15" i="34"/>
  <c r="R38" i="34"/>
  <c r="S31" i="34"/>
  <c r="S33" i="34"/>
  <c r="U17" i="34"/>
  <c r="U52" i="34"/>
  <c r="U31" i="34"/>
  <c r="S27" i="34"/>
  <c r="S38" i="34"/>
  <c r="T31" i="34"/>
  <c r="X54" i="34"/>
  <c r="T33" i="34"/>
  <c r="V35" i="34"/>
  <c r="R35" i="34"/>
  <c r="X26" i="34"/>
  <c r="S35" i="34"/>
  <c r="T35" i="34"/>
  <c r="R26" i="34"/>
  <c r="AA35" i="34"/>
  <c r="U18" i="35"/>
  <c r="Y18" i="35"/>
  <c r="Y37" i="35"/>
  <c r="U37" i="35"/>
  <c r="X13" i="35"/>
  <c r="V13" i="35"/>
  <c r="AA13" i="35"/>
  <c r="W13" i="35"/>
  <c r="T13" i="35"/>
  <c r="S13" i="35"/>
  <c r="R13" i="35"/>
  <c r="Y12" i="35"/>
  <c r="U12" i="35"/>
  <c r="Y43" i="35"/>
  <c r="U43" i="35"/>
  <c r="U47" i="35"/>
  <c r="Y47" i="35"/>
  <c r="S40" i="35"/>
  <c r="R40" i="35"/>
  <c r="AA40" i="35"/>
  <c r="X40" i="35"/>
  <c r="W40" i="35"/>
  <c r="V40" i="35"/>
  <c r="T40" i="35"/>
  <c r="Y16" i="35"/>
  <c r="U16" i="35"/>
  <c r="W48" i="35"/>
  <c r="V48" i="35"/>
  <c r="T48" i="35"/>
  <c r="S48" i="35"/>
  <c r="R48" i="35"/>
  <c r="AA48" i="35"/>
  <c r="X48" i="35"/>
  <c r="W24" i="35"/>
  <c r="V24" i="35"/>
  <c r="T24" i="35"/>
  <c r="S24" i="35"/>
  <c r="AA24" i="35"/>
  <c r="X24" i="35"/>
  <c r="R24" i="35"/>
  <c r="U24" i="35"/>
  <c r="Y24" i="35"/>
  <c r="AA45" i="35"/>
  <c r="X45" i="35"/>
  <c r="W45" i="35"/>
  <c r="V45" i="35"/>
  <c r="T45" i="35"/>
  <c r="R45" i="35"/>
  <c r="S45" i="35"/>
  <c r="S34" i="35"/>
  <c r="R34" i="35"/>
  <c r="AA34" i="35"/>
  <c r="T34" i="35"/>
  <c r="X34" i="35"/>
  <c r="W34" i="35"/>
  <c r="V34" i="35"/>
  <c r="Y21" i="35"/>
  <c r="U21" i="35"/>
  <c r="T41" i="35"/>
  <c r="S41" i="35"/>
  <c r="R41" i="35"/>
  <c r="AA41" i="35"/>
  <c r="X41" i="35"/>
  <c r="W41" i="35"/>
  <c r="V41" i="35"/>
  <c r="Y15" i="35"/>
  <c r="U15" i="35"/>
  <c r="X49" i="35"/>
  <c r="W49" i="35"/>
  <c r="V49" i="35"/>
  <c r="T49" i="35"/>
  <c r="S49" i="35"/>
  <c r="R49" i="35"/>
  <c r="AA49" i="35"/>
  <c r="U53" i="35"/>
  <c r="Y53" i="35"/>
  <c r="Y38" i="35"/>
  <c r="U38" i="35"/>
  <c r="T29" i="35"/>
  <c r="S29" i="35"/>
  <c r="R29" i="35"/>
  <c r="X29" i="35"/>
  <c r="W29" i="35"/>
  <c r="V29" i="35"/>
  <c r="AA29" i="35"/>
  <c r="Y20" i="35"/>
  <c r="U20" i="35"/>
  <c r="Y51" i="35"/>
  <c r="U51" i="35"/>
  <c r="U36" i="35"/>
  <c r="Y36" i="35"/>
  <c r="U41" i="35"/>
  <c r="Y41" i="35"/>
  <c r="S28" i="35"/>
  <c r="R28" i="35"/>
  <c r="AA28" i="35"/>
  <c r="X28" i="35"/>
  <c r="W28" i="35"/>
  <c r="V28" i="35"/>
  <c r="T28" i="35"/>
  <c r="AA51" i="35"/>
  <c r="X51" i="35"/>
  <c r="W51" i="35"/>
  <c r="V51" i="35"/>
  <c r="T51" i="35"/>
  <c r="S51" i="35"/>
  <c r="R51" i="35"/>
  <c r="AA21" i="35"/>
  <c r="T21" i="35"/>
  <c r="S21" i="35"/>
  <c r="R21" i="35"/>
  <c r="W21" i="35"/>
  <c r="V21" i="35"/>
  <c r="X21" i="35"/>
  <c r="T9" i="35"/>
  <c r="S9" i="35"/>
  <c r="X9" i="35"/>
  <c r="W9" i="35"/>
  <c r="V9" i="35"/>
  <c r="R9" i="35"/>
  <c r="AA9" i="35"/>
  <c r="U9" i="35"/>
  <c r="Y9" i="35"/>
  <c r="U29" i="35"/>
  <c r="Y29" i="35"/>
  <c r="S22" i="35"/>
  <c r="R22" i="35"/>
  <c r="AA22" i="35"/>
  <c r="X22" i="35"/>
  <c r="W22" i="35"/>
  <c r="V22" i="35"/>
  <c r="T22" i="35"/>
  <c r="W30" i="35"/>
  <c r="V30" i="35"/>
  <c r="T30" i="35"/>
  <c r="S30" i="35"/>
  <c r="R30" i="35"/>
  <c r="AA30" i="35"/>
  <c r="X30" i="35"/>
  <c r="AA6" i="35"/>
  <c r="X6" i="35"/>
  <c r="W6" i="35"/>
  <c r="V6" i="35"/>
  <c r="R6" i="35"/>
  <c r="T6" i="35"/>
  <c r="S6" i="35"/>
  <c r="AA50" i="35"/>
  <c r="X50" i="35"/>
  <c r="W50" i="35"/>
  <c r="V50" i="35"/>
  <c r="T50" i="35"/>
  <c r="S50" i="35"/>
  <c r="R50" i="35"/>
  <c r="Y13" i="35"/>
  <c r="U13" i="35"/>
  <c r="W18" i="35"/>
  <c r="V18" i="35"/>
  <c r="T18" i="35"/>
  <c r="AA18" i="35"/>
  <c r="X18" i="35"/>
  <c r="S18" i="35"/>
  <c r="R18" i="35"/>
  <c r="U30" i="35"/>
  <c r="Y30" i="35"/>
  <c r="Y6" i="35"/>
  <c r="U6" i="35"/>
  <c r="X43" i="35"/>
  <c r="W43" i="35"/>
  <c r="V43" i="35"/>
  <c r="T43" i="35"/>
  <c r="S43" i="35"/>
  <c r="R43" i="35"/>
  <c r="AA43" i="35"/>
  <c r="Y27" i="35"/>
  <c r="U27" i="35"/>
  <c r="Y52" i="35"/>
  <c r="U52" i="35"/>
  <c r="AA5" i="35"/>
  <c r="X5" i="35"/>
  <c r="W5" i="35"/>
  <c r="V5" i="35"/>
  <c r="R5" i="35"/>
  <c r="T5" i="35"/>
  <c r="S5" i="35"/>
  <c r="S16" i="35"/>
  <c r="R16" i="35"/>
  <c r="X16" i="35"/>
  <c r="W16" i="35"/>
  <c r="V16" i="35"/>
  <c r="T16" i="35"/>
  <c r="AA16" i="35"/>
  <c r="AA39" i="35"/>
  <c r="X39" i="35"/>
  <c r="W39" i="35"/>
  <c r="V39" i="35"/>
  <c r="T39" i="35"/>
  <c r="S39" i="35"/>
  <c r="R39" i="35"/>
  <c r="U14" i="35"/>
  <c r="Y14" i="35"/>
  <c r="T47" i="35"/>
  <c r="S47" i="35"/>
  <c r="R47" i="35"/>
  <c r="AA47" i="35"/>
  <c r="X47" i="35"/>
  <c r="W47" i="35"/>
  <c r="V47" i="35"/>
  <c r="Y46" i="35"/>
  <c r="U46" i="35"/>
  <c r="U10" i="35"/>
  <c r="Y10" i="35"/>
  <c r="AA44" i="35"/>
  <c r="X44" i="35"/>
  <c r="W44" i="35"/>
  <c r="V44" i="35"/>
  <c r="T44" i="35"/>
  <c r="S44" i="35"/>
  <c r="R44" i="35"/>
  <c r="X19" i="35"/>
  <c r="W19" i="35"/>
  <c r="V19" i="35"/>
  <c r="AA19" i="35"/>
  <c r="T19" i="35"/>
  <c r="S19" i="35"/>
  <c r="R19" i="35"/>
  <c r="AA26" i="35"/>
  <c r="X26" i="35"/>
  <c r="W26" i="35"/>
  <c r="V26" i="35"/>
  <c r="T26" i="35"/>
  <c r="S26" i="35"/>
  <c r="R26" i="35"/>
  <c r="AA38" i="35"/>
  <c r="X38" i="35"/>
  <c r="W38" i="35"/>
  <c r="V38" i="35"/>
  <c r="T38" i="35"/>
  <c r="S38" i="35"/>
  <c r="R38" i="35"/>
  <c r="Y44" i="35"/>
  <c r="U44" i="35"/>
  <c r="Y5" i="35"/>
  <c r="U5" i="35"/>
  <c r="Y34" i="35"/>
  <c r="U34" i="35"/>
  <c r="W54" i="35"/>
  <c r="V54" i="35"/>
  <c r="T54" i="35"/>
  <c r="S54" i="35"/>
  <c r="R54" i="35"/>
  <c r="AA54" i="35"/>
  <c r="X54" i="35"/>
  <c r="AA27" i="35"/>
  <c r="X27" i="35"/>
  <c r="W27" i="35"/>
  <c r="V27" i="35"/>
  <c r="T27" i="35"/>
  <c r="S27" i="35"/>
  <c r="R27" i="35"/>
  <c r="Y33" i="35"/>
  <c r="U33" i="35"/>
  <c r="X25" i="35"/>
  <c r="W25" i="35"/>
  <c r="V25" i="35"/>
  <c r="AA25" i="35"/>
  <c r="T25" i="35"/>
  <c r="S25" i="35"/>
  <c r="R25" i="35"/>
  <c r="W12" i="35"/>
  <c r="V12" i="35"/>
  <c r="T12" i="35"/>
  <c r="R12" i="35"/>
  <c r="AA12" i="35"/>
  <c r="X12" i="35"/>
  <c r="S12" i="35"/>
  <c r="T35" i="35"/>
  <c r="S35" i="35"/>
  <c r="R35" i="35"/>
  <c r="W35" i="35"/>
  <c r="V35" i="35"/>
  <c r="AA35" i="35"/>
  <c r="X35" i="35"/>
  <c r="U23" i="35"/>
  <c r="Y23" i="35"/>
  <c r="Y49" i="35"/>
  <c r="U49" i="35"/>
  <c r="AA32" i="35"/>
  <c r="X32" i="35"/>
  <c r="W32" i="35"/>
  <c r="V32" i="35"/>
  <c r="T32" i="35"/>
  <c r="S32" i="35"/>
  <c r="R32" i="35"/>
  <c r="Y45" i="35"/>
  <c r="U45" i="35"/>
  <c r="AA14" i="35"/>
  <c r="X14" i="35"/>
  <c r="V14" i="35"/>
  <c r="T14" i="35"/>
  <c r="S14" i="35"/>
  <c r="R14" i="35"/>
  <c r="W14" i="35"/>
  <c r="T17" i="35"/>
  <c r="R17" i="35"/>
  <c r="S17" i="35"/>
  <c r="AA17" i="35"/>
  <c r="X17" i="35"/>
  <c r="W17" i="35"/>
  <c r="V17" i="35"/>
  <c r="Y22" i="35"/>
  <c r="U22" i="35"/>
  <c r="U54" i="35"/>
  <c r="Y54" i="35"/>
  <c r="U17" i="35"/>
  <c r="Y17" i="35"/>
  <c r="Y39" i="35"/>
  <c r="U39" i="35"/>
  <c r="AA15" i="35"/>
  <c r="X15" i="35"/>
  <c r="W15" i="35"/>
  <c r="V15" i="35"/>
  <c r="T15" i="35"/>
  <c r="S15" i="35"/>
  <c r="R15" i="35"/>
  <c r="Y7" i="35"/>
  <c r="U7" i="35"/>
  <c r="Y50" i="35"/>
  <c r="U50" i="35"/>
  <c r="U28" i="35"/>
  <c r="Y28" i="35"/>
  <c r="Y40" i="35"/>
  <c r="U40" i="35"/>
  <c r="Y31" i="35"/>
  <c r="U31" i="35"/>
  <c r="T23" i="35"/>
  <c r="S23" i="35"/>
  <c r="R23" i="35"/>
  <c r="AA23" i="35"/>
  <c r="X23" i="35"/>
  <c r="W23" i="35"/>
  <c r="V23" i="35"/>
  <c r="S8" i="35"/>
  <c r="R8" i="35"/>
  <c r="AA8" i="35"/>
  <c r="X8" i="35"/>
  <c r="T8" i="35"/>
  <c r="V8" i="35"/>
  <c r="W8" i="35"/>
  <c r="Y25" i="35"/>
  <c r="U25" i="35"/>
  <c r="AA20" i="35"/>
  <c r="X20" i="35"/>
  <c r="W20" i="35"/>
  <c r="V20" i="35"/>
  <c r="T20" i="35"/>
  <c r="S20" i="35"/>
  <c r="R20" i="35"/>
  <c r="Y19" i="35"/>
  <c r="U19" i="35"/>
  <c r="U35" i="35"/>
  <c r="Y35" i="35"/>
  <c r="T10" i="35"/>
  <c r="R10" i="35"/>
  <c r="AA10" i="35"/>
  <c r="X10" i="35"/>
  <c r="W10" i="35"/>
  <c r="V10" i="35"/>
  <c r="S10" i="35"/>
  <c r="AA33" i="35"/>
  <c r="X33" i="35"/>
  <c r="W33" i="35"/>
  <c r="R33" i="35"/>
  <c r="V33" i="35"/>
  <c r="T33" i="35"/>
  <c r="S33" i="35"/>
  <c r="X31" i="35"/>
  <c r="W31" i="35"/>
  <c r="V31" i="35"/>
  <c r="T31" i="35"/>
  <c r="S31" i="35"/>
  <c r="AA31" i="35"/>
  <c r="R31" i="35"/>
  <c r="S52" i="35"/>
  <c r="R52" i="35"/>
  <c r="AA52" i="35"/>
  <c r="X52" i="35"/>
  <c r="W52" i="35"/>
  <c r="V52" i="35"/>
  <c r="T52" i="35"/>
  <c r="Y32" i="35"/>
  <c r="U32" i="35"/>
  <c r="T53" i="35"/>
  <c r="S53" i="35"/>
  <c r="R53" i="35"/>
  <c r="AA53" i="35"/>
  <c r="X53" i="35"/>
  <c r="W53" i="35"/>
  <c r="V53" i="35"/>
  <c r="Y26" i="35"/>
  <c r="U26" i="35"/>
  <c r="W36" i="35"/>
  <c r="V36" i="35"/>
  <c r="T36" i="35"/>
  <c r="S36" i="35"/>
  <c r="R36" i="35"/>
  <c r="AA36" i="35"/>
  <c r="X36" i="35"/>
  <c r="X37" i="35"/>
  <c r="W37" i="35"/>
  <c r="V37" i="35"/>
  <c r="T37" i="35"/>
  <c r="S37" i="35"/>
  <c r="R37" i="35"/>
  <c r="AA37" i="35"/>
  <c r="U48" i="35"/>
  <c r="Y48" i="35"/>
  <c r="U11" i="35"/>
  <c r="Y11" i="35"/>
  <c r="R7" i="35"/>
  <c r="AA7" i="35"/>
  <c r="X7" i="35"/>
  <c r="W7" i="35"/>
  <c r="S7" i="35"/>
  <c r="V7" i="35"/>
  <c r="T7" i="35"/>
  <c r="S46" i="35"/>
  <c r="R46" i="35"/>
  <c r="AA46" i="35"/>
  <c r="X46" i="35"/>
  <c r="W46" i="35"/>
  <c r="V46" i="35"/>
  <c r="T46" i="35"/>
  <c r="U42" i="35"/>
  <c r="Y42" i="35"/>
  <c r="Y8" i="35"/>
  <c r="U8" i="35"/>
  <c r="W42" i="35"/>
  <c r="V42" i="35"/>
  <c r="T42" i="35"/>
  <c r="S42" i="35"/>
  <c r="R42" i="35"/>
  <c r="AA42" i="35"/>
  <c r="X42" i="35"/>
  <c r="M47" i="5" a="1"/>
  <c r="M47" i="5" s="1"/>
  <c r="G44" i="5" a="1"/>
  <c r="G44" i="5" s="1"/>
  <c r="G30" i="5" a="1"/>
  <c r="G30" i="5" s="1"/>
  <c r="G29" i="5" a="1"/>
  <c r="G29" i="5" s="1"/>
  <c r="M71" i="5" a="1"/>
  <c r="M71" i="5" s="1"/>
  <c r="G54" i="5" a="1"/>
  <c r="G54" i="5" s="1"/>
  <c r="M45" i="5" a="1"/>
  <c r="M45" i="5" s="1"/>
  <c r="L5" i="30" a="1"/>
  <c r="L5" i="30" s="1"/>
  <c r="D5" i="30" a="1"/>
  <c r="D5" i="30" s="1"/>
  <c r="K5" i="30" a="1"/>
  <c r="K5" i="30" s="1"/>
  <c r="M5" i="30" a="1"/>
  <c r="M5" i="30" s="1"/>
  <c r="J5" i="30" a="1"/>
  <c r="J5" i="30" s="1"/>
  <c r="I5" i="30" a="1"/>
  <c r="I5" i="30" s="1"/>
  <c r="H5" i="30" a="1"/>
  <c r="H5" i="30" s="1"/>
  <c r="M68" i="5" a="1"/>
  <c r="M68" i="5" s="1"/>
  <c r="G17" i="5" a="1"/>
  <c r="G17" i="5" s="1"/>
  <c r="M14" i="5" a="1"/>
  <c r="M14" i="5" s="1"/>
  <c r="M12" i="5" a="1"/>
  <c r="M12" i="5" s="1"/>
  <c r="M20" i="5" a="1"/>
  <c r="M20" i="5" s="1"/>
  <c r="G42" i="5" a="1"/>
  <c r="G42" i="5" s="1"/>
  <c r="G76" i="5" a="1"/>
  <c r="G76" i="5" s="1"/>
  <c r="G23" i="5" a="1"/>
  <c r="G23" i="5" s="1"/>
  <c r="G53" i="5" a="1"/>
  <c r="G53" i="5" s="1"/>
  <c r="M34" i="5" a="1"/>
  <c r="M34" i="5" s="1"/>
  <c r="M48" i="5" a="1"/>
  <c r="M48" i="5" s="1"/>
  <c r="M58" i="5" a="1"/>
  <c r="M58" i="5" s="1"/>
  <c r="G65" i="5" a="1"/>
  <c r="G65" i="5" s="1"/>
  <c r="G10" i="5" a="1"/>
  <c r="G10" i="5" s="1"/>
  <c r="G66" i="5" a="1"/>
  <c r="G66" i="5" s="1"/>
  <c r="G41" i="5" a="1"/>
  <c r="G41" i="5" s="1"/>
  <c r="M48" i="13" a="1"/>
  <c r="M48" i="13" s="1"/>
  <c r="J75" i="5" a="1"/>
  <c r="J75" i="5" s="1"/>
  <c r="I48" i="13" a="1"/>
  <c r="I48" i="13" s="1"/>
  <c r="K62" i="5" a="1"/>
  <c r="K62" i="5" s="1"/>
  <c r="K66" i="13" a="1"/>
  <c r="K66" i="13" s="1"/>
  <c r="I66" i="13" a="1"/>
  <c r="I66" i="13" s="1"/>
  <c r="G8" i="13" a="1"/>
  <c r="G8" i="13" s="1"/>
  <c r="G62" i="13" a="1"/>
  <c r="G62" i="13" s="1"/>
  <c r="K48" i="13" a="1"/>
  <c r="K48" i="13" s="1"/>
  <c r="I8" i="5" a="1"/>
  <c r="I8" i="5" s="1"/>
  <c r="K39" i="5" a="1"/>
  <c r="K39" i="5" s="1"/>
  <c r="M77" i="5" a="1"/>
  <c r="M77" i="5" s="1"/>
  <c r="J11" i="13" a="1"/>
  <c r="J11" i="13" s="1"/>
  <c r="D66" i="13" a="1"/>
  <c r="D66" i="13" s="1"/>
  <c r="I72" i="13" a="1"/>
  <c r="I72" i="13" s="1"/>
  <c r="H77" i="5" a="1"/>
  <c r="H77" i="5" s="1"/>
  <c r="L66" i="13" a="1"/>
  <c r="L66" i="13" s="1"/>
  <c r="L75" i="5" a="1"/>
  <c r="L75" i="5" s="1"/>
  <c r="M62" i="5" a="1"/>
  <c r="M62" i="5" s="1"/>
  <c r="G66" i="13" a="1"/>
  <c r="G66" i="13" s="1"/>
  <c r="G62" i="5" a="1"/>
  <c r="G62" i="5" s="1"/>
  <c r="M75" i="5" a="1"/>
  <c r="M75" i="5" s="1"/>
  <c r="M66" i="13" a="1"/>
  <c r="M66" i="13" s="1"/>
  <c r="L62" i="5" a="1"/>
  <c r="L62" i="5" s="1"/>
  <c r="I8" i="13" a="1"/>
  <c r="I8" i="13" s="1"/>
  <c r="J73" i="13" a="1"/>
  <c r="J73" i="13" s="1"/>
  <c r="K11" i="13" a="1"/>
  <c r="K11" i="13" s="1"/>
  <c r="H41" i="5" a="1"/>
  <c r="H41" i="5" s="1"/>
  <c r="H29" i="13" a="1"/>
  <c r="H29" i="13" s="1"/>
  <c r="K72" i="13" a="1"/>
  <c r="K72" i="13" s="1"/>
  <c r="L8" i="5" a="1"/>
  <c r="L8" i="5" s="1"/>
  <c r="K41" i="5" a="1"/>
  <c r="K41" i="5" s="1"/>
  <c r="K62" i="13" a="1"/>
  <c r="K62" i="13" s="1"/>
  <c r="L72" i="13" a="1"/>
  <c r="L72" i="13" s="1"/>
  <c r="K24" i="25"/>
  <c r="E27" i="25"/>
  <c r="D27" i="25"/>
  <c r="F27" i="25" s="1"/>
  <c r="F26" i="25"/>
  <c r="F8" i="25"/>
  <c r="G8" i="25" s="1"/>
  <c r="H8" i="25"/>
  <c r="E9" i="25" s="1"/>
  <c r="J8" i="25"/>
  <c r="K8" i="25"/>
  <c r="L63" i="13" a="1"/>
  <c r="L63" i="13" s="1"/>
  <c r="K75" i="5" a="1"/>
  <c r="K75" i="5" s="1"/>
  <c r="D75" i="5" a="1"/>
  <c r="D75" i="5" s="1"/>
  <c r="I66" i="5" a="1"/>
  <c r="I66" i="5" s="1"/>
  <c r="J41" i="5" a="1"/>
  <c r="J41" i="5" s="1"/>
  <c r="M41" i="5" a="1"/>
  <c r="M41" i="5" s="1"/>
  <c r="D11" i="13" a="1"/>
  <c r="D11" i="13" s="1"/>
  <c r="H57" i="5" a="1"/>
  <c r="H57" i="5" s="1"/>
  <c r="H79" i="13" a="1"/>
  <c r="H79" i="13" s="1"/>
  <c r="I57" i="5" a="1"/>
  <c r="I57" i="5" s="1"/>
  <c r="M17" i="5" a="1"/>
  <c r="M17" i="5" s="1"/>
  <c r="K77" i="5" a="1"/>
  <c r="K77" i="5" s="1"/>
  <c r="L11" i="13" a="1"/>
  <c r="L11" i="13" s="1"/>
  <c r="H45" i="5" a="1"/>
  <c r="H45" i="5" s="1"/>
  <c r="H68" i="5" a="1"/>
  <c r="H68" i="5" s="1"/>
  <c r="K17" i="5" a="1"/>
  <c r="K17" i="5" s="1"/>
  <c r="M11" i="13" a="1"/>
  <c r="M11" i="13" s="1"/>
  <c r="K42" i="13" a="1"/>
  <c r="K42" i="13" s="1"/>
  <c r="K8" i="5" a="1"/>
  <c r="K8" i="5" s="1"/>
  <c r="D17" i="5" a="1"/>
  <c r="D17" i="5" s="1"/>
  <c r="M51" i="13" a="1"/>
  <c r="M51" i="13" s="1"/>
  <c r="I11" i="13" a="1"/>
  <c r="I11" i="13" s="1"/>
  <c r="L39" i="5" a="1"/>
  <c r="L39" i="5" s="1"/>
  <c r="M39" i="5" a="1"/>
  <c r="M39" i="5" s="1"/>
  <c r="H51" i="13" a="1"/>
  <c r="H51" i="13" s="1"/>
  <c r="L41" i="5" a="1"/>
  <c r="L41" i="5" s="1"/>
  <c r="J17" i="5" a="1"/>
  <c r="J17" i="5" s="1"/>
  <c r="M66" i="5" a="1"/>
  <c r="M66" i="5" s="1"/>
  <c r="I51" i="13" a="1"/>
  <c r="I51" i="13" s="1"/>
  <c r="D73" i="13" a="1"/>
  <c r="D73" i="13" s="1"/>
  <c r="J39" i="5" a="1"/>
  <c r="J39" i="5" s="1"/>
  <c r="H17" i="5" a="1"/>
  <c r="H17" i="5" s="1"/>
  <c r="J51" i="13" a="1"/>
  <c r="J51" i="13" s="1"/>
  <c r="H73" i="13" a="1"/>
  <c r="H73" i="13" s="1"/>
  <c r="I17" i="5" a="1"/>
  <c r="I17" i="5" s="1"/>
  <c r="K51" i="13" a="1"/>
  <c r="K51" i="13" s="1"/>
  <c r="H72" i="13" a="1"/>
  <c r="H72" i="13" s="1"/>
  <c r="I73" i="13" a="1"/>
  <c r="I73" i="13" s="1"/>
  <c r="K47" i="5" a="1"/>
  <c r="K47" i="5" s="1"/>
  <c r="I79" i="13" a="1"/>
  <c r="I79" i="13" s="1"/>
  <c r="D47" i="5" a="1"/>
  <c r="D47" i="5" s="1"/>
  <c r="K33" i="5" a="1"/>
  <c r="K33" i="5" s="1"/>
  <c r="K38" i="13" a="1"/>
  <c r="K38" i="13" s="1"/>
  <c r="J79" i="13" a="1"/>
  <c r="J79" i="13" s="1"/>
  <c r="D79" i="13" a="1"/>
  <c r="D79" i="13" s="1"/>
  <c r="K79" i="13" a="1"/>
  <c r="K79" i="13" s="1"/>
  <c r="L79" i="13" a="1"/>
  <c r="L79" i="13" s="1"/>
  <c r="J33" i="5" a="1"/>
  <c r="J33" i="5" s="1"/>
  <c r="J27" i="13" a="1"/>
  <c r="J27" i="13" s="1"/>
  <c r="I38" i="13" a="1"/>
  <c r="I38" i="13" s="1"/>
  <c r="G47" i="5" a="1"/>
  <c r="G47" i="5" s="1"/>
  <c r="G79" i="13" a="1"/>
  <c r="G79" i="13" s="1"/>
  <c r="H47" i="5" a="1"/>
  <c r="H47" i="5" s="1"/>
  <c r="I47" i="5" a="1"/>
  <c r="I47" i="5" s="1"/>
  <c r="J35" i="13" a="1"/>
  <c r="J35" i="13" s="1"/>
  <c r="M24" i="5" a="1"/>
  <c r="M24" i="5" s="1"/>
  <c r="K63" i="13" a="1"/>
  <c r="K63" i="13" s="1"/>
  <c r="G26" i="13" a="1"/>
  <c r="G26" i="13" s="1"/>
  <c r="K20" i="5" a="1"/>
  <c r="K20" i="5" s="1"/>
  <c r="D32" i="5" a="1"/>
  <c r="D32" i="5" s="1"/>
  <c r="L21" i="13" a="1"/>
  <c r="L21" i="13" s="1"/>
  <c r="H31" i="13" a="1"/>
  <c r="H31" i="13" s="1"/>
  <c r="J20" i="5" a="1"/>
  <c r="J20" i="5" s="1"/>
  <c r="H33" i="5" a="1"/>
  <c r="H33" i="5" s="1"/>
  <c r="D42" i="5" a="1"/>
  <c r="D42" i="5" s="1"/>
  <c r="I74" i="13" a="1"/>
  <c r="I74" i="13" s="1"/>
  <c r="K21" i="13" a="1"/>
  <c r="K21" i="13" s="1"/>
  <c r="I31" i="13" a="1"/>
  <c r="I31" i="13" s="1"/>
  <c r="G63" i="13" a="1"/>
  <c r="G63" i="13" s="1"/>
  <c r="M63" i="13" a="1"/>
  <c r="M63" i="13" s="1"/>
  <c r="I63" i="13" a="1"/>
  <c r="I63" i="13" s="1"/>
  <c r="D26" i="13" a="1"/>
  <c r="D26" i="13" s="1"/>
  <c r="J28" i="13" a="1"/>
  <c r="J28" i="13" s="1"/>
  <c r="I20" i="5" a="1"/>
  <c r="I20" i="5" s="1"/>
  <c r="L63" i="5" a="1"/>
  <c r="L63" i="5" s="1"/>
  <c r="L47" i="5" a="1"/>
  <c r="L47" i="5" s="1"/>
  <c r="K16" i="5" a="1"/>
  <c r="K16" i="5" s="1"/>
  <c r="D33" i="5" a="1"/>
  <c r="D33" i="5" s="1"/>
  <c r="G21" i="13" a="1"/>
  <c r="G21" i="13" s="1"/>
  <c r="H23" i="13" a="1"/>
  <c r="H23" i="13" s="1"/>
  <c r="D20" i="13" a="1"/>
  <c r="D20" i="13" s="1"/>
  <c r="K31" i="13" a="1"/>
  <c r="K31" i="13" s="1"/>
  <c r="I42" i="5" a="1"/>
  <c r="I42" i="5" s="1"/>
  <c r="J31" i="13" a="1"/>
  <c r="J31" i="13" s="1"/>
  <c r="H21" i="13" a="1"/>
  <c r="H21" i="13" s="1"/>
  <c r="D31" i="13" a="1"/>
  <c r="D31" i="13" s="1"/>
  <c r="K26" i="13" a="1"/>
  <c r="K26" i="13" s="1"/>
  <c r="L54" i="5" a="1"/>
  <c r="L54" i="5" s="1"/>
  <c r="L41" i="13" a="1"/>
  <c r="L41" i="13" s="1"/>
  <c r="D24" i="5" a="1"/>
  <c r="D24" i="5" s="1"/>
  <c r="K23" i="13" a="1"/>
  <c r="K23" i="13" s="1"/>
  <c r="J26" i="13" a="1"/>
  <c r="J26" i="13" s="1"/>
  <c r="I33" i="5" a="1"/>
  <c r="I33" i="5" s="1"/>
  <c r="H26" i="13" a="1"/>
  <c r="H26" i="13" s="1"/>
  <c r="M33" i="5" a="1"/>
  <c r="M33" i="5" s="1"/>
  <c r="L42" i="5" a="1"/>
  <c r="L42" i="5" s="1"/>
  <c r="G23" i="13" a="1"/>
  <c r="G23" i="13" s="1"/>
  <c r="L31" i="13" a="1"/>
  <c r="L31" i="13" s="1"/>
  <c r="G33" i="5" a="1"/>
  <c r="G33" i="5" s="1"/>
  <c r="K42" i="5" a="1"/>
  <c r="K42" i="5" s="1"/>
  <c r="I23" i="13" a="1"/>
  <c r="I23" i="13" s="1"/>
  <c r="G31" i="13" a="1"/>
  <c r="G31" i="13" s="1"/>
  <c r="M20" i="13" a="1"/>
  <c r="M20" i="13" s="1"/>
  <c r="J47" i="5" a="1"/>
  <c r="J47" i="5" s="1"/>
  <c r="D63" i="13" a="1"/>
  <c r="D63" i="13" s="1"/>
  <c r="I27" i="13" a="1"/>
  <c r="I27" i="13" s="1"/>
  <c r="F12" i="18" a="1"/>
  <c r="F12" i="18" s="1"/>
  <c r="H12" i="18" a="1"/>
  <c r="H12" i="18" s="1"/>
  <c r="I12" i="18" a="1"/>
  <c r="I12" i="18" s="1"/>
  <c r="G12" i="18" a="1"/>
  <c r="G12" i="18" s="1"/>
  <c r="J12" i="18" a="1"/>
  <c r="J12" i="18" s="1"/>
  <c r="F16" i="18" a="1"/>
  <c r="F16" i="18" s="1"/>
  <c r="J16" i="18" a="1"/>
  <c r="J16" i="18" s="1"/>
  <c r="I16" i="18" a="1"/>
  <c r="I16" i="18" s="1"/>
  <c r="H16" i="18" a="1"/>
  <c r="H16" i="18" s="1"/>
  <c r="G16" i="18" a="1"/>
  <c r="G16" i="18" s="1"/>
  <c r="F15" i="18" a="1"/>
  <c r="F15" i="18" s="1"/>
  <c r="J15" i="18" a="1"/>
  <c r="J15" i="18" s="1"/>
  <c r="I15" i="18" a="1"/>
  <c r="I15" i="18" s="1"/>
  <c r="H15" i="18" a="1"/>
  <c r="H15" i="18" s="1"/>
  <c r="G15" i="18" a="1"/>
  <c r="G15" i="18" s="1"/>
  <c r="F11" i="18" a="1"/>
  <c r="F11" i="18" s="1"/>
  <c r="H11" i="18" a="1"/>
  <c r="H11" i="18" s="1"/>
  <c r="I11" i="18" a="1"/>
  <c r="I11" i="18" s="1"/>
  <c r="G11" i="18" a="1"/>
  <c r="G11" i="18" s="1"/>
  <c r="J11" i="18" a="1"/>
  <c r="J11" i="18" s="1"/>
  <c r="I14" i="5" a="1"/>
  <c r="I14" i="5" s="1"/>
  <c r="H8" i="5" a="1"/>
  <c r="H8" i="5" s="1"/>
  <c r="J62" i="5" a="1"/>
  <c r="J62" i="5" s="1"/>
  <c r="L77" i="5" a="1"/>
  <c r="L77" i="5" s="1"/>
  <c r="D8" i="5" a="1"/>
  <c r="D8" i="5" s="1"/>
  <c r="D62" i="5" a="1"/>
  <c r="D62" i="5" s="1"/>
  <c r="H63" i="13" a="1"/>
  <c r="H63" i="13" s="1"/>
  <c r="G11" i="13" a="1"/>
  <c r="G11" i="13" s="1"/>
  <c r="I62" i="13" a="1"/>
  <c r="I62" i="13" s="1"/>
  <c r="J72" i="13" a="1"/>
  <c r="J72" i="13" s="1"/>
  <c r="H66" i="13" a="1"/>
  <c r="H66" i="13" s="1"/>
  <c r="H48" i="13" a="1"/>
  <c r="H48" i="13" s="1"/>
  <c r="L26" i="13" a="1"/>
  <c r="L26" i="13" s="1"/>
  <c r="F9" i="18" a="1"/>
  <c r="F9" i="18" s="1"/>
  <c r="J9" i="18" a="1"/>
  <c r="J9" i="18" s="1"/>
  <c r="I9" i="18" a="1"/>
  <c r="I9" i="18" s="1"/>
  <c r="H9" i="18" a="1"/>
  <c r="H9" i="18" s="1"/>
  <c r="G9" i="18" a="1"/>
  <c r="G9" i="18" s="1"/>
  <c r="F13" i="18" a="1"/>
  <c r="F13" i="18" s="1"/>
  <c r="G13" i="18" a="1"/>
  <c r="G13" i="18" s="1"/>
  <c r="J13" i="18" a="1"/>
  <c r="J13" i="18" s="1"/>
  <c r="I13" i="18" a="1"/>
  <c r="I13" i="18" s="1"/>
  <c r="H13" i="18" a="1"/>
  <c r="H13" i="18" s="1"/>
  <c r="J8" i="5" a="1"/>
  <c r="J8" i="5" s="1"/>
  <c r="G68" i="5" a="1"/>
  <c r="G68" i="5" s="1"/>
  <c r="G39" i="5" a="1"/>
  <c r="G39" i="5" s="1"/>
  <c r="I41" i="5" a="1"/>
  <c r="I41" i="5" s="1"/>
  <c r="J42" i="5" a="1"/>
  <c r="J42" i="5" s="1"/>
  <c r="D39" i="5" a="1"/>
  <c r="D39" i="5" s="1"/>
  <c r="G77" i="5" a="1"/>
  <c r="G77" i="5" s="1"/>
  <c r="I15" i="13" a="1"/>
  <c r="I15" i="13" s="1"/>
  <c r="L62" i="13" a="1"/>
  <c r="L62" i="13" s="1"/>
  <c r="I21" i="13" a="1"/>
  <c r="I21" i="13" s="1"/>
  <c r="D72" i="13" a="1"/>
  <c r="D72" i="13" s="1"/>
  <c r="J23" i="13" a="1"/>
  <c r="J23" i="13" s="1"/>
  <c r="K73" i="13" a="1"/>
  <c r="K73" i="13" s="1"/>
  <c r="J48" i="13" a="1"/>
  <c r="J48" i="13" s="1"/>
  <c r="F8" i="18" a="1"/>
  <c r="F8" i="18" s="1"/>
  <c r="I8" i="18" a="1"/>
  <c r="I8" i="18" s="1"/>
  <c r="G8" i="18" a="1"/>
  <c r="G8" i="18" s="1"/>
  <c r="H8" i="18" a="1"/>
  <c r="H8" i="18" s="1"/>
  <c r="J8" i="18" a="1"/>
  <c r="J8" i="18" s="1"/>
  <c r="J10" i="18" a="1"/>
  <c r="J10" i="18" s="1"/>
  <c r="I10" i="18" a="1"/>
  <c r="I10" i="18" s="1"/>
  <c r="H10" i="18" a="1"/>
  <c r="H10" i="18" s="1"/>
  <c r="G10" i="18" a="1"/>
  <c r="G10" i="18" s="1"/>
  <c r="F10" i="18" a="1"/>
  <c r="F10" i="18" s="1"/>
  <c r="G14" i="18" a="1"/>
  <c r="G14" i="18" s="1"/>
  <c r="I14" i="18" a="1"/>
  <c r="I14" i="18" s="1"/>
  <c r="J14" i="18" a="1"/>
  <c r="J14" i="18" s="1"/>
  <c r="F14" i="18" a="1"/>
  <c r="F14" i="18" s="1"/>
  <c r="H14" i="18" a="1"/>
  <c r="H14" i="18" s="1"/>
  <c r="K68" i="5" a="1"/>
  <c r="K68" i="5" s="1"/>
  <c r="H42" i="5" a="1"/>
  <c r="H42" i="5" s="1"/>
  <c r="L17" i="5" a="1"/>
  <c r="L17" i="5" s="1"/>
  <c r="D20" i="5" a="1"/>
  <c r="D20" i="5" s="1"/>
  <c r="J8" i="13" a="1"/>
  <c r="J8" i="13" s="1"/>
  <c r="D51" i="13" a="1"/>
  <c r="D51" i="13" s="1"/>
  <c r="M62" i="13" a="1"/>
  <c r="M62" i="13" s="1"/>
  <c r="J21" i="13" a="1"/>
  <c r="J21" i="13" s="1"/>
  <c r="G72" i="13" a="1"/>
  <c r="G72" i="13" s="1"/>
  <c r="L23" i="13" a="1"/>
  <c r="L23" i="13" s="1"/>
  <c r="L73" i="13" a="1"/>
  <c r="L73" i="13" s="1"/>
  <c r="D48" i="13" a="1"/>
  <c r="D48" i="13" s="1"/>
  <c r="D32" i="13" a="1"/>
  <c r="D32" i="13" s="1"/>
  <c r="F6" i="18" a="1"/>
  <c r="F6" i="18" s="1"/>
  <c r="J6" i="18" a="1"/>
  <c r="J6" i="18" s="1"/>
  <c r="I6" i="18" a="1"/>
  <c r="I6" i="18" s="1"/>
  <c r="H6" i="18" a="1"/>
  <c r="H6" i="18" s="1"/>
  <c r="G6" i="18" a="1"/>
  <c r="G6" i="18" s="1"/>
  <c r="G75" i="5" a="1"/>
  <c r="G75" i="5" s="1"/>
  <c r="J68" i="5" a="1"/>
  <c r="J68" i="5" s="1"/>
  <c r="I75" i="5" a="1"/>
  <c r="I75" i="5" s="1"/>
  <c r="I77" i="5" a="1"/>
  <c r="I77" i="5" s="1"/>
  <c r="J77" i="5" a="1"/>
  <c r="J77" i="5" s="1"/>
  <c r="D41" i="5" a="1"/>
  <c r="D41" i="5" s="1"/>
  <c r="D8" i="13" a="1"/>
  <c r="D8" i="13" s="1"/>
  <c r="G51" i="13" a="1"/>
  <c r="G51" i="13" s="1"/>
  <c r="H62" i="13" a="1"/>
  <c r="H62" i="13" s="1"/>
  <c r="M21" i="13" a="1"/>
  <c r="M21" i="13" s="1"/>
  <c r="M23" i="13" a="1"/>
  <c r="M23" i="13" s="1"/>
  <c r="G73" i="13" a="1"/>
  <c r="G73" i="13" s="1"/>
  <c r="L48" i="13" a="1"/>
  <c r="L48" i="13" s="1"/>
  <c r="H62" i="5" a="1"/>
  <c r="H62" i="5" s="1"/>
  <c r="G20" i="5" a="1"/>
  <c r="G20" i="5" s="1"/>
  <c r="L68" i="5" a="1"/>
  <c r="L68" i="5" s="1"/>
  <c r="I39" i="5" a="1"/>
  <c r="I39" i="5" s="1"/>
  <c r="M8" i="5" a="1"/>
  <c r="M8" i="5" s="1"/>
  <c r="M42" i="5" a="1"/>
  <c r="M42" i="5" s="1"/>
  <c r="L8" i="13" a="1"/>
  <c r="L8" i="13" s="1"/>
  <c r="M50" i="13" a="1"/>
  <c r="M50" i="13" s="1"/>
  <c r="F7" i="18" a="1"/>
  <c r="F7" i="18" s="1"/>
  <c r="J7" i="18" a="1"/>
  <c r="J7" i="18" s="1"/>
  <c r="I7" i="18" a="1"/>
  <c r="I7" i="18" s="1"/>
  <c r="H7" i="18" a="1"/>
  <c r="H7" i="18" s="1"/>
  <c r="G7" i="18" a="1"/>
  <c r="G7" i="18" s="1"/>
  <c r="H20" i="5" a="1"/>
  <c r="H20" i="5" s="1"/>
  <c r="M27" i="5" a="1"/>
  <c r="M27" i="5" s="1"/>
  <c r="H34" i="13" a="1"/>
  <c r="H34" i="13" s="1"/>
  <c r="H24" i="5" a="1"/>
  <c r="H24" i="5" s="1"/>
  <c r="L37" i="13" a="1"/>
  <c r="L37" i="13" s="1"/>
  <c r="K43" i="5" a="1"/>
  <c r="K43" i="5" s="1"/>
  <c r="G24" i="5" a="1"/>
  <c r="G24" i="5" s="1"/>
  <c r="J63" i="5" a="1"/>
  <c r="J63" i="5" s="1"/>
  <c r="D68" i="5" a="1"/>
  <c r="D68" i="5" s="1"/>
  <c r="G32" i="13" a="1"/>
  <c r="G32" i="13" s="1"/>
  <c r="H9" i="13" a="1"/>
  <c r="H9" i="13" s="1"/>
  <c r="L32" i="13" a="1"/>
  <c r="L32" i="13" s="1"/>
  <c r="H32" i="13" a="1"/>
  <c r="H32" i="13" s="1"/>
  <c r="D9" i="13" a="1"/>
  <c r="D9" i="13" s="1"/>
  <c r="J32" i="13" a="1"/>
  <c r="J32" i="13" s="1"/>
  <c r="J12" i="5" a="1"/>
  <c r="J12" i="5" s="1"/>
  <c r="I68" i="5" a="1"/>
  <c r="I68" i="5" s="1"/>
  <c r="D13" i="13" a="1"/>
  <c r="D13" i="13" s="1"/>
  <c r="K9" i="13" a="1"/>
  <c r="K9" i="13" s="1"/>
  <c r="I24" i="5" a="1"/>
  <c r="I24" i="5" s="1"/>
  <c r="I63" i="5" a="1"/>
  <c r="I63" i="5" s="1"/>
  <c r="D45" i="5" a="1"/>
  <c r="D45" i="5" s="1"/>
  <c r="L42" i="13" a="1"/>
  <c r="L42" i="13" s="1"/>
  <c r="H15" i="13" a="1"/>
  <c r="H15" i="13" s="1"/>
  <c r="L49" i="5" a="1"/>
  <c r="L49" i="5" s="1"/>
  <c r="K15" i="13" a="1"/>
  <c r="K15" i="13" s="1"/>
  <c r="D71" i="5" a="1"/>
  <c r="D71" i="5" s="1"/>
  <c r="I34" i="13" a="1"/>
  <c r="I34" i="13" s="1"/>
  <c r="D42" i="13" a="1"/>
  <c r="D42" i="13" s="1"/>
  <c r="K13" i="5" a="1"/>
  <c r="K13" i="5" s="1"/>
  <c r="M34" i="13" a="1"/>
  <c r="M34" i="13" s="1"/>
  <c r="G43" i="13" a="1"/>
  <c r="G43" i="13" s="1"/>
  <c r="H56" i="5" a="1"/>
  <c r="H56" i="5" s="1"/>
  <c r="I32" i="13" a="1"/>
  <c r="I32" i="13" s="1"/>
  <c r="J9" i="13" a="1"/>
  <c r="J9" i="13" s="1"/>
  <c r="G22" i="5" a="1"/>
  <c r="G22" i="5" s="1"/>
  <c r="M46" i="5" a="1"/>
  <c r="M46" i="5" s="1"/>
  <c r="D57" i="13" a="1"/>
  <c r="D57" i="13" s="1"/>
  <c r="K6" i="5" a="1"/>
  <c r="K6" i="5" s="1"/>
  <c r="L12" i="5" a="1"/>
  <c r="L12" i="5" s="1"/>
  <c r="L20" i="5" a="1"/>
  <c r="L20" i="5" s="1"/>
  <c r="I13" i="5" a="1"/>
  <c r="I13" i="5" s="1"/>
  <c r="G64" i="5" a="1"/>
  <c r="G64" i="5" s="1"/>
  <c r="H25" i="5" a="1"/>
  <c r="H25" i="5" s="1"/>
  <c r="D66" i="5" a="1"/>
  <c r="D66" i="5" s="1"/>
  <c r="H36" i="13" a="1"/>
  <c r="H36" i="13" s="1"/>
  <c r="H14" i="13" a="1"/>
  <c r="H14" i="13" s="1"/>
  <c r="M25" i="5" a="1"/>
  <c r="M25" i="5" s="1"/>
  <c r="I42" i="13" a="1"/>
  <c r="I42" i="13" s="1"/>
  <c r="J66" i="5" a="1"/>
  <c r="J66" i="5" s="1"/>
  <c r="H66" i="5" a="1"/>
  <c r="H66" i="5" s="1"/>
  <c r="K36" i="13" a="1"/>
  <c r="K36" i="13" s="1"/>
  <c r="K71" i="13" a="1"/>
  <c r="K71" i="13" s="1"/>
  <c r="L25" i="5" a="1"/>
  <c r="L25" i="5" s="1"/>
  <c r="L70" i="13" a="1"/>
  <c r="L70" i="13" s="1"/>
  <c r="J36" i="13" a="1"/>
  <c r="J36" i="13" s="1"/>
  <c r="J71" i="13" a="1"/>
  <c r="J71" i="13" s="1"/>
  <c r="H10" i="5" a="1"/>
  <c r="H10" i="5" s="1"/>
  <c r="D25" i="5" a="1"/>
  <c r="D25" i="5" s="1"/>
  <c r="D36" i="13" a="1"/>
  <c r="D36" i="13" s="1"/>
  <c r="H71" i="13" a="1"/>
  <c r="H71" i="13" s="1"/>
  <c r="K66" i="5" a="1"/>
  <c r="K66" i="5" s="1"/>
  <c r="L36" i="13" a="1"/>
  <c r="L36" i="13" s="1"/>
  <c r="I18" i="5" a="1"/>
  <c r="I18" i="5" s="1"/>
  <c r="K77" i="13" a="1"/>
  <c r="K77" i="13" s="1"/>
  <c r="G36" i="13" a="1"/>
  <c r="G36" i="13" s="1"/>
  <c r="H36" i="5" a="1"/>
  <c r="H36" i="5" s="1"/>
  <c r="G45" i="5" a="1"/>
  <c r="G45" i="5" s="1"/>
  <c r="M15" i="13" a="1"/>
  <c r="M15" i="13" s="1"/>
  <c r="M32" i="13" a="1"/>
  <c r="M32" i="13" s="1"/>
  <c r="M9" i="13" a="1"/>
  <c r="M9" i="13" s="1"/>
  <c r="M67" i="13" a="1"/>
  <c r="M67" i="13" s="1"/>
  <c r="H65" i="13" a="1"/>
  <c r="H65" i="13" s="1"/>
  <c r="H34" i="5" a="1"/>
  <c r="H34" i="5" s="1"/>
  <c r="K65" i="5" a="1"/>
  <c r="K65" i="5" s="1"/>
  <c r="I6" i="13" a="1"/>
  <c r="I6" i="13" s="1"/>
  <c r="H6" i="13" a="1"/>
  <c r="H6" i="13" s="1"/>
  <c r="K10" i="5" a="1"/>
  <c r="K10" i="5" s="1"/>
  <c r="G63" i="5" a="1"/>
  <c r="G63" i="5" s="1"/>
  <c r="K24" i="5" a="1"/>
  <c r="K24" i="5" s="1"/>
  <c r="K34" i="5" a="1"/>
  <c r="K34" i="5" s="1"/>
  <c r="I45" i="5" a="1"/>
  <c r="I45" i="5" s="1"/>
  <c r="L66" i="5" a="1"/>
  <c r="L66" i="5" s="1"/>
  <c r="M63" i="5" a="1"/>
  <c r="M63" i="5" s="1"/>
  <c r="D18" i="5" a="1"/>
  <c r="D18" i="5" s="1"/>
  <c r="D13" i="5" a="1"/>
  <c r="D13" i="5" s="1"/>
  <c r="L44" i="13" a="1"/>
  <c r="L44" i="13" s="1"/>
  <c r="J34" i="13" a="1"/>
  <c r="J34" i="13" s="1"/>
  <c r="G42" i="13" a="1"/>
  <c r="G42" i="13" s="1"/>
  <c r="M36" i="13" a="1"/>
  <c r="M36" i="13" s="1"/>
  <c r="D71" i="13" a="1"/>
  <c r="D71" i="13" s="1"/>
  <c r="G33" i="13" a="1"/>
  <c r="G33" i="13" s="1"/>
  <c r="I28" i="5" a="1"/>
  <c r="I28" i="5" s="1"/>
  <c r="I34" i="5" a="1"/>
  <c r="I34" i="5" s="1"/>
  <c r="J46" i="5" a="1"/>
  <c r="J46" i="5" s="1"/>
  <c r="L45" i="5" a="1"/>
  <c r="L45" i="5" s="1"/>
  <c r="K45" i="5" a="1"/>
  <c r="K45" i="5" s="1"/>
  <c r="L61" i="5" a="1"/>
  <c r="L61" i="5" s="1"/>
  <c r="K74" i="5" a="1"/>
  <c r="K74" i="5" s="1"/>
  <c r="J15" i="13" a="1"/>
  <c r="J15" i="13" s="1"/>
  <c r="I43" i="13" a="1"/>
  <c r="I43" i="13" s="1"/>
  <c r="M42" i="13" a="1"/>
  <c r="M42" i="13" s="1"/>
  <c r="L71" i="13" a="1"/>
  <c r="L71" i="13" s="1"/>
  <c r="L10" i="5" a="1"/>
  <c r="L10" i="5" s="1"/>
  <c r="G36" i="5" a="1"/>
  <c r="G36" i="5" s="1"/>
  <c r="J45" i="5" a="1"/>
  <c r="J45" i="5" s="1"/>
  <c r="J25" i="5" a="1"/>
  <c r="J25" i="5" s="1"/>
  <c r="G43" i="5" a="1"/>
  <c r="G43" i="5" s="1"/>
  <c r="D43" i="5" a="1"/>
  <c r="D43" i="5" s="1"/>
  <c r="K59" i="13" a="1"/>
  <c r="K59" i="13" s="1"/>
  <c r="G15" i="13" a="1"/>
  <c r="G15" i="13" s="1"/>
  <c r="L43" i="13" a="1"/>
  <c r="L43" i="13" s="1"/>
  <c r="H42" i="13" a="1"/>
  <c r="H42" i="13" s="1"/>
  <c r="M71" i="13" a="1"/>
  <c r="M71" i="13" s="1"/>
  <c r="D59" i="13" a="1"/>
  <c r="D59" i="13" s="1"/>
  <c r="G46" i="5" a="1"/>
  <c r="G46" i="5" s="1"/>
  <c r="K21" i="5" a="1"/>
  <c r="K21" i="5" s="1"/>
  <c r="I64" i="5" a="1"/>
  <c r="I64" i="5" s="1"/>
  <c r="I47" i="13" a="1"/>
  <c r="I47" i="13" s="1"/>
  <c r="J36" i="5" a="1"/>
  <c r="J36" i="5" s="1"/>
  <c r="J21" i="5" a="1"/>
  <c r="J21" i="5" s="1"/>
  <c r="I21" i="5" a="1"/>
  <c r="I21" i="5" s="1"/>
  <c r="G25" i="5" a="1"/>
  <c r="G25" i="5" s="1"/>
  <c r="M74" i="5" a="1"/>
  <c r="M74" i="5" s="1"/>
  <c r="L15" i="13" a="1"/>
  <c r="L15" i="13" s="1"/>
  <c r="H77" i="13" a="1"/>
  <c r="H77" i="13" s="1"/>
  <c r="M43" i="13" a="1"/>
  <c r="M43" i="13" s="1"/>
  <c r="J64" i="5" a="1"/>
  <c r="J64" i="5" s="1"/>
  <c r="L11" i="5" a="1"/>
  <c r="L11" i="5" s="1"/>
  <c r="K28" i="5" a="1"/>
  <c r="K28" i="5" s="1"/>
  <c r="I77" i="13" a="1"/>
  <c r="I77" i="13" s="1"/>
  <c r="L53" i="13" a="1"/>
  <c r="L53" i="13" s="1"/>
  <c r="L24" i="5" a="1"/>
  <c r="L24" i="5" s="1"/>
  <c r="H67" i="5" a="1"/>
  <c r="H67" i="5" s="1"/>
  <c r="K25" i="5" a="1"/>
  <c r="K25" i="5" s="1"/>
  <c r="K63" i="5" a="1"/>
  <c r="K63" i="5" s="1"/>
  <c r="M13" i="5" a="1"/>
  <c r="M13" i="5" s="1"/>
  <c r="D64" i="5" a="1"/>
  <c r="D64" i="5" s="1"/>
  <c r="J18" i="5" a="1"/>
  <c r="J18" i="5" s="1"/>
  <c r="J77" i="13" a="1"/>
  <c r="J77" i="13" s="1"/>
  <c r="I16" i="13" a="1"/>
  <c r="I16" i="13" s="1"/>
  <c r="L9" i="13" a="1"/>
  <c r="L9" i="13" s="1"/>
  <c r="J52" i="13" a="1"/>
  <c r="J52" i="13" s="1"/>
  <c r="M33" i="13" a="1"/>
  <c r="M33" i="13" s="1"/>
  <c r="L73" i="5" a="1"/>
  <c r="L73" i="5" s="1"/>
  <c r="D52" i="13" a="1"/>
  <c r="D52" i="13" s="1"/>
  <c r="J65" i="13" a="1"/>
  <c r="J65" i="13" s="1"/>
  <c r="D60" i="13" a="1"/>
  <c r="D60" i="13" s="1"/>
  <c r="L60" i="13" a="1"/>
  <c r="L60" i="13" s="1"/>
  <c r="H23" i="5" a="1"/>
  <c r="H23" i="5" s="1"/>
  <c r="I53" i="5" a="1"/>
  <c r="I53" i="5" s="1"/>
  <c r="G70" i="5" a="1"/>
  <c r="G70" i="5" s="1"/>
  <c r="K53" i="5" a="1"/>
  <c r="K53" i="5" s="1"/>
  <c r="G18" i="5" a="1"/>
  <c r="G18" i="5" s="1"/>
  <c r="M43" i="5" a="1"/>
  <c r="M43" i="5" s="1"/>
  <c r="G34" i="13" a="1"/>
  <c r="G34" i="13" s="1"/>
  <c r="L10" i="13" a="1"/>
  <c r="L10" i="13" s="1"/>
  <c r="J26" i="5" a="1"/>
  <c r="J26" i="5" s="1"/>
  <c r="H25" i="13" a="1"/>
  <c r="H25" i="13" s="1"/>
  <c r="J35" i="5" a="1"/>
  <c r="J35" i="5" s="1"/>
  <c r="J73" i="5" a="1"/>
  <c r="J73" i="5" s="1"/>
  <c r="K73" i="5" a="1"/>
  <c r="K73" i="5" s="1"/>
  <c r="H30" i="13" a="1"/>
  <c r="H30" i="13" s="1"/>
  <c r="J25" i="13" a="1"/>
  <c r="J25" i="13" s="1"/>
  <c r="M53" i="5" a="1"/>
  <c r="M53" i="5" s="1"/>
  <c r="G31" i="5" a="1"/>
  <c r="G31" i="5" s="1"/>
  <c r="M15" i="5" a="1"/>
  <c r="M15" i="5" s="1"/>
  <c r="L35" i="13" a="1"/>
  <c r="L35" i="13" s="1"/>
  <c r="M73" i="5" a="1"/>
  <c r="M73" i="5" s="1"/>
  <c r="G55" i="13" a="1"/>
  <c r="G55" i="13" s="1"/>
  <c r="J40" i="13" a="1"/>
  <c r="J40" i="13" s="1"/>
  <c r="M37" i="13" a="1"/>
  <c r="M37" i="13" s="1"/>
  <c r="L67" i="13" a="1"/>
  <c r="L67" i="13" s="1"/>
  <c r="G57" i="13" a="1"/>
  <c r="G57" i="13" s="1"/>
  <c r="K14" i="13" a="1"/>
  <c r="K14" i="13" s="1"/>
  <c r="L65" i="5" a="1"/>
  <c r="L65" i="5" s="1"/>
  <c r="D11" i="5" a="1"/>
  <c r="D11" i="5" s="1"/>
  <c r="K53" i="13" a="1"/>
  <c r="K53" i="13" s="1"/>
  <c r="J12" i="13" a="1"/>
  <c r="J12" i="13" s="1"/>
  <c r="G11" i="5" a="1"/>
  <c r="G11" i="5" s="1"/>
  <c r="K26" i="5" a="1"/>
  <c r="K26" i="5" s="1"/>
  <c r="K64" i="5" a="1"/>
  <c r="K64" i="5" s="1"/>
  <c r="M72" i="5" a="1"/>
  <c r="M72" i="5" s="1"/>
  <c r="J67" i="5" a="1"/>
  <c r="J67" i="5" s="1"/>
  <c r="D53" i="13" a="1"/>
  <c r="D53" i="13" s="1"/>
  <c r="J61" i="5" a="1"/>
  <c r="J61" i="5" s="1"/>
  <c r="L58" i="5" a="1"/>
  <c r="L58" i="5" s="1"/>
  <c r="L30" i="13" a="1"/>
  <c r="L30" i="13" s="1"/>
  <c r="K67" i="5" a="1"/>
  <c r="K67" i="5" s="1"/>
  <c r="M30" i="13" a="1"/>
  <c r="M30" i="13" s="1"/>
  <c r="I10" i="5" a="1"/>
  <c r="I10" i="5" s="1"/>
  <c r="G67" i="5" a="1"/>
  <c r="G67" i="5" s="1"/>
  <c r="H65" i="5" a="1"/>
  <c r="H65" i="5" s="1"/>
  <c r="D67" i="5" a="1"/>
  <c r="D67" i="5" s="1"/>
  <c r="G30" i="13" a="1"/>
  <c r="G30" i="13" s="1"/>
  <c r="G16" i="13" a="1"/>
  <c r="G16" i="13" s="1"/>
  <c r="M14" i="13" a="1"/>
  <c r="M14" i="13" s="1"/>
  <c r="K78" i="5" a="1"/>
  <c r="K78" i="5" s="1"/>
  <c r="I65" i="5" a="1"/>
  <c r="I65" i="5" s="1"/>
  <c r="M11" i="5" a="1"/>
  <c r="M11" i="5" s="1"/>
  <c r="K30" i="13" a="1"/>
  <c r="K30" i="13" s="1"/>
  <c r="M16" i="13" a="1"/>
  <c r="M16" i="13" s="1"/>
  <c r="J14" i="13" a="1"/>
  <c r="J14" i="13" s="1"/>
  <c r="G39" i="13" a="1"/>
  <c r="G39" i="13" s="1"/>
  <c r="L38" i="5" a="1"/>
  <c r="L38" i="5" s="1"/>
  <c r="G26" i="5" a="1"/>
  <c r="G26" i="5" s="1"/>
  <c r="H59" i="13" a="1"/>
  <c r="H59" i="13" s="1"/>
  <c r="M70" i="5" a="1"/>
  <c r="M70" i="5" s="1"/>
  <c r="L40" i="13" a="1"/>
  <c r="L40" i="13" s="1"/>
  <c r="J52" i="5" a="1"/>
  <c r="J52" i="5" s="1"/>
  <c r="D77" i="13" a="1"/>
  <c r="D77" i="13" s="1"/>
  <c r="J10" i="5" a="1"/>
  <c r="J10" i="5" s="1"/>
  <c r="J78" i="5" a="1"/>
  <c r="J78" i="5" s="1"/>
  <c r="J65" i="5" a="1"/>
  <c r="J65" i="5" s="1"/>
  <c r="H61" i="5" a="1"/>
  <c r="H61" i="5" s="1"/>
  <c r="M65" i="5" a="1"/>
  <c r="M65" i="5" s="1"/>
  <c r="M21" i="5" a="1"/>
  <c r="M21" i="5" s="1"/>
  <c r="D46" i="5" a="1"/>
  <c r="D46" i="5" s="1"/>
  <c r="D48" i="5" a="1"/>
  <c r="D48" i="5" s="1"/>
  <c r="D21" i="5" a="1"/>
  <c r="D21" i="5" s="1"/>
  <c r="M44" i="13" a="1"/>
  <c r="M44" i="13" s="1"/>
  <c r="H52" i="13" a="1"/>
  <c r="H52" i="13" s="1"/>
  <c r="L77" i="13" a="1"/>
  <c r="L77" i="13" s="1"/>
  <c r="H40" i="13" a="1"/>
  <c r="H40" i="13" s="1"/>
  <c r="D39" i="13" a="1"/>
  <c r="D39" i="13" s="1"/>
  <c r="D76" i="13" a="1"/>
  <c r="D76" i="13" s="1"/>
  <c r="I30" i="13" a="1"/>
  <c r="I30" i="13" s="1"/>
  <c r="J16" i="13" a="1"/>
  <c r="J16" i="13" s="1"/>
  <c r="G70" i="13" a="1"/>
  <c r="G70" i="13" s="1"/>
  <c r="K47" i="13" a="1"/>
  <c r="K47" i="13" s="1"/>
  <c r="D6" i="13" a="1"/>
  <c r="D6" i="13" s="1"/>
  <c r="L49" i="13" a="1"/>
  <c r="L49" i="13" s="1"/>
  <c r="G69" i="13" a="1"/>
  <c r="G69" i="13" s="1"/>
  <c r="I19" i="13" a="1"/>
  <c r="I19" i="13" s="1"/>
  <c r="G52" i="5" a="1"/>
  <c r="G52" i="5" s="1"/>
  <c r="J28" i="5" a="1"/>
  <c r="J28" i="5" s="1"/>
  <c r="H22" i="5" a="1"/>
  <c r="H22" i="5" s="1"/>
  <c r="H48" i="5" a="1"/>
  <c r="H48" i="5" s="1"/>
  <c r="I58" i="5" a="1"/>
  <c r="I58" i="5" s="1"/>
  <c r="K23" i="5" a="1"/>
  <c r="K23" i="5" s="1"/>
  <c r="H26" i="5" a="1"/>
  <c r="H26" i="5" s="1"/>
  <c r="I67" i="5" a="1"/>
  <c r="I67" i="5" s="1"/>
  <c r="I6" i="5" a="1"/>
  <c r="I6" i="5" s="1"/>
  <c r="M64" i="5" a="1"/>
  <c r="M64" i="5" s="1"/>
  <c r="M10" i="5" a="1"/>
  <c r="M10" i="5" s="1"/>
  <c r="M31" i="5" a="1"/>
  <c r="M31" i="5" s="1"/>
  <c r="D65" i="5" a="1"/>
  <c r="D65" i="5" s="1"/>
  <c r="D58" i="5" a="1"/>
  <c r="D58" i="5" s="1"/>
  <c r="M36" i="5" a="1"/>
  <c r="M36" i="5" s="1"/>
  <c r="K18" i="5" a="1"/>
  <c r="K18" i="5" s="1"/>
  <c r="I59" i="13" a="1"/>
  <c r="I59" i="13" s="1"/>
  <c r="D44" i="13" a="1"/>
  <c r="D44" i="13" s="1"/>
  <c r="I52" i="13" a="1"/>
  <c r="I52" i="13" s="1"/>
  <c r="H55" i="13" a="1"/>
  <c r="H55" i="13" s="1"/>
  <c r="I40" i="13" a="1"/>
  <c r="I40" i="13" s="1"/>
  <c r="L39" i="13" a="1"/>
  <c r="L39" i="13" s="1"/>
  <c r="L76" i="13" a="1"/>
  <c r="L76" i="13" s="1"/>
  <c r="J30" i="13" a="1"/>
  <c r="J30" i="13" s="1"/>
  <c r="H16" i="13" a="1"/>
  <c r="H16" i="13" s="1"/>
  <c r="M70" i="13" a="1"/>
  <c r="M70" i="13" s="1"/>
  <c r="J47" i="13" a="1"/>
  <c r="J47" i="13" s="1"/>
  <c r="L6" i="13" a="1"/>
  <c r="L6" i="13" s="1"/>
  <c r="D49" i="13" a="1"/>
  <c r="D49" i="13" s="1"/>
  <c r="H58" i="13" a="1"/>
  <c r="H58" i="13" s="1"/>
  <c r="M69" i="13" a="1"/>
  <c r="M69" i="13" s="1"/>
  <c r="L57" i="13" a="1"/>
  <c r="L57" i="13" s="1"/>
  <c r="J19" i="13" a="1"/>
  <c r="J19" i="13" s="1"/>
  <c r="G71" i="13" a="1"/>
  <c r="G71" i="13" s="1"/>
  <c r="J70" i="5" a="1"/>
  <c r="J70" i="5" s="1"/>
  <c r="G40" i="13" a="1"/>
  <c r="G40" i="13" s="1"/>
  <c r="G73" i="5" a="1"/>
  <c r="G73" i="5" s="1"/>
  <c r="L53" i="5" a="1"/>
  <c r="L53" i="5" s="1"/>
  <c r="J53" i="5" a="1"/>
  <c r="J53" i="5" s="1"/>
  <c r="D23" i="5" a="1"/>
  <c r="D23" i="5" s="1"/>
  <c r="L59" i="13" a="1"/>
  <c r="L59" i="13" s="1"/>
  <c r="H33" i="13" a="1"/>
  <c r="H33" i="13" s="1"/>
  <c r="G60" i="13" a="1"/>
  <c r="G60" i="13" s="1"/>
  <c r="H73" i="5" a="1"/>
  <c r="H73" i="5" s="1"/>
  <c r="L34" i="5" a="1"/>
  <c r="L34" i="5" s="1"/>
  <c r="J31" i="5" a="1"/>
  <c r="J31" i="5" s="1"/>
  <c r="H39" i="13" a="1"/>
  <c r="H39" i="13" s="1"/>
  <c r="K6" i="13" a="1"/>
  <c r="K6" i="13" s="1"/>
  <c r="D19" i="13" a="1"/>
  <c r="D19" i="13" s="1"/>
  <c r="G58" i="5" a="1"/>
  <c r="G58" i="5" s="1"/>
  <c r="I23" i="5" a="1"/>
  <c r="I23" i="5" s="1"/>
  <c r="L23" i="5" a="1"/>
  <c r="L23" i="5" s="1"/>
  <c r="I48" i="5" a="1"/>
  <c r="I48" i="5" s="1"/>
  <c r="J13" i="5" a="1"/>
  <c r="J13" i="5" s="1"/>
  <c r="K33" i="13" a="1"/>
  <c r="K33" i="13" s="1"/>
  <c r="M39" i="13" a="1"/>
  <c r="M39" i="13" s="1"/>
  <c r="G76" i="13" a="1"/>
  <c r="G76" i="13" s="1"/>
  <c r="K16" i="13" a="1"/>
  <c r="K16" i="13" s="1"/>
  <c r="H70" i="13" a="1"/>
  <c r="H70" i="13" s="1"/>
  <c r="D47" i="13" a="1"/>
  <c r="D47" i="13" s="1"/>
  <c r="G6" i="13" a="1"/>
  <c r="G6" i="13" s="1"/>
  <c r="G49" i="13" a="1"/>
  <c r="G49" i="13" s="1"/>
  <c r="L58" i="13" a="1"/>
  <c r="L58" i="13" s="1"/>
  <c r="H69" i="13" a="1"/>
  <c r="H69" i="13" s="1"/>
  <c r="M19" i="13" a="1"/>
  <c r="M19" i="13" s="1"/>
  <c r="I70" i="5" a="1"/>
  <c r="I70" i="5" s="1"/>
  <c r="J72" i="5" a="1"/>
  <c r="J72" i="5" s="1"/>
  <c r="K72" i="5" a="1"/>
  <c r="K72" i="5" s="1"/>
  <c r="J11" i="5" a="1"/>
  <c r="J11" i="5" s="1"/>
  <c r="M76" i="5" a="1"/>
  <c r="M76" i="5" s="1"/>
  <c r="I74" i="5" a="1"/>
  <c r="I74" i="5" s="1"/>
  <c r="M61" i="5" a="1"/>
  <c r="M61" i="5" s="1"/>
  <c r="D36" i="5" a="1"/>
  <c r="D36" i="5" s="1"/>
  <c r="D28" i="5" a="1"/>
  <c r="D28" i="5" s="1"/>
  <c r="M23" i="5" a="1"/>
  <c r="M23" i="5" s="1"/>
  <c r="I44" i="13" a="1"/>
  <c r="I44" i="13" s="1"/>
  <c r="J55" i="13" a="1"/>
  <c r="J55" i="13" s="1"/>
  <c r="I33" i="13" a="1"/>
  <c r="I33" i="13" s="1"/>
  <c r="I39" i="13" a="1"/>
  <c r="I39" i="13" s="1"/>
  <c r="M76" i="13" a="1"/>
  <c r="M76" i="13" s="1"/>
  <c r="H43" i="13" a="1"/>
  <c r="H43" i="13" s="1"/>
  <c r="H60" i="13" a="1"/>
  <c r="H60" i="13" s="1"/>
  <c r="D16" i="13" a="1"/>
  <c r="D16" i="13" s="1"/>
  <c r="I70" i="13" a="1"/>
  <c r="I70" i="13" s="1"/>
  <c r="L47" i="13" a="1"/>
  <c r="L47" i="13" s="1"/>
  <c r="H67" i="13" a="1"/>
  <c r="H67" i="13" s="1"/>
  <c r="M49" i="13" a="1"/>
  <c r="M49" i="13" s="1"/>
  <c r="L68" i="13" a="1"/>
  <c r="L68" i="13" s="1"/>
  <c r="L14" i="13" a="1"/>
  <c r="L14" i="13" s="1"/>
  <c r="H19" i="13" a="1"/>
  <c r="H19" i="13" s="1"/>
  <c r="L13" i="5" a="1"/>
  <c r="L13" i="5" s="1"/>
  <c r="G44" i="13" a="1"/>
  <c r="G44" i="13" s="1"/>
  <c r="I69" i="13" a="1"/>
  <c r="I69" i="13" s="1"/>
  <c r="G38" i="5" a="1"/>
  <c r="G38" i="5" s="1"/>
  <c r="G28" i="5" a="1"/>
  <c r="G28" i="5" s="1"/>
  <c r="K48" i="5" a="1"/>
  <c r="K48" i="5" s="1"/>
  <c r="L30" i="5" a="1"/>
  <c r="L30" i="5" s="1"/>
  <c r="K70" i="5" a="1"/>
  <c r="K70" i="5" s="1"/>
  <c r="J23" i="5" a="1"/>
  <c r="J23" i="5" s="1"/>
  <c r="G13" i="5" a="1"/>
  <c r="G13" i="5" s="1"/>
  <c r="G72" i="5" a="1"/>
  <c r="G72" i="5" s="1"/>
  <c r="M28" i="5" a="1"/>
  <c r="M28" i="5" s="1"/>
  <c r="D53" i="5" a="1"/>
  <c r="D53" i="5" s="1"/>
  <c r="D38" i="5" a="1"/>
  <c r="D38" i="5" s="1"/>
  <c r="D10" i="5" a="1"/>
  <c r="D10" i="5" s="1"/>
  <c r="D34" i="5" a="1"/>
  <c r="D34" i="5" s="1"/>
  <c r="J44" i="13" a="1"/>
  <c r="J44" i="13" s="1"/>
  <c r="K55" i="13" a="1"/>
  <c r="K55" i="13" s="1"/>
  <c r="J33" i="13" a="1"/>
  <c r="J33" i="13" s="1"/>
  <c r="J39" i="13" a="1"/>
  <c r="J39" i="13" s="1"/>
  <c r="H76" i="13" a="1"/>
  <c r="H76" i="13" s="1"/>
  <c r="J43" i="13" a="1"/>
  <c r="J43" i="13" s="1"/>
  <c r="I60" i="13" a="1"/>
  <c r="I60" i="13" s="1"/>
  <c r="J70" i="13" a="1"/>
  <c r="J70" i="13" s="1"/>
  <c r="G47" i="13" a="1"/>
  <c r="G47" i="13" s="1"/>
  <c r="I67" i="13" a="1"/>
  <c r="I67" i="13" s="1"/>
  <c r="I49" i="13" a="1"/>
  <c r="I49" i="13" s="1"/>
  <c r="G68" i="13" a="1"/>
  <c r="G68" i="13" s="1"/>
  <c r="D14" i="13" a="1"/>
  <c r="D14" i="13" s="1"/>
  <c r="K19" i="13" a="1"/>
  <c r="K19" i="13" s="1"/>
  <c r="K76" i="5" a="1"/>
  <c r="K76" i="5" s="1"/>
  <c r="D73" i="5" a="1"/>
  <c r="D73" i="5" s="1"/>
  <c r="L52" i="13" a="1"/>
  <c r="L52" i="13" s="1"/>
  <c r="J34" i="5" a="1"/>
  <c r="J34" i="5" s="1"/>
  <c r="J38" i="5" a="1"/>
  <c r="J38" i="5" s="1"/>
  <c r="L26" i="5" a="1"/>
  <c r="L26" i="5" s="1"/>
  <c r="I30" i="5" a="1"/>
  <c r="I30" i="5" s="1"/>
  <c r="M52" i="13" a="1"/>
  <c r="M52" i="13" s="1"/>
  <c r="M40" i="13" a="1"/>
  <c r="M40" i="13" s="1"/>
  <c r="L64" i="5" a="1"/>
  <c r="L64" i="5" s="1"/>
  <c r="H58" i="5" a="1"/>
  <c r="H58" i="5" s="1"/>
  <c r="H70" i="5" a="1"/>
  <c r="H70" i="5" s="1"/>
  <c r="K31" i="5" a="1"/>
  <c r="K31" i="5" s="1"/>
  <c r="M6" i="5" a="1"/>
  <c r="M6" i="5" s="1"/>
  <c r="D76" i="5" a="1"/>
  <c r="D76" i="5" s="1"/>
  <c r="D22" i="5" a="1"/>
  <c r="D22" i="5" s="1"/>
  <c r="H44" i="13" a="1"/>
  <c r="H44" i="13" s="1"/>
  <c r="I55" i="13" a="1"/>
  <c r="I55" i="13" s="1"/>
  <c r="L6" i="5" a="1"/>
  <c r="L6" i="5" s="1"/>
  <c r="J76" i="5" a="1"/>
  <c r="J76" i="5" s="1"/>
  <c r="J22" i="5" a="1"/>
  <c r="J22" i="5" s="1"/>
  <c r="H6" i="5" a="1"/>
  <c r="H6" i="5" s="1"/>
  <c r="J6" i="5" a="1"/>
  <c r="J6" i="5" s="1"/>
  <c r="G61" i="5" a="1"/>
  <c r="G61" i="5" s="1"/>
  <c r="L76" i="5" a="1"/>
  <c r="L76" i="5" s="1"/>
  <c r="L74" i="5" a="1"/>
  <c r="L74" i="5" s="1"/>
  <c r="I11" i="5" a="1"/>
  <c r="I11" i="5" s="1"/>
  <c r="I46" i="5" a="1"/>
  <c r="I46" i="5" s="1"/>
  <c r="I36" i="5" a="1"/>
  <c r="I36" i="5" s="1"/>
  <c r="G34" i="5" a="1"/>
  <c r="G34" i="5" s="1"/>
  <c r="G5" i="5" a="1"/>
  <c r="G5" i="5" s="1"/>
  <c r="H78" i="5" a="1"/>
  <c r="H78" i="5" s="1"/>
  <c r="M38" i="5" a="1"/>
  <c r="M38" i="5" s="1"/>
  <c r="M22" i="5" a="1"/>
  <c r="M22" i="5" s="1"/>
  <c r="D72" i="5" a="1"/>
  <c r="D72" i="5" s="1"/>
  <c r="D61" i="5" a="1"/>
  <c r="D61" i="5" s="1"/>
  <c r="D52" i="5" a="1"/>
  <c r="D52" i="5" s="1"/>
  <c r="G77" i="13" a="1"/>
  <c r="G77" i="13" s="1"/>
  <c r="D55" i="13" a="1"/>
  <c r="D55" i="13" s="1"/>
  <c r="D33" i="13" a="1"/>
  <c r="D33" i="13" s="1"/>
  <c r="I76" i="13" a="1"/>
  <c r="I76" i="13" s="1"/>
  <c r="K43" i="13" a="1"/>
  <c r="K43" i="13" s="1"/>
  <c r="J60" i="13" a="1"/>
  <c r="J60" i="13" s="1"/>
  <c r="K70" i="13" a="1"/>
  <c r="K70" i="13" s="1"/>
  <c r="M47" i="13" a="1"/>
  <c r="M47" i="13" s="1"/>
  <c r="K67" i="13" a="1"/>
  <c r="K67" i="13" s="1"/>
  <c r="I68" i="13" a="1"/>
  <c r="I68" i="13" s="1"/>
  <c r="G14" i="13" a="1"/>
  <c r="G14" i="13" s="1"/>
  <c r="G65" i="13" a="1"/>
  <c r="G65" i="13" s="1"/>
  <c r="G59" i="13" a="1"/>
  <c r="G59" i="13" s="1"/>
  <c r="G52" i="13" a="1"/>
  <c r="G52" i="13" s="1"/>
  <c r="M60" i="13" a="1"/>
  <c r="M60" i="13" s="1"/>
  <c r="G21" i="5" a="1"/>
  <c r="G21" i="5" s="1"/>
  <c r="M59" i="13" a="1"/>
  <c r="M59" i="13" s="1"/>
  <c r="H38" i="5" a="1"/>
  <c r="H38" i="5" s="1"/>
  <c r="I22" i="5" a="1"/>
  <c r="I22" i="5" s="1"/>
  <c r="K58" i="5" a="1"/>
  <c r="K58" i="5" s="1"/>
  <c r="I26" i="5" a="1"/>
  <c r="I26" i="5" s="1"/>
  <c r="M5" i="5" a="1"/>
  <c r="M5" i="5" s="1"/>
  <c r="L28" i="5" a="1"/>
  <c r="L28" i="5" s="1"/>
  <c r="K22" i="5" a="1"/>
  <c r="K22" i="5" s="1"/>
  <c r="J58" i="5" a="1"/>
  <c r="J58" i="5" s="1"/>
  <c r="K11" i="5" a="1"/>
  <c r="K11" i="5" s="1"/>
  <c r="H46" i="5" a="1"/>
  <c r="H46" i="5" s="1"/>
  <c r="J5" i="5" a="1"/>
  <c r="J5" i="5" s="1"/>
  <c r="G74" i="5" a="1"/>
  <c r="G74" i="5" s="1"/>
  <c r="J48" i="5" a="1"/>
  <c r="J48" i="5" s="1"/>
  <c r="K44" i="5" a="1"/>
  <c r="K44" i="5" s="1"/>
  <c r="K46" i="5" a="1"/>
  <c r="K46" i="5" s="1"/>
  <c r="K36" i="5" a="1"/>
  <c r="K36" i="5" s="1"/>
  <c r="H21" i="5" a="1"/>
  <c r="H21" i="5" s="1"/>
  <c r="H53" i="5" a="1"/>
  <c r="H53" i="5" s="1"/>
  <c r="H31" i="5" a="1"/>
  <c r="H31" i="5" s="1"/>
  <c r="I78" i="5" a="1"/>
  <c r="I78" i="5" s="1"/>
  <c r="H76" i="5" a="1"/>
  <c r="H76" i="5" s="1"/>
  <c r="I31" i="5" a="1"/>
  <c r="I31" i="5" s="1"/>
  <c r="K61" i="5" a="1"/>
  <c r="K61" i="5" s="1"/>
  <c r="J74" i="5" a="1"/>
  <c r="J74" i="5" s="1"/>
  <c r="M78" i="5" a="1"/>
  <c r="M78" i="5" s="1"/>
  <c r="K38" i="5" a="1"/>
  <c r="K38" i="5" s="1"/>
  <c r="D6" i="5" a="1"/>
  <c r="D6" i="5" s="1"/>
  <c r="D31" i="5" a="1"/>
  <c r="D31" i="5" s="1"/>
  <c r="D70" i="5" a="1"/>
  <c r="D70" i="5" s="1"/>
  <c r="L55" i="13" a="1"/>
  <c r="L55" i="13" s="1"/>
  <c r="G24" i="13" a="1"/>
  <c r="G24" i="13" s="1"/>
  <c r="D67" i="13" a="1"/>
  <c r="D67" i="13" s="1"/>
  <c r="M65" i="13" a="1"/>
  <c r="M65" i="13" s="1"/>
  <c r="I7" i="5" a="1"/>
  <c r="I7" i="5" s="1"/>
  <c r="G7" i="5" a="1"/>
  <c r="G7" i="5" s="1"/>
  <c r="M28" i="13" a="1"/>
  <c r="M28" i="13" s="1"/>
  <c r="G16" i="5" a="1"/>
  <c r="G16" i="5" s="1"/>
  <c r="L52" i="5" a="1"/>
  <c r="L52" i="5" s="1"/>
  <c r="K32" i="5" a="1"/>
  <c r="K32" i="5" s="1"/>
  <c r="G48" i="5" a="1"/>
  <c r="G48" i="5" s="1"/>
  <c r="G51" i="5" a="1"/>
  <c r="G51" i="5" s="1"/>
  <c r="I76" i="5" a="1"/>
  <c r="I76" i="5" s="1"/>
  <c r="K15" i="5" a="1"/>
  <c r="K15" i="5" s="1"/>
  <c r="G69" i="5" a="1"/>
  <c r="G69" i="5" s="1"/>
  <c r="M18" i="5" a="1"/>
  <c r="M18" i="5" s="1"/>
  <c r="D51" i="5" a="1"/>
  <c r="D51" i="5" s="1"/>
  <c r="K74" i="13" a="1"/>
  <c r="K74" i="13" s="1"/>
  <c r="K45" i="13" a="1"/>
  <c r="K45" i="13" s="1"/>
  <c r="M17" i="13" a="1"/>
  <c r="M17" i="13" s="1"/>
  <c r="L38" i="13" a="1"/>
  <c r="L38" i="13" s="1"/>
  <c r="G13" i="13" a="1"/>
  <c r="G13" i="13" s="1"/>
  <c r="D54" i="13" a="1"/>
  <c r="D54" i="13" s="1"/>
  <c r="H20" i="13" a="1"/>
  <c r="H20" i="13" s="1"/>
  <c r="J37" i="13" a="1"/>
  <c r="J37" i="13" s="1"/>
  <c r="G35" i="13" a="1"/>
  <c r="G35" i="13" s="1"/>
  <c r="J6" i="13" a="1"/>
  <c r="J6" i="13" s="1"/>
  <c r="H28" i="13" a="1"/>
  <c r="H28" i="13" s="1"/>
  <c r="K49" i="13" a="1"/>
  <c r="K49" i="13" s="1"/>
  <c r="D68" i="13" a="1"/>
  <c r="D68" i="13" s="1"/>
  <c r="L71" i="5" a="1"/>
  <c r="L71" i="5" s="1"/>
  <c r="M7" i="5" a="1"/>
  <c r="M7" i="5" s="1"/>
  <c r="M54" i="5" a="1"/>
  <c r="M54" i="5" s="1"/>
  <c r="J32" i="5" a="1"/>
  <c r="J32" i="5" s="1"/>
  <c r="M69" i="5" a="1"/>
  <c r="M69" i="5" s="1"/>
  <c r="D45" i="13" a="1"/>
  <c r="D45" i="13" s="1"/>
  <c r="L54" i="13" a="1"/>
  <c r="L54" i="13" s="1"/>
  <c r="L20" i="13" a="1"/>
  <c r="L20" i="13" s="1"/>
  <c r="M35" i="13" a="1"/>
  <c r="M35" i="13" s="1"/>
  <c r="I28" i="13" a="1"/>
  <c r="I28" i="13" s="1"/>
  <c r="I32" i="5" a="1"/>
  <c r="I32" i="5" s="1"/>
  <c r="J74" i="13" a="1"/>
  <c r="J74" i="13" s="1"/>
  <c r="J13" i="13" a="1"/>
  <c r="J13" i="13" s="1"/>
  <c r="H35" i="13" a="1"/>
  <c r="H35" i="13" s="1"/>
  <c r="D7" i="5" a="1"/>
  <c r="D7" i="5" s="1"/>
  <c r="D38" i="13" a="1"/>
  <c r="D38" i="13" s="1"/>
  <c r="G20" i="13" a="1"/>
  <c r="G20" i="13" s="1"/>
  <c r="K35" i="13" a="1"/>
  <c r="K35" i="13" s="1"/>
  <c r="K51" i="5" a="1"/>
  <c r="K51" i="5" s="1"/>
  <c r="J54" i="5" a="1"/>
  <c r="J54" i="5" s="1"/>
  <c r="M16" i="5" a="1"/>
  <c r="M16" i="5" s="1"/>
  <c r="M41" i="13" a="1"/>
  <c r="M41" i="13" s="1"/>
  <c r="G74" i="13" a="1"/>
  <c r="G74" i="13" s="1"/>
  <c r="G45" i="13" a="1"/>
  <c r="G45" i="13" s="1"/>
  <c r="I17" i="13" a="1"/>
  <c r="I17" i="13" s="1"/>
  <c r="H38" i="13" a="1"/>
  <c r="H38" i="13" s="1"/>
  <c r="G54" i="13" a="1"/>
  <c r="G54" i="13" s="1"/>
  <c r="K20" i="13" a="1"/>
  <c r="K20" i="13" s="1"/>
  <c r="I35" i="13" a="1"/>
  <c r="I35" i="13" s="1"/>
  <c r="H49" i="13" a="1"/>
  <c r="H49" i="13" s="1"/>
  <c r="M58" i="13" a="1"/>
  <c r="M58" i="13" s="1"/>
  <c r="M68" i="13" a="1"/>
  <c r="M68" i="13" s="1"/>
  <c r="L13" i="13" a="1"/>
  <c r="L13" i="13" s="1"/>
  <c r="K35" i="5" a="1"/>
  <c r="K35" i="5" s="1"/>
  <c r="G41" i="13" a="1"/>
  <c r="G41" i="13" s="1"/>
  <c r="L17" i="13" a="1"/>
  <c r="L17" i="13" s="1"/>
  <c r="G32" i="5" a="1"/>
  <c r="G32" i="5" s="1"/>
  <c r="H27" i="13" a="1"/>
  <c r="H27" i="13" s="1"/>
  <c r="M25" i="13" a="1"/>
  <c r="M25" i="13" s="1"/>
  <c r="M54" i="13" a="1"/>
  <c r="M54" i="13" s="1"/>
  <c r="G58" i="13" a="1"/>
  <c r="G58" i="13" s="1"/>
  <c r="G17" i="13" a="1"/>
  <c r="G17" i="13" s="1"/>
  <c r="I37" i="13" a="1"/>
  <c r="I37" i="13" s="1"/>
  <c r="I35" i="5" a="1"/>
  <c r="I35" i="5" s="1"/>
  <c r="K54" i="5" a="1"/>
  <c r="K54" i="5" s="1"/>
  <c r="D74" i="13" a="1"/>
  <c r="D74" i="13" s="1"/>
  <c r="H17" i="13" a="1"/>
  <c r="H17" i="13" s="1"/>
  <c r="J51" i="5" a="1"/>
  <c r="J51" i="5" s="1"/>
  <c r="D69" i="5" a="1"/>
  <c r="D69" i="5" s="1"/>
  <c r="L74" i="13" a="1"/>
  <c r="L74" i="13" s="1"/>
  <c r="M38" i="13" a="1"/>
  <c r="M38" i="13" s="1"/>
  <c r="J20" i="13" a="1"/>
  <c r="J20" i="13" s="1"/>
  <c r="M51" i="5" a="1"/>
  <c r="M51" i="5" s="1"/>
  <c r="I69" i="5" a="1"/>
  <c r="I69" i="5" s="1"/>
  <c r="H35" i="5" a="1"/>
  <c r="H35" i="5" s="1"/>
  <c r="G71" i="5" a="1"/>
  <c r="G71" i="5" s="1"/>
  <c r="H72" i="5" a="1"/>
  <c r="H72" i="5" s="1"/>
  <c r="L16" i="5" a="1"/>
  <c r="L16" i="5" s="1"/>
  <c r="L72" i="5" a="1"/>
  <c r="L72" i="5" s="1"/>
  <c r="L5" i="5" a="1"/>
  <c r="L5" i="5" s="1"/>
  <c r="I54" i="5" a="1"/>
  <c r="I54" i="5" s="1"/>
  <c r="H54" i="5" a="1"/>
  <c r="H54" i="5" s="1"/>
  <c r="M52" i="5" a="1"/>
  <c r="M52" i="5" s="1"/>
  <c r="D16" i="5" a="1"/>
  <c r="D16" i="5" s="1"/>
  <c r="D78" i="5" a="1"/>
  <c r="D78" i="5" s="1"/>
  <c r="I41" i="13" a="1"/>
  <c r="I41" i="13" s="1"/>
  <c r="H74" i="13" a="1"/>
  <c r="H74" i="13" s="1"/>
  <c r="H45" i="13" a="1"/>
  <c r="H45" i="13" s="1"/>
  <c r="L27" i="13" a="1"/>
  <c r="L27" i="13" s="1"/>
  <c r="D25" i="13" a="1"/>
  <c r="D25" i="13" s="1"/>
  <c r="H54" i="13" a="1"/>
  <c r="H54" i="13" s="1"/>
  <c r="I58" i="13" a="1"/>
  <c r="I58" i="13" s="1"/>
  <c r="K68" i="13" a="1"/>
  <c r="K68" i="13" s="1"/>
  <c r="D7" i="13" a="1"/>
  <c r="D7" i="13" s="1"/>
  <c r="I65" i="13" a="1"/>
  <c r="I65" i="13" s="1"/>
  <c r="M5" i="13" a="1"/>
  <c r="M5" i="13" s="1"/>
  <c r="K7" i="5" a="1"/>
  <c r="K7" i="5" s="1"/>
  <c r="M32" i="5" a="1"/>
  <c r="M32" i="5" s="1"/>
  <c r="L51" i="5" a="1"/>
  <c r="L51" i="5" s="1"/>
  <c r="L32" i="5" a="1"/>
  <c r="L32" i="5" s="1"/>
  <c r="L45" i="13" a="1"/>
  <c r="L45" i="13" s="1"/>
  <c r="J15" i="5" a="1"/>
  <c r="J15" i="5" s="1"/>
  <c r="K69" i="5" a="1"/>
  <c r="K69" i="5" s="1"/>
  <c r="L69" i="5" a="1"/>
  <c r="L69" i="5" s="1"/>
  <c r="J41" i="13" a="1"/>
  <c r="J41" i="13" s="1"/>
  <c r="G25" i="13" a="1"/>
  <c r="G25" i="13" s="1"/>
  <c r="L7" i="13" a="1"/>
  <c r="L7" i="13" s="1"/>
  <c r="K7" i="13" a="1"/>
  <c r="K7" i="13" s="1"/>
  <c r="D15" i="5" a="1"/>
  <c r="D15" i="5" s="1"/>
  <c r="K27" i="13" a="1"/>
  <c r="K27" i="13" s="1"/>
  <c r="J16" i="5" a="1"/>
  <c r="J16" i="5" s="1"/>
  <c r="M13" i="13" a="1"/>
  <c r="M13" i="13" s="1"/>
  <c r="K54" i="13" a="1"/>
  <c r="K54" i="13" s="1"/>
  <c r="J60" i="5" a="1"/>
  <c r="J60" i="5" s="1"/>
  <c r="I51" i="5" a="1"/>
  <c r="I51" i="5" s="1"/>
  <c r="K52" i="5" a="1"/>
  <c r="K52" i="5" s="1"/>
  <c r="H41" i="13" a="1"/>
  <c r="H41" i="13" s="1"/>
  <c r="J69" i="5" a="1"/>
  <c r="J69" i="5" s="1"/>
  <c r="K71" i="5" a="1"/>
  <c r="K71" i="5" s="1"/>
  <c r="K30" i="5" a="1"/>
  <c r="K30" i="5" s="1"/>
  <c r="J30" i="5" a="1"/>
  <c r="J30" i="5" s="1"/>
  <c r="J7" i="5" a="1"/>
  <c r="J7" i="5" s="1"/>
  <c r="D54" i="5" a="1"/>
  <c r="D54" i="5" s="1"/>
  <c r="M67" i="5" a="1"/>
  <c r="M67" i="5" s="1"/>
  <c r="K41" i="13" a="1"/>
  <c r="K41" i="13" s="1"/>
  <c r="J76" i="13" a="1"/>
  <c r="J76" i="13" s="1"/>
  <c r="M27" i="13" a="1"/>
  <c r="M27" i="13" s="1"/>
  <c r="K25" i="13" a="1"/>
  <c r="K25" i="13" s="1"/>
  <c r="J54" i="13" a="1"/>
  <c r="J54" i="13" s="1"/>
  <c r="L28" i="13" a="1"/>
  <c r="L28" i="13" s="1"/>
  <c r="K58" i="13" a="1"/>
  <c r="K58" i="13" s="1"/>
  <c r="D69" i="13" a="1"/>
  <c r="D69" i="13" s="1"/>
  <c r="G9" i="13" a="1"/>
  <c r="G9" i="13" s="1"/>
  <c r="G7" i="13" a="1"/>
  <c r="G7" i="13" s="1"/>
  <c r="L19" i="13" a="1"/>
  <c r="L19" i="13" s="1"/>
  <c r="K65" i="13" a="1"/>
  <c r="K65" i="13" s="1"/>
  <c r="D5" i="13" a="1"/>
  <c r="D5" i="13" s="1"/>
  <c r="K17" i="13" a="1"/>
  <c r="K17" i="13" s="1"/>
  <c r="G28" i="13" a="1"/>
  <c r="G28" i="13" s="1"/>
  <c r="G38" i="13" a="1"/>
  <c r="G38" i="13" s="1"/>
  <c r="G15" i="5" a="1"/>
  <c r="G15" i="5" s="1"/>
  <c r="H13" i="13" a="1"/>
  <c r="H13" i="13" s="1"/>
  <c r="G35" i="5" a="1"/>
  <c r="G35" i="5" s="1"/>
  <c r="I15" i="5" a="1"/>
  <c r="I15" i="5" s="1"/>
  <c r="M45" i="13" a="1"/>
  <c r="M45" i="13" s="1"/>
  <c r="H71" i="5" a="1"/>
  <c r="H71" i="5" s="1"/>
  <c r="H5" i="5" a="1"/>
  <c r="H5" i="5" s="1"/>
  <c r="K5" i="5" a="1"/>
  <c r="K5" i="5" s="1"/>
  <c r="H22" i="13" a="1"/>
  <c r="H22" i="13" s="1"/>
  <c r="D27" i="13" a="1"/>
  <c r="D27" i="13" s="1"/>
  <c r="K28" i="13" a="1"/>
  <c r="K28" i="13" s="1"/>
  <c r="J58" i="13" a="1"/>
  <c r="J58" i="13" s="1"/>
  <c r="G5" i="13" a="1"/>
  <c r="G5" i="13" s="1"/>
  <c r="I16" i="5" a="1"/>
  <c r="I16" i="5" s="1"/>
  <c r="I52" i="5" a="1"/>
  <c r="I52" i="5" s="1"/>
  <c r="G78" i="5" a="1"/>
  <c r="G78" i="5" s="1"/>
  <c r="H7" i="5" a="1"/>
  <c r="H7" i="5" s="1"/>
  <c r="M35" i="5" a="1"/>
  <c r="M35" i="5" s="1"/>
  <c r="D74" i="5" a="1"/>
  <c r="D74" i="5" s="1"/>
  <c r="L48" i="5" a="1"/>
  <c r="L48" i="5" s="1"/>
  <c r="L18" i="5" a="1"/>
  <c r="L18" i="5" s="1"/>
  <c r="K13" i="13" a="1"/>
  <c r="K13" i="13" s="1"/>
  <c r="L25" i="13" a="1"/>
  <c r="L25" i="13" s="1"/>
  <c r="G37" i="13" a="1"/>
  <c r="G37" i="13" s="1"/>
  <c r="L69" i="13" a="1"/>
  <c r="L69" i="13" s="1"/>
  <c r="H7" i="13" a="1"/>
  <c r="H7" i="13" s="1"/>
  <c r="L65" i="13" a="1"/>
  <c r="L65" i="13" s="1"/>
  <c r="H5" i="13" a="1"/>
  <c r="H5" i="13" s="1"/>
  <c r="L12" i="13" a="1"/>
  <c r="L12" i="13" s="1"/>
  <c r="G56" i="5" a="1"/>
  <c r="G56" i="5" s="1"/>
  <c r="K55" i="5" a="1"/>
  <c r="K55" i="5" s="1"/>
  <c r="D50" i="5" a="1"/>
  <c r="D50" i="5" s="1"/>
  <c r="G29" i="13" a="1"/>
  <c r="G29" i="13" s="1"/>
  <c r="H46" i="13" a="1"/>
  <c r="H46" i="13" s="1"/>
  <c r="G18" i="13" a="1"/>
  <c r="G18" i="13" s="1"/>
  <c r="M57" i="13" a="1"/>
  <c r="M57" i="13" s="1"/>
  <c r="K18" i="13" a="1"/>
  <c r="K18" i="13" s="1"/>
  <c r="K37" i="5" a="1"/>
  <c r="K37" i="5" s="1"/>
  <c r="M29" i="13" a="1"/>
  <c r="M29" i="13" s="1"/>
  <c r="H49" i="5" a="1"/>
  <c r="H49" i="5" s="1"/>
  <c r="K50" i="5" a="1"/>
  <c r="K50" i="5" s="1"/>
  <c r="J37" i="5" a="1"/>
  <c r="J37" i="5" s="1"/>
  <c r="M9" i="5" a="1"/>
  <c r="M9" i="5" s="1"/>
  <c r="M57" i="5" a="1"/>
  <c r="M57" i="5" s="1"/>
  <c r="J29" i="13" a="1"/>
  <c r="J29" i="13" s="1"/>
  <c r="M46" i="13" a="1"/>
  <c r="M46" i="13" s="1"/>
  <c r="M18" i="13" a="1"/>
  <c r="M18" i="13" s="1"/>
  <c r="H57" i="13" a="1"/>
  <c r="H57" i="13" s="1"/>
  <c r="I10" i="13" a="1"/>
  <c r="I10" i="13" s="1"/>
  <c r="I55" i="5" a="1"/>
  <c r="I55" i="5" s="1"/>
  <c r="G55" i="5" a="1"/>
  <c r="G55" i="5" s="1"/>
  <c r="M50" i="5" a="1"/>
  <c r="M50" i="5" s="1"/>
  <c r="D55" i="5" a="1"/>
  <c r="D55" i="5" s="1"/>
  <c r="K29" i="13" a="1"/>
  <c r="K29" i="13" s="1"/>
  <c r="G46" i="13" a="1"/>
  <c r="G46" i="13" s="1"/>
  <c r="I18" i="13" a="1"/>
  <c r="I18" i="13" s="1"/>
  <c r="G12" i="5" a="1"/>
  <c r="G12" i="5" s="1"/>
  <c r="D29" i="13" a="1"/>
  <c r="D29" i="13" s="1"/>
  <c r="I50" i="13" a="1"/>
  <c r="I50" i="13" s="1"/>
  <c r="J24" i="13" a="1"/>
  <c r="J24" i="13" s="1"/>
  <c r="I46" i="13" a="1"/>
  <c r="I46" i="13" s="1"/>
  <c r="J18" i="13" a="1"/>
  <c r="J18" i="13" s="1"/>
  <c r="D61" i="13" a="1"/>
  <c r="D61" i="13" s="1"/>
  <c r="I61" i="13" a="1"/>
  <c r="I61" i="13" s="1"/>
  <c r="M37" i="5" a="1"/>
  <c r="M37" i="5" s="1"/>
  <c r="H50" i="13" a="1"/>
  <c r="H50" i="13" s="1"/>
  <c r="K10" i="13" a="1"/>
  <c r="K10" i="13" s="1"/>
  <c r="D9" i="5" a="1"/>
  <c r="D9" i="5" s="1"/>
  <c r="H55" i="5" a="1"/>
  <c r="H55" i="5" s="1"/>
  <c r="H12" i="5" a="1"/>
  <c r="H12" i="5" s="1"/>
  <c r="K12" i="5" a="1"/>
  <c r="K12" i="5" s="1"/>
  <c r="L27" i="5" a="1"/>
  <c r="L27" i="5" s="1"/>
  <c r="L29" i="13" a="1"/>
  <c r="L29" i="13" s="1"/>
  <c r="J50" i="13" a="1"/>
  <c r="J50" i="13" s="1"/>
  <c r="H24" i="13" a="1"/>
  <c r="H24" i="13" s="1"/>
  <c r="K34" i="13" a="1"/>
  <c r="K34" i="13" s="1"/>
  <c r="G53" i="13" a="1"/>
  <c r="G53" i="13" s="1"/>
  <c r="J46" i="13" a="1"/>
  <c r="J46" i="13" s="1"/>
  <c r="J10" i="13" a="1"/>
  <c r="J10" i="13" s="1"/>
  <c r="K12" i="13" a="1"/>
  <c r="K12" i="13" s="1"/>
  <c r="L61" i="13" a="1"/>
  <c r="L61" i="13" s="1"/>
  <c r="L50" i="5" a="1"/>
  <c r="L50" i="5" s="1"/>
  <c r="K50" i="13" a="1"/>
  <c r="K50" i="13" s="1"/>
  <c r="I24" i="13" a="1"/>
  <c r="I24" i="13" s="1"/>
  <c r="D34" i="13" a="1"/>
  <c r="D34" i="13" s="1"/>
  <c r="H53" i="13" a="1"/>
  <c r="H53" i="13" s="1"/>
  <c r="K46" i="13" a="1"/>
  <c r="K46" i="13" s="1"/>
  <c r="G10" i="13" a="1"/>
  <c r="G10" i="13" s="1"/>
  <c r="H12" i="13" a="1"/>
  <c r="H12" i="13" s="1"/>
  <c r="K61" i="13" a="1"/>
  <c r="K61" i="13" s="1"/>
  <c r="J55" i="5" a="1"/>
  <c r="J55" i="5" s="1"/>
  <c r="M24" i="13" a="1"/>
  <c r="M24" i="13" s="1"/>
  <c r="J61" i="13" a="1"/>
  <c r="J61" i="13" s="1"/>
  <c r="L18" i="13" a="1"/>
  <c r="L18" i="13" s="1"/>
  <c r="D27" i="5" a="1"/>
  <c r="D27" i="5" s="1"/>
  <c r="I12" i="5" a="1"/>
  <c r="I12" i="5" s="1"/>
  <c r="J27" i="5" a="1"/>
  <c r="J27" i="5" s="1"/>
  <c r="J14" i="5" a="1"/>
  <c r="J14" i="5" s="1"/>
  <c r="L37" i="5" a="1"/>
  <c r="L37" i="5" s="1"/>
  <c r="I9" i="5" a="1"/>
  <c r="I9" i="5" s="1"/>
  <c r="M49" i="5" a="1"/>
  <c r="M49" i="5" s="1"/>
  <c r="D12" i="5" a="1"/>
  <c r="D12" i="5" s="1"/>
  <c r="G27" i="5" a="1"/>
  <c r="G27" i="5" s="1"/>
  <c r="K56" i="5" a="1"/>
  <c r="K56" i="5" s="1"/>
  <c r="L14" i="5" a="1"/>
  <c r="L14" i="5" s="1"/>
  <c r="I71" i="5" a="1"/>
  <c r="I71" i="5" s="1"/>
  <c r="G57" i="5" a="1"/>
  <c r="G57" i="5" s="1"/>
  <c r="I27" i="5" a="1"/>
  <c r="I27" i="5" s="1"/>
  <c r="I43" i="5" a="1"/>
  <c r="I43" i="5" s="1"/>
  <c r="G37" i="5" a="1"/>
  <c r="G37" i="5" s="1"/>
  <c r="D49" i="5" a="1"/>
  <c r="D49" i="5" s="1"/>
  <c r="D35" i="5" a="1"/>
  <c r="D35" i="5" s="1"/>
  <c r="M8" i="13" a="1"/>
  <c r="M8" i="13" s="1"/>
  <c r="J62" i="13" a="1"/>
  <c r="J62" i="13" s="1"/>
  <c r="D50" i="13" a="1"/>
  <c r="D50" i="13" s="1"/>
  <c r="K24" i="13" a="1"/>
  <c r="K24" i="13" s="1"/>
  <c r="M53" i="13" a="1"/>
  <c r="M53" i="13" s="1"/>
  <c r="D17" i="13" a="1"/>
  <c r="D17" i="13" s="1"/>
  <c r="D46" i="13" a="1"/>
  <c r="D46" i="13" s="1"/>
  <c r="M10" i="13" a="1"/>
  <c r="M10" i="13" s="1"/>
  <c r="M12" i="13" a="1"/>
  <c r="M12" i="13" s="1"/>
  <c r="G61" i="13" a="1"/>
  <c r="G61" i="13" s="1"/>
  <c r="K37" i="13" a="1"/>
  <c r="K37" i="13" s="1"/>
  <c r="J64" i="13" a="1"/>
  <c r="J64" i="13" s="1"/>
  <c r="H68" i="13" a="1"/>
  <c r="H68" i="13" s="1"/>
  <c r="I57" i="13" a="1"/>
  <c r="I57" i="13" s="1"/>
  <c r="I7" i="13" a="1"/>
  <c r="I7" i="13" s="1"/>
  <c r="L5" i="13" a="1"/>
  <c r="L5" i="13" s="1"/>
  <c r="D18" i="13" a="1"/>
  <c r="D18" i="13" s="1"/>
  <c r="H37" i="5" a="1"/>
  <c r="H37" i="5" s="1"/>
  <c r="G50" i="5" a="1"/>
  <c r="G50" i="5" s="1"/>
  <c r="G9" i="5" a="1"/>
  <c r="G9" i="5" s="1"/>
  <c r="K9" i="5" a="1"/>
  <c r="K9" i="5" s="1"/>
  <c r="J57" i="5" a="1"/>
  <c r="J57" i="5" s="1"/>
  <c r="D37" i="5" a="1"/>
  <c r="D37" i="5" s="1"/>
  <c r="D57" i="5" a="1"/>
  <c r="D57" i="5" s="1"/>
  <c r="D14" i="5" a="1"/>
  <c r="D14" i="5" s="1"/>
  <c r="J9" i="5" a="1"/>
  <c r="J9" i="5" s="1"/>
  <c r="I56" i="5" a="1"/>
  <c r="I56" i="5" s="1"/>
  <c r="G49" i="5" a="1"/>
  <c r="G49" i="5" s="1"/>
  <c r="M55" i="5" a="1"/>
  <c r="M55" i="5" s="1"/>
  <c r="J56" i="5" a="1"/>
  <c r="J56" i="5" s="1"/>
  <c r="M56" i="5" a="1"/>
  <c r="M56" i="5" s="1"/>
  <c r="K8" i="13" a="1"/>
  <c r="K8" i="13" s="1"/>
  <c r="L50" i="13" a="1"/>
  <c r="L50" i="13" s="1"/>
  <c r="D24" i="13" a="1"/>
  <c r="D24" i="13" s="1"/>
  <c r="J45" i="13" a="1"/>
  <c r="J45" i="13" s="1"/>
  <c r="I53" i="13" a="1"/>
  <c r="I53" i="13" s="1"/>
  <c r="H10" i="13" a="1"/>
  <c r="H10" i="13" s="1"/>
  <c r="G12" i="13" a="1"/>
  <c r="G12" i="13" s="1"/>
  <c r="M61" i="13" a="1"/>
  <c r="M61" i="13" s="1"/>
  <c r="D37" i="13" a="1"/>
  <c r="D37" i="13" s="1"/>
  <c r="J57" i="13" a="1"/>
  <c r="J57" i="13" s="1"/>
  <c r="M7" i="13" a="1"/>
  <c r="M7" i="13" s="1"/>
  <c r="H9" i="5" a="1"/>
  <c r="H9" i="5" s="1"/>
  <c r="K57" i="5" a="1"/>
  <c r="K57" i="5" s="1"/>
  <c r="K27" i="5" a="1"/>
  <c r="K27" i="5" s="1"/>
  <c r="J50" i="5" a="1"/>
  <c r="J50" i="5" s="1"/>
  <c r="H50" i="5" a="1"/>
  <c r="H50" i="5" s="1"/>
  <c r="H14" i="5" a="1"/>
  <c r="H14" i="5" s="1"/>
  <c r="K49" i="5" a="1"/>
  <c r="K49" i="5" s="1"/>
  <c r="K14" i="5" a="1"/>
  <c r="K14" i="5" s="1"/>
  <c r="L56" i="5" a="1"/>
  <c r="L56" i="5" s="1"/>
  <c r="J71" i="5" a="1"/>
  <c r="J71" i="5" s="1"/>
  <c r="G14" i="5" a="1"/>
  <c r="G14" i="5" s="1"/>
  <c r="J43" i="5" a="1"/>
  <c r="J43" i="5" s="1"/>
  <c r="H43" i="5" a="1"/>
  <c r="H43" i="5" s="1"/>
  <c r="H30" i="5" a="1"/>
  <c r="H30" i="5" s="1"/>
  <c r="L15" i="5" a="1"/>
  <c r="L15" i="5" s="1"/>
  <c r="M30" i="5" a="1"/>
  <c r="M30" i="5" s="1"/>
  <c r="J49" i="5" a="1"/>
  <c r="J49" i="5" s="1"/>
  <c r="D26" i="5" a="1"/>
  <c r="D26" i="5" s="1"/>
  <c r="D5" i="5" a="1"/>
  <c r="D5" i="5" s="1"/>
  <c r="D30" i="5" a="1"/>
  <c r="D30" i="5" s="1"/>
  <c r="D63" i="5" a="1"/>
  <c r="D63" i="5" s="1"/>
  <c r="K40" i="13" a="1"/>
  <c r="K40" i="13" s="1"/>
  <c r="I12" i="13" a="1"/>
  <c r="I12" i="13" s="1"/>
  <c r="G67" i="13" a="1"/>
  <c r="G67" i="13" s="1"/>
  <c r="J69" i="13" a="1"/>
  <c r="J69" i="13" s="1"/>
  <c r="D19" i="5" a="1"/>
  <c r="D19" i="5" s="1"/>
  <c r="G59" i="5" a="1"/>
  <c r="G59" i="5" s="1"/>
  <c r="I22" i="13" a="1"/>
  <c r="I22" i="13" s="1"/>
  <c r="K64" i="13" a="1"/>
  <c r="K64" i="13" s="1"/>
  <c r="J29" i="5" a="1"/>
  <c r="J29" i="5" s="1"/>
  <c r="K19" i="5" a="1"/>
  <c r="K19" i="5" s="1"/>
  <c r="D40" i="5" a="1"/>
  <c r="D40" i="5" s="1"/>
  <c r="M22" i="13" a="1"/>
  <c r="M22" i="13" s="1"/>
  <c r="D64" i="13" a="1"/>
  <c r="D64" i="13" s="1"/>
  <c r="H60" i="5" a="1"/>
  <c r="H60" i="5" s="1"/>
  <c r="M60" i="5" a="1"/>
  <c r="M60" i="5" s="1"/>
  <c r="I29" i="5" a="1"/>
  <c r="I29" i="5" s="1"/>
  <c r="G22" i="13" a="1"/>
  <c r="G22" i="13" s="1"/>
  <c r="L64" i="13" a="1"/>
  <c r="L64" i="13" s="1"/>
  <c r="J44" i="5" a="1"/>
  <c r="J44" i="5" s="1"/>
  <c r="I60" i="5" a="1"/>
  <c r="I60" i="5" s="1"/>
  <c r="H29" i="5" a="1"/>
  <c r="H29" i="5" s="1"/>
  <c r="D29" i="5" a="1"/>
  <c r="D29" i="5" s="1"/>
  <c r="D75" i="13" a="1"/>
  <c r="D75" i="13" s="1"/>
  <c r="J22" i="13" a="1"/>
  <c r="J22" i="13" s="1"/>
  <c r="G64" i="13" a="1"/>
  <c r="G64" i="13" s="1"/>
  <c r="G56" i="13" a="1"/>
  <c r="G56" i="13" s="1"/>
  <c r="K60" i="5" a="1"/>
  <c r="K60" i="5" s="1"/>
  <c r="D44" i="5" a="1"/>
  <c r="D44" i="5" s="1"/>
  <c r="L75" i="13" a="1"/>
  <c r="L75" i="13" s="1"/>
  <c r="K22" i="13" a="1"/>
  <c r="K22" i="13" s="1"/>
  <c r="M64" i="13" a="1"/>
  <c r="M64" i="13" s="1"/>
  <c r="L56" i="13" a="1"/>
  <c r="L56" i="13" s="1"/>
  <c r="I40" i="5" a="1"/>
  <c r="I40" i="5" s="1"/>
  <c r="J19" i="5" a="1"/>
  <c r="J19" i="5" s="1"/>
  <c r="L29" i="5" a="1"/>
  <c r="L29" i="5" s="1"/>
  <c r="G75" i="13" a="1"/>
  <c r="G75" i="13" s="1"/>
  <c r="D22" i="13" a="1"/>
  <c r="D22" i="13" s="1"/>
  <c r="H64" i="13" a="1"/>
  <c r="H64" i="13" s="1"/>
  <c r="M56" i="13" a="1"/>
  <c r="M56" i="13" s="1"/>
  <c r="G40" i="5" a="1"/>
  <c r="G40" i="5" s="1"/>
  <c r="I19" i="5" a="1"/>
  <c r="I19" i="5" s="1"/>
  <c r="M75" i="13" a="1"/>
  <c r="M75" i="13" s="1"/>
  <c r="D56" i="13" a="1"/>
  <c r="D56" i="13" s="1"/>
  <c r="J59" i="5" a="1"/>
  <c r="J59" i="5" s="1"/>
  <c r="D60" i="5" a="1"/>
  <c r="D60" i="5" s="1"/>
  <c r="H75" i="13" a="1"/>
  <c r="H75" i="13" s="1"/>
  <c r="H56" i="13" a="1"/>
  <c r="H56" i="13" s="1"/>
  <c r="M40" i="5" a="1"/>
  <c r="M40" i="5" s="1"/>
  <c r="G60" i="5" a="1"/>
  <c r="G60" i="5" s="1"/>
  <c r="H59" i="5" a="1"/>
  <c r="H59" i="5" s="1"/>
  <c r="G19" i="5" a="1"/>
  <c r="G19" i="5" s="1"/>
  <c r="M44" i="5" a="1"/>
  <c r="M44" i="5" s="1"/>
  <c r="I75" i="13" a="1"/>
  <c r="I75" i="13" s="1"/>
  <c r="I56" i="13" a="1"/>
  <c r="I56" i="13" s="1"/>
  <c r="M19" i="5" a="1"/>
  <c r="M19" i="5" s="1"/>
  <c r="L44" i="5" a="1"/>
  <c r="L44" i="5" s="1"/>
  <c r="L40" i="5" a="1"/>
  <c r="L40" i="5" s="1"/>
  <c r="J40" i="5" a="1"/>
  <c r="J40" i="5" s="1"/>
  <c r="L59" i="5" a="1"/>
  <c r="L59" i="5" s="1"/>
  <c r="I59" i="5" a="1"/>
  <c r="I59" i="5" s="1"/>
  <c r="H19" i="5" a="1"/>
  <c r="H19" i="5" s="1"/>
  <c r="H44" i="5" a="1"/>
  <c r="H44" i="5" s="1"/>
  <c r="J75" i="13" a="1"/>
  <c r="J75" i="13" s="1"/>
  <c r="J56" i="13" a="1"/>
  <c r="J56" i="13" s="1"/>
  <c r="D59" i="5" a="1"/>
  <c r="D59" i="5" s="1"/>
  <c r="I44" i="5" a="1"/>
  <c r="I44" i="5" s="1"/>
  <c r="K59" i="5" a="1"/>
  <c r="K59" i="5" s="1"/>
  <c r="K40" i="5" a="1"/>
  <c r="K40" i="5" s="1"/>
  <c r="M29" i="5" a="1"/>
  <c r="M29" i="5" s="1"/>
  <c r="K29" i="5" a="1"/>
  <c r="K29" i="5" s="1"/>
  <c r="J5" i="13" a="1"/>
  <c r="J5" i="13" s="1"/>
  <c r="K5" i="13" a="1"/>
  <c r="K5" i="13" s="1"/>
  <c r="H13" i="2" a="1"/>
  <c r="H13" i="2" s="1"/>
  <c r="H14" i="2" a="1"/>
  <c r="H14" i="2" s="1"/>
  <c r="H19" i="2" a="1"/>
  <c r="H19" i="2" s="1"/>
  <c r="H20" i="2" a="1"/>
  <c r="H20" i="2" s="1"/>
  <c r="H21" i="2" a="1"/>
  <c r="H21" i="2" s="1"/>
  <c r="H11" i="2" a="1"/>
  <c r="H11" i="2" s="1"/>
  <c r="H15" i="2" a="1"/>
  <c r="H15" i="2" s="1"/>
  <c r="H52" i="2" a="1"/>
  <c r="H52" i="2" s="1"/>
  <c r="H50" i="2" a="1"/>
  <c r="H50" i="2" s="1"/>
  <c r="H46" i="2" a="1"/>
  <c r="H46" i="2" s="1"/>
  <c r="H42" i="2" a="1"/>
  <c r="H42" i="2" s="1"/>
  <c r="H39" i="2" a="1"/>
  <c r="H39" i="2" s="1"/>
  <c r="H37" i="2" a="1"/>
  <c r="H37" i="2" s="1"/>
  <c r="H29" i="2" a="1"/>
  <c r="H29" i="2" s="1"/>
  <c r="H47" i="2" a="1"/>
  <c r="H47" i="2" s="1"/>
  <c r="H33" i="2" a="1"/>
  <c r="H33" i="2" s="1"/>
  <c r="H53" i="2" a="1"/>
  <c r="H53" i="2" s="1"/>
  <c r="H44" i="2" a="1"/>
  <c r="H44" i="2" s="1"/>
  <c r="H27" i="2" a="1"/>
  <c r="H27" i="2" s="1"/>
  <c r="H54" i="2" a="1"/>
  <c r="H54" i="2" s="1"/>
  <c r="H48" i="2" a="1"/>
  <c r="H48" i="2" s="1"/>
  <c r="H24" i="2" a="1"/>
  <c r="H24" i="2" s="1"/>
  <c r="H31" i="2" a="1"/>
  <c r="H31" i="2" s="1"/>
  <c r="H51" i="2" a="1"/>
  <c r="H51" i="2" s="1"/>
  <c r="H43" i="2" a="1"/>
  <c r="H43" i="2" s="1"/>
  <c r="H45" i="2" a="1"/>
  <c r="H45" i="2" s="1"/>
  <c r="H35" i="2" a="1"/>
  <c r="H35" i="2" s="1"/>
  <c r="H28" i="2" a="1"/>
  <c r="H28" i="2" s="1"/>
  <c r="H49" i="2" a="1"/>
  <c r="H49" i="2" s="1"/>
  <c r="H41" i="2" a="1"/>
  <c r="H41" i="2" s="1"/>
  <c r="H36" i="2" a="1"/>
  <c r="H36" i="2" s="1"/>
  <c r="H5" i="2" a="1"/>
  <c r="H5" i="2" s="1"/>
  <c r="H32" i="2" a="1"/>
  <c r="H32" i="2" s="1"/>
  <c r="H23" i="2" a="1"/>
  <c r="H23" i="2" s="1"/>
  <c r="H38" i="2" a="1"/>
  <c r="H38" i="2" s="1"/>
  <c r="H34" i="2" a="1"/>
  <c r="H34" i="2" s="1"/>
  <c r="H40" i="2" a="1"/>
  <c r="H40" i="2" s="1"/>
  <c r="H25" i="2" a="1"/>
  <c r="H25" i="2" s="1"/>
  <c r="H17" i="2" a="1"/>
  <c r="H17" i="2" s="1"/>
  <c r="H6" i="2" a="1"/>
  <c r="H6" i="2" s="1"/>
  <c r="H18" i="2" a="1"/>
  <c r="H18" i="2" s="1"/>
  <c r="H7" i="2" a="1"/>
  <c r="H7" i="2" s="1"/>
  <c r="H8" i="2" a="1"/>
  <c r="H8" i="2" s="1"/>
  <c r="U15" i="5" l="1"/>
  <c r="U52" i="5"/>
  <c r="U87" i="5"/>
  <c r="U100" i="5"/>
  <c r="U89" i="5"/>
  <c r="U39" i="5"/>
  <c r="U88" i="5"/>
  <c r="U53" i="5"/>
  <c r="U16" i="5"/>
  <c r="U10" i="5"/>
  <c r="U64" i="5"/>
  <c r="U51" i="5"/>
  <c r="U17" i="5"/>
  <c r="U28" i="5"/>
  <c r="U75" i="5"/>
  <c r="U80" i="5"/>
  <c r="U68" i="5"/>
  <c r="U95" i="5"/>
  <c r="U83" i="5"/>
  <c r="U50" i="5"/>
  <c r="U76" i="5"/>
  <c r="U11" i="5"/>
  <c r="U21" i="5"/>
  <c r="U74" i="5"/>
  <c r="U79" i="5"/>
  <c r="U92" i="5"/>
  <c r="U43" i="5"/>
  <c r="U62" i="5"/>
  <c r="U25" i="5"/>
  <c r="U67" i="5"/>
  <c r="U44" i="5"/>
  <c r="U60" i="5"/>
  <c r="U14" i="5"/>
  <c r="U48" i="5"/>
  <c r="U86" i="5"/>
  <c r="U65" i="5"/>
  <c r="U96" i="5"/>
  <c r="U57" i="5"/>
  <c r="U59" i="5"/>
  <c r="U24" i="5"/>
  <c r="U34" i="5"/>
  <c r="U49" i="5"/>
  <c r="U5" i="5"/>
  <c r="U13" i="5"/>
  <c r="U69" i="5"/>
  <c r="U37" i="5"/>
  <c r="U47" i="5"/>
  <c r="U46" i="5"/>
  <c r="U85" i="5"/>
  <c r="U97" i="5"/>
  <c r="U23" i="5"/>
  <c r="U38" i="5"/>
  <c r="U70" i="5"/>
  <c r="U71" i="5"/>
  <c r="U103" i="5"/>
  <c r="U73" i="5"/>
  <c r="U42" i="5"/>
  <c r="U41" i="5"/>
  <c r="U94" i="5"/>
  <c r="U26" i="5"/>
  <c r="U12" i="5"/>
  <c r="U33" i="5"/>
  <c r="U29" i="5"/>
  <c r="U84" i="5"/>
  <c r="U61" i="5"/>
  <c r="U58" i="5"/>
  <c r="U31" i="5"/>
  <c r="U35" i="5"/>
  <c r="U78" i="5"/>
  <c r="U98" i="5"/>
  <c r="U7" i="5"/>
  <c r="U22" i="5"/>
  <c r="U77" i="5"/>
  <c r="U8" i="5"/>
  <c r="U32" i="5"/>
  <c r="U55" i="5"/>
  <c r="U20" i="5"/>
  <c r="U30" i="5"/>
  <c r="U56" i="5"/>
  <c r="U93" i="5"/>
  <c r="U101" i="5"/>
  <c r="U6" i="5"/>
  <c r="U91" i="5"/>
  <c r="U19" i="5"/>
  <c r="U40" i="5"/>
  <c r="U82" i="5"/>
  <c r="U66" i="5"/>
  <c r="U102" i="5"/>
  <c r="U9" i="5"/>
  <c r="U27" i="5"/>
  <c r="U45" i="5"/>
  <c r="U18" i="5"/>
  <c r="U36" i="5"/>
  <c r="U54" i="5"/>
  <c r="U90" i="5"/>
  <c r="U63" i="5"/>
  <c r="U72" i="5"/>
  <c r="U99" i="5"/>
  <c r="U81" i="5"/>
  <c r="AL6" i="34"/>
  <c r="AK7" i="34"/>
  <c r="G26" i="25"/>
  <c r="K26" i="25"/>
  <c r="J26" i="25"/>
  <c r="G27" i="25"/>
  <c r="K27" i="25"/>
  <c r="J27" i="25"/>
  <c r="H27" i="25"/>
  <c r="D28" i="25" s="1"/>
  <c r="F28" i="25" s="1"/>
  <c r="D9" i="25"/>
  <c r="F9" i="25" s="1"/>
  <c r="H9" i="25"/>
  <c r="G9" i="25"/>
  <c r="J9" i="25"/>
  <c r="K9" i="25"/>
  <c r="I50" i="2" a="1"/>
  <c r="I50" i="2" s="1"/>
  <c r="I42" i="2" a="1"/>
  <c r="I42" i="2" s="1"/>
  <c r="I36" i="2" a="1"/>
  <c r="I36" i="2" s="1"/>
  <c r="I53" i="2" a="1"/>
  <c r="I53" i="2" s="1"/>
  <c r="I48" i="2" a="1"/>
  <c r="I48" i="2" s="1"/>
  <c r="I47" i="2" a="1"/>
  <c r="I47" i="2" s="1"/>
  <c r="I41" i="2" a="1"/>
  <c r="I41" i="2" s="1"/>
  <c r="I44" i="2" a="1"/>
  <c r="I44" i="2" s="1"/>
  <c r="I9" i="2" a="1"/>
  <c r="I9" i="2" s="1"/>
  <c r="I6" i="2" a="1"/>
  <c r="I6" i="2" s="1"/>
  <c r="I45" i="2" a="1"/>
  <c r="I45" i="2" s="1"/>
  <c r="I54" i="2" a="1"/>
  <c r="I54" i="2" s="1"/>
  <c r="I10" i="2" a="1"/>
  <c r="I10" i="2" s="1"/>
  <c r="I7" i="2" a="1"/>
  <c r="I7" i="2" s="1"/>
  <c r="I37" i="2" a="1"/>
  <c r="I37" i="2" s="1"/>
  <c r="I52" i="2" a="1"/>
  <c r="I52" i="2" s="1"/>
  <c r="I49" i="2" a="1"/>
  <c r="I49" i="2" s="1"/>
  <c r="I8" i="2" a="1"/>
  <c r="I8" i="2" s="1"/>
  <c r="I46" i="2" a="1"/>
  <c r="I46" i="2" s="1"/>
  <c r="I40" i="2" a="1"/>
  <c r="I40" i="2" s="1"/>
  <c r="I5" i="2" a="1"/>
  <c r="I5" i="2" s="1"/>
  <c r="I51" i="2" a="1"/>
  <c r="I51" i="2" s="1"/>
  <c r="I43" i="2" a="1"/>
  <c r="I43" i="2" s="1"/>
  <c r="I39" i="2" a="1"/>
  <c r="I39" i="2" s="1"/>
  <c r="I38" i="2" a="1"/>
  <c r="I38" i="2" s="1"/>
  <c r="I11" i="2" a="1"/>
  <c r="I11" i="2" s="1"/>
  <c r="I21" i="2" a="1"/>
  <c r="I21" i="2" s="1"/>
  <c r="I20" i="2" a="1"/>
  <c r="I20" i="2" s="1"/>
  <c r="I22" i="2" a="1"/>
  <c r="I22" i="2" s="1"/>
  <c r="I34" i="2" a="1"/>
  <c r="I34" i="2" s="1"/>
  <c r="I30" i="2" a="1"/>
  <c r="I30" i="2" s="1"/>
  <c r="I26" i="2" a="1"/>
  <c r="I26" i="2" s="1"/>
  <c r="I31" i="2" a="1"/>
  <c r="I31" i="2" s="1"/>
  <c r="I14" i="2" a="1"/>
  <c r="I14" i="2" s="1"/>
  <c r="I18" i="2" a="1"/>
  <c r="I18" i="2" s="1"/>
  <c r="I19" i="2" a="1"/>
  <c r="I19" i="2" s="1"/>
  <c r="I29" i="2" a="1"/>
  <c r="I29" i="2" s="1"/>
  <c r="I13" i="2" a="1"/>
  <c r="I13" i="2" s="1"/>
  <c r="I17" i="2" a="1"/>
  <c r="I17" i="2" s="1"/>
  <c r="I28" i="2" a="1"/>
  <c r="I28" i="2" s="1"/>
  <c r="I35" i="2" a="1"/>
  <c r="I35" i="2" s="1"/>
  <c r="I12" i="2" a="1"/>
  <c r="I12" i="2" s="1"/>
  <c r="I16" i="2" a="1"/>
  <c r="I16" i="2" s="1"/>
  <c r="I27" i="2" a="1"/>
  <c r="I27" i="2" s="1"/>
  <c r="I33" i="2" a="1"/>
  <c r="I33" i="2" s="1"/>
  <c r="I23" i="2" a="1"/>
  <c r="I23" i="2" s="1"/>
  <c r="I25" i="2" a="1"/>
  <c r="I25" i="2" s="1"/>
  <c r="I32" i="2" a="1"/>
  <c r="I32" i="2" s="1"/>
  <c r="I24" i="2" a="1"/>
  <c r="I24" i="2" s="1"/>
  <c r="I15" i="2" a="1"/>
  <c r="I15" i="2" s="1"/>
  <c r="AL11" i="34" l="1"/>
  <c r="AL8" i="34"/>
  <c r="AL10" i="34"/>
  <c r="AM10" i="34" s="1"/>
  <c r="AL7" i="34"/>
  <c r="AL9" i="34"/>
  <c r="G28" i="25"/>
  <c r="K28" i="25"/>
  <c r="J28" i="25"/>
  <c r="E28" i="25"/>
  <c r="H28" i="25"/>
  <c r="E10" i="25"/>
  <c r="D10" i="25"/>
  <c r="F10" i="25" s="1"/>
  <c r="E29" i="25" l="1"/>
  <c r="D29" i="25"/>
  <c r="H29" i="25" s="1"/>
  <c r="H10" i="25"/>
  <c r="E11" i="25" s="1"/>
  <c r="K10" i="25"/>
  <c r="G10" i="25"/>
  <c r="J10" i="25"/>
  <c r="D30" i="25" l="1"/>
  <c r="F30" i="25" s="1"/>
  <c r="E30" i="25"/>
  <c r="F29" i="25"/>
  <c r="D11" i="25"/>
  <c r="F11" i="25" s="1"/>
  <c r="G11" i="25" s="1"/>
  <c r="G29" i="25" l="1"/>
  <c r="K29" i="25"/>
  <c r="J29" i="25"/>
  <c r="G30" i="25"/>
  <c r="K30" i="25"/>
  <c r="J30" i="25"/>
  <c r="H30" i="25"/>
  <c r="E31" i="25" s="1"/>
  <c r="K11" i="25"/>
  <c r="J11" i="25"/>
  <c r="H11" i="25"/>
  <c r="E12" i="25" s="1"/>
  <c r="D12" i="25" l="1"/>
  <c r="F12" i="25" s="1"/>
  <c r="D31" i="25"/>
  <c r="H31" i="25" s="1"/>
  <c r="E32" i="25" s="1"/>
  <c r="H12" i="25"/>
  <c r="D13" i="25" s="1"/>
  <c r="G12" i="25"/>
  <c r="J12" i="25"/>
  <c r="K12" i="25"/>
  <c r="E13" i="25"/>
  <c r="F31" i="25" l="1"/>
  <c r="D32" i="25"/>
  <c r="F32" i="25" s="1"/>
  <c r="H13" i="25"/>
  <c r="E14" i="25" s="1"/>
  <c r="F13" i="25"/>
  <c r="D14" i="25" l="1"/>
  <c r="F14" i="25" s="1"/>
  <c r="J14" i="25" s="1"/>
  <c r="G32" i="25"/>
  <c r="J32" i="25"/>
  <c r="K32" i="25"/>
  <c r="H32" i="25"/>
  <c r="E33" i="25" s="1"/>
  <c r="G31" i="25"/>
  <c r="K31" i="25"/>
  <c r="J31" i="25"/>
  <c r="G13" i="25"/>
  <c r="K13" i="25"/>
  <c r="J13" i="25"/>
  <c r="K14" i="25" l="1"/>
  <c r="G14" i="25"/>
  <c r="H14" i="25"/>
  <c r="D15" i="25" s="1"/>
  <c r="F15" i="25" s="1"/>
  <c r="G15" i="25" s="1"/>
  <c r="D33" i="25"/>
  <c r="H33" i="25" s="1"/>
  <c r="D34" i="25" s="1"/>
  <c r="F34" i="25" s="1"/>
  <c r="J15" i="25" l="1"/>
  <c r="K15" i="25"/>
  <c r="E15" i="25"/>
  <c r="H15" i="25"/>
  <c r="E16" i="25" s="1"/>
  <c r="F33" i="25"/>
  <c r="G33" i="25" s="1"/>
  <c r="E34" i="25"/>
  <c r="K33" i="25"/>
  <c r="G34" i="25"/>
  <c r="J34" i="25"/>
  <c r="K34" i="25"/>
  <c r="H34" i="25"/>
  <c r="J33" i="25" l="1"/>
  <c r="D16" i="25"/>
  <c r="F16" i="25" s="1"/>
  <c r="K16" i="25" s="1"/>
  <c r="D35" i="25"/>
  <c r="H35" i="25" s="1"/>
  <c r="E35" i="25"/>
  <c r="J16" i="25" l="1"/>
  <c r="G16" i="25"/>
  <c r="H16" i="25"/>
  <c r="F35" i="25"/>
  <c r="D36" i="25"/>
  <c r="H36" i="25" s="1"/>
  <c r="E36" i="25"/>
  <c r="E17" i="25"/>
  <c r="D17" i="25"/>
  <c r="H17" i="25" s="1"/>
  <c r="G35" i="25" l="1"/>
  <c r="J35" i="25"/>
  <c r="K35" i="25"/>
  <c r="D37" i="25"/>
  <c r="F37" i="25" s="1"/>
  <c r="E37" i="25"/>
  <c r="F36" i="25"/>
  <c r="E18" i="25"/>
  <c r="D18" i="25"/>
  <c r="F18" i="25" s="1"/>
  <c r="F17" i="25"/>
  <c r="G36" i="25" l="1"/>
  <c r="J36" i="25"/>
  <c r="K36" i="25"/>
  <c r="G37" i="25"/>
  <c r="K37" i="25"/>
  <c r="J37" i="25"/>
  <c r="H37" i="25"/>
  <c r="H18" i="25"/>
  <c r="G18" i="25"/>
  <c r="J18" i="25"/>
  <c r="K18" i="25"/>
  <c r="J17" i="25"/>
  <c r="K17" i="25"/>
  <c r="G17" i="25"/>
  <c r="D38" i="25" l="1"/>
  <c r="F38" i="25" s="1"/>
  <c r="E38" i="25"/>
  <c r="E19" i="25"/>
  <c r="D19" i="25"/>
  <c r="F19" i="25" s="1"/>
  <c r="G38" i="25" l="1"/>
  <c r="K38" i="25"/>
  <c r="J38" i="25"/>
  <c r="H38" i="25"/>
  <c r="H19" i="25"/>
  <c r="G19" i="25"/>
  <c r="K19" i="25"/>
  <c r="J19" i="25"/>
  <c r="E39" i="25" l="1"/>
  <c r="D39" i="25"/>
  <c r="F39" i="25" s="1"/>
  <c r="E20" i="25"/>
  <c r="D20" i="25"/>
  <c r="F20" i="25" s="1"/>
  <c r="G39" i="25" l="1"/>
  <c r="K39" i="25"/>
  <c r="J39" i="25"/>
  <c r="H39" i="25"/>
  <c r="H20" i="25"/>
  <c r="G20" i="25"/>
  <c r="K20" i="25"/>
  <c r="J20" i="25"/>
  <c r="D40" i="25" l="1"/>
  <c r="H40" i="25" s="1"/>
  <c r="E40" i="25"/>
  <c r="D21" i="25"/>
  <c r="F21" i="25" s="1"/>
  <c r="G21" i="25" s="1"/>
  <c r="E21" i="25"/>
  <c r="F40" i="25" l="1"/>
  <c r="G40" i="25" s="1"/>
  <c r="E41" i="25"/>
  <c r="D41" i="25"/>
  <c r="H41" i="25" s="1"/>
  <c r="H21" i="25"/>
  <c r="J40" i="25" l="1"/>
  <c r="K40" i="25"/>
  <c r="F41" i="25"/>
  <c r="D42" i="25"/>
  <c r="F42" i="25" s="1"/>
  <c r="E42" i="25"/>
  <c r="G42" i="25" l="1"/>
  <c r="K42" i="25"/>
  <c r="J42" i="25"/>
  <c r="G41" i="25"/>
  <c r="K41" i="25"/>
  <c r="J41" i="25"/>
  <c r="H42" i="25"/>
  <c r="E43" i="25" l="1"/>
  <c r="D43" i="25"/>
  <c r="H43" i="25" s="1"/>
  <c r="E44" i="25" l="1"/>
  <c r="D44" i="25"/>
  <c r="H44" i="25" s="1"/>
  <c r="F43" i="25"/>
  <c r="G43" i="25" l="1"/>
  <c r="K43" i="25"/>
  <c r="J43" i="25"/>
  <c r="F44" i="25"/>
  <c r="D45" i="25"/>
  <c r="H45" i="25" s="1"/>
  <c r="E45" i="25"/>
  <c r="G44" i="25" l="1"/>
  <c r="J44" i="25"/>
  <c r="K44" i="25"/>
  <c r="F45" i="25"/>
  <c r="D46" i="25"/>
  <c r="H46" i="25" s="1"/>
  <c r="E46" i="25"/>
  <c r="F46" i="25" l="1"/>
  <c r="G45" i="25"/>
  <c r="J45" i="25"/>
  <c r="K45" i="25"/>
  <c r="D47" i="25"/>
  <c r="F47" i="25" s="1"/>
  <c r="E47" i="25"/>
  <c r="H47" i="25" l="1"/>
  <c r="G47" i="25"/>
  <c r="J47" i="25"/>
  <c r="K47" i="25"/>
  <c r="G46" i="25"/>
  <c r="J46" i="25"/>
  <c r="K46" i="25"/>
  <c r="E48" i="25"/>
  <c r="D48" i="25"/>
  <c r="H48" i="25" s="1"/>
  <c r="D49" i="25" l="1"/>
  <c r="F49" i="25" s="1"/>
  <c r="E49" i="25"/>
  <c r="F48" i="25"/>
  <c r="H49" i="25" l="1"/>
  <c r="E50" i="25" s="1"/>
  <c r="G48" i="25"/>
  <c r="J48" i="25"/>
  <c r="K48" i="25"/>
  <c r="G49" i="25"/>
  <c r="K49" i="25"/>
  <c r="J49" i="25"/>
  <c r="D50" i="25" l="1"/>
  <c r="F50" i="25" s="1"/>
  <c r="G50" i="25" s="1"/>
  <c r="H50" i="25" l="1"/>
  <c r="J50" i="25"/>
  <c r="K50" i="25"/>
  <c r="E51" i="25"/>
  <c r="D51" i="25"/>
  <c r="F51" i="25" s="1"/>
  <c r="G51" i="25" l="1"/>
  <c r="K51" i="25"/>
  <c r="J51" i="25"/>
  <c r="H51" i="25"/>
  <c r="D52" i="25" l="1"/>
  <c r="H52" i="25" s="1"/>
  <c r="E52" i="25"/>
  <c r="F52" i="25" l="1"/>
  <c r="D53" i="25"/>
  <c r="H53" i="25" s="1"/>
  <c r="E53" i="25"/>
  <c r="G52" i="25" l="1"/>
  <c r="K52" i="25"/>
  <c r="J52" i="25"/>
  <c r="D54" i="25"/>
  <c r="F54" i="25" s="1"/>
  <c r="G54" i="25" s="1"/>
  <c r="E54" i="25"/>
  <c r="F53" i="25"/>
  <c r="G53" i="25" s="1"/>
  <c r="H54" i="25" l="1"/>
  <c r="E55" i="25" s="1"/>
  <c r="D55" i="25" l="1"/>
  <c r="F55" i="25" s="1"/>
  <c r="G55" i="25" s="1"/>
  <c r="H55" i="25" l="1"/>
  <c r="E56" i="25" s="1"/>
  <c r="D56" i="25" l="1"/>
  <c r="F56" i="25" s="1"/>
  <c r="G56" i="25" s="1"/>
  <c r="H56" i="25"/>
  <c r="D57" i="25" l="1"/>
  <c r="H57" i="25" s="1"/>
  <c r="E57" i="25"/>
  <c r="E58" i="25" l="1"/>
  <c r="D58" i="25"/>
  <c r="H58" i="25" s="1"/>
  <c r="F57" i="25"/>
  <c r="G57" i="25" s="1"/>
  <c r="F58" i="25" l="1"/>
  <c r="G58" i="25" s="1"/>
  <c r="D59" i="25"/>
  <c r="F59" i="25" s="1"/>
  <c r="G59" i="25" s="1"/>
  <c r="E59" i="25"/>
  <c r="H59" i="25" l="1"/>
  <c r="D60" i="25" s="1"/>
  <c r="F60" i="25" s="1"/>
  <c r="G60" i="25" s="1"/>
  <c r="E60" i="25" l="1"/>
  <c r="H60" i="25"/>
  <c r="D61" i="25" s="1"/>
  <c r="H61" i="25" l="1"/>
  <c r="D62" i="25" s="1"/>
  <c r="H62" i="25" s="1"/>
  <c r="F61" i="25"/>
  <c r="G61" i="25" s="1"/>
  <c r="E61" i="25"/>
  <c r="E62" i="25" l="1"/>
  <c r="F62" i="25"/>
  <c r="G62" i="25" s="1"/>
  <c r="D63" i="25"/>
  <c r="F63" i="25" s="1"/>
  <c r="G63" i="25" s="1"/>
  <c r="E63" i="25"/>
  <c r="H63" i="2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<sst xmlns="http://schemas.openxmlformats.org/spreadsheetml/2006/main" count="12322" uniqueCount="3714">
  <si>
    <t>序號</t>
  </si>
  <si>
    <t>聲母序</t>
    <phoneticPr fontId="1" type="noConversion"/>
  </si>
  <si>
    <t>十五音</t>
  </si>
  <si>
    <t>台羅拼音</t>
  </si>
  <si>
    <t>補註</t>
    <phoneticPr fontId="1" type="noConversion"/>
  </si>
  <si>
    <t>聲母碼</t>
  </si>
  <si>
    <t>國際音標</t>
  </si>
  <si>
    <t>白話字</t>
    <phoneticPr fontId="1" type="noConversion"/>
  </si>
  <si>
    <t>閩拼標音</t>
    <phoneticPr fontId="1" type="noConversion"/>
  </si>
  <si>
    <t>方音符號</t>
    <phoneticPr fontId="1" type="noConversion"/>
  </si>
  <si>
    <t>羅馬字排序</t>
    <phoneticPr fontId="1" type="noConversion"/>
  </si>
  <si>
    <t>注音排序</t>
    <phoneticPr fontId="1" type="noConversion"/>
  </si>
  <si>
    <t>柳</t>
  </si>
  <si>
    <t>l</t>
  </si>
  <si>
    <t>[l]</t>
  </si>
  <si>
    <t>ㄌ</t>
  </si>
  <si>
    <t>Ø</t>
    <phoneticPr fontId="1" type="noConversion"/>
  </si>
  <si>
    <t>n</t>
  </si>
  <si>
    <t>[n]</t>
  </si>
  <si>
    <t>ln</t>
  </si>
  <si>
    <t>ㄋ</t>
  </si>
  <si>
    <t>b</t>
  </si>
  <si>
    <t>p</t>
    <phoneticPr fontId="1" type="noConversion"/>
  </si>
  <si>
    <t>邊</t>
  </si>
  <si>
    <t>p</t>
  </si>
  <si>
    <t>[p]</t>
  </si>
  <si>
    <t>ㄅ</t>
  </si>
  <si>
    <t>g</t>
  </si>
  <si>
    <t>ph</t>
    <phoneticPr fontId="1" type="noConversion"/>
  </si>
  <si>
    <t>求</t>
  </si>
  <si>
    <t>k</t>
  </si>
  <si>
    <t>[k]</t>
  </si>
  <si>
    <t>ㄍ</t>
  </si>
  <si>
    <t>h</t>
  </si>
  <si>
    <t>b</t>
    <phoneticPr fontId="1" type="noConversion"/>
  </si>
  <si>
    <t>去</t>
  </si>
  <si>
    <t>kh</t>
  </si>
  <si>
    <t>[kʰ]</t>
  </si>
  <si>
    <t>ㄎ</t>
  </si>
  <si>
    <t>j</t>
  </si>
  <si>
    <t>m</t>
    <phoneticPr fontId="1" type="noConversion"/>
  </si>
  <si>
    <t>地</t>
  </si>
  <si>
    <t>t</t>
  </si>
  <si>
    <t>[t]</t>
  </si>
  <si>
    <t>d</t>
  </si>
  <si>
    <t>ㄉ</t>
  </si>
  <si>
    <t>t</t>
    <phoneticPr fontId="1" type="noConversion"/>
  </si>
  <si>
    <t>頗</t>
  </si>
  <si>
    <t>ph</t>
  </si>
  <si>
    <t>[pʰ]</t>
  </si>
  <si>
    <t>ㄆ</t>
  </si>
  <si>
    <t>th</t>
    <phoneticPr fontId="1" type="noConversion"/>
  </si>
  <si>
    <t>他</t>
  </si>
  <si>
    <t>th</t>
  </si>
  <si>
    <t>[tʰ]</t>
  </si>
  <si>
    <t>ㄊ</t>
  </si>
  <si>
    <t>n</t>
    <phoneticPr fontId="1" type="noConversion"/>
  </si>
  <si>
    <t>曾</t>
  </si>
  <si>
    <t>ts / tsi</t>
    <phoneticPr fontId="1" type="noConversion"/>
  </si>
  <si>
    <t>ts</t>
  </si>
  <si>
    <t>[ʦ] / [ʨ]</t>
    <phoneticPr fontId="1" type="noConversion"/>
  </si>
  <si>
    <t>ch / chi</t>
    <phoneticPr fontId="1" type="noConversion"/>
  </si>
  <si>
    <t>z</t>
  </si>
  <si>
    <t>ㄗ / ㄐ</t>
    <phoneticPr fontId="1" type="noConversion"/>
  </si>
  <si>
    <t>m</t>
  </si>
  <si>
    <t>l</t>
    <phoneticPr fontId="1" type="noConversion"/>
  </si>
  <si>
    <t>入</t>
  </si>
  <si>
    <t>dz</t>
    <phoneticPr fontId="1" type="noConversion"/>
  </si>
  <si>
    <t>[ʣ] / [ʥ]</t>
    <phoneticPr fontId="1" type="noConversion"/>
  </si>
  <si>
    <t>j / ji</t>
    <phoneticPr fontId="1" type="noConversion"/>
  </si>
  <si>
    <t>zz</t>
  </si>
  <si>
    <t>ㆡ / ㆢ</t>
    <phoneticPr fontId="1" type="noConversion"/>
  </si>
  <si>
    <t>k</t>
    <phoneticPr fontId="1" type="noConversion"/>
  </si>
  <si>
    <t>A0</t>
    <phoneticPr fontId="1" type="noConversion"/>
  </si>
  <si>
    <t>時</t>
  </si>
  <si>
    <t>s / si</t>
    <phoneticPr fontId="1" type="noConversion"/>
  </si>
  <si>
    <t>s</t>
  </si>
  <si>
    <t>[s] / [ɕ]</t>
    <phoneticPr fontId="1" type="noConversion"/>
  </si>
  <si>
    <t>ㄙ / ㄒ</t>
    <phoneticPr fontId="1" type="noConversion"/>
  </si>
  <si>
    <t>ng</t>
  </si>
  <si>
    <t>kh</t>
    <phoneticPr fontId="1" type="noConversion"/>
  </si>
  <si>
    <t>B0</t>
    <phoneticPr fontId="1" type="noConversion"/>
  </si>
  <si>
    <t>英</t>
  </si>
  <si>
    <t>q</t>
    <phoneticPr fontId="1" type="noConversion"/>
  </si>
  <si>
    <t>y</t>
    <phoneticPr fontId="1" type="noConversion"/>
  </si>
  <si>
    <t>[ʔ]</t>
  </si>
  <si>
    <t>g</t>
    <phoneticPr fontId="1" type="noConversion"/>
  </si>
  <si>
    <t>C0</t>
    <phoneticPr fontId="1" type="noConversion"/>
  </si>
  <si>
    <t>門</t>
  </si>
  <si>
    <t>[m]</t>
  </si>
  <si>
    <t>bbn</t>
  </si>
  <si>
    <t>ㄇ</t>
  </si>
  <si>
    <t>ng</t>
    <phoneticPr fontId="1" type="noConversion"/>
  </si>
  <si>
    <t>C1</t>
    <phoneticPr fontId="1" type="noConversion"/>
  </si>
  <si>
    <t>[b]</t>
  </si>
  <si>
    <t>bb</t>
  </si>
  <si>
    <t>ㆠ</t>
  </si>
  <si>
    <t>h</t>
    <phoneticPr fontId="1" type="noConversion"/>
  </si>
  <si>
    <t>D0</t>
    <phoneticPr fontId="1" type="noConversion"/>
  </si>
  <si>
    <t>語</t>
  </si>
  <si>
    <t>[ɡ]</t>
  </si>
  <si>
    <t>gg</t>
  </si>
  <si>
    <t>ㆣ</t>
  </si>
  <si>
    <t>ts</t>
    <phoneticPr fontId="1" type="noConversion"/>
  </si>
  <si>
    <t>D1</t>
    <phoneticPr fontId="1" type="noConversion"/>
  </si>
  <si>
    <t>[ŋ]</t>
  </si>
  <si>
    <t>ggn</t>
  </si>
  <si>
    <t>ㄫ</t>
  </si>
  <si>
    <t>tsh</t>
    <phoneticPr fontId="1" type="noConversion"/>
  </si>
  <si>
    <t>E0</t>
    <phoneticPr fontId="1" type="noConversion"/>
  </si>
  <si>
    <t>出</t>
  </si>
  <si>
    <t>tsh / tshi</t>
    <phoneticPr fontId="1" type="noConversion"/>
  </si>
  <si>
    <t>tsh</t>
  </si>
  <si>
    <t>[ʦʰ] / [ʨʰ]</t>
    <phoneticPr fontId="1" type="noConversion"/>
  </si>
  <si>
    <t>chh / chhi</t>
    <phoneticPr fontId="1" type="noConversion"/>
  </si>
  <si>
    <t>c</t>
  </si>
  <si>
    <t>ㄘ / ㄑ</t>
    <phoneticPr fontId="1" type="noConversion"/>
  </si>
  <si>
    <t>s</t>
    <phoneticPr fontId="1" type="noConversion"/>
  </si>
  <si>
    <t>H0</t>
    <phoneticPr fontId="1" type="noConversion"/>
  </si>
  <si>
    <t>喜</t>
  </si>
  <si>
    <t>[h]</t>
  </si>
  <si>
    <t>ㄏ</t>
  </si>
  <si>
    <t>j</t>
    <phoneticPr fontId="1" type="noConversion"/>
  </si>
  <si>
    <t>序次</t>
  </si>
  <si>
    <t>台語十五音</t>
    <phoneticPr fontId="1" type="noConversion"/>
  </si>
  <si>
    <t>舒聲方音</t>
    <phoneticPr fontId="1" type="noConversion"/>
  </si>
  <si>
    <t>入聲方音</t>
    <phoneticPr fontId="1" type="noConversion"/>
  </si>
  <si>
    <t>舒聲台羅</t>
    <phoneticPr fontId="1" type="noConversion"/>
  </si>
  <si>
    <t>入聲台羅</t>
    <phoneticPr fontId="1" type="noConversion"/>
  </si>
  <si>
    <t>雅俗通</t>
    <phoneticPr fontId="1" type="noConversion"/>
  </si>
  <si>
    <t>雅俗通序</t>
    <phoneticPr fontId="1" type="noConversion"/>
  </si>
  <si>
    <t>毋用</t>
  </si>
  <si>
    <t>韻母字</t>
  </si>
  <si>
    <t>方音符號</t>
  </si>
  <si>
    <t>台羅音標</t>
  </si>
  <si>
    <t>十五音韻母</t>
    <phoneticPr fontId="1" type="noConversion"/>
  </si>
  <si>
    <t>韻母舒聲碼</t>
    <phoneticPr fontId="1" type="noConversion"/>
  </si>
  <si>
    <t>韻母入聲碼</t>
    <phoneticPr fontId="1" type="noConversion"/>
  </si>
  <si>
    <t>國際音舒聲</t>
  </si>
  <si>
    <t>國際音入聲</t>
  </si>
  <si>
    <t>白話字舒聲</t>
    <phoneticPr fontId="1" type="noConversion"/>
  </si>
  <si>
    <t>白話字入聲</t>
    <phoneticPr fontId="1" type="noConversion"/>
  </si>
  <si>
    <t>台羅舒聲</t>
  </si>
  <si>
    <t>台羅入聲</t>
  </si>
  <si>
    <t>閩拼舒聲</t>
    <phoneticPr fontId="1" type="noConversion"/>
  </si>
  <si>
    <t>閩拼入聲</t>
    <phoneticPr fontId="1" type="noConversion"/>
  </si>
  <si>
    <t>方音舒聲</t>
  </si>
  <si>
    <t>方音入聲</t>
  </si>
  <si>
    <t>麥思都舒聲</t>
    <phoneticPr fontId="1" type="noConversion"/>
  </si>
  <si>
    <t>麥思都入聲</t>
    <phoneticPr fontId="1" type="noConversion"/>
  </si>
  <si>
    <t>附註</t>
  </si>
  <si>
    <t>君</t>
    <phoneticPr fontId="1" type="noConversion"/>
  </si>
  <si>
    <t>君</t>
  </si>
  <si>
    <t>un</t>
  </si>
  <si>
    <t>ut</t>
  </si>
  <si>
    <t>ut̚</t>
  </si>
  <si>
    <t>ㄨㄣ</t>
  </si>
  <si>
    <t>ㄨㆵ</t>
  </si>
  <si>
    <t>wun</t>
  </si>
  <si>
    <t>wut</t>
  </si>
  <si>
    <t>堅</t>
    <phoneticPr fontId="1" type="noConversion"/>
  </si>
  <si>
    <t>堅</t>
  </si>
  <si>
    <t>ian</t>
  </si>
  <si>
    <t>iat</t>
  </si>
  <si>
    <t>iat̚</t>
  </si>
  <si>
    <t>ㄧㄢ</t>
  </si>
  <si>
    <t>ㄧㄚㆵ</t>
  </si>
  <si>
    <t>ëen</t>
  </si>
  <si>
    <t>ëet</t>
  </si>
  <si>
    <t>金</t>
    <phoneticPr fontId="1" type="noConversion"/>
  </si>
  <si>
    <t>金</t>
  </si>
  <si>
    <t>im</t>
  </si>
  <si>
    <t>ip</t>
  </si>
  <si>
    <t>ip̚</t>
  </si>
  <si>
    <t>ㄧㆬ</t>
  </si>
  <si>
    <t>ㄧㆴ</t>
  </si>
  <si>
    <t>歸</t>
    <phoneticPr fontId="1" type="noConversion"/>
  </si>
  <si>
    <t>規</t>
  </si>
  <si>
    <t>ui</t>
  </si>
  <si>
    <t>uih</t>
  </si>
  <si>
    <t>ui?</t>
    <phoneticPr fontId="1" type="noConversion"/>
  </si>
  <si>
    <t>ui</t>
    <phoneticPr fontId="1" type="noConversion"/>
  </si>
  <si>
    <t>uih</t>
    <phoneticPr fontId="1" type="noConversion"/>
  </si>
  <si>
    <t>ㄨㄧ</t>
  </si>
  <si>
    <t>ㄨㄧㆷ</t>
  </si>
  <si>
    <t>wuy</t>
  </si>
  <si>
    <t>家</t>
    <phoneticPr fontId="1" type="noConversion"/>
  </si>
  <si>
    <t>嘉</t>
  </si>
  <si>
    <t>ee</t>
  </si>
  <si>
    <t>eh</t>
  </si>
  <si>
    <t>ɛ</t>
  </si>
  <si>
    <t>ɛ?</t>
  </si>
  <si>
    <t>eeh</t>
  </si>
  <si>
    <t>e</t>
    <phoneticPr fontId="1" type="noConversion"/>
  </si>
  <si>
    <t>eh</t>
    <phoneticPr fontId="1" type="noConversion"/>
  </si>
  <si>
    <t>ㄝ</t>
  </si>
  <si>
    <t>ㄝㆷ</t>
  </si>
  <si>
    <t>ay</t>
  </si>
  <si>
    <t>ăyh</t>
  </si>
  <si>
    <t>彙音【嘉】韻母為：e</t>
  </si>
  <si>
    <t>干</t>
    <phoneticPr fontId="1" type="noConversion"/>
  </si>
  <si>
    <t>干</t>
  </si>
  <si>
    <t>an</t>
  </si>
  <si>
    <t>ap</t>
  </si>
  <si>
    <t>at̚</t>
  </si>
  <si>
    <t>at</t>
  </si>
  <si>
    <t>ap</t>
    <phoneticPr fontId="1" type="noConversion"/>
  </si>
  <si>
    <t>ㄢ</t>
  </si>
  <si>
    <t>ㄚㆵ</t>
  </si>
  <si>
    <t>光</t>
    <phoneticPr fontId="1" type="noConversion"/>
  </si>
  <si>
    <t>公</t>
  </si>
  <si>
    <t>ong</t>
  </si>
  <si>
    <t>ok</t>
  </si>
  <si>
    <t>ɔŋ</t>
  </si>
  <si>
    <t>ɔk̚</t>
  </si>
  <si>
    <t>ㆲ</t>
  </si>
  <si>
    <t>ㆦㆻ</t>
  </si>
  <si>
    <t>ㄨㄥ</t>
    <phoneticPr fontId="1" type="noConversion"/>
  </si>
  <si>
    <t>乖</t>
    <phoneticPr fontId="1" type="noConversion"/>
  </si>
  <si>
    <t>乖</t>
  </si>
  <si>
    <t>uai</t>
  </si>
  <si>
    <t>uaih</t>
  </si>
  <si>
    <t>uai?</t>
  </si>
  <si>
    <t>oai</t>
  </si>
  <si>
    <t>oaih</t>
  </si>
  <si>
    <t>ㄨㄞ</t>
    <phoneticPr fontId="1" type="noConversion"/>
  </si>
  <si>
    <t>ㄨㄞㆷ</t>
  </si>
  <si>
    <t>wae</t>
  </si>
  <si>
    <t>waĕh</t>
  </si>
  <si>
    <t>京</t>
    <phoneticPr fontId="1" type="noConversion"/>
  </si>
  <si>
    <t>經</t>
  </si>
  <si>
    <t>ing</t>
  </si>
  <si>
    <t>ik</t>
  </si>
  <si>
    <t>ɪŋ</t>
  </si>
  <si>
    <t>ik̚</t>
  </si>
  <si>
    <t>eng</t>
  </si>
  <si>
    <t>ek</t>
  </si>
  <si>
    <t>ㄧㄥ</t>
    <phoneticPr fontId="1" type="noConversion"/>
  </si>
  <si>
    <r>
      <rPr>
        <sz val="24"/>
        <color rgb="FF0000FF"/>
        <rFont val="PMingLiU"/>
        <family val="1"/>
        <charset val="136"/>
      </rPr>
      <t>ㄧ</t>
    </r>
    <r>
      <rPr>
        <sz val="24"/>
        <color rgb="FF0000FF"/>
        <rFont val="Arial"/>
        <family val="2"/>
      </rPr>
      <t>ㆻ</t>
    </r>
    <phoneticPr fontId="1" type="noConversion"/>
  </si>
  <si>
    <t>官</t>
    <phoneticPr fontId="1" type="noConversion"/>
  </si>
  <si>
    <t>觀</t>
  </si>
  <si>
    <t>uan</t>
  </si>
  <si>
    <t>uat</t>
  </si>
  <si>
    <t>uat̚</t>
  </si>
  <si>
    <t>oan</t>
  </si>
  <si>
    <t>oat</t>
  </si>
  <si>
    <t>ㄨㄢ</t>
  </si>
  <si>
    <t>ㄨㄚㆵ</t>
  </si>
  <si>
    <t>wan</t>
  </si>
  <si>
    <t>wat</t>
  </si>
  <si>
    <t>姑</t>
    <phoneticPr fontId="1" type="noConversion"/>
  </si>
  <si>
    <t>沽</t>
  </si>
  <si>
    <t>oo</t>
  </si>
  <si>
    <t>ooh</t>
  </si>
  <si>
    <t>ɔ</t>
  </si>
  <si>
    <t>ɔu?</t>
    <phoneticPr fontId="1" type="noConversion"/>
  </si>
  <si>
    <t>o͘</t>
    <phoneticPr fontId="1" type="noConversion"/>
  </si>
  <si>
    <t>o͘h</t>
    <phoneticPr fontId="1" type="noConversion"/>
  </si>
  <si>
    <t>ooh</t>
    <phoneticPr fontId="1" type="noConversion"/>
  </si>
  <si>
    <t>ㆦ</t>
  </si>
  <si>
    <t>ㆦㆷ</t>
  </si>
  <si>
    <t>oe</t>
  </si>
  <si>
    <t>白話字的/ɔ/ [o͘] 有時寫成[ou]，因為[o͘]右上角的那點不易見。台羅 oo = ou</t>
  </si>
  <si>
    <t>嬌</t>
    <phoneticPr fontId="1" type="noConversion"/>
  </si>
  <si>
    <t>嬌</t>
  </si>
  <si>
    <t>iau</t>
  </si>
  <si>
    <t>iauh</t>
  </si>
  <si>
    <t>iaʊ</t>
  </si>
  <si>
    <t>iau?</t>
  </si>
  <si>
    <t>iao</t>
  </si>
  <si>
    <t>iaoh</t>
  </si>
  <si>
    <t>ㄧㄠ</t>
  </si>
  <si>
    <t>ㄧㄠㆷ</t>
  </si>
  <si>
    <t>eaou</t>
  </si>
  <si>
    <t>eaoŭh</t>
  </si>
  <si>
    <t>稽</t>
    <phoneticPr fontId="1" type="noConversion"/>
  </si>
  <si>
    <t>伽</t>
    <phoneticPr fontId="1" type="noConversion"/>
  </si>
  <si>
    <t>稽</t>
  </si>
  <si>
    <t>e</t>
  </si>
  <si>
    <t>ei</t>
  </si>
  <si>
    <t>ei?</t>
    <phoneticPr fontId="1" type="noConversion"/>
  </si>
  <si>
    <t>eih</t>
    <phoneticPr fontId="1" type="noConversion"/>
  </si>
  <si>
    <t>ei</t>
    <phoneticPr fontId="1" type="noConversion"/>
  </si>
  <si>
    <t>ㄟ</t>
    <phoneticPr fontId="1" type="noConversion"/>
  </si>
  <si>
    <t>ㄟㆷ</t>
    <phoneticPr fontId="1" type="noConversion"/>
  </si>
  <si>
    <t>ey</t>
  </si>
  <si>
    <t>啼：【雅俗通】Thei2 (他稽下平）；【台羅】The5</t>
  </si>
  <si>
    <t>宮</t>
    <phoneticPr fontId="1" type="noConversion"/>
  </si>
  <si>
    <t>恭</t>
  </si>
  <si>
    <t>iong</t>
  </si>
  <si>
    <t>iok</t>
  </si>
  <si>
    <t>iɔŋ</t>
  </si>
  <si>
    <t>iɔk̚</t>
  </si>
  <si>
    <t>ㄧㆲ</t>
  </si>
  <si>
    <t>ㄧㆦㆻ</t>
  </si>
  <si>
    <t>ëung</t>
  </si>
  <si>
    <t>ëuk</t>
  </si>
  <si>
    <t>高</t>
    <phoneticPr fontId="1" type="noConversion"/>
  </si>
  <si>
    <t>高</t>
  </si>
  <si>
    <t>o</t>
  </si>
  <si>
    <t>oh</t>
  </si>
  <si>
    <t>ə?</t>
  </si>
  <si>
    <t>ㄜ</t>
  </si>
  <si>
    <t>ㄜㆷ</t>
  </si>
  <si>
    <t>ŏh</t>
  </si>
  <si>
    <t>皆</t>
    <phoneticPr fontId="1" type="noConversion"/>
  </si>
  <si>
    <t>皆</t>
  </si>
  <si>
    <t>ai</t>
  </si>
  <si>
    <t>aih</t>
  </si>
  <si>
    <t>ai</t>
    <phoneticPr fontId="1" type="noConversion"/>
  </si>
  <si>
    <t>ai?</t>
    <phoneticPr fontId="1" type="noConversion"/>
  </si>
  <si>
    <t>aih</t>
    <phoneticPr fontId="1" type="noConversion"/>
  </si>
  <si>
    <t>ㄞ</t>
  </si>
  <si>
    <t>ㄞㆷ</t>
  </si>
  <si>
    <t>ae</t>
  </si>
  <si>
    <t>根</t>
    <phoneticPr fontId="1" type="noConversion"/>
  </si>
  <si>
    <t>巾</t>
  </si>
  <si>
    <t>in</t>
  </si>
  <si>
    <t>it</t>
  </si>
  <si>
    <t>it̚</t>
  </si>
  <si>
    <t>ㄧㄣ</t>
  </si>
  <si>
    <t>ㄧㆵ</t>
  </si>
  <si>
    <t>姜</t>
    <phoneticPr fontId="1" type="noConversion"/>
  </si>
  <si>
    <t>姜</t>
  </si>
  <si>
    <t>iang</t>
  </si>
  <si>
    <t>iak</t>
  </si>
  <si>
    <t>iaŋ</t>
  </si>
  <si>
    <t>iak̚</t>
  </si>
  <si>
    <t>ㄧㄤ</t>
  </si>
  <si>
    <t>ㄧㄚㆻ</t>
  </si>
  <si>
    <t>ëang</t>
  </si>
  <si>
    <t>ëak</t>
  </si>
  <si>
    <t>甘</t>
    <phoneticPr fontId="1" type="noConversion"/>
  </si>
  <si>
    <t>甘</t>
  </si>
  <si>
    <t>am</t>
  </si>
  <si>
    <t>ap̚</t>
  </si>
  <si>
    <t>ㆰ</t>
  </si>
  <si>
    <t>ㄚㆴ</t>
  </si>
  <si>
    <t>瓜</t>
    <phoneticPr fontId="1" type="noConversion"/>
  </si>
  <si>
    <t>瓜</t>
  </si>
  <si>
    <t>ua</t>
  </si>
  <si>
    <t>uah</t>
  </si>
  <si>
    <t>ua?</t>
  </si>
  <si>
    <t>oa</t>
  </si>
  <si>
    <t>oah</t>
  </si>
  <si>
    <t>ㄨㄚ</t>
  </si>
  <si>
    <t>ㄨㄚㆷ</t>
  </si>
  <si>
    <t>wa</t>
  </si>
  <si>
    <t>wăh</t>
  </si>
  <si>
    <t>江</t>
    <phoneticPr fontId="1" type="noConversion"/>
  </si>
  <si>
    <t>江</t>
  </si>
  <si>
    <t>ang</t>
  </si>
  <si>
    <t>ak</t>
  </si>
  <si>
    <t>aŋ</t>
  </si>
  <si>
    <t>ak̚</t>
  </si>
  <si>
    <t>ㄤ</t>
  </si>
  <si>
    <t>ㄚㆻ</t>
    <phoneticPr fontId="1" type="noConversion"/>
  </si>
  <si>
    <t>兼</t>
    <phoneticPr fontId="1" type="noConversion"/>
  </si>
  <si>
    <t>兼</t>
  </si>
  <si>
    <t>iam</t>
  </si>
  <si>
    <t>iap</t>
  </si>
  <si>
    <t>iap̚</t>
  </si>
  <si>
    <t>ㄧㆰ</t>
  </si>
  <si>
    <t>ㄧㄚㆴ</t>
  </si>
  <si>
    <t>ëem</t>
  </si>
  <si>
    <t>ëep</t>
  </si>
  <si>
    <t>交</t>
    <phoneticPr fontId="1" type="noConversion"/>
  </si>
  <si>
    <t>交</t>
  </si>
  <si>
    <t>au</t>
  </si>
  <si>
    <t>auh</t>
  </si>
  <si>
    <t>aʊ</t>
  </si>
  <si>
    <t>au?</t>
  </si>
  <si>
    <t>ao</t>
  </si>
  <si>
    <t>aoh</t>
  </si>
  <si>
    <t>ㄠ</t>
  </si>
  <si>
    <t>ㄠㆷ</t>
  </si>
  <si>
    <t>aou</t>
  </si>
  <si>
    <t>aoŭh</t>
  </si>
  <si>
    <t>迦</t>
  </si>
  <si>
    <t>ia</t>
  </si>
  <si>
    <t>iah</t>
  </si>
  <si>
    <t>ia?</t>
  </si>
  <si>
    <t>ㄧㄚ</t>
  </si>
  <si>
    <t>ㄧㄚㆷ</t>
  </si>
  <si>
    <t>ëa</t>
  </si>
  <si>
    <t>ëăh</t>
  </si>
  <si>
    <t>【若】：梵文譯音用字，僅限翻念外來語特殊用法。例：般若波羅密多。</t>
  </si>
  <si>
    <t>葵</t>
    <phoneticPr fontId="1" type="noConversion"/>
  </si>
  <si>
    <t>檜</t>
  </si>
  <si>
    <t>ue</t>
  </si>
  <si>
    <t>ueh</t>
  </si>
  <si>
    <t>ue?</t>
  </si>
  <si>
    <t>oeh</t>
  </si>
  <si>
    <t>ㄨㆤ</t>
    <phoneticPr fontId="1" type="noConversion"/>
  </si>
  <si>
    <r>
      <rPr>
        <sz val="24"/>
        <color rgb="FF0000FF"/>
        <rFont val="PMingLiU"/>
        <family val="1"/>
        <charset val="136"/>
      </rPr>
      <t>ㄨㆤ</t>
    </r>
    <r>
      <rPr>
        <sz val="24"/>
        <color rgb="FF0000FF"/>
        <rFont val="Arial"/>
        <family val="2"/>
      </rPr>
      <t>ㆷ</t>
    </r>
    <phoneticPr fontId="1" type="noConversion"/>
  </si>
  <si>
    <t>öey</t>
  </si>
  <si>
    <t>öĕyh</t>
  </si>
  <si>
    <t>葩</t>
    <phoneticPr fontId="1" type="noConversion"/>
  </si>
  <si>
    <t>膠</t>
  </si>
  <si>
    <t>監</t>
  </si>
  <si>
    <t>ann</t>
  </si>
  <si>
    <t>annh</t>
  </si>
  <si>
    <t>ã</t>
  </si>
  <si>
    <t>ã?</t>
  </si>
  <si>
    <t>aⁿ</t>
  </si>
  <si>
    <t>ahⁿ</t>
    <phoneticPr fontId="1" type="noConversion"/>
  </si>
  <si>
    <t>na</t>
  </si>
  <si>
    <t>nah</t>
  </si>
  <si>
    <t>ㆩ</t>
  </si>
  <si>
    <t>ㆩㆷ</t>
  </si>
  <si>
    <t>ⁿa</t>
  </si>
  <si>
    <t>ⁿăh</t>
  </si>
  <si>
    <t>Lann = Na</t>
  </si>
  <si>
    <t>龜</t>
    <phoneticPr fontId="1" type="noConversion"/>
  </si>
  <si>
    <t>艍</t>
  </si>
  <si>
    <t>u</t>
  </si>
  <si>
    <t>uh</t>
  </si>
  <si>
    <t>u?</t>
  </si>
  <si>
    <t>ㄨ</t>
  </si>
  <si>
    <t>ㄨㆷ</t>
  </si>
  <si>
    <t>oŏh</t>
  </si>
  <si>
    <t>海腔</t>
  </si>
  <si>
    <t>葴</t>
    <phoneticPr fontId="1" type="noConversion"/>
  </si>
  <si>
    <t>箴</t>
    <phoneticPr fontId="1" type="noConversion"/>
  </si>
  <si>
    <t>a</t>
  </si>
  <si>
    <t>ah</t>
  </si>
  <si>
    <t>a?</t>
  </si>
  <si>
    <t>ㄚ</t>
  </si>
  <si>
    <t>ㄚㆷ</t>
  </si>
  <si>
    <t>ăh</t>
  </si>
  <si>
    <t>璣</t>
    <phoneticPr fontId="1" type="noConversion"/>
  </si>
  <si>
    <t>居</t>
  </si>
  <si>
    <t>i</t>
  </si>
  <si>
    <t>ih</t>
  </si>
  <si>
    <t>i?</t>
  </si>
  <si>
    <t>ㄧ</t>
  </si>
  <si>
    <t>ㄧㆷ</t>
  </si>
  <si>
    <t>eĕh</t>
  </si>
  <si>
    <t>丩</t>
  </si>
  <si>
    <t>iu</t>
  </si>
  <si>
    <t>iuh</t>
  </si>
  <si>
    <t>iu?</t>
    <phoneticPr fontId="1" type="noConversion"/>
  </si>
  <si>
    <t>iuh</t>
    <phoneticPr fontId="1" type="noConversion"/>
  </si>
  <si>
    <t>ㄧㄨ</t>
  </si>
  <si>
    <t>ㄧㄨㆷ</t>
  </si>
  <si>
    <t>ew</t>
  </si>
  <si>
    <t>京。</t>
    <phoneticPr fontId="1" type="noConversion"/>
  </si>
  <si>
    <t>驚</t>
    <phoneticPr fontId="1" type="noConversion"/>
  </si>
  <si>
    <t>更</t>
  </si>
  <si>
    <t>enn</t>
  </si>
  <si>
    <t>ennh</t>
  </si>
  <si>
    <t>ẽ</t>
  </si>
  <si>
    <t>ẽ?</t>
  </si>
  <si>
    <t>eⁿ</t>
  </si>
  <si>
    <t>ehⁿ</t>
    <phoneticPr fontId="1" type="noConversion"/>
  </si>
  <si>
    <t>ne</t>
  </si>
  <si>
    <t>neh</t>
  </si>
  <si>
    <t>ㆥ</t>
  </si>
  <si>
    <t>ㆥㆷ</t>
  </si>
  <si>
    <t>aiⁿᶢ</t>
  </si>
  <si>
    <t>aĭⁿᶢh</t>
  </si>
  <si>
    <t>箏</t>
  </si>
  <si>
    <t>官。</t>
    <phoneticPr fontId="1" type="noConversion"/>
  </si>
  <si>
    <t>官</t>
  </si>
  <si>
    <t>褌</t>
  </si>
  <si>
    <t>uinn</t>
  </si>
  <si>
    <t>uinnh</t>
  </si>
  <si>
    <t>ũĩ</t>
  </si>
  <si>
    <t>ũĩ?</t>
    <phoneticPr fontId="1" type="noConversion"/>
  </si>
  <si>
    <t>uiⁿ</t>
    <phoneticPr fontId="1" type="noConversion"/>
  </si>
  <si>
    <t>uihⁿ</t>
    <phoneticPr fontId="1" type="noConversion"/>
  </si>
  <si>
    <t>nui</t>
  </si>
  <si>
    <t>nuih</t>
    <phoneticPr fontId="1" type="noConversion"/>
  </si>
  <si>
    <t>ㄨㆪ</t>
  </si>
  <si>
    <t>ㄨㆪㆷ</t>
  </si>
  <si>
    <t>wuiⁿᶢ</t>
  </si>
  <si>
    <t>【彙音】褌：-ng</t>
  </si>
  <si>
    <t>天。</t>
    <phoneticPr fontId="1" type="noConversion"/>
  </si>
  <si>
    <t>梔</t>
    <phoneticPr fontId="1" type="noConversion"/>
  </si>
  <si>
    <t>茄</t>
  </si>
  <si>
    <t>io</t>
  </si>
  <si>
    <t>ioh</t>
  </si>
  <si>
    <t>iə?</t>
  </si>
  <si>
    <t>ㄧㄜ</t>
  </si>
  <si>
    <t>ㄧㄜㆷ</t>
  </si>
  <si>
    <t>ëo</t>
  </si>
  <si>
    <t>ëŏh</t>
  </si>
  <si>
    <t>光。</t>
    <phoneticPr fontId="1" type="noConversion"/>
  </si>
  <si>
    <t>鋼</t>
  </si>
  <si>
    <t>梔</t>
  </si>
  <si>
    <t>inn</t>
  </si>
  <si>
    <t>innh</t>
  </si>
  <si>
    <t>ĩ</t>
  </si>
  <si>
    <t>ĩ?</t>
  </si>
  <si>
    <t>iⁿ</t>
  </si>
  <si>
    <t>iⁿh</t>
  </si>
  <si>
    <t>ni</t>
  </si>
  <si>
    <t>nih</t>
  </si>
  <si>
    <t>ㆪ</t>
  </si>
  <si>
    <t>eeⁿᶢ</t>
  </si>
  <si>
    <t>eĕⁿᶢh</t>
  </si>
  <si>
    <t>皆。</t>
    <phoneticPr fontId="1" type="noConversion"/>
  </si>
  <si>
    <t>閒</t>
    <phoneticPr fontId="1" type="noConversion"/>
  </si>
  <si>
    <t>薑</t>
    <phoneticPr fontId="1" type="noConversion"/>
  </si>
  <si>
    <t>ionn</t>
  </si>
  <si>
    <t>ionnh</t>
  </si>
  <si>
    <t>ĩɔ̃</t>
  </si>
  <si>
    <t>ĩɔ̃?</t>
    <phoneticPr fontId="1" type="noConversion"/>
  </si>
  <si>
    <t>ioⁿ</t>
  </si>
  <si>
    <t>iohⁿ</t>
    <phoneticPr fontId="1" type="noConversion"/>
  </si>
  <si>
    <t>nioo</t>
  </si>
  <si>
    <t>niooh</t>
    <phoneticPr fontId="1" type="noConversion"/>
  </si>
  <si>
    <t>ㄧㆧ</t>
  </si>
  <si>
    <t>ㄧㆧㆷ</t>
  </si>
  <si>
    <t>ëoⁿᶢ</t>
  </si>
  <si>
    <t>彙音的薑轉到牛</t>
  </si>
  <si>
    <t>薑。</t>
    <phoneticPr fontId="1" type="noConversion"/>
  </si>
  <si>
    <t>牛</t>
    <phoneticPr fontId="1" type="noConversion"/>
  </si>
  <si>
    <t>驚</t>
  </si>
  <si>
    <t>iann</t>
  </si>
  <si>
    <t>iannh</t>
  </si>
  <si>
    <t>ĩã</t>
  </si>
  <si>
    <t>iãh</t>
    <phoneticPr fontId="1" type="noConversion"/>
  </si>
  <si>
    <t>iaⁿ</t>
  </si>
  <si>
    <t>iahⁿ</t>
    <phoneticPr fontId="1" type="noConversion"/>
  </si>
  <si>
    <t>nia</t>
  </si>
  <si>
    <t>niah</t>
    <phoneticPr fontId="1" type="noConversion"/>
  </si>
  <si>
    <t>ㄧㆩ</t>
  </si>
  <si>
    <t>ㄧㆩㆷ</t>
  </si>
  <si>
    <t>ëⁿa</t>
  </si>
  <si>
    <t>娘： Liann5</t>
  </si>
  <si>
    <t>么。</t>
    <phoneticPr fontId="1" type="noConversion"/>
  </si>
  <si>
    <t>uann</t>
  </si>
  <si>
    <t>uannh</t>
  </si>
  <si>
    <t>ũã</t>
  </si>
  <si>
    <t>ũã?</t>
    <phoneticPr fontId="1" type="noConversion"/>
  </si>
  <si>
    <t>oaⁿ</t>
  </si>
  <si>
    <t>oahⁿ</t>
    <phoneticPr fontId="1" type="noConversion"/>
  </si>
  <si>
    <t>nua</t>
  </si>
  <si>
    <t>nuah</t>
    <phoneticPr fontId="1" type="noConversion"/>
  </si>
  <si>
    <t>ㄨㆩ</t>
  </si>
  <si>
    <t>ㄨㆩㆷ</t>
  </si>
  <si>
    <t>wⁿa</t>
  </si>
  <si>
    <t>姆。</t>
    <phoneticPr fontId="1" type="noConversion"/>
  </si>
  <si>
    <t>姆</t>
  </si>
  <si>
    <t>ngh</t>
  </si>
  <si>
    <t>ŋ̍</t>
  </si>
  <si>
    <t>ŋ̍h</t>
    <phoneticPr fontId="1" type="noConversion"/>
  </si>
  <si>
    <t>ngh</t>
    <phoneticPr fontId="1" type="noConversion"/>
  </si>
  <si>
    <t>ㆭ</t>
  </si>
  <si>
    <t>ㆭㆷ</t>
  </si>
  <si>
    <t>eⁿᶢ</t>
  </si>
  <si>
    <t>監。</t>
    <phoneticPr fontId="1" type="noConversion"/>
  </si>
  <si>
    <t>伽</t>
  </si>
  <si>
    <t>e?</t>
  </si>
  <si>
    <t>ㆤ</t>
  </si>
  <si>
    <t>ㆤㆷ</t>
  </si>
  <si>
    <t>關。</t>
    <phoneticPr fontId="1" type="noConversion"/>
  </si>
  <si>
    <t>閂</t>
  </si>
  <si>
    <t>ainn</t>
  </si>
  <si>
    <t>ainnh</t>
  </si>
  <si>
    <t>ãĩ</t>
  </si>
  <si>
    <t>ãĩ?</t>
    <phoneticPr fontId="1" type="noConversion"/>
  </si>
  <si>
    <t>aiⁿ</t>
  </si>
  <si>
    <t>aihⁿ</t>
    <phoneticPr fontId="1" type="noConversion"/>
  </si>
  <si>
    <t>nai</t>
  </si>
  <si>
    <t>naih</t>
    <phoneticPr fontId="1" type="noConversion"/>
  </si>
  <si>
    <t>ㆮ</t>
  </si>
  <si>
    <t>ㆮㆷ</t>
  </si>
  <si>
    <t>aeⁿᶢ</t>
  </si>
  <si>
    <t>閒：Kainn1，為「同安」音；間：Kainn1</t>
  </si>
  <si>
    <t>更。</t>
    <phoneticPr fontId="1" type="noConversion"/>
  </si>
  <si>
    <t>姑</t>
  </si>
  <si>
    <t>onn</t>
  </si>
  <si>
    <t>onnh</t>
  </si>
  <si>
    <t>ɔ̃</t>
  </si>
  <si>
    <t>ɔ̃?</t>
    <phoneticPr fontId="1" type="noConversion"/>
  </si>
  <si>
    <t>oⁿ</t>
  </si>
  <si>
    <t>ohⁿ</t>
    <phoneticPr fontId="1" type="noConversion"/>
  </si>
  <si>
    <t>onn</t>
    <phoneticPr fontId="1" type="noConversion"/>
  </si>
  <si>
    <t>onnh</t>
    <phoneticPr fontId="1" type="noConversion"/>
  </si>
  <si>
    <t>noo</t>
  </si>
  <si>
    <t>nooh</t>
    <phoneticPr fontId="1" type="noConversion"/>
  </si>
  <si>
    <t>ㆧ</t>
  </si>
  <si>
    <t>ㆧㆷ</t>
  </si>
  <si>
    <t>ⁿoe</t>
  </si>
  <si>
    <t>台羅 oonn = ounn</t>
  </si>
  <si>
    <t>毛。</t>
    <phoneticPr fontId="1" type="noConversion"/>
  </si>
  <si>
    <t>mh</t>
  </si>
  <si>
    <t>m̩</t>
  </si>
  <si>
    <t>m̩h</t>
    <phoneticPr fontId="1" type="noConversion"/>
  </si>
  <si>
    <t>mh</t>
    <phoneticPr fontId="1" type="noConversion"/>
  </si>
  <si>
    <t>ㆬ</t>
  </si>
  <si>
    <t>ㆬㆷ</t>
  </si>
  <si>
    <t>uᵐ</t>
  </si>
  <si>
    <t>交。</t>
    <phoneticPr fontId="1" type="noConversion"/>
  </si>
  <si>
    <t>爻</t>
    <phoneticPr fontId="1" type="noConversion"/>
  </si>
  <si>
    <t>光</t>
  </si>
  <si>
    <t>uang</t>
  </si>
  <si>
    <t>uak</t>
  </si>
  <si>
    <t>uaŋ</t>
  </si>
  <si>
    <t>uak̚</t>
  </si>
  <si>
    <t>oang</t>
  </si>
  <si>
    <t>oak</t>
  </si>
  <si>
    <t>ㄨㄤ</t>
  </si>
  <si>
    <t>ㄨㄚㆻ</t>
  </si>
  <si>
    <t>wang</t>
  </si>
  <si>
    <t>wak</t>
  </si>
  <si>
    <t>嬌。</t>
    <phoneticPr fontId="1" type="noConversion"/>
  </si>
  <si>
    <t>嘄</t>
    <phoneticPr fontId="1" type="noConversion"/>
  </si>
  <si>
    <t>uainn</t>
  </si>
  <si>
    <t>uainnh</t>
  </si>
  <si>
    <t>ũãĩ</t>
  </si>
  <si>
    <t>uãĩ?</t>
  </si>
  <si>
    <t>oaiⁿ</t>
  </si>
  <si>
    <t>oaiⁿh</t>
  </si>
  <si>
    <t>nuai</t>
  </si>
  <si>
    <t>nuaih</t>
  </si>
  <si>
    <t>ㄨㆮ</t>
  </si>
  <si>
    <t>ㄨㆮㆷ</t>
  </si>
  <si>
    <t>waeⁿᶢ</t>
  </si>
  <si>
    <t>waĕⁿᶢh</t>
  </si>
  <si>
    <t>閂 (Tshuann) : 興事的意思</t>
  </si>
  <si>
    <t>糜</t>
  </si>
  <si>
    <t>uenn</t>
  </si>
  <si>
    <t>uennh</t>
  </si>
  <si>
    <t>ũẽ</t>
  </si>
  <si>
    <t>ũẽ?</t>
    <phoneticPr fontId="1" type="noConversion"/>
  </si>
  <si>
    <t>oeⁿ</t>
  </si>
  <si>
    <t>oehⁿ</t>
    <phoneticPr fontId="1" type="noConversion"/>
  </si>
  <si>
    <t>nue</t>
  </si>
  <si>
    <t>nueh</t>
    <phoneticPr fontId="1" type="noConversion"/>
  </si>
  <si>
    <t>ㄨㆥ</t>
  </si>
  <si>
    <t>ㄨㆥㆷ</t>
  </si>
  <si>
    <t>ⁿöey</t>
  </si>
  <si>
    <t>檜、糜：現在漳州各地主要腔口不存在 /i/ 尾，亦爲簡便故，今式羅馬字僅寫ue</t>
  </si>
  <si>
    <t>嘄</t>
  </si>
  <si>
    <t>iaunn</t>
  </si>
  <si>
    <t>iaunnh</t>
  </si>
  <si>
    <t>ĩãũ</t>
  </si>
  <si>
    <t>ĩãũ?</t>
  </si>
  <si>
    <t>iauⁿ</t>
  </si>
  <si>
    <t>iauⁿh</t>
  </si>
  <si>
    <t>niao</t>
  </si>
  <si>
    <t>niaoh</t>
  </si>
  <si>
    <t>ㄧㆯ</t>
  </si>
  <si>
    <t>ㄧㆯㆷ</t>
  </si>
  <si>
    <t>ⁿeaou</t>
  </si>
  <si>
    <t>ⁿeaoŭh</t>
  </si>
  <si>
    <t>om</t>
  </si>
  <si>
    <t>op</t>
  </si>
  <si>
    <t>ɔm</t>
  </si>
  <si>
    <t>ɔp̚</t>
  </si>
  <si>
    <t>ㆱ</t>
  </si>
  <si>
    <t>ㆦㆴ</t>
  </si>
  <si>
    <t>ŏmh</t>
  </si>
  <si>
    <t>爻</t>
  </si>
  <si>
    <t>aunn</t>
  </si>
  <si>
    <t>aunnh</t>
  </si>
  <si>
    <t>ãũ</t>
  </si>
  <si>
    <t>ãũ?</t>
    <phoneticPr fontId="1" type="noConversion"/>
  </si>
  <si>
    <t>auⁿ</t>
    <phoneticPr fontId="1" type="noConversion"/>
  </si>
  <si>
    <t>auhⁿ</t>
    <phoneticPr fontId="1" type="noConversion"/>
  </si>
  <si>
    <t>nao</t>
  </si>
  <si>
    <t>naoh</t>
    <phoneticPr fontId="1" type="noConversion"/>
  </si>
  <si>
    <t>ㆯ</t>
  </si>
  <si>
    <t>ㆯㆷ</t>
  </si>
  <si>
    <t>ⁿaou</t>
  </si>
  <si>
    <t>扛</t>
  </si>
  <si>
    <t>õ</t>
  </si>
  <si>
    <t>õh</t>
  </si>
  <si>
    <t>no</t>
    <phoneticPr fontId="1" type="noConversion"/>
  </si>
  <si>
    <t>noh</t>
    <phoneticPr fontId="1" type="noConversion"/>
  </si>
  <si>
    <t>ⁿo</t>
  </si>
  <si>
    <t>ⁿŏh</t>
  </si>
  <si>
    <t>長泰音</t>
  </si>
  <si>
    <t>牛</t>
  </si>
  <si>
    <t>iunn</t>
  </si>
  <si>
    <t>iunnh</t>
  </si>
  <si>
    <t>ĩũ</t>
  </si>
  <si>
    <t>iũh</t>
    <phoneticPr fontId="1" type="noConversion"/>
  </si>
  <si>
    <t>iuⁿ</t>
  </si>
  <si>
    <t>iuhⁿ</t>
    <phoneticPr fontId="1" type="noConversion"/>
  </si>
  <si>
    <t>niu</t>
  </si>
  <si>
    <t>niuh</t>
    <phoneticPr fontId="1" type="noConversion"/>
  </si>
  <si>
    <t>ㄧㆫ</t>
  </si>
  <si>
    <t>ㄧㆫㆷ</t>
  </si>
  <si>
    <t>ⁿew</t>
  </si>
  <si>
    <r>
      <rPr>
        <sz val="18"/>
        <color rgb="FF000000"/>
        <rFont val="PingFang TC"/>
        <family val="2"/>
        <charset val="136"/>
      </rPr>
      <t>聲母碼</t>
    </r>
    <r>
      <rPr>
        <sz val="18"/>
        <color rgb="FF000000"/>
        <rFont val="蘋方-繁 標準體"/>
        <charset val="136"/>
      </rPr>
      <t>序號</t>
    </r>
    <phoneticPr fontId="42" type="noConversion"/>
  </si>
  <si>
    <t>q</t>
  </si>
  <si>
    <t>白話字</t>
    <phoneticPr fontId="42" type="noConversion"/>
  </si>
  <si>
    <t>白話字序號</t>
    <phoneticPr fontId="42" type="noConversion"/>
  </si>
  <si>
    <t>十五音韻母序</t>
    <phoneticPr fontId="42" type="noConversion"/>
  </si>
  <si>
    <t>序號</t>
    <phoneticPr fontId="42" type="noConversion"/>
  </si>
  <si>
    <t>韻母碼</t>
    <phoneticPr fontId="42" type="noConversion"/>
  </si>
  <si>
    <t>國際音標</t>
    <phoneticPr fontId="42" type="noConversion"/>
  </si>
  <si>
    <t>閩拼標音</t>
    <phoneticPr fontId="42" type="noConversion"/>
  </si>
  <si>
    <t>台羅拼音</t>
    <phoneticPr fontId="42" type="noConversion"/>
  </si>
  <si>
    <t>方音符號</t>
    <phoneticPr fontId="42" type="noConversion"/>
  </si>
  <si>
    <t>十五音</t>
    <phoneticPr fontId="42" type="noConversion"/>
  </si>
  <si>
    <t>ahⁿ</t>
  </si>
  <si>
    <t>ehⁿ</t>
  </si>
  <si>
    <t>iahⁿ</t>
  </si>
  <si>
    <t>iuhⁿ</t>
  </si>
  <si>
    <t>ohⁿ</t>
  </si>
  <si>
    <t>閒</t>
  </si>
  <si>
    <t>ㄚㆻ</t>
  </si>
  <si>
    <t>ㄧㆻ</t>
  </si>
  <si>
    <t>ㄧㄥ</t>
  </si>
  <si>
    <t>iãh</t>
  </si>
  <si>
    <t>niah</t>
  </si>
  <si>
    <t>iũh</t>
  </si>
  <si>
    <t>niuh</t>
  </si>
  <si>
    <t>m̩h</t>
  </si>
  <si>
    <t>ŋ̍h</t>
  </si>
  <si>
    <t>o͘</t>
  </si>
  <si>
    <t>ㄨㄞ</t>
  </si>
  <si>
    <t>ㄨㆤ</t>
  </si>
  <si>
    <t>ㄨㆤㆷ</t>
  </si>
  <si>
    <t>ɔ̃?</t>
  </si>
  <si>
    <t>nooh</t>
  </si>
  <si>
    <t>箴</t>
  </si>
  <si>
    <t>聲母碼</t>
    <phoneticPr fontId="42" type="noConversion"/>
  </si>
  <si>
    <t>十五音聲母</t>
    <phoneticPr fontId="1" type="noConversion"/>
  </si>
  <si>
    <r>
      <rPr>
        <sz val="18"/>
        <color rgb="FF000000"/>
        <rFont val="PingFang TC"/>
        <family val="2"/>
        <charset val="136"/>
      </rPr>
      <t>白話字</t>
    </r>
    <r>
      <rPr>
        <sz val="18"/>
        <color rgb="FF000000"/>
        <rFont val="蘋方-繁 標準體"/>
        <charset val="136"/>
      </rPr>
      <t>聲母</t>
    </r>
    <phoneticPr fontId="42" type="noConversion"/>
  </si>
  <si>
    <t>台羅聲母</t>
    <phoneticPr fontId="42" type="noConversion"/>
  </si>
  <si>
    <t>閩拼聲母</t>
    <phoneticPr fontId="42" type="noConversion"/>
  </si>
  <si>
    <t>ㄗ</t>
  </si>
  <si>
    <t>ㄐ</t>
  </si>
  <si>
    <t>ㄘ</t>
  </si>
  <si>
    <t>ㄑ</t>
  </si>
  <si>
    <t>ㄙ</t>
  </si>
  <si>
    <t>ㄒ</t>
  </si>
  <si>
    <t>ㆡ</t>
  </si>
  <si>
    <t>ㆢ</t>
  </si>
  <si>
    <t>方音序號</t>
    <phoneticPr fontId="42" type="noConversion"/>
  </si>
  <si>
    <t>方音韻母</t>
    <phoneticPr fontId="42" type="noConversion"/>
  </si>
  <si>
    <t>十五音韻母</t>
    <phoneticPr fontId="42" type="noConversion"/>
  </si>
  <si>
    <t>白話字韻母</t>
    <phoneticPr fontId="42" type="noConversion"/>
  </si>
  <si>
    <t>台羅韻母</t>
    <phoneticPr fontId="42" type="noConversion"/>
  </si>
  <si>
    <t>閩拼韻母</t>
    <phoneticPr fontId="42" type="noConversion"/>
  </si>
  <si>
    <r>
      <rPr>
        <b/>
        <sz val="18"/>
        <color rgb="FF202122"/>
        <rFont val="PMingLiU"/>
        <family val="1"/>
        <charset val="136"/>
      </rPr>
      <t>ㄚ</t>
    </r>
    <r>
      <rPr>
        <b/>
        <sz val="18"/>
        <color rgb="FF202122"/>
        <rFont val="PingFang TC Semibold"/>
        <charset val="136"/>
      </rPr>
      <t>ㆻ</t>
    </r>
    <phoneticPr fontId="1" type="noConversion"/>
  </si>
  <si>
    <t>Ø</t>
  </si>
  <si>
    <t>pʰ</t>
  </si>
  <si>
    <t>tʰ</t>
  </si>
  <si>
    <t>ʦ/ʨ</t>
  </si>
  <si>
    <t>ʦʰ/ʨʰ</t>
  </si>
  <si>
    <t>ʣ/ʥ</t>
  </si>
  <si>
    <t>s/ɕ</t>
  </si>
  <si>
    <t>kʰ</t>
  </si>
  <si>
    <t>ŋ</t>
  </si>
  <si>
    <t>ㄏㄚ</t>
  </si>
  <si>
    <t>ㄅㄚ</t>
  </si>
  <si>
    <t>ㄆㄚ</t>
  </si>
  <si>
    <t>ㆠㄚ</t>
  </si>
  <si>
    <t>ㄇㄚ</t>
  </si>
  <si>
    <t>ㄉㄚ</t>
  </si>
  <si>
    <t>ㄊㄚ</t>
  </si>
  <si>
    <t>ㄋㄚ</t>
  </si>
  <si>
    <t>ㄌㄚ</t>
  </si>
  <si>
    <t>ㄗㄚ</t>
  </si>
  <si>
    <t>ㄘㄚ</t>
  </si>
  <si>
    <t>ㄙㄚ</t>
  </si>
  <si>
    <t>ㄍㄚ</t>
  </si>
  <si>
    <t>ㄎㄚ</t>
  </si>
  <si>
    <t>ㆣㄚ</t>
  </si>
  <si>
    <t>ㄫㄚ</t>
  </si>
  <si>
    <t>ㄏㆩ</t>
  </si>
  <si>
    <t>ㄆㆩ</t>
  </si>
  <si>
    <t>ㄉㆩ</t>
  </si>
  <si>
    <t>ㄊㆩ</t>
  </si>
  <si>
    <t>ㄗㆩ</t>
  </si>
  <si>
    <t>ㄘㆩ</t>
  </si>
  <si>
    <t>ㄙㆩ</t>
  </si>
  <si>
    <t>ㄍㆩ</t>
  </si>
  <si>
    <t>ㄎㆩ</t>
  </si>
  <si>
    <t>aʔ</t>
  </si>
  <si>
    <t>ㄏㄚㆷ</t>
  </si>
  <si>
    <t>ㄅㄚㆷ</t>
  </si>
  <si>
    <t>ㄆㄚㆷ</t>
  </si>
  <si>
    <t>ㆠㄚㆷ</t>
  </si>
  <si>
    <t>ㄇㄚㆷ</t>
  </si>
  <si>
    <t>ㄉㄚㆷ</t>
  </si>
  <si>
    <t>ㄊㄚㆷ</t>
  </si>
  <si>
    <t>ㄋㄚㆷ</t>
  </si>
  <si>
    <t>ㄌㄚㆷ</t>
  </si>
  <si>
    <t>ㄗㄚㆷ</t>
  </si>
  <si>
    <t>ㄘㄚㆷ</t>
  </si>
  <si>
    <t>ㄙㄚㆷ</t>
  </si>
  <si>
    <t>ㄍㄚㆷ</t>
  </si>
  <si>
    <t>ㄎㄚㆷ</t>
  </si>
  <si>
    <t>ãʔ</t>
  </si>
  <si>
    <t>ㄏㆩㆷ</t>
  </si>
  <si>
    <t>ㄙㆩㆷ</t>
  </si>
  <si>
    <t>ㄏㆰ</t>
  </si>
  <si>
    <t>ㄉㆰ</t>
  </si>
  <si>
    <t>ㄊㆰ</t>
  </si>
  <si>
    <t>ㄌㆰ</t>
  </si>
  <si>
    <t>ㄗㆰ</t>
  </si>
  <si>
    <t>ㄘㆰ</t>
  </si>
  <si>
    <t>ㄙㆰ</t>
  </si>
  <si>
    <t>ㄍㆰ</t>
  </si>
  <si>
    <t>ㄎㆰ</t>
  </si>
  <si>
    <t>ㆣㆰ</t>
  </si>
  <si>
    <t>ㄏㄢ</t>
  </si>
  <si>
    <t>ㄅㄢ</t>
  </si>
  <si>
    <t>ㄆㄢ</t>
  </si>
  <si>
    <t>ㆠㄢ</t>
  </si>
  <si>
    <t>ㄉㄢ</t>
  </si>
  <si>
    <t>ㄊㄢ</t>
  </si>
  <si>
    <t>ㄌㄢ</t>
  </si>
  <si>
    <t>ㄗㄢ</t>
  </si>
  <si>
    <t>ㄘㄢ</t>
  </si>
  <si>
    <t>ㄙㄢ</t>
  </si>
  <si>
    <t>ㄍㄢ</t>
  </si>
  <si>
    <t>ㄎㄢ</t>
  </si>
  <si>
    <t>ㆣㄢ</t>
  </si>
  <si>
    <t>ㄏㄤ</t>
  </si>
  <si>
    <t>ㄅㄤ</t>
  </si>
  <si>
    <t>ㄆㄤ</t>
  </si>
  <si>
    <t>ㆠㄤ</t>
  </si>
  <si>
    <t>ㄉㄤ</t>
  </si>
  <si>
    <t>ㄊㄤ</t>
  </si>
  <si>
    <t>ㄌㄤ</t>
  </si>
  <si>
    <t>ㄗㄤ</t>
  </si>
  <si>
    <t>ㄘㄤ</t>
  </si>
  <si>
    <t>ㄙㄤ</t>
  </si>
  <si>
    <t>ㄍㄤ</t>
  </si>
  <si>
    <t>ㄎㄤ</t>
  </si>
  <si>
    <t>ㆣㄤ</t>
  </si>
  <si>
    <t>ㄏㄚㆴ</t>
  </si>
  <si>
    <t>ㄉㄚㆴ</t>
  </si>
  <si>
    <t>ㄊㄚㆴ</t>
  </si>
  <si>
    <t>ㄌㄚㆴ</t>
  </si>
  <si>
    <t>ㄗㄚㆴ</t>
  </si>
  <si>
    <t>ㄘㄚㆴ</t>
  </si>
  <si>
    <t>ㄙㄚㆴ</t>
  </si>
  <si>
    <t>ㄍㄚㆴ</t>
  </si>
  <si>
    <t>ㄎㄚㆴ</t>
  </si>
  <si>
    <t>ㄏㄚㆵ</t>
  </si>
  <si>
    <t>ㄅㄚㆵ</t>
  </si>
  <si>
    <t>ㄆㄚㆵ</t>
  </si>
  <si>
    <t>ㆠㄚㆵ</t>
  </si>
  <si>
    <t>ㄉㄚㆵ</t>
  </si>
  <si>
    <t>ㄊㄚㆵ</t>
  </si>
  <si>
    <t>ㄌㄚㆵ</t>
  </si>
  <si>
    <t>ㄗㄚㆵ</t>
  </si>
  <si>
    <t>ㄘㄚㆵ</t>
  </si>
  <si>
    <t>ㄙㄚㆵ</t>
  </si>
  <si>
    <t>ㄍㄚㆵ</t>
  </si>
  <si>
    <t>ㄎㄚㆵ</t>
  </si>
  <si>
    <t>ㄏㄚㆻ</t>
  </si>
  <si>
    <t>ㄅㄚㆻ</t>
  </si>
  <si>
    <t>ㄆㄚㆻ</t>
  </si>
  <si>
    <t>ㆠㄚㆻ</t>
  </si>
  <si>
    <t>ㄉㄚㆻ</t>
  </si>
  <si>
    <t>ㄊㄚㆻ</t>
  </si>
  <si>
    <t>ㄌㄚㆻ</t>
  </si>
  <si>
    <t>ㄗㄚㆻ</t>
  </si>
  <si>
    <t>ㄘㄚㆻ</t>
  </si>
  <si>
    <t>ㄙㄚㆻ</t>
  </si>
  <si>
    <t>ㄍㄚㆻ</t>
  </si>
  <si>
    <t>ㄎㄚㆻ</t>
  </si>
  <si>
    <t>ㆣㄚㆻ</t>
  </si>
  <si>
    <t>aɪ</t>
  </si>
  <si>
    <t>ㄏㄞ</t>
  </si>
  <si>
    <t>ㄅㄞ</t>
  </si>
  <si>
    <t>ㄆㄞ</t>
  </si>
  <si>
    <t>ㆠㄞ</t>
  </si>
  <si>
    <t>ㄇㄞ</t>
  </si>
  <si>
    <t>ㄉㄞ</t>
  </si>
  <si>
    <t>ㄊㄞ</t>
  </si>
  <si>
    <t>ㄋㄞ</t>
  </si>
  <si>
    <t>ㄌㄞ</t>
  </si>
  <si>
    <t>ㄗㄞ</t>
  </si>
  <si>
    <t>ㄘㄞ</t>
  </si>
  <si>
    <t>ㄙㄞ</t>
  </si>
  <si>
    <t>ㄍㄞ</t>
  </si>
  <si>
    <t>ㄎㄞ</t>
  </si>
  <si>
    <t>ㆣㄞ</t>
  </si>
  <si>
    <t>ㄫㄞ</t>
  </si>
  <si>
    <t>ãɪ</t>
  </si>
  <si>
    <t>ㄏㆮ</t>
  </si>
  <si>
    <t>ㄆㆮ</t>
  </si>
  <si>
    <t>ㄉㆮ</t>
  </si>
  <si>
    <t>ㄗㆮ</t>
  </si>
  <si>
    <t>ㄍㆮ</t>
  </si>
  <si>
    <t>ㄎㆮ</t>
  </si>
  <si>
    <t>aɪʔ</t>
  </si>
  <si>
    <t>ㄏㄞㆷ</t>
  </si>
  <si>
    <t>ㄌㄞㆷ</t>
  </si>
  <si>
    <t>ㄙㄞㆷ</t>
  </si>
  <si>
    <t>ㄏㄠ</t>
  </si>
  <si>
    <t>ㄅㄠ</t>
  </si>
  <si>
    <t>ㄆㄠ</t>
  </si>
  <si>
    <t>ㆠㄠ</t>
  </si>
  <si>
    <t>ㄇㄠ</t>
  </si>
  <si>
    <t>ㄉㄠ</t>
  </si>
  <si>
    <t>ㄊㄠ</t>
  </si>
  <si>
    <t>ㄋㄠ</t>
  </si>
  <si>
    <t>ㄌㄠ</t>
  </si>
  <si>
    <t>ㄗㄠ</t>
  </si>
  <si>
    <t>ㄘㄠ</t>
  </si>
  <si>
    <t>ㄙㄠ</t>
  </si>
  <si>
    <t>ㄍㄠ</t>
  </si>
  <si>
    <t>ㄎㄠ</t>
  </si>
  <si>
    <t>ㆣㄠ</t>
  </si>
  <si>
    <t>ㄫㄠ</t>
  </si>
  <si>
    <t>auʔ</t>
  </si>
  <si>
    <t>ㄆㄠㆷ</t>
  </si>
  <si>
    <t>ㄇㄠㆷ</t>
  </si>
  <si>
    <t>ㄉㄠㆷ</t>
  </si>
  <si>
    <t>ㄋㄠㆷ</t>
  </si>
  <si>
    <t>ㄌㄠㆷ</t>
  </si>
  <si>
    <t>ㄘㄠㆷ</t>
  </si>
  <si>
    <t>ㄍㄠㆷ</t>
  </si>
  <si>
    <t>ㄫㄠㆷ</t>
  </si>
  <si>
    <t>ㄏㆤ</t>
  </si>
  <si>
    <t>ㄅㆤ</t>
  </si>
  <si>
    <t>ㄆㆤ</t>
  </si>
  <si>
    <t>ㆠㆤ</t>
  </si>
  <si>
    <t>ㄇㆤ</t>
  </si>
  <si>
    <t>ㄉㆤ</t>
  </si>
  <si>
    <t>ㄊㆤ</t>
  </si>
  <si>
    <t>ㄋㆤ</t>
  </si>
  <si>
    <t>ㄌㆤ</t>
  </si>
  <si>
    <t>ㄗㆤ</t>
  </si>
  <si>
    <t>ㄘㆤ</t>
  </si>
  <si>
    <t>ㄙㆤ</t>
  </si>
  <si>
    <t>ㄍㆤ</t>
  </si>
  <si>
    <t>ㄎㆤ</t>
  </si>
  <si>
    <t>ㆣㆤ</t>
  </si>
  <si>
    <t>ㄫㆤ</t>
  </si>
  <si>
    <t>ㄏㆥ</t>
  </si>
  <si>
    <t>ㄅㆥ</t>
  </si>
  <si>
    <t>ㄆㆥ</t>
  </si>
  <si>
    <t>ㄉㆥ</t>
  </si>
  <si>
    <t>ㄊㆥ</t>
  </si>
  <si>
    <t>ㄗㆥ</t>
  </si>
  <si>
    <t>ㄘㆥ</t>
  </si>
  <si>
    <t>ㄙㆥ</t>
  </si>
  <si>
    <t>ㄍㆥ</t>
  </si>
  <si>
    <t>ㄎㆥ</t>
  </si>
  <si>
    <t>eʔ</t>
  </si>
  <si>
    <t>ㄏㆤㆷ</t>
  </si>
  <si>
    <t>ㄅㆤㆷ</t>
  </si>
  <si>
    <t>ㄆㆤㆷ</t>
  </si>
  <si>
    <t>ㆠㆤㆷ</t>
  </si>
  <si>
    <t>ㄇㆤㆷ</t>
  </si>
  <si>
    <t>ㄉㆤㆷ</t>
  </si>
  <si>
    <t>ㄊㆤㆷ</t>
  </si>
  <si>
    <t>ㄋㆤㆷ</t>
  </si>
  <si>
    <t>ㄌㆤㆷ</t>
  </si>
  <si>
    <t>ㄗㆤㆷ</t>
  </si>
  <si>
    <t>ㄘㆤㆷ</t>
  </si>
  <si>
    <t>ㄙㆤㆷ</t>
  </si>
  <si>
    <t>ㄍㆤㆷ</t>
  </si>
  <si>
    <t>ㄎㆤㆷ</t>
  </si>
  <si>
    <t>ㆣㆤㆷ</t>
  </si>
  <si>
    <t>ㄫㆤㆷ</t>
  </si>
  <si>
    <t>ẽʔ</t>
  </si>
  <si>
    <t>ㄏㆥㆷ</t>
  </si>
  <si>
    <t>ㄎㆥㆷ</t>
  </si>
  <si>
    <t>ㄏㄧ</t>
  </si>
  <si>
    <t>ㄅㄧ</t>
  </si>
  <si>
    <t>ㄆㄧ</t>
  </si>
  <si>
    <t>ㆠㄧ</t>
  </si>
  <si>
    <t>ㄇㄧ</t>
  </si>
  <si>
    <t>ㄉㄧ</t>
  </si>
  <si>
    <t>ㄊㄧ</t>
  </si>
  <si>
    <t>ㄋㄧ</t>
  </si>
  <si>
    <t>ㄌㄧ</t>
  </si>
  <si>
    <t>ㄐㄧ</t>
  </si>
  <si>
    <t>ㄑㄧ</t>
  </si>
  <si>
    <t>ㆢㄧ</t>
  </si>
  <si>
    <t>ㄒㄧ</t>
  </si>
  <si>
    <t>ㄍㄧ</t>
  </si>
  <si>
    <t>ㄎㄧ</t>
  </si>
  <si>
    <t>ㆣㄧ</t>
  </si>
  <si>
    <t>ㄫㄧ</t>
  </si>
  <si>
    <t>ㄏㆪ</t>
  </si>
  <si>
    <t>ㄅㆪ</t>
  </si>
  <si>
    <t>ㄆㆪ</t>
  </si>
  <si>
    <t>ㄉㆪ</t>
  </si>
  <si>
    <t>ㄊㆪ</t>
  </si>
  <si>
    <t>ㄐㆪ</t>
  </si>
  <si>
    <t>ㄑㆪ</t>
  </si>
  <si>
    <t>ㄒㆪ</t>
  </si>
  <si>
    <t>ㄍㆪ</t>
  </si>
  <si>
    <t>ㄎㆪ</t>
  </si>
  <si>
    <t>iʔ</t>
  </si>
  <si>
    <t>ㄅㄧㆷ</t>
  </si>
  <si>
    <t>ㄆㄧㆷ</t>
  </si>
  <si>
    <t>ㆠㄧㆷ</t>
  </si>
  <si>
    <t>ㄇㄧㆷ</t>
  </si>
  <si>
    <t>ㄉㄧㆷ</t>
  </si>
  <si>
    <t>ㄊㄧㆷ</t>
  </si>
  <si>
    <t>ㄋㄧㆷ</t>
  </si>
  <si>
    <t>ㄌㄧㆷ</t>
  </si>
  <si>
    <t>ㄐㄧㆷ</t>
  </si>
  <si>
    <t>ㄑㄧㆷ</t>
  </si>
  <si>
    <t>ㄒㄧㆷ</t>
  </si>
  <si>
    <t>ㄍㄧㆷ</t>
  </si>
  <si>
    <t>ㄎㄧㆷ</t>
  </si>
  <si>
    <t>ㄏㄧㆬ</t>
  </si>
  <si>
    <t>ㄉㄧㆬ</t>
  </si>
  <si>
    <t>ㄊㄧㆬ</t>
  </si>
  <si>
    <t>ㄌㄧㆬ</t>
  </si>
  <si>
    <t>ㄐㄧㆬ</t>
  </si>
  <si>
    <t>ㄑㄧㆬ</t>
  </si>
  <si>
    <t>ㆢㄧㆬ</t>
  </si>
  <si>
    <t>ㄒㄧㆬ</t>
  </si>
  <si>
    <t>ㄍㄧㆬ</t>
  </si>
  <si>
    <t>ㄎㄧㆬ</t>
  </si>
  <si>
    <t>ㆣㄧㆬ</t>
  </si>
  <si>
    <t>ㄏㄧㄣ</t>
  </si>
  <si>
    <t>ㄅㄧㄣ</t>
  </si>
  <si>
    <t>ㄆㄧㄣ</t>
  </si>
  <si>
    <t>ㆠㄧㄣ</t>
  </si>
  <si>
    <t>ㄉㄧㄣ</t>
  </si>
  <si>
    <t>ㄊㄧㄣ</t>
  </si>
  <si>
    <t>ㄌㄧㄣ</t>
  </si>
  <si>
    <t>ㄐㄧㄣ</t>
  </si>
  <si>
    <t>ㄑㄧㄣ</t>
  </si>
  <si>
    <t>ㆢㄧㄣ</t>
  </si>
  <si>
    <t>ㄒㄧㄣ</t>
  </si>
  <si>
    <t>ㄍㄧㄣ</t>
  </si>
  <si>
    <t>ㄎㄧㄣ</t>
  </si>
  <si>
    <t>ㆣㄧㄣ</t>
  </si>
  <si>
    <t>iŋ</t>
  </si>
  <si>
    <t>ㄏㄧㄥ</t>
  </si>
  <si>
    <t>ㄅㄧㄥ</t>
  </si>
  <si>
    <t>ㄆㄧㄥ</t>
  </si>
  <si>
    <t>ㆠㄧㄥ</t>
  </si>
  <si>
    <t>ㄉㄧㄥ</t>
  </si>
  <si>
    <t>ㄊㄧㄥ</t>
  </si>
  <si>
    <t>ㄌㄧㄥ</t>
  </si>
  <si>
    <t>ㄐㄧㄥ</t>
  </si>
  <si>
    <t>ㄑㄧㄥ</t>
  </si>
  <si>
    <t>ㄒㄧㄥ</t>
  </si>
  <si>
    <t>ㄍㄧㄥ</t>
  </si>
  <si>
    <t>ㄎㄧㄥ</t>
  </si>
  <si>
    <t>ㆣㄧㄥ</t>
  </si>
  <si>
    <t>ㄏㄧㆴ</t>
  </si>
  <si>
    <t>ㄌㄧㆴ</t>
  </si>
  <si>
    <t>ㄐㄧㆴ</t>
  </si>
  <si>
    <t>ㄑㄧㆴ</t>
  </si>
  <si>
    <t>ㆢㄧㆴ</t>
  </si>
  <si>
    <t>ㄒㄧㆴ</t>
  </si>
  <si>
    <t>ㄍㄧㆴ</t>
  </si>
  <si>
    <t>ㄎㄧㆴ</t>
  </si>
  <si>
    <t>ㄏㄧㆵ</t>
  </si>
  <si>
    <t>ㄅㄧㆵ</t>
  </si>
  <si>
    <t>ㄆㄧㆵ</t>
  </si>
  <si>
    <t>ㆠㄧㆵ</t>
  </si>
  <si>
    <t>ㄉㄧㆵ</t>
  </si>
  <si>
    <t>ㄊㄧㆵ</t>
  </si>
  <si>
    <t>ㄌㄧㆵ</t>
  </si>
  <si>
    <t>ㄐㄧㆵ</t>
  </si>
  <si>
    <t>ㄑㄧㆵ</t>
  </si>
  <si>
    <t>ㆢㄧㆵ</t>
  </si>
  <si>
    <t>ㄒㄧㆵ</t>
  </si>
  <si>
    <t>ㄍㄧㆵ</t>
  </si>
  <si>
    <t>ㄎㄧㆵ</t>
  </si>
  <si>
    <t>ik̚/ɪək̚</t>
  </si>
  <si>
    <t>ㄏㄧㆻ</t>
  </si>
  <si>
    <t>ㄅㄧㆻ</t>
  </si>
  <si>
    <t>ㄆㄧㆻ</t>
  </si>
  <si>
    <t>ㆠㄧㆻ</t>
  </si>
  <si>
    <t>ㄉㄧㆻ</t>
  </si>
  <si>
    <t>ㄊㄧㆻ</t>
  </si>
  <si>
    <t>ㄌㄧㆻ</t>
  </si>
  <si>
    <t>ㄐㄧㆻ</t>
  </si>
  <si>
    <t>ㄑㄧㆻ</t>
  </si>
  <si>
    <t>ㆢㄧㆻ</t>
  </si>
  <si>
    <t>ㄒㄧㆻ</t>
  </si>
  <si>
    <t>ㄍㄧㆻ</t>
  </si>
  <si>
    <t>ㄎㄧㆻ</t>
  </si>
  <si>
    <t>ㆣㄧㆻ</t>
  </si>
  <si>
    <t>ɪa</t>
  </si>
  <si>
    <t>ㄏㄧㄚ</t>
  </si>
  <si>
    <t>ㄇㄧㄚ</t>
  </si>
  <si>
    <t>ㄉㄧㄚ</t>
  </si>
  <si>
    <t>ㄋㄧㄚ</t>
  </si>
  <si>
    <t>ㄌㄧㄚ</t>
  </si>
  <si>
    <t>ㄐㄧㄚ</t>
  </si>
  <si>
    <t>ㄑㄧㄚ</t>
  </si>
  <si>
    <t>ㆢㄧㄚ</t>
  </si>
  <si>
    <t>ㄒㄧㄚ</t>
  </si>
  <si>
    <t>ㄍㄧㄚ</t>
  </si>
  <si>
    <t>ㄎㄧㄚ</t>
  </si>
  <si>
    <t>ㆣㄧㄚ</t>
  </si>
  <si>
    <t>ㄫㄧㄚ</t>
  </si>
  <si>
    <t>iã</t>
  </si>
  <si>
    <t>ㄏㄧㆩ</t>
  </si>
  <si>
    <t>ㄅㄧㆩ</t>
  </si>
  <si>
    <t>ㄆㄧㆩ</t>
  </si>
  <si>
    <t>ㄉㄧㆩ</t>
  </si>
  <si>
    <t>ㄊㄧㆩ</t>
  </si>
  <si>
    <t>ㄐㄧㆩ</t>
  </si>
  <si>
    <t>ㄑㄧㆩ</t>
  </si>
  <si>
    <t>ㄒㄧㆩ</t>
  </si>
  <si>
    <t>ㄍㄧㆩ</t>
  </si>
  <si>
    <t>ㄎㄧㆩ</t>
  </si>
  <si>
    <t>ɪaʔ</t>
  </si>
  <si>
    <t>ㄏㄧㄚㆷ</t>
  </si>
  <si>
    <t>ㄅㄧㄚㆷ</t>
  </si>
  <si>
    <t>ㄆㄧㄚㆷ</t>
  </si>
  <si>
    <t>ㄉㄧㄚㆷ</t>
  </si>
  <si>
    <t>ㄊㄧㄚㆷ</t>
  </si>
  <si>
    <t>ㄌㄧㄚㆷ</t>
  </si>
  <si>
    <t>ㄐㄧㄚㆷ</t>
  </si>
  <si>
    <t>ㄑㄧㄚㆷ</t>
  </si>
  <si>
    <t>ㆢㄧㄚㆷ</t>
  </si>
  <si>
    <t>ㄒㄧㄚㆷ</t>
  </si>
  <si>
    <t>ㄍㄧㄚㆷ</t>
  </si>
  <si>
    <t>ㄎㄧㄚㆷ</t>
  </si>
  <si>
    <t>ㆣㄧㄚㆷ</t>
  </si>
  <si>
    <t>iãʔ</t>
  </si>
  <si>
    <t>ㄏㄧㆩㆷ</t>
  </si>
  <si>
    <t>ㄒㄧㆩㆷ</t>
  </si>
  <si>
    <t>ɪam</t>
  </si>
  <si>
    <t>ㄏㄧㆰ</t>
  </si>
  <si>
    <t>ㄉㄧㆰ</t>
  </si>
  <si>
    <t>ㄊㄧㆰ</t>
  </si>
  <si>
    <t>ㄌㄧㆰ</t>
  </si>
  <si>
    <t>ㄐㄧㆰ</t>
  </si>
  <si>
    <t>ㄑㄧㆰ</t>
  </si>
  <si>
    <t>ㆢㄧㆰ</t>
  </si>
  <si>
    <t>ㄒㄧㆰ</t>
  </si>
  <si>
    <t>ㄍㄧㆰ</t>
  </si>
  <si>
    <t>ㄎㄧㆰ</t>
  </si>
  <si>
    <t>ㆣㄧㆰ</t>
  </si>
  <si>
    <t>ɪan/en</t>
  </si>
  <si>
    <t>ㄏㄧㄢ</t>
  </si>
  <si>
    <t>ㄅㄧㄢ</t>
  </si>
  <si>
    <t>ㄆㄧㄢ</t>
  </si>
  <si>
    <t>ㆠㄧㄢ</t>
  </si>
  <si>
    <t>ㄉㄧㄢ</t>
  </si>
  <si>
    <t>ㄊㄧㄢ</t>
  </si>
  <si>
    <t>ㄌㄧㄢ</t>
  </si>
  <si>
    <t>ㄐㄧㄢ</t>
  </si>
  <si>
    <t>ㄑㄧㄢ</t>
  </si>
  <si>
    <t>ㆢㄧㄢ</t>
  </si>
  <si>
    <t>ㄒㄧㄢ</t>
  </si>
  <si>
    <t>ㄍㄧㄢ</t>
  </si>
  <si>
    <t>ㄎㄧㄢ</t>
  </si>
  <si>
    <t>ㆣㄧㄢ</t>
  </si>
  <si>
    <t>ɪaŋ</t>
  </si>
  <si>
    <t>ㄏㄧㄤ</t>
  </si>
  <si>
    <t>ㄅㄧㄤ</t>
  </si>
  <si>
    <t>ㄆㄧㄤ</t>
  </si>
  <si>
    <t>ㄌㄧㄤ</t>
  </si>
  <si>
    <t>ㄐㄧㄤ</t>
  </si>
  <si>
    <t>ㄑㄧㄤ</t>
  </si>
  <si>
    <t>ㆢㄧㄤ</t>
  </si>
  <si>
    <t>ㄒㄧㄤ</t>
  </si>
  <si>
    <t>ㄍㄧㄤ</t>
  </si>
  <si>
    <t>ㄎㄧㄤ</t>
  </si>
  <si>
    <t>ㆣㄧㄤ</t>
  </si>
  <si>
    <t>ɪap̚</t>
  </si>
  <si>
    <t>ㄏㄧㄚㆴ</t>
  </si>
  <si>
    <t>ㄉㄧㄚㆴ</t>
  </si>
  <si>
    <t>ㄊㄧㄚㆴ</t>
  </si>
  <si>
    <t>ㄌㄧㄚㆴ</t>
  </si>
  <si>
    <t>ㄐㄧㄚㆴ</t>
  </si>
  <si>
    <t>ㄑㄧㄚㆴ</t>
  </si>
  <si>
    <t>ㆢㄧㄚㆴ</t>
  </si>
  <si>
    <t>ㄒㄧㄚㆴ</t>
  </si>
  <si>
    <t>ㄍㄧㄚㆴ</t>
  </si>
  <si>
    <t>ㄎㄧㄚㆴ</t>
  </si>
  <si>
    <t>ㆣㄧㄚㆴ</t>
  </si>
  <si>
    <t>ɪat̚/ɪet̚</t>
  </si>
  <si>
    <t>ㄏㄧㄚㆵ</t>
  </si>
  <si>
    <t>ㄅㄧㄚㆵ</t>
  </si>
  <si>
    <t>ㄆㄧㄚㆵ</t>
  </si>
  <si>
    <t>ㆠㄧㄚㆵ</t>
  </si>
  <si>
    <t>ㄉㄧㄚㆵ</t>
  </si>
  <si>
    <t>ㄊㄧㄚㆵ</t>
  </si>
  <si>
    <t>ㄌㄧㄚㆵ</t>
  </si>
  <si>
    <t>ㄐㄧㄚㆵ</t>
  </si>
  <si>
    <t>ㄑㄧㄚㆵ</t>
  </si>
  <si>
    <t>ㆢㄧㄚㆵ</t>
  </si>
  <si>
    <t>ㄒㄧㄚㆵ</t>
  </si>
  <si>
    <t>ㄍㄧㄚㆵ</t>
  </si>
  <si>
    <t>ㄎㄧㄚㆵ</t>
  </si>
  <si>
    <t>ㆣㄧㄚㆵ</t>
  </si>
  <si>
    <t>ɪak̚</t>
  </si>
  <si>
    <t>ㄅㄧㄚㆻ</t>
  </si>
  <si>
    <t>ㄆㄧㄚㆻ</t>
  </si>
  <si>
    <t>ㄉㄧㄚㆻ</t>
  </si>
  <si>
    <t>ㄑㄧㄚㆻ</t>
  </si>
  <si>
    <t>ㄒㄧㄚㆻ</t>
  </si>
  <si>
    <t>ㄎㄧㄚㆻ</t>
  </si>
  <si>
    <t>ɪau</t>
  </si>
  <si>
    <t>ㄏㄧㄠ</t>
  </si>
  <si>
    <t>ㄅㄧㄠ</t>
  </si>
  <si>
    <t>ㄆㄧㄠ</t>
  </si>
  <si>
    <t>ㆠㄧㄠ</t>
  </si>
  <si>
    <t>ㄇㄧㄠ</t>
  </si>
  <si>
    <t>ㄉㄧㄠ</t>
  </si>
  <si>
    <t>ㄊㄧㄠ</t>
  </si>
  <si>
    <t>ㄋㄧㄠ</t>
  </si>
  <si>
    <t>ㄌㄧㄠ</t>
  </si>
  <si>
    <t>ㄐㄧㄠ</t>
  </si>
  <si>
    <t>ㄑㄧㄠ</t>
  </si>
  <si>
    <t>ㆢㄧㄠ</t>
  </si>
  <si>
    <t>ㄒㄧㄠ</t>
  </si>
  <si>
    <t>ㄍㄧㄠ</t>
  </si>
  <si>
    <t>ㄎㄧㄠ</t>
  </si>
  <si>
    <t>ㆣㄧㄠ</t>
  </si>
  <si>
    <t>ㄫㄧㄠ</t>
  </si>
  <si>
    <t>ɪãu</t>
  </si>
  <si>
    <t>ɪauʔ</t>
  </si>
  <si>
    <t>ㄏㄧㄠㆷ</t>
  </si>
  <si>
    <t>ㄎㄧㄠㆷ</t>
  </si>
  <si>
    <t>ㄫㄧㄠㆷ</t>
  </si>
  <si>
    <t>ɪə/ɪo</t>
  </si>
  <si>
    <t>ㄏㄧㄜ</t>
  </si>
  <si>
    <t>ㄅㄧㄜ</t>
  </si>
  <si>
    <t>ㄆㄧㄜ</t>
  </si>
  <si>
    <t>ㆠㄧㄜ</t>
  </si>
  <si>
    <t>ㄉㄧㄜ</t>
  </si>
  <si>
    <t>ㄊㄧㄜ</t>
  </si>
  <si>
    <t>ㄌㄧㄜ</t>
  </si>
  <si>
    <t>ㄐㄧㄜ</t>
  </si>
  <si>
    <t>ㄑㄧㄜ</t>
  </si>
  <si>
    <t>ㆢㄧㄜ</t>
  </si>
  <si>
    <t>ㄒㄧㄜ</t>
  </si>
  <si>
    <t>ㄍㄧㄜ</t>
  </si>
  <si>
    <t>ㄎㄧㄜ</t>
  </si>
  <si>
    <t>ㆣㄧㄜ</t>
  </si>
  <si>
    <t>ɪɔ̃</t>
  </si>
  <si>
    <t>ㄏㄧㆧ</t>
  </si>
  <si>
    <t>ㄉㄧㆧ</t>
  </si>
  <si>
    <t>ㄐㄧㆧ</t>
  </si>
  <si>
    <t>ㄑㄧㆧ</t>
  </si>
  <si>
    <t>ㄒㄧㆧ</t>
  </si>
  <si>
    <t>ㄍㄧㆧ</t>
  </si>
  <si>
    <t>ㄎㄧㆧ</t>
  </si>
  <si>
    <t>ɪəʔ/ɪoʔ</t>
  </si>
  <si>
    <t>ㄏㄧㄜㆷ</t>
  </si>
  <si>
    <t>ㄉㄧㄜㆷ</t>
  </si>
  <si>
    <t>ㄌㄧㄜㆷ</t>
  </si>
  <si>
    <t>ㄐㄧㄜㆷ</t>
  </si>
  <si>
    <t>ㄑㄧㄜㆷ</t>
  </si>
  <si>
    <t>ㄒㄧㄜㆷ</t>
  </si>
  <si>
    <t>ㄍㄧㄜㆷ</t>
  </si>
  <si>
    <t>ㄎㄧㄜㆷ</t>
  </si>
  <si>
    <t>ㆣㄧㄜㆷ</t>
  </si>
  <si>
    <t>ɪɔŋ</t>
  </si>
  <si>
    <t>ㄏㄧㆲ</t>
  </si>
  <si>
    <t>ㄉㄧㆲ</t>
  </si>
  <si>
    <t>ㄊㄧㆲ</t>
  </si>
  <si>
    <t>ㄌㄧㆲ</t>
  </si>
  <si>
    <t>ㄐㄧㆲ</t>
  </si>
  <si>
    <t>ㄑㄧㆲ</t>
  </si>
  <si>
    <t>ㆢㄧㆲ</t>
  </si>
  <si>
    <t>ㄒㄧㆲ</t>
  </si>
  <si>
    <t>ㄍㄧㆲ</t>
  </si>
  <si>
    <t>ㄎㄧㆲ</t>
  </si>
  <si>
    <t>ㆣㄧㆲ</t>
  </si>
  <si>
    <t>ɪɔk̚</t>
  </si>
  <si>
    <t>ㄏㄧㆦㆻ</t>
  </si>
  <si>
    <t>ㄉㄧㆦㆻ</t>
  </si>
  <si>
    <t>ㄊㄧㆦㆻ</t>
  </si>
  <si>
    <t>ㄌㄧㆦㆻ</t>
  </si>
  <si>
    <t>ㄐㄧㆦㆻ</t>
  </si>
  <si>
    <t>ㄑㄧㆦㆻ</t>
  </si>
  <si>
    <t>ㆢㄧㆦㆻ</t>
  </si>
  <si>
    <t>ㄒㄧㆦㆻ</t>
  </si>
  <si>
    <t>ㄍㄧㆦㆻ</t>
  </si>
  <si>
    <t>ㄎㄧㆦㆻ</t>
  </si>
  <si>
    <t>ㆣㄧㆦㆻ</t>
  </si>
  <si>
    <t>ㄏㄧㄨ</t>
  </si>
  <si>
    <t>ㄅㄧㄨ</t>
  </si>
  <si>
    <t>ㆠㄧㄨ</t>
  </si>
  <si>
    <t>ㄉㄧㄨ</t>
  </si>
  <si>
    <t>ㄊㄧㄨ</t>
  </si>
  <si>
    <t>ㄋㄧㄨ</t>
  </si>
  <si>
    <t>ㄌㄧㄨ</t>
  </si>
  <si>
    <t>ㄐㄧㄨ</t>
  </si>
  <si>
    <t>ㄑㄧㄨ</t>
  </si>
  <si>
    <t>ㆢㄧㄨ</t>
  </si>
  <si>
    <t>ㄒㄧㄨ</t>
  </si>
  <si>
    <t>ㄍㄧㄨ</t>
  </si>
  <si>
    <t>ㄎㄧㄨ</t>
  </si>
  <si>
    <t>ㆣㄧㄨ</t>
  </si>
  <si>
    <t>ㄫㄧㄨ</t>
  </si>
  <si>
    <t>iũ</t>
  </si>
  <si>
    <t>ㄏㄧㆫ</t>
  </si>
  <si>
    <t>ㄉㄧㆫ</t>
  </si>
  <si>
    <t>ㄐㄧㆫ</t>
  </si>
  <si>
    <t>ㄑㄧㆫ</t>
  </si>
  <si>
    <t>ㄒㄧㆫ</t>
  </si>
  <si>
    <t>ㄍㄧㆫ</t>
  </si>
  <si>
    <t>ㄎㄧㆫ</t>
  </si>
  <si>
    <t>iũʔ</t>
  </si>
  <si>
    <t>ㄏㄧㆫㆷ</t>
  </si>
  <si>
    <t>ə/o</t>
  </si>
  <si>
    <t>ㄏㄜ</t>
  </si>
  <si>
    <t>ㄅㄜ</t>
  </si>
  <si>
    <t>ㄆㄜ</t>
  </si>
  <si>
    <t>ㆠㄜ</t>
  </si>
  <si>
    <t>ㄉㄜ</t>
  </si>
  <si>
    <t>ㄊㄜ</t>
  </si>
  <si>
    <t>ㄌㄜ</t>
  </si>
  <si>
    <t>ㄗㄜ</t>
  </si>
  <si>
    <t>ㄘㄜ</t>
  </si>
  <si>
    <t>ㄙㄜ</t>
  </si>
  <si>
    <t>ㄍㄜ</t>
  </si>
  <si>
    <t>ㄎㄜ</t>
  </si>
  <si>
    <t>ㆣㄜ</t>
  </si>
  <si>
    <t>ㄏㆦ</t>
  </si>
  <si>
    <t>ㄅㆦ</t>
  </si>
  <si>
    <t>ㄆㆦ</t>
  </si>
  <si>
    <t>ㆠㆦ</t>
  </si>
  <si>
    <t>ㄇㆦ</t>
  </si>
  <si>
    <t>ㄉㆦ</t>
  </si>
  <si>
    <t>ㄊㆦ</t>
  </si>
  <si>
    <t>ㄋㆦ</t>
  </si>
  <si>
    <t>ㄌㆦ</t>
  </si>
  <si>
    <t>ㄗㆦ</t>
  </si>
  <si>
    <t>ㄘㆦ</t>
  </si>
  <si>
    <t>ㄙㆦ</t>
  </si>
  <si>
    <t>ㄍㆦ</t>
  </si>
  <si>
    <t>ㄎㆦ</t>
  </si>
  <si>
    <t>ㆣㆦ</t>
  </si>
  <si>
    <t>ㄫㆦ</t>
  </si>
  <si>
    <t>ㄏㆧ</t>
  </si>
  <si>
    <t>ㄍㆧ</t>
  </si>
  <si>
    <t>əʔ/oʔ</t>
  </si>
  <si>
    <t>ㄏㄜㆷ</t>
  </si>
  <si>
    <t>ㄅㄜㆷ</t>
  </si>
  <si>
    <t>ㄆㄜㆷ</t>
  </si>
  <si>
    <t>ㆠㄜㆷ</t>
  </si>
  <si>
    <t>ㄉㄜㆷ</t>
  </si>
  <si>
    <t>ㄊㄜㆷ</t>
  </si>
  <si>
    <t>ㄌㄜㆷ</t>
  </si>
  <si>
    <t>ㄗㄜㆷ</t>
  </si>
  <si>
    <t>ㄘㄜㆷ</t>
  </si>
  <si>
    <t>ㄙㄜㆷ</t>
  </si>
  <si>
    <t>ㄍㄜㆷ</t>
  </si>
  <si>
    <t>ɔʔ</t>
  </si>
  <si>
    <t>ㄏㆦㆷ</t>
  </si>
  <si>
    <t>ㄇㆦㆷ</t>
  </si>
  <si>
    <t>ㄉㆦㆷ</t>
  </si>
  <si>
    <t>ㄌㆦㆷ</t>
  </si>
  <si>
    <t>ㄍㆦㆷ</t>
  </si>
  <si>
    <t>ɔ̃ʔ</t>
  </si>
  <si>
    <t>ㄏㆧㆷ</t>
  </si>
  <si>
    <t>ㄉㆱ</t>
  </si>
  <si>
    <t>ㄙㆱ</t>
  </si>
  <si>
    <t>ㄏㆲ</t>
  </si>
  <si>
    <t>ㄅㆲ</t>
  </si>
  <si>
    <t>ㄆㆲ</t>
  </si>
  <si>
    <t>ㆠㆲ</t>
  </si>
  <si>
    <t>ㄉㆲ</t>
  </si>
  <si>
    <t>ㄊㆲ</t>
  </si>
  <si>
    <t>ㄌㆲ</t>
  </si>
  <si>
    <t>ㄗㆲ</t>
  </si>
  <si>
    <t>ㄘㆲ</t>
  </si>
  <si>
    <t>ㄙㆲ</t>
  </si>
  <si>
    <t>ㄍㆲ</t>
  </si>
  <si>
    <t>ㄎㆲ</t>
  </si>
  <si>
    <t>ㆣㆲ</t>
  </si>
  <si>
    <t>ㄏㆦㆴ</t>
  </si>
  <si>
    <t>ㄌㆦㆴ</t>
  </si>
  <si>
    <t>ㄍㆦㆴ</t>
  </si>
  <si>
    <t>ㄏㆦㆻ</t>
  </si>
  <si>
    <t>ㄅㆦㆻ</t>
  </si>
  <si>
    <t>ㄆㆦㆻ</t>
  </si>
  <si>
    <t>ㆠㆦㆻ</t>
  </si>
  <si>
    <t>ㄉㆦㆻ</t>
  </si>
  <si>
    <t>ㄊㆦㆻ</t>
  </si>
  <si>
    <t>ㄌㆦㆻ</t>
  </si>
  <si>
    <t>ㄗㆦㆻ</t>
  </si>
  <si>
    <t>ㄘㆦㆻ</t>
  </si>
  <si>
    <t>ㄙㆦㆻ</t>
  </si>
  <si>
    <t>ㄍㆦㆻ</t>
  </si>
  <si>
    <t>ㄎㆦㆻ</t>
  </si>
  <si>
    <t>ㆣㆦㆻ</t>
  </si>
  <si>
    <t>ㄏㄨ</t>
  </si>
  <si>
    <t>ㄅㄨ</t>
  </si>
  <si>
    <t>ㄆㄨ</t>
  </si>
  <si>
    <t>ㆠㄨ</t>
  </si>
  <si>
    <t>ㄉㄨ</t>
  </si>
  <si>
    <t>ㄊㄨ</t>
  </si>
  <si>
    <t>ㄌㄨ</t>
  </si>
  <si>
    <t>ㄗㄨ</t>
  </si>
  <si>
    <t>ㄘㄨ</t>
  </si>
  <si>
    <t>ㆡㄨ</t>
  </si>
  <si>
    <t>ㄙㄨ</t>
  </si>
  <si>
    <t>ㄍㄨ</t>
  </si>
  <si>
    <t>ㄎㄨ</t>
  </si>
  <si>
    <t>ㆣㄨ</t>
  </si>
  <si>
    <t>uʔ</t>
  </si>
  <si>
    <t>ㄅㄨㆷ</t>
  </si>
  <si>
    <t>ㄆㄨㆷ</t>
  </si>
  <si>
    <t>ㆠㄨㆷ</t>
  </si>
  <si>
    <t>ㄉㄨㆷ</t>
  </si>
  <si>
    <t>ㄊㄨㆷ</t>
  </si>
  <si>
    <t>ㄌㄨㆷ</t>
  </si>
  <si>
    <t>ㄗㄨㆷ</t>
  </si>
  <si>
    <t>ㄘㄨㆷ</t>
  </si>
  <si>
    <t>ㄙㄨㆷ</t>
  </si>
  <si>
    <t>ㄎㄨㆷ</t>
  </si>
  <si>
    <t>ㄏㄨㄣ</t>
  </si>
  <si>
    <t>ㄅㄨㄣ</t>
  </si>
  <si>
    <t>ㄆㄨㄣ</t>
  </si>
  <si>
    <t>ㆠㄨㄣ</t>
  </si>
  <si>
    <t>ㄉㄨㄣ</t>
  </si>
  <si>
    <t>ㄊㄨㄣ</t>
  </si>
  <si>
    <t>ㄌㄨㄣ</t>
  </si>
  <si>
    <t>ㄗㄨㄣ</t>
  </si>
  <si>
    <t>ㄘㄨㄣ</t>
  </si>
  <si>
    <t>ㆡㄨㄣ</t>
  </si>
  <si>
    <t>ㄙㄨㄣ</t>
  </si>
  <si>
    <t>ㄍㄨㄣ</t>
  </si>
  <si>
    <t>ㄎㄨㄣ</t>
  </si>
  <si>
    <t>ㆣㄨㄣ</t>
  </si>
  <si>
    <t>ㄏㄨㆵ</t>
  </si>
  <si>
    <t>ㄅㄨㆵ</t>
  </si>
  <si>
    <t>ㄆㄨㆵ</t>
  </si>
  <si>
    <t>ㆠㄨㆵ</t>
  </si>
  <si>
    <t>ㄉㄨㆵ</t>
  </si>
  <si>
    <t>ㄊㄨㆵ</t>
  </si>
  <si>
    <t>ㄌㄨㆵ</t>
  </si>
  <si>
    <t>ㄗㄨㆵ</t>
  </si>
  <si>
    <t>ㄘㄨㆵ</t>
  </si>
  <si>
    <t>ㄙㄨㆵ</t>
  </si>
  <si>
    <t>ㄍㄨㆵ</t>
  </si>
  <si>
    <t>ㄎㄨㆵ</t>
  </si>
  <si>
    <t>ㄏㄨㄚ</t>
  </si>
  <si>
    <t>ㄅㄨㄚ</t>
  </si>
  <si>
    <t>ㄆㄨㄚ</t>
  </si>
  <si>
    <t>ㆠㄨㄚ</t>
  </si>
  <si>
    <t>ㄇㄨㄚ</t>
  </si>
  <si>
    <t>ㄉㄨㄚ</t>
  </si>
  <si>
    <t>ㄊㄨㄚ</t>
  </si>
  <si>
    <t>ㄋㄨㄚ</t>
  </si>
  <si>
    <t>ㄌㄨㄚ</t>
  </si>
  <si>
    <t>ㄗㄨㄚ</t>
  </si>
  <si>
    <t>ㄘㄨㄚ</t>
  </si>
  <si>
    <t>ㆡㄨㄚ</t>
  </si>
  <si>
    <t>ㄙㄨㄚ</t>
  </si>
  <si>
    <t>ㄍㄨㄚ</t>
  </si>
  <si>
    <t>ㄎㄨㄚ</t>
  </si>
  <si>
    <t>ㆣㄨㄚ</t>
  </si>
  <si>
    <t>uã</t>
  </si>
  <si>
    <t>ㄏㄨㆩ</t>
  </si>
  <si>
    <t>ㄅㄨㆩ</t>
  </si>
  <si>
    <t>ㄆㄨㆩ</t>
  </si>
  <si>
    <t>ㄉㄨㆩ</t>
  </si>
  <si>
    <t>ㄊㄨㆩ</t>
  </si>
  <si>
    <t>ㄗㄨㆩ</t>
  </si>
  <si>
    <t>ㄘㄨㆩ</t>
  </si>
  <si>
    <t>ㄙㄨㆩ</t>
  </si>
  <si>
    <t>ㄍㄨㆩ</t>
  </si>
  <si>
    <t>ㄎㄨㆩ</t>
  </si>
  <si>
    <t>uaʔ</t>
  </si>
  <si>
    <t>ㄏㄨㄚㆷ</t>
  </si>
  <si>
    <t>ㄅㄨㄚㆷ</t>
  </si>
  <si>
    <t>ㄆㄨㄚㆷ</t>
  </si>
  <si>
    <t>ㆠㄨㄚㆷ</t>
  </si>
  <si>
    <t>ㄉㄨㄚㆷ</t>
  </si>
  <si>
    <t>ㄊㄨㄚㆷ</t>
  </si>
  <si>
    <t>ㄌㄨㄚㆷ</t>
  </si>
  <si>
    <t>ㄗㄨㄚㆷ</t>
  </si>
  <si>
    <t>ㄘㄨㄚㆷ</t>
  </si>
  <si>
    <t>ㆡㄨㄚㆷ</t>
  </si>
  <si>
    <t>ㄙㄨㄚㆷ</t>
  </si>
  <si>
    <t>ㄍㄨㄚㆷ</t>
  </si>
  <si>
    <t>ㄎㄨㄚㆷ</t>
  </si>
  <si>
    <t>ㄏㄨㄢ</t>
  </si>
  <si>
    <t>ㄅㄨㄢ</t>
  </si>
  <si>
    <t>ㄆㄨㄢ</t>
  </si>
  <si>
    <t>ㆠㄨㄢ</t>
  </si>
  <si>
    <t>ㄉㄨㄢ</t>
  </si>
  <si>
    <t>ㄊㄨㄢ</t>
  </si>
  <si>
    <t>ㄌㄨㄢ</t>
  </si>
  <si>
    <t>ㄗㄨㄢ</t>
  </si>
  <si>
    <t>ㄘㄨㄢ</t>
  </si>
  <si>
    <t>ㄙㄨㄢ</t>
  </si>
  <si>
    <t>ㄍㄨㄢ</t>
  </si>
  <si>
    <t>ㄎㄨㄢ</t>
  </si>
  <si>
    <t>ㆣㄨㄢ</t>
  </si>
  <si>
    <t>ㄏㄨㄤ</t>
  </si>
  <si>
    <t>ㄘㄨㄤ</t>
  </si>
  <si>
    <t>ㄏㄨㄚㆵ</t>
  </si>
  <si>
    <t>ㄅㄨㄚㆵ</t>
  </si>
  <si>
    <t>ㄆㄨㄚㆵ</t>
  </si>
  <si>
    <t>ㆠㄨㄚㆵ</t>
  </si>
  <si>
    <t>ㄉㄨㄚㆵ</t>
  </si>
  <si>
    <t>ㄊㄨㄚㆵ</t>
  </si>
  <si>
    <t>ㄌㄨㄚㆵ</t>
  </si>
  <si>
    <t>ㄗㄨㄚㆵ</t>
  </si>
  <si>
    <t>ㄙㄨㄚㆵ</t>
  </si>
  <si>
    <t>ㄍㄨㄚㆵ</t>
  </si>
  <si>
    <t>ㄎㄨㄚㆵ</t>
  </si>
  <si>
    <t>ㆣㄨㄚㆵ</t>
  </si>
  <si>
    <t>ㄏㄨㄞ</t>
  </si>
  <si>
    <t>ㄙㄨㄞ</t>
  </si>
  <si>
    <t>ㄍㄨㄞ</t>
  </si>
  <si>
    <t>ㄎㄨㄞ</t>
  </si>
  <si>
    <t>uãi</t>
  </si>
  <si>
    <t>ㄏㄨㆮ</t>
  </si>
  <si>
    <t>ㄗㄨㆮ</t>
  </si>
  <si>
    <t>ㄙㄨㆮ</t>
  </si>
  <si>
    <t>ㄍㄨㆮ</t>
  </si>
  <si>
    <t>uaiʔ</t>
  </si>
  <si>
    <t>ㆠㄨㄞㆷ</t>
  </si>
  <si>
    <t>ㄌㄨㄞㆷ</t>
  </si>
  <si>
    <t>ㄘㄨㄞㆷ</t>
  </si>
  <si>
    <t>ㄍㄨㄞㆷ</t>
  </si>
  <si>
    <t>uãiʔ</t>
  </si>
  <si>
    <t>ㄍㄨㆮㆷ</t>
  </si>
  <si>
    <t>ㄏㄨㆤ</t>
  </si>
  <si>
    <t>ㄅㄨㆤ</t>
  </si>
  <si>
    <t>ㄆㄨㆤ</t>
  </si>
  <si>
    <t>ㆠㄨㆤ</t>
  </si>
  <si>
    <t>ㄇㄨㆤ</t>
  </si>
  <si>
    <t>ㄉㄨㆤ</t>
  </si>
  <si>
    <t>ㄊㄨㆤ</t>
  </si>
  <si>
    <t>ㄌㄨㆤ</t>
  </si>
  <si>
    <t>ㄗㄨㆤ</t>
  </si>
  <si>
    <t>ㄘㄨㆤ</t>
  </si>
  <si>
    <t>ㆡㄨㆤ</t>
  </si>
  <si>
    <t>ㄙㄨㆤ</t>
  </si>
  <si>
    <t>ㄍㄨㆤ</t>
  </si>
  <si>
    <t>ㄎㄨㆤ</t>
  </si>
  <si>
    <t>ㆣㄨㆤ</t>
  </si>
  <si>
    <t>ueʔ</t>
  </si>
  <si>
    <t>ㄏㄨㆤㆷ</t>
  </si>
  <si>
    <t>ㄅㄨㆤㆷ</t>
  </si>
  <si>
    <t>ㄆㄨㆤㆷ</t>
  </si>
  <si>
    <t>ㆠㄨㆤㆷ</t>
  </si>
  <si>
    <t>ㄊㄨㆤㆷ</t>
  </si>
  <si>
    <t>ㄌㄨㆤㆷ</t>
  </si>
  <si>
    <t>ㄗㄨㆤㆷ</t>
  </si>
  <si>
    <t>ㄘㄨㆤㆷ</t>
  </si>
  <si>
    <t>ㄙㄨㆤㆷ</t>
  </si>
  <si>
    <t>ㄍㄨㆤㆷ</t>
  </si>
  <si>
    <t>ㄎㄨㆤㆷ</t>
  </si>
  <si>
    <t>ㆣㄨㆤㆷ</t>
  </si>
  <si>
    <t>ㄫㄨㆤㆷ</t>
  </si>
  <si>
    <t>ㄏㄨㄧ</t>
  </si>
  <si>
    <t>ㄅㄨㄧ</t>
  </si>
  <si>
    <t>ㄆㄨㄧ</t>
  </si>
  <si>
    <t>ㆠㄨㄧ</t>
  </si>
  <si>
    <t>ㄇㄨㄧ</t>
  </si>
  <si>
    <t>ㄉㄨㄧ</t>
  </si>
  <si>
    <t>ㄊㄨㄧ</t>
  </si>
  <si>
    <t>ㄌㄨㄧ</t>
  </si>
  <si>
    <t>ㄗㄨㄧ</t>
  </si>
  <si>
    <t>ㄘㄨㄧ</t>
  </si>
  <si>
    <t>ㄙㄨㄧ</t>
  </si>
  <si>
    <t>ㄍㄨㄧ</t>
  </si>
  <si>
    <t>ㄎㄨㄧ</t>
  </si>
  <si>
    <t>ㆣㄨㄧ</t>
  </si>
  <si>
    <t>uĩ</t>
  </si>
  <si>
    <t>ㄏㄨㆪ</t>
  </si>
  <si>
    <t>ㄅㄨㆪ</t>
  </si>
  <si>
    <t>ㄗㄨㆪ</t>
  </si>
  <si>
    <t>ㄘㄨㆪ</t>
  </si>
  <si>
    <t>ㄙㄨㆪ</t>
  </si>
  <si>
    <t>ㄍㄨㆪ</t>
  </si>
  <si>
    <t>uiʔ</t>
  </si>
  <si>
    <t>ㄏㄨㄧㆷ</t>
  </si>
  <si>
    <t>ㄍㄨㄧㆷ</t>
  </si>
  <si>
    <t>ㄏㆬ</t>
  </si>
  <si>
    <t>m̩ʔ</t>
  </si>
  <si>
    <t>ㄏㆬㆷ</t>
  </si>
  <si>
    <t>ㄏㆭ</t>
  </si>
  <si>
    <t>ㄅㆭ</t>
  </si>
  <si>
    <t>ㄇㆭ</t>
  </si>
  <si>
    <t>ㄉㆭ</t>
  </si>
  <si>
    <t>ㄊㆭ</t>
  </si>
  <si>
    <t>ㄋㆭ</t>
  </si>
  <si>
    <t>ㄗㆭ</t>
  </si>
  <si>
    <t>ㄘㆭ</t>
  </si>
  <si>
    <t>ㄙㆭ</t>
  </si>
  <si>
    <t>ㄍㆭ</t>
  </si>
  <si>
    <t>ㄎㆭ</t>
  </si>
  <si>
    <t>ŋ̍ʔ</t>
  </si>
  <si>
    <t>ㄏㆭㆷ</t>
  </si>
  <si>
    <t>ㄆㆭㆷ</t>
  </si>
  <si>
    <t>ㄇㆭㆷ</t>
  </si>
  <si>
    <t>ㄘㆭㆷ</t>
  </si>
  <si>
    <t>ㄙㆭㆷ</t>
  </si>
  <si>
    <t>ㄎㆭㆷ</t>
  </si>
  <si>
    <r>
      <t>方音</t>
    </r>
    <r>
      <rPr>
        <sz val="18"/>
        <color rgb="FF000000"/>
        <rFont val="PingFang TC Semibold"/>
        <family val="1"/>
      </rPr>
      <t>聲母</t>
    </r>
    <phoneticPr fontId="42" type="noConversion"/>
  </si>
  <si>
    <t>DaiGgi</t>
    <phoneticPr fontId="42" type="noConversion"/>
  </si>
  <si>
    <r>
      <rPr>
        <sz val="18"/>
        <color rgb="FF000000"/>
        <rFont val="Cambria"/>
        <family val="1"/>
      </rPr>
      <t>台語</t>
    </r>
    <r>
      <rPr>
        <sz val="18"/>
        <color rgb="FF000000"/>
        <rFont val="PingFang TC Semibold"/>
        <charset val="136"/>
      </rPr>
      <t>ㄅㄆㄇ</t>
    </r>
    <phoneticPr fontId="42" type="noConversion"/>
  </si>
  <si>
    <r>
      <rPr>
        <sz val="18"/>
        <color rgb="FF000000"/>
        <rFont val="PingFang TC Semibold"/>
        <charset val="136"/>
      </rPr>
      <t>台語</t>
    </r>
    <r>
      <rPr>
        <sz val="18"/>
        <color rgb="FF000000"/>
        <rFont val="Cambria"/>
        <family val="1"/>
      </rPr>
      <t>ABC</t>
    </r>
    <phoneticPr fontId="1" type="noConversion"/>
  </si>
  <si>
    <t>ㄅ</t>
    <phoneticPr fontId="1" type="noConversion"/>
  </si>
  <si>
    <t>ㄆ</t>
    <phoneticPr fontId="1" type="noConversion"/>
  </si>
  <si>
    <t>ㄇ</t>
    <phoneticPr fontId="1" type="noConversion"/>
  </si>
  <si>
    <t>ch</t>
  </si>
  <si>
    <t>ch</t>
    <phoneticPr fontId="1" type="noConversion"/>
  </si>
  <si>
    <t>chh</t>
  </si>
  <si>
    <t>chh</t>
    <phoneticPr fontId="1" type="noConversion"/>
  </si>
  <si>
    <t>ㄐ</t>
    <phoneticPr fontId="1" type="noConversion"/>
  </si>
  <si>
    <t>chi</t>
    <phoneticPr fontId="1" type="noConversion"/>
  </si>
  <si>
    <t>ㄑ</t>
    <phoneticPr fontId="1" type="noConversion"/>
  </si>
  <si>
    <t>chhi</t>
    <phoneticPr fontId="1" type="noConversion"/>
  </si>
  <si>
    <t>ㄒ</t>
    <phoneticPr fontId="1" type="noConversion"/>
  </si>
  <si>
    <t>x</t>
  </si>
  <si>
    <t>si</t>
    <phoneticPr fontId="1" type="noConversion"/>
  </si>
  <si>
    <t>ㆢ</t>
    <phoneticPr fontId="1" type="noConversion"/>
  </si>
  <si>
    <t>jj</t>
  </si>
  <si>
    <t>ji</t>
    <phoneticPr fontId="1" type="noConversion"/>
  </si>
  <si>
    <t>ㄣ</t>
    <phoneticPr fontId="1" type="noConversion"/>
  </si>
  <si>
    <t>ㄥ</t>
    <phoneticPr fontId="1" type="noConversion"/>
  </si>
  <si>
    <t>ㄚ</t>
    <phoneticPr fontId="1" type="noConversion"/>
  </si>
  <si>
    <t>a</t>
    <phoneticPr fontId="1" type="noConversion"/>
  </si>
  <si>
    <t>ㄧ</t>
    <phoneticPr fontId="1" type="noConversion"/>
  </si>
  <si>
    <t>i</t>
    <phoneticPr fontId="1" type="noConversion"/>
  </si>
  <si>
    <t>ㄨ</t>
    <phoneticPr fontId="1" type="noConversion"/>
  </si>
  <si>
    <t>u</t>
    <phoneticPr fontId="1" type="noConversion"/>
  </si>
  <si>
    <t>ㆤ</t>
    <phoneticPr fontId="1" type="noConversion"/>
  </si>
  <si>
    <t>ㄛ</t>
    <phoneticPr fontId="1" type="noConversion"/>
  </si>
  <si>
    <t>oo</t>
    <phoneticPr fontId="1" type="noConversion"/>
  </si>
  <si>
    <t>ㄜ</t>
    <phoneticPr fontId="1" type="noConversion"/>
  </si>
  <si>
    <t>r</t>
  </si>
  <si>
    <t>o</t>
    <phoneticPr fontId="1" type="noConversion"/>
  </si>
  <si>
    <t>儿</t>
    <phoneticPr fontId="1" type="noConversion"/>
  </si>
  <si>
    <t>y</t>
  </si>
  <si>
    <t>aa</t>
  </si>
  <si>
    <t>ann</t>
    <phoneticPr fontId="1" type="noConversion"/>
  </si>
  <si>
    <t>ii</t>
  </si>
  <si>
    <t>inn</t>
    <phoneticPr fontId="1" type="noConversion"/>
  </si>
  <si>
    <t>ㆫ</t>
  </si>
  <si>
    <t>uu</t>
  </si>
  <si>
    <t>unn</t>
    <phoneticPr fontId="1" type="noConversion"/>
  </si>
  <si>
    <t>enn</t>
    <phoneticPr fontId="1" type="noConversion"/>
  </si>
  <si>
    <t>oonn</t>
    <phoneticPr fontId="1" type="noConversion"/>
  </si>
  <si>
    <t>序號</t>
    <phoneticPr fontId="1" type="noConversion"/>
  </si>
  <si>
    <t>台語ㄅㄆㄇ</t>
    <phoneticPr fontId="1" type="noConversion"/>
  </si>
  <si>
    <t>白話字韻母</t>
    <phoneticPr fontId="1" type="noConversion"/>
  </si>
  <si>
    <t>對照表序號</t>
    <phoneticPr fontId="1" type="noConversion"/>
  </si>
  <si>
    <t>十五音韻母序</t>
    <phoneticPr fontId="1" type="noConversion"/>
  </si>
  <si>
    <t>韻母碼</t>
    <phoneticPr fontId="1" type="noConversion"/>
  </si>
  <si>
    <t>方音韻母</t>
    <phoneticPr fontId="1" type="noConversion"/>
  </si>
  <si>
    <t>舒／入聲韻</t>
    <phoneticPr fontId="1" type="noConversion"/>
  </si>
  <si>
    <t>ㄛㄍ</t>
  </si>
  <si>
    <t>ㄛㄥ</t>
    <phoneticPr fontId="1" type="noConversion"/>
  </si>
  <si>
    <t>ong</t>
    <phoneticPr fontId="1" type="noConversion"/>
  </si>
  <si>
    <t>ㆤㄣ</t>
    <phoneticPr fontId="1" type="noConversion"/>
  </si>
  <si>
    <t>an</t>
    <phoneticPr fontId="1" type="noConversion"/>
  </si>
  <si>
    <t>ㄧㄛㄍ</t>
  </si>
  <si>
    <t>ㄧㆤㄉ</t>
  </si>
  <si>
    <t>ㄧㆤㄍ</t>
    <phoneticPr fontId="1" type="noConversion"/>
  </si>
  <si>
    <t>ek</t>
    <phoneticPr fontId="1" type="noConversion"/>
  </si>
  <si>
    <t>ㄧㆤㄥ</t>
    <phoneticPr fontId="1" type="noConversion"/>
  </si>
  <si>
    <t>eng</t>
    <phoneticPr fontId="1" type="noConversion"/>
  </si>
  <si>
    <t>ㄨㄚㄉ</t>
  </si>
  <si>
    <t>oe</t>
    <phoneticPr fontId="1" type="noConversion"/>
  </si>
  <si>
    <t>拼音法</t>
  </si>
  <si>
    <r>
      <rPr>
        <sz val="18"/>
        <color rgb="FF202122"/>
        <rFont val="PingFang TC"/>
        <family val="2"/>
        <charset val="136"/>
      </rPr>
      <t>閩拼方案</t>
    </r>
    <r>
      <rPr>
        <sz val="18"/>
        <color rgb="FF202122"/>
        <rFont val="Cambria"/>
        <family val="1"/>
      </rPr>
      <t>(BP)</t>
    </r>
    <phoneticPr fontId="44" type="noConversion"/>
  </si>
  <si>
    <r>
      <rPr>
        <sz val="18"/>
        <color rgb="FF202122"/>
        <rFont val="PingFang TC"/>
        <family val="2"/>
        <charset val="136"/>
      </rPr>
      <t>台羅方案</t>
    </r>
    <r>
      <rPr>
        <sz val="18"/>
        <color rgb="FF202122"/>
        <rFont val="Cambria"/>
        <family val="1"/>
      </rPr>
      <t>(TL)</t>
    </r>
    <phoneticPr fontId="44" type="noConversion"/>
  </si>
  <si>
    <t>台灣方音(TPS)</t>
  </si>
  <si>
    <t>白話字(POJ)</t>
  </si>
  <si>
    <t>TLPA</t>
  </si>
  <si>
    <t>DT</t>
  </si>
  <si>
    <r>
      <t>許極燉式</t>
    </r>
    <r>
      <rPr>
        <vertAlign val="superscript"/>
        <sz val="18"/>
        <color rgb="FF202122"/>
        <rFont val="蘋方-繁 標準體"/>
        <charset val="136"/>
      </rPr>
      <t>13</t>
    </r>
  </si>
  <si>
    <r>
      <t>123臺語</t>
    </r>
    <r>
      <rPr>
        <vertAlign val="superscript"/>
        <sz val="18"/>
        <color rgb="FF202122"/>
        <rFont val="蘋方-繁 標準體"/>
        <charset val="136"/>
      </rPr>
      <t>10</t>
    </r>
  </si>
  <si>
    <t>SMLT</t>
  </si>
  <si>
    <t>MLT</t>
  </si>
  <si>
    <t>PSDB</t>
  </si>
  <si>
    <r>
      <t>KHDB</t>
    </r>
    <r>
      <rPr>
        <vertAlign val="superscript"/>
        <sz val="18"/>
        <color rgb="FF202122"/>
        <rFont val="蘋方-繁 標準體"/>
        <charset val="136"/>
      </rPr>
      <t>6</t>
    </r>
  </si>
  <si>
    <r>
      <t>廈語拼音字</t>
    </r>
    <r>
      <rPr>
        <vertAlign val="superscript"/>
        <sz val="18"/>
        <color rgb="FF202122"/>
        <rFont val="蘋方-繁 標準體"/>
        <charset val="136"/>
      </rPr>
      <t>9</t>
    </r>
  </si>
  <si>
    <r>
      <t>台灣字</t>
    </r>
    <r>
      <rPr>
        <vertAlign val="superscript"/>
        <sz val="18"/>
        <color rgb="FF202122"/>
        <rFont val="蘋方-繁 標準體"/>
        <charset val="136"/>
      </rPr>
      <t>11</t>
    </r>
  </si>
  <si>
    <r>
      <t>TLS</t>
    </r>
    <r>
      <rPr>
        <vertAlign val="superscript"/>
        <sz val="18"/>
        <color rgb="FF202122"/>
        <rFont val="蘋方-繁 標準體"/>
        <charset val="136"/>
      </rPr>
      <t>16</t>
    </r>
  </si>
  <si>
    <r>
      <t>STTB</t>
    </r>
    <r>
      <rPr>
        <vertAlign val="superscript"/>
        <sz val="18"/>
        <color rgb="FF202122"/>
        <rFont val="蘋方-繁 標準體"/>
        <charset val="136"/>
      </rPr>
      <t>8</t>
    </r>
  </si>
  <si>
    <r>
      <t>唯信拼音</t>
    </r>
    <r>
      <rPr>
        <vertAlign val="superscript"/>
        <sz val="18"/>
        <color rgb="FF202122"/>
        <rFont val="蘋方-繁 標準體"/>
        <charset val="136"/>
      </rPr>
      <t>12</t>
    </r>
  </si>
  <si>
    <t>羅常培式(新式)14</t>
  </si>
  <si>
    <r>
      <t>周辨明式</t>
    </r>
    <r>
      <rPr>
        <vertAlign val="superscript"/>
        <sz val="18"/>
        <color rgb="FF202122"/>
        <rFont val="蘋方-繁 標準體"/>
        <charset val="136"/>
      </rPr>
      <t>9</t>
    </r>
  </si>
  <si>
    <t>Campbell式</t>
  </si>
  <si>
    <r>
      <t>河洛字角</t>
    </r>
    <r>
      <rPr>
        <vertAlign val="superscript"/>
        <sz val="18"/>
        <color rgb="FF202122"/>
        <rFont val="蘋方-繁 標準體"/>
        <charset val="136"/>
      </rPr>
      <t>7</t>
    </r>
  </si>
  <si>
    <r>
      <t>河洛語</t>
    </r>
    <r>
      <rPr>
        <vertAlign val="superscript"/>
        <sz val="18"/>
        <color rgb="FF202122"/>
        <rFont val="蘋方-繁 標準體"/>
        <charset val="136"/>
      </rPr>
      <t>17</t>
    </r>
  </si>
  <si>
    <r>
      <t>臺語諺文</t>
    </r>
    <r>
      <rPr>
        <vertAlign val="superscript"/>
        <sz val="18"/>
        <color rgb="FF202122"/>
        <rFont val="蘋方-繁 標準體"/>
        <charset val="136"/>
      </rPr>
      <t>15</t>
    </r>
  </si>
  <si>
    <r>
      <t>ТКС</t>
    </r>
    <r>
      <rPr>
        <vertAlign val="superscript"/>
        <sz val="18"/>
        <color rgb="FF202122"/>
        <rFont val="蘋方-繁 標準體"/>
        <charset val="136"/>
      </rPr>
      <t>16</t>
    </r>
  </si>
  <si>
    <t>本調調值1</t>
  </si>
  <si>
    <t>漢字臺音4</t>
  </si>
  <si>
    <t>BP調名</t>
  </si>
  <si>
    <t>SMLT調名</t>
  </si>
  <si>
    <r>
      <t>漢語四聲</t>
    </r>
    <r>
      <rPr>
        <vertAlign val="superscript"/>
        <sz val="18"/>
        <color rgb="FF202122"/>
        <rFont val="蘋方-繁 標準體"/>
        <charset val="136"/>
      </rPr>
      <t>5</t>
    </r>
  </si>
  <si>
    <t>英語調名</t>
  </si>
  <si>
    <t>(tone)</t>
  </si>
  <si>
    <t>IPA調符</t>
  </si>
  <si>
    <t>IPA調值</t>
  </si>
  <si>
    <t>第1聲調</t>
  </si>
  <si>
    <t>-(ā)①</t>
  </si>
  <si>
    <t>◌</t>
  </si>
  <si>
    <t>a1</t>
  </si>
  <si>
    <t>◌̄</t>
  </si>
  <si>
    <t>af</t>
  </si>
  <si>
    <t>ax</t>
  </si>
  <si>
    <t>-(f,w,y)</t>
  </si>
  <si>
    <t>-v</t>
  </si>
  <si>
    <r>
      <rPr>
        <sz val="28"/>
        <color rgb="FF202122"/>
        <rFont val="Arial"/>
        <family val="2"/>
      </rPr>
      <t>ㅇ</t>
    </r>
  </si>
  <si>
    <t>高平調</t>
  </si>
  <si>
    <t>高調</t>
  </si>
  <si>
    <t>陰平</t>
  </si>
  <si>
    <t>high</t>
  </si>
  <si>
    <t>level</t>
  </si>
  <si>
    <t>˥˥/˦˦</t>
  </si>
  <si>
    <t>55/44</t>
  </si>
  <si>
    <t>第2聲調</t>
  </si>
  <si>
    <t>ˇ(ǎ)③</t>
  </si>
  <si>
    <t>á</t>
  </si>
  <si>
    <t>◌ˋ</t>
  </si>
  <si>
    <t>ˊ(á)</t>
  </si>
  <si>
    <t>a2</t>
  </si>
  <si>
    <t>ˋ(à)</t>
  </si>
  <si>
    <r>
      <t>◌</t>
    </r>
    <r>
      <rPr>
        <sz val="28"/>
        <color rgb="FF202122"/>
        <rFont val="Lucida Sans Unicode"/>
      </rPr>
      <t>̀</t>
    </r>
  </si>
  <si>
    <t>ar</t>
  </si>
  <si>
    <t>ˊ</t>
  </si>
  <si>
    <t>-r</t>
  </si>
  <si>
    <t>-f</t>
  </si>
  <si>
    <t>ˋ(4)</t>
  </si>
  <si>
    <t>ʀ</t>
  </si>
  <si>
    <r>
      <rPr>
        <sz val="28"/>
        <color rgb="FF202122"/>
        <rFont val="Arial"/>
        <family val="2"/>
      </rPr>
      <t>ㄹ</t>
    </r>
  </si>
  <si>
    <t>滾</t>
  </si>
  <si>
    <t>高降調</t>
  </si>
  <si>
    <t>上突調</t>
  </si>
  <si>
    <t>陰上</t>
  </si>
  <si>
    <t>falling</t>
  </si>
  <si>
    <t>˥˧</t>
  </si>
  <si>
    <t>ˋ</t>
    <phoneticPr fontId="1" type="noConversion"/>
  </si>
  <si>
    <t>第3聲調</t>
  </si>
  <si>
    <t>ˋ(à)⑤</t>
  </si>
  <si>
    <t>à</t>
  </si>
  <si>
    <t>◌˪</t>
  </si>
  <si>
    <t>a3</t>
  </si>
  <si>
    <t>_(a̱)</t>
  </si>
  <si>
    <t>◌̖</t>
  </si>
  <si>
    <t>^(â)</t>
  </si>
  <si>
    <t>aw</t>
  </si>
  <si>
    <t>ˋ</t>
  </si>
  <si>
    <t>-x</t>
  </si>
  <si>
    <t>-l</t>
  </si>
  <si>
    <t>^(3)</t>
  </si>
  <si>
    <t>ᴧ</t>
  </si>
  <si>
    <r>
      <rPr>
        <sz val="28"/>
        <color rgb="FF202122"/>
        <rFont val="Arial"/>
        <family val="2"/>
      </rPr>
      <t>ㄴ</t>
    </r>
  </si>
  <si>
    <t>棍</t>
  </si>
  <si>
    <t>低降調</t>
  </si>
  <si>
    <t>下突調</t>
  </si>
  <si>
    <t>陰去</t>
  </si>
  <si>
    <t>low</t>
  </si>
  <si>
    <t>˨˩</t>
  </si>
  <si>
    <t>˪</t>
    <phoneticPr fontId="1" type="noConversion"/>
  </si>
  <si>
    <t>第4聲調</t>
  </si>
  <si>
    <t>ā(p/t/k/h)⑦</t>
  </si>
  <si>
    <t>a(p/t/k/h)</t>
  </si>
  <si>
    <t>◌(ㄅ,ㄉ,ㄍ,ㄏ)</t>
  </si>
  <si>
    <t>a(p/t/k/h)4</t>
  </si>
  <si>
    <t>ā(p/t/k/h)</t>
  </si>
  <si>
    <t>◌h</t>
  </si>
  <si>
    <r>
      <t>a</t>
    </r>
    <r>
      <rPr>
        <vertAlign val="superscript"/>
        <sz val="28"/>
        <color rgb="FF202122"/>
        <rFont val="蘋方-繁 標準體"/>
        <charset val="136"/>
      </rPr>
      <t>.</t>
    </r>
  </si>
  <si>
    <t>a(b/d/g/q)</t>
  </si>
  <si>
    <t>a(b/d/g/h)</t>
  </si>
  <si>
    <r>
      <t>a(p/t/k),a</t>
    </r>
    <r>
      <rPr>
        <vertAlign val="superscript"/>
        <sz val="28"/>
        <color rgb="FF202122"/>
        <rFont val="蘋方-繁 標準體"/>
        <charset val="136"/>
      </rPr>
      <t>o</t>
    </r>
  </si>
  <si>
    <t>-(p/t/k/h)</t>
  </si>
  <si>
    <t>-(p/t/k/q)</t>
  </si>
  <si>
    <t>aq</t>
  </si>
  <si>
    <t>不標號</t>
  </si>
  <si>
    <t>aн</t>
  </si>
  <si>
    <t>◌(п/т/к/ӿ)</t>
  </si>
  <si>
    <t>骨</t>
  </si>
  <si>
    <t>中(低)入調</t>
  </si>
  <si>
    <t>低促調</t>
  </si>
  <si>
    <t>陰入</t>
  </si>
  <si>
    <t>short</t>
  </si>
  <si>
    <t>˨</t>
  </si>
  <si>
    <t>第5聲調</t>
  </si>
  <si>
    <t>ˊ(á)②</t>
  </si>
  <si>
    <t>â</t>
  </si>
  <si>
    <t>◌ˊ</t>
  </si>
  <si>
    <t>a5</t>
  </si>
  <si>
    <r>
      <rPr>
        <sz val="28"/>
        <color rgb="FF202122"/>
        <rFont val="Arial"/>
        <family val="2"/>
      </rPr>
      <t>˘</t>
    </r>
    <r>
      <rPr>
        <sz val="28"/>
        <color rgb="FF202122"/>
        <rFont val="蘋方-繁 標準體"/>
        <charset val="136"/>
      </rPr>
      <t>(</t>
    </r>
    <r>
      <rPr>
        <sz val="28"/>
        <color rgb="FF202122"/>
        <rFont val="Arial"/>
        <family val="2"/>
      </rPr>
      <t>ă</t>
    </r>
    <r>
      <rPr>
        <sz val="28"/>
        <color rgb="FF202122"/>
        <rFont val="蘋方-繁 標準體"/>
        <charset val="136"/>
      </rPr>
      <t>)</t>
    </r>
  </si>
  <si>
    <t>◌̌</t>
  </si>
  <si>
    <r>
      <t>ˇ(</t>
    </r>
    <r>
      <rPr>
        <sz val="28"/>
        <color rgb="FF202122"/>
        <rFont val="Arial"/>
        <family val="2"/>
      </rPr>
      <t>ă</t>
    </r>
    <r>
      <rPr>
        <sz val="28"/>
        <color rgb="FF202122"/>
        <rFont val="蘋方-繁 標準體"/>
        <charset val="136"/>
      </rPr>
      <t>)</t>
    </r>
  </si>
  <si>
    <t>^</t>
  </si>
  <si>
    <t>ˇ(5)</t>
  </si>
  <si>
    <t>ʏ</t>
  </si>
  <si>
    <r>
      <rPr>
        <sz val="28"/>
        <color rgb="FF202122"/>
        <rFont val="Arial"/>
        <family val="2"/>
      </rPr>
      <t>ㅅ</t>
    </r>
  </si>
  <si>
    <t>群</t>
  </si>
  <si>
    <t>低緩昇調</t>
  </si>
  <si>
    <t>迴旋調</t>
  </si>
  <si>
    <t>陽平</t>
  </si>
  <si>
    <t>rising</t>
  </si>
  <si>
    <t>˨˦</t>
  </si>
  <si>
    <t>ˊ</t>
    <phoneticPr fontId="1" type="noConversion"/>
  </si>
  <si>
    <t>第6聲調</t>
  </si>
  <si>
    <t>④</t>
  </si>
  <si>
    <t>ǎ</t>
  </si>
  <si>
    <t>a6</t>
  </si>
  <si>
    <t>aar</t>
  </si>
  <si>
    <t>~(8)</t>
  </si>
  <si>
    <t>/</t>
  </si>
  <si>
    <t>陽上</t>
  </si>
  <si>
    <t>˨˨</t>
  </si>
  <si>
    <t>第7聲調</t>
  </si>
  <si>
    <t>^(â)⑥</t>
  </si>
  <si>
    <t>ā</t>
  </si>
  <si>
    <t>◌˫</t>
  </si>
  <si>
    <t>(ā)</t>
  </si>
  <si>
    <t>a7</t>
  </si>
  <si>
    <t>-(ā)</t>
  </si>
  <si>
    <t>al</t>
  </si>
  <si>
    <t>-</t>
  </si>
  <si>
    <t>-(d)</t>
  </si>
  <si>
    <t>-d</t>
  </si>
  <si>
    <t>arh</t>
  </si>
  <si>
    <t>不標(2)</t>
  </si>
  <si>
    <t>ᴀ</t>
  </si>
  <si>
    <r>
      <rPr>
        <sz val="28"/>
        <color rgb="FF202122"/>
        <rFont val="Arial"/>
        <family val="2"/>
      </rPr>
      <t>ㄱ</t>
    </r>
  </si>
  <si>
    <t>郡</t>
  </si>
  <si>
    <t>中平調</t>
  </si>
  <si>
    <t>基調</t>
  </si>
  <si>
    <t>陽去</t>
  </si>
  <si>
    <t>mid</t>
  </si>
  <si>
    <t>˧˧</t>
  </si>
  <si>
    <t>˫</t>
    <phoneticPr fontId="1" type="noConversion"/>
  </si>
  <si>
    <t>第8聲調</t>
  </si>
  <si>
    <t>á(p/t/k/h)⑧</t>
  </si>
  <si>
    <t>a̍(p/t/k/h)</t>
  </si>
  <si>
    <r>
      <rPr>
        <sz val="28"/>
        <color rgb="FF202122"/>
        <rFont val="Times New Roman"/>
        <family val="1"/>
      </rPr>
      <t>◌(</t>
    </r>
    <r>
      <rPr>
        <sz val="28"/>
        <color rgb="FF202122"/>
        <rFont val="PingFang TC"/>
        <family val="2"/>
        <charset val="136"/>
      </rPr>
      <t>ㄅ</t>
    </r>
    <r>
      <rPr>
        <sz val="28"/>
        <color rgb="FF202122"/>
        <rFont val="Times New Roman"/>
        <family val="1"/>
      </rPr>
      <t xml:space="preserve">̇, </t>
    </r>
    <r>
      <rPr>
        <sz val="28"/>
        <color rgb="FF202122"/>
        <rFont val="PingFang TC"/>
        <family val="2"/>
        <charset val="136"/>
      </rPr>
      <t>ㄉ</t>
    </r>
    <r>
      <rPr>
        <sz val="28"/>
        <color rgb="FF202122"/>
        <rFont val="Times New Roman"/>
        <family val="1"/>
      </rPr>
      <t xml:space="preserve">̇, </t>
    </r>
    <r>
      <rPr>
        <sz val="28"/>
        <color rgb="FF202122"/>
        <rFont val="PingFang TC"/>
        <family val="2"/>
        <charset val="136"/>
      </rPr>
      <t>ㄍ</t>
    </r>
    <r>
      <rPr>
        <sz val="28"/>
        <color rgb="FF202122"/>
        <rFont val="Times New Roman"/>
        <family val="1"/>
      </rPr>
      <t xml:space="preserve">̇, </t>
    </r>
    <r>
      <rPr>
        <sz val="28"/>
        <color rgb="FF202122"/>
        <rFont val="PingFang TC"/>
        <family val="2"/>
        <charset val="136"/>
      </rPr>
      <t>ㄏ</t>
    </r>
    <r>
      <rPr>
        <sz val="28"/>
        <color rgb="FF202122"/>
        <rFont val="Times New Roman"/>
        <family val="1"/>
      </rPr>
      <t>̇ )</t>
    </r>
    <phoneticPr fontId="1" type="noConversion"/>
  </si>
  <si>
    <t>a(p/t/k/h)8</t>
  </si>
  <si>
    <t>◌̄h</t>
  </si>
  <si>
    <t>(4=8)</t>
  </si>
  <si>
    <t>a(p/t/k/c)</t>
  </si>
  <si>
    <t>a(b/d/g),a'</t>
  </si>
  <si>
    <t>~</t>
  </si>
  <si>
    <t>a̽(p/t/k/h)</t>
  </si>
  <si>
    <t>-(pp/tt/kk/hh)</t>
  </si>
  <si>
    <t>-(px/tx/kx/qx)</t>
  </si>
  <si>
    <t>arq</t>
  </si>
  <si>
    <r>
      <rPr>
        <sz val="28"/>
        <color rgb="FF202122"/>
        <rFont val="Arial"/>
        <family val="2"/>
      </rPr>
      <t>ㅂ</t>
    </r>
  </si>
  <si>
    <t>(п/т/к/ӿ)</t>
  </si>
  <si>
    <t>滑</t>
  </si>
  <si>
    <t>高入調</t>
  </si>
  <si>
    <t>高促調</t>
  </si>
  <si>
    <t>陽入</t>
  </si>
  <si>
    <t>˦</t>
  </si>
  <si>
    <t>˙</t>
    <phoneticPr fontId="1" type="noConversion"/>
  </si>
  <si>
    <t>第9聲調</t>
  </si>
  <si>
    <t>a̋</t>
  </si>
  <si>
    <t>a9</t>
  </si>
  <si>
    <t>-q</t>
  </si>
  <si>
    <t>(紅)紅紅</t>
  </si>
  <si>
    <t>高升調</t>
  </si>
  <si>
    <t>高升</t>
  </si>
  <si>
    <t>˦˥</t>
  </si>
  <si>
    <t>輕聲</t>
  </si>
  <si>
    <t>--a</t>
  </si>
  <si>
    <t>a0</t>
  </si>
  <si>
    <t>--å</t>
  </si>
  <si>
    <r>
      <t>◌</t>
    </r>
    <r>
      <rPr>
        <sz val="28"/>
        <color rgb="FF202122"/>
        <rFont val="Lucida Sans Unicode"/>
      </rPr>
      <t>̣</t>
    </r>
  </si>
  <si>
    <r>
      <t>~ </t>
    </r>
    <r>
      <rPr>
        <sz val="28"/>
        <color rgb="FF202122"/>
        <rFont val="蘋方-繁 標準體"/>
        <charset val="136"/>
      </rPr>
      <t>a</t>
    </r>
  </si>
  <si>
    <t>ac</t>
  </si>
  <si>
    <t>å</t>
  </si>
  <si>
    <t>--</t>
  </si>
  <si>
    <r>
      <t>.</t>
    </r>
    <r>
      <rPr>
        <sz val="28"/>
        <color rgb="FF202122"/>
        <rFont val="蘋方-繁 標準體"/>
        <charset val="136"/>
      </rPr>
      <t>a</t>
    </r>
  </si>
  <si>
    <r>
      <t>-a</t>
    </r>
    <r>
      <rPr>
        <vertAlign val="superscript"/>
        <sz val="28"/>
        <color rgb="FF202122"/>
        <rFont val="蘋方-繁 標準體"/>
        <charset val="136"/>
      </rPr>
      <t>o</t>
    </r>
  </si>
  <si>
    <t>"</t>
  </si>
  <si>
    <t>neutral</t>
  </si>
  <si>
    <t>tone</t>
  </si>
  <si>
    <t>◌̊</t>
  </si>
  <si>
    <t>鼻化元音</t>
  </si>
  <si>
    <t>◌(ㆩ,ㆥ,ㆪ,ㆧ,ㆫ,ㆮ,ㆯ)</t>
  </si>
  <si>
    <r>
      <t>a</t>
    </r>
    <r>
      <rPr>
        <sz val="28"/>
        <color rgb="FF202122"/>
        <rFont val="Arial"/>
        <family val="2"/>
      </rPr>
      <t>ⁿ</t>
    </r>
  </si>
  <si>
    <t>aN/ann</t>
  </si>
  <si>
    <r>
      <t>◌</t>
    </r>
    <r>
      <rPr>
        <sz val="28"/>
        <color rgb="FF202122"/>
        <rFont val="Lucida Sans Unicode"/>
      </rPr>
      <t>ⁿ</t>
    </r>
  </si>
  <si>
    <t>va</t>
  </si>
  <si>
    <t>n(g)a</t>
  </si>
  <si>
    <t>añ</t>
  </si>
  <si>
    <t>-y</t>
  </si>
  <si>
    <t>aпп</t>
  </si>
  <si>
    <r>
      <t>◌н</t>
    </r>
    <r>
      <rPr>
        <sz val="28"/>
        <color rgb="FF202122"/>
        <rFont val="Arial"/>
        <family val="2"/>
      </rPr>
      <t>̃</t>
    </r>
  </si>
  <si>
    <t>(嬰)仔</t>
  </si>
  <si>
    <t>半鼻音</t>
  </si>
  <si>
    <t>nasal</t>
  </si>
  <si>
    <t>vowel</t>
  </si>
  <si>
    <r>
      <t>◌</t>
    </r>
    <r>
      <rPr>
        <sz val="28"/>
        <color rgb="FF202122"/>
        <rFont val="Lucida Sans Unicode"/>
      </rPr>
      <t>̃</t>
    </r>
  </si>
  <si>
    <t>零聲母</t>
  </si>
  <si>
    <t>y(i)/w(u)</t>
  </si>
  <si>
    <t>zero</t>
  </si>
  <si>
    <t>consonant</t>
  </si>
  <si>
    <t>ʔ</t>
  </si>
  <si>
    <t>台羅拼音序號</t>
    <phoneticPr fontId="42" type="noConversion"/>
  </si>
  <si>
    <t>l</t>
    <phoneticPr fontId="42" type="noConversion"/>
  </si>
  <si>
    <t>ㄌ</t>
    <phoneticPr fontId="42" type="noConversion"/>
  </si>
  <si>
    <t>ㄅ</t>
    <phoneticPr fontId="42" type="noConversion"/>
  </si>
  <si>
    <t>ㄍ</t>
    <phoneticPr fontId="42" type="noConversion"/>
  </si>
  <si>
    <t>ㄎ</t>
    <phoneticPr fontId="42" type="noConversion"/>
  </si>
  <si>
    <t>ㄉ</t>
    <phoneticPr fontId="42" type="noConversion"/>
  </si>
  <si>
    <t>ㄆ</t>
    <phoneticPr fontId="42" type="noConversion"/>
  </si>
  <si>
    <t>ㄊ</t>
    <phoneticPr fontId="42" type="noConversion"/>
  </si>
  <si>
    <t>ch</t>
    <phoneticPr fontId="42" type="noConversion"/>
  </si>
  <si>
    <t>ʦ</t>
  </si>
  <si>
    <t>ㄗ</t>
    <phoneticPr fontId="42" type="noConversion"/>
  </si>
  <si>
    <t>chi</t>
    <phoneticPr fontId="42" type="noConversion"/>
  </si>
  <si>
    <t>ʨ</t>
  </si>
  <si>
    <t>tsi</t>
    <phoneticPr fontId="42" type="noConversion"/>
  </si>
  <si>
    <t>zi</t>
    <phoneticPr fontId="42" type="noConversion"/>
  </si>
  <si>
    <t>ㄐ</t>
    <phoneticPr fontId="42" type="noConversion"/>
  </si>
  <si>
    <t>ʣ</t>
  </si>
  <si>
    <t>ㆡ</t>
    <phoneticPr fontId="42" type="noConversion"/>
  </si>
  <si>
    <r>
      <t>j</t>
    </r>
    <r>
      <rPr>
        <sz val="36"/>
        <color rgb="FFFF0000"/>
        <rFont val="Arial"/>
        <family val="2"/>
      </rPr>
      <t>i</t>
    </r>
    <phoneticPr fontId="42" type="noConversion"/>
  </si>
  <si>
    <t>ʥ</t>
  </si>
  <si>
    <r>
      <t>zz</t>
    </r>
    <r>
      <rPr>
        <sz val="36"/>
        <color rgb="FFFF0000"/>
        <rFont val="Arial"/>
        <family val="2"/>
      </rPr>
      <t>i</t>
    </r>
    <phoneticPr fontId="42" type="noConversion"/>
  </si>
  <si>
    <t>ㆢ</t>
    <phoneticPr fontId="42" type="noConversion"/>
  </si>
  <si>
    <t>ㄙ</t>
    <phoneticPr fontId="42" type="noConversion"/>
  </si>
  <si>
    <r>
      <t>s</t>
    </r>
    <r>
      <rPr>
        <sz val="36"/>
        <color rgb="FFFF0000"/>
        <rFont val="Arial"/>
        <family val="2"/>
      </rPr>
      <t>i</t>
    </r>
    <phoneticPr fontId="42" type="noConversion"/>
  </si>
  <si>
    <t>ɕ</t>
  </si>
  <si>
    <t>ㄒ</t>
    <phoneticPr fontId="42" type="noConversion"/>
  </si>
  <si>
    <t>b</t>
    <phoneticPr fontId="42" type="noConversion"/>
  </si>
  <si>
    <t>bb</t>
    <phoneticPr fontId="42" type="noConversion"/>
  </si>
  <si>
    <t>ㆠ</t>
    <phoneticPr fontId="42" type="noConversion"/>
  </si>
  <si>
    <t>g</t>
    <phoneticPr fontId="42" type="noConversion"/>
  </si>
  <si>
    <t>ɡ</t>
  </si>
  <si>
    <t>gg</t>
    <phoneticPr fontId="42" type="noConversion"/>
  </si>
  <si>
    <t>ㆣ</t>
    <phoneticPr fontId="42" type="noConversion"/>
  </si>
  <si>
    <t>chh</t>
    <phoneticPr fontId="42" type="noConversion"/>
  </si>
  <si>
    <t>ʦʰ</t>
  </si>
  <si>
    <t>ㄘ</t>
    <phoneticPr fontId="42" type="noConversion"/>
  </si>
  <si>
    <r>
      <t>chh</t>
    </r>
    <r>
      <rPr>
        <sz val="36"/>
        <color rgb="FFFF0000"/>
        <rFont val="Arial"/>
        <family val="2"/>
      </rPr>
      <t>i</t>
    </r>
    <phoneticPr fontId="42" type="noConversion"/>
  </si>
  <si>
    <t>ʨʰ</t>
  </si>
  <si>
    <r>
      <t>tsh</t>
    </r>
    <r>
      <rPr>
        <sz val="36"/>
        <color rgb="FFFF0000"/>
        <rFont val="Arial"/>
        <family val="2"/>
      </rPr>
      <t>i</t>
    </r>
    <phoneticPr fontId="42" type="noConversion"/>
  </si>
  <si>
    <r>
      <t>c</t>
    </r>
    <r>
      <rPr>
        <sz val="36"/>
        <color rgb="FFFF0000"/>
        <rFont val="Arial"/>
        <family val="2"/>
      </rPr>
      <t>i</t>
    </r>
    <phoneticPr fontId="42" type="noConversion"/>
  </si>
  <si>
    <t>ㄑ</t>
    <phoneticPr fontId="42" type="noConversion"/>
  </si>
  <si>
    <t>ㄏ</t>
    <phoneticPr fontId="42" type="noConversion"/>
  </si>
  <si>
    <t>m</t>
    <phoneticPr fontId="42" type="noConversion"/>
  </si>
  <si>
    <t>毛</t>
    <phoneticPr fontId="42" type="noConversion"/>
  </si>
  <si>
    <t>bbn</t>
    <phoneticPr fontId="42" type="noConversion"/>
  </si>
  <si>
    <t>ㄇ</t>
    <phoneticPr fontId="42" type="noConversion"/>
  </si>
  <si>
    <t>n</t>
    <phoneticPr fontId="42" type="noConversion"/>
  </si>
  <si>
    <t>耐</t>
    <phoneticPr fontId="42" type="noConversion"/>
  </si>
  <si>
    <t>ln</t>
    <phoneticPr fontId="42" type="noConversion"/>
  </si>
  <si>
    <t>ㄋ</t>
    <phoneticPr fontId="42" type="noConversion"/>
  </si>
  <si>
    <t>ng</t>
    <phoneticPr fontId="42" type="noConversion"/>
  </si>
  <si>
    <t>雅</t>
    <phoneticPr fontId="42" type="noConversion"/>
  </si>
  <si>
    <t>ggn</t>
    <phoneticPr fontId="42" type="noConversion"/>
  </si>
  <si>
    <t>ㄫ</t>
    <phoneticPr fontId="42" type="noConversion"/>
  </si>
  <si>
    <t>聲母碼</t>
    <phoneticPr fontId="1" type="noConversion"/>
  </si>
  <si>
    <t>閩南拼音</t>
  </si>
  <si>
    <r>
      <rPr>
        <sz val="18"/>
        <color rgb="FF000000"/>
        <rFont val="PingFang TC"/>
        <family val="2"/>
        <charset val="136"/>
      </rPr>
      <t xml:space="preserve">ㄌ
</t>
    </r>
    <r>
      <rPr>
        <sz val="18"/>
        <color rgb="FF000000"/>
        <rFont val="蘋方-繁"/>
        <family val="2"/>
        <charset val="136"/>
      </rPr>
      <t>ㄋ</t>
    </r>
    <phoneticPr fontId="1" type="noConversion"/>
  </si>
  <si>
    <t>l
n</t>
  </si>
  <si>
    <t>[l]
[n]</t>
  </si>
  <si>
    <t>l
ln</t>
  </si>
  <si>
    <t>ㄗ
ㄐ</t>
    <phoneticPr fontId="1" type="noConversion"/>
  </si>
  <si>
    <t>[ʦ]
[ʨ]</t>
  </si>
  <si>
    <t>ㆡ
ㆢ</t>
    <phoneticPr fontId="1" type="noConversion"/>
  </si>
  <si>
    <t>[ʣ]
[ʥ]</t>
  </si>
  <si>
    <t>ㄙ
ㄒ</t>
    <phoneticPr fontId="1" type="noConversion"/>
  </si>
  <si>
    <t>[s]
[ɕ]</t>
  </si>
  <si>
    <r>
      <rPr>
        <sz val="18"/>
        <color rgb="FF000000"/>
        <rFont val="PingFang TC"/>
        <family val="2"/>
        <charset val="136"/>
      </rPr>
      <t xml:space="preserve">ㆠ
</t>
    </r>
    <r>
      <rPr>
        <sz val="18"/>
        <color rgb="FF000000"/>
        <rFont val="蘋方-繁"/>
        <family val="2"/>
        <charset val="136"/>
      </rPr>
      <t>ㄇ</t>
    </r>
    <phoneticPr fontId="1" type="noConversion"/>
  </si>
  <si>
    <t>b
m</t>
  </si>
  <si>
    <t>[b]
[m]</t>
  </si>
  <si>
    <t>bb
bbn</t>
  </si>
  <si>
    <r>
      <rPr>
        <sz val="18"/>
        <color rgb="FF000000"/>
        <rFont val="PingFang TC"/>
        <family val="2"/>
        <charset val="136"/>
      </rPr>
      <t>ㆣ</t>
    </r>
    <r>
      <rPr>
        <sz val="18"/>
        <color rgb="FF000000"/>
        <rFont val="蘋方-繁"/>
        <family val="2"/>
        <charset val="136"/>
      </rPr>
      <t xml:space="preserve">
ㄫ</t>
    </r>
    <phoneticPr fontId="1" type="noConversion"/>
  </si>
  <si>
    <t>g
ng</t>
  </si>
  <si>
    <t>[ɡ]
[ŋ]</t>
  </si>
  <si>
    <t>gg
ggn</t>
  </si>
  <si>
    <r>
      <rPr>
        <sz val="18"/>
        <color rgb="FF000000"/>
        <rFont val="PingFang TC"/>
        <family val="2"/>
        <charset val="136"/>
      </rPr>
      <t>ㄘ</t>
    </r>
    <r>
      <rPr>
        <sz val="18"/>
        <color rgb="FF000000"/>
        <rFont val="蘋方-繁"/>
        <family val="2"/>
        <charset val="136"/>
      </rPr>
      <t xml:space="preserve">
ㄑ</t>
    </r>
    <phoneticPr fontId="1" type="noConversion"/>
  </si>
  <si>
    <t>[ʦʰ]
[ʨʰ]</t>
  </si>
  <si>
    <t>ㄏ</t>
    <phoneticPr fontId="1" type="noConversion"/>
  </si>
  <si>
    <t>十五音</t>
    <phoneticPr fontId="1" type="noConversion"/>
  </si>
  <si>
    <t>ㄌ</t>
    <phoneticPr fontId="1" type="noConversion"/>
  </si>
  <si>
    <t>[l]</t>
    <phoneticPr fontId="1" type="noConversion"/>
  </si>
  <si>
    <t>ㄋ</t>
    <phoneticPr fontId="1" type="noConversion"/>
  </si>
  <si>
    <t>[n]</t>
    <phoneticPr fontId="1" type="noConversion"/>
  </si>
  <si>
    <t>ln</t>
    <phoneticPr fontId="1" type="noConversion"/>
  </si>
  <si>
    <t>ㆠ</t>
    <phoneticPr fontId="1" type="noConversion"/>
  </si>
  <si>
    <t>[b]</t>
    <phoneticPr fontId="1" type="noConversion"/>
  </si>
  <si>
    <t>bb</t>
    <phoneticPr fontId="1" type="noConversion"/>
  </si>
  <si>
    <t>[m]</t>
    <phoneticPr fontId="1" type="noConversion"/>
  </si>
  <si>
    <t>bbn</t>
    <phoneticPr fontId="1" type="noConversion"/>
  </si>
  <si>
    <t>ㆣ</t>
    <phoneticPr fontId="1" type="noConversion"/>
  </si>
  <si>
    <t>[ɡ]</t>
    <phoneticPr fontId="1" type="noConversion"/>
  </si>
  <si>
    <t>gg</t>
    <phoneticPr fontId="1" type="noConversion"/>
  </si>
  <si>
    <t>ㄫ</t>
    <phoneticPr fontId="1" type="noConversion"/>
  </si>
  <si>
    <t>[ŋ]</t>
    <phoneticPr fontId="1" type="noConversion"/>
  </si>
  <si>
    <t>ggn</t>
    <phoneticPr fontId="1" type="noConversion"/>
  </si>
  <si>
    <t>十五音序</t>
    <phoneticPr fontId="42" type="noConversion"/>
  </si>
  <si>
    <t>聲韻</t>
    <phoneticPr fontId="42" type="noConversion"/>
  </si>
  <si>
    <t>舒聲</t>
  </si>
  <si>
    <t>入聲</t>
  </si>
  <si>
    <t>薑</t>
  </si>
  <si>
    <t>彙集雅俗通</t>
    <phoneticPr fontId="42" type="noConversion"/>
  </si>
  <si>
    <t>彙音寶鑑</t>
    <phoneticPr fontId="1" type="noConversion"/>
  </si>
  <si>
    <t>台語拼音</t>
    <phoneticPr fontId="1" type="noConversion"/>
  </si>
  <si>
    <t>舒聲碼
（白話字）</t>
    <phoneticPr fontId="1" type="noConversion"/>
  </si>
  <si>
    <t>入聲碼
（白話字）</t>
    <phoneticPr fontId="1" type="noConversion"/>
  </si>
  <si>
    <t>方音舒聲</t>
    <phoneticPr fontId="1" type="noConversion"/>
  </si>
  <si>
    <t>方音入聲</t>
    <phoneticPr fontId="1" type="noConversion"/>
  </si>
  <si>
    <t>彙音寶鑑45音</t>
    <phoneticPr fontId="42" type="noConversion"/>
  </si>
  <si>
    <t>舒聲碼</t>
  </si>
  <si>
    <t>查到行號</t>
    <phoneticPr fontId="42" type="noConversion"/>
  </si>
  <si>
    <t>位置不同</t>
    <phoneticPr fontId="42" type="noConversion"/>
  </si>
  <si>
    <t>台語音標</t>
    <phoneticPr fontId="42" type="noConversion"/>
  </si>
  <si>
    <t>歸</t>
  </si>
  <si>
    <t>家</t>
  </si>
  <si>
    <t>oai</t>
    <phoneticPr fontId="1" type="noConversion"/>
  </si>
  <si>
    <t>京</t>
  </si>
  <si>
    <t>梔</t>
    <phoneticPr fontId="42" type="noConversion"/>
  </si>
  <si>
    <t>稽</t>
    <phoneticPr fontId="42" type="noConversion"/>
  </si>
  <si>
    <t>宮</t>
  </si>
  <si>
    <t>根</t>
  </si>
  <si>
    <t>葩</t>
  </si>
  <si>
    <t>龜</t>
    <phoneticPr fontId="42" type="noConversion"/>
  </si>
  <si>
    <t>璣</t>
  </si>
  <si>
    <t>iann</t>
    <phoneticPr fontId="1" type="noConversion"/>
  </si>
  <si>
    <t>請 (chhiann)</t>
    <phoneticPr fontId="1" type="noConversion"/>
  </si>
  <si>
    <t>聖 (siann)</t>
    <phoneticPr fontId="1" type="noConversion"/>
  </si>
  <si>
    <t>關</t>
    <phoneticPr fontId="1" type="noConversion"/>
  </si>
  <si>
    <t>oann</t>
    <phoneticPr fontId="1" type="noConversion"/>
  </si>
  <si>
    <t>肝 (koann)</t>
    <phoneticPr fontId="1" type="noConversion"/>
  </si>
  <si>
    <t>歡 (hoann)</t>
    <phoneticPr fontId="1" type="noConversion"/>
  </si>
  <si>
    <t>精 (chinn)</t>
    <phoneticPr fontId="1" type="noConversion"/>
  </si>
  <si>
    <t>生 (chhinn)</t>
    <phoneticPr fontId="1" type="noConversion"/>
  </si>
  <si>
    <t>iunn</t>
    <phoneticPr fontId="1" type="noConversion"/>
  </si>
  <si>
    <t>穿 (chhng)</t>
    <phoneticPr fontId="1" type="noConversion"/>
  </si>
  <si>
    <t>掩 (ng)</t>
    <phoneticPr fontId="1" type="noConversion"/>
  </si>
  <si>
    <t>捲 (kng2)</t>
    <phoneticPr fontId="1" type="noConversion"/>
  </si>
  <si>
    <t>方 (png)</t>
    <phoneticPr fontId="1" type="noConversion"/>
  </si>
  <si>
    <t>官</t>
    <phoneticPr fontId="42" type="noConversion"/>
  </si>
  <si>
    <t>皆。</t>
    <phoneticPr fontId="42" type="noConversion"/>
  </si>
  <si>
    <t>ainn</t>
    <phoneticPr fontId="1" type="noConversion"/>
  </si>
  <si>
    <t>唉 (hainn)</t>
    <phoneticPr fontId="1" type="noConversion"/>
  </si>
  <si>
    <t>邁</t>
    <phoneticPr fontId="1" type="noConversion"/>
  </si>
  <si>
    <t>腔 (khiunn)</t>
    <phoneticPr fontId="1" type="noConversion"/>
  </si>
  <si>
    <t>張 (tiunn)</t>
    <phoneticPr fontId="1" type="noConversion"/>
  </si>
  <si>
    <t>oang</t>
    <phoneticPr fontId="1" type="noConversion"/>
  </si>
  <si>
    <t>io</t>
    <phoneticPr fontId="1" type="noConversion"/>
  </si>
  <si>
    <t>育 (io)</t>
    <phoneticPr fontId="1" type="noConversion"/>
  </si>
  <si>
    <t>鏢 (phio)</t>
    <phoneticPr fontId="1" type="noConversion"/>
  </si>
  <si>
    <t>歇 (hioh)</t>
    <phoneticPr fontId="1" type="noConversion"/>
  </si>
  <si>
    <t>借 (chioh)</t>
    <phoneticPr fontId="1" type="noConversion"/>
  </si>
  <si>
    <t>茅 (hm5)</t>
    <phoneticPr fontId="1" type="noConversion"/>
  </si>
  <si>
    <t>媒 (hm5)</t>
    <phoneticPr fontId="1" type="noConversion"/>
  </si>
  <si>
    <t>oainn</t>
    <phoneticPr fontId="1" type="noConversion"/>
  </si>
  <si>
    <t>擔 (tann)</t>
    <phoneticPr fontId="1" type="noConversion"/>
  </si>
  <si>
    <t>三 (sann)</t>
    <phoneticPr fontId="1" type="noConversion"/>
  </si>
  <si>
    <t>關 (koainn)</t>
    <phoneticPr fontId="1" type="noConversion"/>
  </si>
  <si>
    <t>iaunn</t>
    <phoneticPr fontId="1" type="noConversion"/>
  </si>
  <si>
    <t>爭 (chenn)</t>
    <phoneticPr fontId="1" type="noConversion"/>
  </si>
  <si>
    <t>醒 (chhenn2)</t>
    <phoneticPr fontId="1" type="noConversion"/>
  </si>
  <si>
    <t>om</t>
    <phoneticPr fontId="1" type="noConversion"/>
  </si>
  <si>
    <t>冒 (monn)</t>
    <phoneticPr fontId="1" type="noConversion"/>
  </si>
  <si>
    <t>好 (honn3)</t>
    <phoneticPr fontId="1" type="noConversion"/>
  </si>
  <si>
    <t>aunn</t>
    <phoneticPr fontId="1" type="noConversion"/>
  </si>
  <si>
    <t>哮 (aunn)</t>
    <phoneticPr fontId="1" type="noConversion"/>
  </si>
  <si>
    <t>喵 (iaunn)</t>
    <phoneticPr fontId="1" type="noConversion"/>
  </si>
  <si>
    <t>鳥</t>
    <phoneticPr fontId="1" type="noConversion"/>
  </si>
  <si>
    <t>關</t>
    <phoneticPr fontId="42" type="noConversion"/>
  </si>
  <si>
    <t>uinn</t>
    <phoneticPr fontId="1" type="noConversion"/>
  </si>
  <si>
    <t xml:space="preserve">伽 (e) = 嘉 (ee) = 稽 (ei) </t>
    <phoneticPr fontId="42" type="noConversion"/>
  </si>
  <si>
    <t>薑 (ionn) = 牛 (iunn)</t>
    <phoneticPr fontId="42" type="noConversion"/>
  </si>
  <si>
    <t>閂 (oainn) = 糜 (oenn)</t>
    <phoneticPr fontId="42" type="noConversion"/>
  </si>
  <si>
    <t>上平</t>
  </si>
  <si>
    <t>上声</t>
  </si>
  <si>
    <t>上去</t>
  </si>
  <si>
    <t>上入</t>
  </si>
  <si>
    <t>下平</t>
  </si>
  <si>
    <t>下去</t>
  </si>
  <si>
    <t>下入</t>
  </si>
  <si>
    <t>蹇</t>
  </si>
  <si>
    <t>見</t>
  </si>
  <si>
    <t>結</t>
  </si>
  <si>
    <t>空音</t>
  </si>
  <si>
    <t>健</t>
  </si>
  <si>
    <t>傑</t>
  </si>
  <si>
    <t>錦</t>
  </si>
  <si>
    <t>禁</t>
  </si>
  <si>
    <t>急</t>
  </si>
  <si>
    <t>㦗</t>
  </si>
  <si>
    <t>及</t>
  </si>
  <si>
    <t>鬼</t>
  </si>
  <si>
    <t>季</t>
  </si>
  <si>
    <t>葵</t>
  </si>
  <si>
    <t>櫃</t>
  </si>
  <si>
    <t>假</t>
  </si>
  <si>
    <t>嫁</t>
  </si>
  <si>
    <t>骼</t>
  </si>
  <si>
    <t>枷</t>
  </si>
  <si>
    <t>下</t>
  </si>
  <si>
    <t>逆</t>
  </si>
  <si>
    <t>柬</t>
  </si>
  <si>
    <t>澗</t>
  </si>
  <si>
    <t>葛</t>
  </si>
  <si>
    <t>廣</t>
  </si>
  <si>
    <t>貢</t>
  </si>
  <si>
    <t>國</t>
  </si>
  <si>
    <t>狂</t>
  </si>
  <si>
    <t>咯</t>
  </si>
  <si>
    <t>拐</t>
  </si>
  <si>
    <t>怪</t>
  </si>
  <si>
    <t>景</t>
  </si>
  <si>
    <t>敬</t>
  </si>
  <si>
    <t>格</t>
  </si>
  <si>
    <t>煢</t>
  </si>
  <si>
    <t>梗</t>
  </si>
  <si>
    <t>極</t>
  </si>
  <si>
    <t>琯</t>
  </si>
  <si>
    <t>貫</t>
  </si>
  <si>
    <t>决</t>
  </si>
  <si>
    <t>權</t>
  </si>
  <si>
    <t>倦</t>
  </si>
  <si>
    <t>橜</t>
  </si>
  <si>
    <t>古</t>
  </si>
  <si>
    <t>固</t>
  </si>
  <si>
    <t>糊</t>
  </si>
  <si>
    <t>怙</t>
  </si>
  <si>
    <t>皎</t>
  </si>
  <si>
    <t>呌</t>
  </si>
  <si>
    <t>勪</t>
  </si>
  <si>
    <t>橋</t>
  </si>
  <si>
    <t>轎</t>
  </si>
  <si>
    <t>噭</t>
  </si>
  <si>
    <t>攺</t>
  </si>
  <si>
    <t>計</t>
  </si>
  <si>
    <t>莢</t>
  </si>
  <si>
    <t>鮭</t>
  </si>
  <si>
    <t>易</t>
  </si>
  <si>
    <t>拱</t>
  </si>
  <si>
    <t>供</t>
  </si>
  <si>
    <t>菊</t>
  </si>
  <si>
    <t>窮</t>
  </si>
  <si>
    <t>共</t>
  </si>
  <si>
    <t>局</t>
  </si>
  <si>
    <t>果</t>
  </si>
  <si>
    <t>告</t>
  </si>
  <si>
    <t>閣</t>
  </si>
  <si>
    <t>翗</t>
  </si>
  <si>
    <t>膏</t>
  </si>
  <si>
    <t>介</t>
  </si>
  <si>
    <t>謹</t>
  </si>
  <si>
    <t>艮</t>
  </si>
  <si>
    <t>吉</t>
  </si>
  <si>
    <t>近</t>
  </si>
  <si>
    <t>䊕</t>
  </si>
  <si>
    <t>襁</t>
  </si>
  <si>
    <t>脚</t>
  </si>
  <si>
    <t>強</t>
  </si>
  <si>
    <t>倞</t>
  </si>
  <si>
    <t>矍</t>
  </si>
  <si>
    <t>敢</t>
  </si>
  <si>
    <t>鑑</t>
  </si>
  <si>
    <t>鴿</t>
  </si>
  <si>
    <t>銜</t>
  </si>
  <si>
    <t>鰹</t>
  </si>
  <si>
    <t>卦</t>
  </si>
  <si>
    <t>嘓</t>
  </si>
  <si>
    <t>港</t>
  </si>
  <si>
    <t>降</t>
  </si>
  <si>
    <t>角</t>
  </si>
  <si>
    <t>磔</t>
  </si>
  <si>
    <t>檢</t>
  </si>
  <si>
    <t>劍</t>
  </si>
  <si>
    <t>夾</t>
  </si>
  <si>
    <t>鹹</t>
  </si>
  <si>
    <t>鐱</t>
  </si>
  <si>
    <t>狡</t>
  </si>
  <si>
    <t>教</t>
  </si>
  <si>
    <t>食夾</t>
  </si>
  <si>
    <t>候</t>
  </si>
  <si>
    <t>厚</t>
  </si>
  <si>
    <t>寄</t>
  </si>
  <si>
    <t>崎</t>
  </si>
  <si>
    <t>屐</t>
  </si>
  <si>
    <t>粿</t>
  </si>
  <si>
    <t>郭</t>
  </si>
  <si>
    <t>趶</t>
  </si>
  <si>
    <t>䭝</t>
  </si>
  <si>
    <t>酵</t>
  </si>
  <si>
    <t>㩜</t>
  </si>
  <si>
    <t>韮</t>
  </si>
  <si>
    <t>句</t>
  </si>
  <si>
    <t>舌久</t>
  </si>
  <si>
    <r>
      <t>金</t>
    </r>
    <r>
      <rPr>
        <sz val="24"/>
        <color rgb="FFFF9900"/>
        <rFont val="源樣黑體 L"/>
        <family val="3"/>
        <charset val="136"/>
      </rPr>
      <t>巨木</t>
    </r>
  </si>
  <si>
    <t>舅</t>
  </si>
  <si>
    <t>絞</t>
  </si>
  <si>
    <t>甲</t>
  </si>
  <si>
    <t>齩</t>
  </si>
  <si>
    <t>己</t>
  </si>
  <si>
    <t>既</t>
  </si>
  <si>
    <t>築</t>
  </si>
  <si>
    <t>期</t>
  </si>
  <si>
    <t>具</t>
  </si>
  <si>
    <t>久</t>
  </si>
  <si>
    <t>救</t>
  </si>
  <si>
    <t>舊</t>
  </si>
  <si>
    <t>耞</t>
  </si>
  <si>
    <t>徑</t>
  </si>
  <si>
    <t>捲</t>
  </si>
  <si>
    <t>卷</t>
  </si>
  <si>
    <t>墘</t>
  </si>
  <si>
    <t>謽</t>
  </si>
  <si>
    <t>子</t>
  </si>
  <si>
    <t>鏡</t>
  </si>
  <si>
    <t>行</t>
  </si>
  <si>
    <t>件</t>
  </si>
  <si>
    <t>寡</t>
  </si>
  <si>
    <t>寒</t>
  </si>
  <si>
    <t>汗</t>
  </si>
  <si>
    <t>槓</t>
  </si>
  <si>
    <t>瘸</t>
  </si>
  <si>
    <t>面奈</t>
  </si>
  <si>
    <t>咉</t>
  </si>
  <si>
    <t>譖</t>
  </si>
  <si>
    <t>方音聲母</t>
    <phoneticPr fontId="1" type="noConversion"/>
  </si>
  <si>
    <t>台羅聲母</t>
    <phoneticPr fontId="1" type="noConversion"/>
  </si>
  <si>
    <t>十五音聲母</t>
  </si>
  <si>
    <t>國際音標</t>
    <phoneticPr fontId="1" type="noConversion"/>
  </si>
  <si>
    <t>ㄛ</t>
  </si>
  <si>
    <t>ㆨ</t>
  </si>
  <si>
    <t>ㄣ</t>
  </si>
  <si>
    <r>
      <t>入聲韻尾應爲「</t>
    </r>
    <r>
      <rPr>
        <sz val="18"/>
        <color rgb="FFFF0000"/>
        <rFont val="PingFang TC"/>
        <family val="2"/>
        <charset val="136"/>
      </rPr>
      <t>ㆴ、ㆵ、ㆻ、ㆷ</t>
    </r>
    <r>
      <rPr>
        <sz val="18"/>
        <color theme="1"/>
        <rFont val="PingFang TC"/>
        <family val="2"/>
        <charset val="136"/>
      </rPr>
      <t>」</t>
    </r>
    <phoneticPr fontId="1" type="noConversion"/>
  </si>
  <si>
    <t>元/介音</t>
    <phoneticPr fontId="1" type="noConversion"/>
  </si>
  <si>
    <t>元音</t>
    <phoneticPr fontId="1" type="noConversion"/>
  </si>
  <si>
    <t>ɨ</t>
    <phoneticPr fontId="1" type="noConversion"/>
  </si>
  <si>
    <t>ir</t>
    <phoneticPr fontId="1" type="noConversion"/>
  </si>
  <si>
    <t>ũ</t>
    <phoneticPr fontId="1" type="noConversion"/>
  </si>
  <si>
    <t>-n</t>
    <phoneticPr fontId="1" type="noConversion"/>
  </si>
  <si>
    <t>əŋ</t>
    <phoneticPr fontId="1" type="noConversion"/>
  </si>
  <si>
    <t>-ng</t>
    <phoneticPr fontId="1" type="noConversion"/>
  </si>
  <si>
    <r>
      <rPr>
        <sz val="14"/>
        <color theme="1"/>
        <rFont val="PingFang TC"/>
        <family val="2"/>
        <charset val="136"/>
      </rPr>
      <t>ㄧ</t>
    </r>
    <r>
      <rPr>
        <sz val="14"/>
        <color theme="1"/>
        <rFont val="Cambria"/>
        <family val="1"/>
      </rPr>
      <t>(</t>
    </r>
    <r>
      <rPr>
        <sz val="14"/>
        <color theme="1"/>
        <rFont val="PingFang TC"/>
        <family val="2"/>
        <charset val="136"/>
      </rPr>
      <t>ㆪ</t>
    </r>
    <r>
      <rPr>
        <sz val="14"/>
        <color theme="1"/>
        <rFont val="Cambria"/>
        <family val="1"/>
      </rPr>
      <t>)</t>
    </r>
    <phoneticPr fontId="1" type="noConversion"/>
  </si>
  <si>
    <t>ㄧㄛ</t>
  </si>
  <si>
    <r>
      <rPr>
        <sz val="14"/>
        <color rgb="FFFF0000"/>
        <rFont val="PingFang TC"/>
        <family val="2"/>
        <charset val="136"/>
      </rPr>
      <t>ㄧ</t>
    </r>
    <r>
      <rPr>
        <sz val="14"/>
        <color rgb="FFFF0000"/>
        <rFont val="Cambria"/>
        <family val="1"/>
      </rPr>
      <t>(</t>
    </r>
    <r>
      <rPr>
        <sz val="14"/>
        <color rgb="FFFF0000"/>
        <rFont val="PingFang TC"/>
        <family val="2"/>
        <charset val="136"/>
      </rPr>
      <t>ㆪ</t>
    </r>
    <r>
      <rPr>
        <sz val="14"/>
        <color rgb="FFFF0000"/>
        <rFont val="Cambria"/>
        <family val="1"/>
      </rPr>
      <t>)</t>
    </r>
    <phoneticPr fontId="1" type="noConversion"/>
  </si>
  <si>
    <t>入聲</t>
    <phoneticPr fontId="1" type="noConversion"/>
  </si>
  <si>
    <t>ㄧㄛㆷ</t>
  </si>
  <si>
    <t>ㆪㆷ</t>
  </si>
  <si>
    <t>ㄨ(ㆫ)(ㄜ)</t>
    <phoneticPr fontId="1" type="noConversion"/>
  </si>
  <si>
    <t>ㄨㄝ</t>
  </si>
  <si>
    <t>舒聲</t>
    <phoneticPr fontId="1" type="noConversion"/>
  </si>
  <si>
    <t>ㆫㆬ</t>
  </si>
  <si>
    <t>ㆫㄣ</t>
  </si>
  <si>
    <t>ㆫㄥ</t>
  </si>
  <si>
    <t>ㆫㆪ</t>
  </si>
  <si>
    <t>ㄨㄧㆷ</t>
    <phoneticPr fontId="1" type="noConversion"/>
  </si>
  <si>
    <t>ㄨㆪㆷ</t>
    <phoneticPr fontId="1" type="noConversion"/>
  </si>
  <si>
    <t>ㆫㆴ</t>
  </si>
  <si>
    <t>ㆫㆵ</t>
  </si>
  <si>
    <t>ㆫㆻ</t>
  </si>
  <si>
    <t>ㄜㆤㆷ</t>
  </si>
  <si>
    <t>【 聲母 】</t>
    <phoneticPr fontId="1" type="noConversion"/>
  </si>
  <si>
    <r>
      <t>【</t>
    </r>
    <r>
      <rPr>
        <sz val="18"/>
        <color theme="1"/>
        <rFont val="Cambria"/>
        <family val="1"/>
      </rPr>
      <t xml:space="preserve"> 韻</t>
    </r>
    <r>
      <rPr>
        <sz val="18"/>
        <color theme="1"/>
        <rFont val="Heiti TC Light"/>
        <charset val="136"/>
      </rPr>
      <t>母</t>
    </r>
    <r>
      <rPr>
        <sz val="18"/>
        <color theme="1"/>
        <rFont val="Cambria"/>
        <family val="1"/>
      </rPr>
      <t xml:space="preserve"> </t>
    </r>
    <r>
      <rPr>
        <sz val="18"/>
        <color theme="1"/>
        <rFont val="Heiti TC Light"/>
        <charset val="136"/>
      </rPr>
      <t>】</t>
    </r>
    <phoneticPr fontId="1" type="noConversion"/>
  </si>
  <si>
    <t>聲母注音</t>
    <phoneticPr fontId="1" type="noConversion"/>
  </si>
  <si>
    <t>ㆦ</t>
    <phoneticPr fontId="42" type="noConversion"/>
  </si>
  <si>
    <t>ㆪ</t>
    <phoneticPr fontId="42" type="noConversion"/>
  </si>
  <si>
    <t>ㆮ</t>
    <phoneticPr fontId="42" type="noConversion"/>
  </si>
  <si>
    <t>ㄥ</t>
  </si>
  <si>
    <t>!</t>
    <phoneticPr fontId="1" type="noConversion"/>
  </si>
  <si>
    <t>Q</t>
    <phoneticPr fontId="1" type="noConversion"/>
  </si>
  <si>
    <t>A</t>
    <phoneticPr fontId="1" type="noConversion"/>
  </si>
  <si>
    <t>z</t>
    <phoneticPr fontId="1" type="noConversion"/>
  </si>
  <si>
    <t>ㆷ</t>
    <phoneticPr fontId="1" type="noConversion"/>
  </si>
  <si>
    <t>Z</t>
    <phoneticPr fontId="1" type="noConversion"/>
  </si>
  <si>
    <t>@</t>
    <phoneticPr fontId="1" type="noConversion"/>
  </si>
  <si>
    <t>w</t>
    <phoneticPr fontId="1" type="noConversion"/>
  </si>
  <si>
    <t>W</t>
    <phoneticPr fontId="1" type="noConversion"/>
  </si>
  <si>
    <t>S</t>
    <phoneticPr fontId="1" type="noConversion"/>
  </si>
  <si>
    <t>x</t>
    <phoneticPr fontId="1" type="noConversion"/>
  </si>
  <si>
    <t>X</t>
    <phoneticPr fontId="1" type="noConversion"/>
  </si>
  <si>
    <t>˪</t>
  </si>
  <si>
    <t>#</t>
    <phoneticPr fontId="1" type="noConversion"/>
  </si>
  <si>
    <t>E</t>
    <phoneticPr fontId="1" type="noConversion"/>
  </si>
  <si>
    <t>d</t>
    <phoneticPr fontId="1" type="noConversion"/>
  </si>
  <si>
    <t>D</t>
    <phoneticPr fontId="1" type="noConversion"/>
  </si>
  <si>
    <t>c</t>
    <phoneticPr fontId="1" type="noConversion"/>
  </si>
  <si>
    <t>C</t>
    <phoneticPr fontId="1" type="noConversion"/>
  </si>
  <si>
    <t>$</t>
    <phoneticPr fontId="1" type="noConversion"/>
  </si>
  <si>
    <t>r</t>
    <phoneticPr fontId="1" type="noConversion"/>
  </si>
  <si>
    <t>R</t>
    <phoneticPr fontId="1" type="noConversion"/>
  </si>
  <si>
    <t>f</t>
    <phoneticPr fontId="1" type="noConversion"/>
  </si>
  <si>
    <t>F</t>
    <phoneticPr fontId="1" type="noConversion"/>
  </si>
  <si>
    <t>v</t>
    <phoneticPr fontId="1" type="noConversion"/>
  </si>
  <si>
    <t>V</t>
    <phoneticPr fontId="1" type="noConversion"/>
  </si>
  <si>
    <t>%</t>
    <phoneticPr fontId="1" type="noConversion"/>
  </si>
  <si>
    <t>ㆵ</t>
  </si>
  <si>
    <t>T</t>
    <phoneticPr fontId="1" type="noConversion"/>
  </si>
  <si>
    <t>ㆻ</t>
    <phoneticPr fontId="1" type="noConversion"/>
  </si>
  <si>
    <t>G</t>
    <phoneticPr fontId="1" type="noConversion"/>
  </si>
  <si>
    <t>ㆴ</t>
    <phoneticPr fontId="1" type="noConversion"/>
  </si>
  <si>
    <t>B</t>
    <phoneticPr fontId="1" type="noConversion"/>
  </si>
  <si>
    <t>^</t>
    <phoneticPr fontId="1" type="noConversion"/>
  </si>
  <si>
    <t>Y</t>
    <phoneticPr fontId="1" type="noConversion"/>
  </si>
  <si>
    <t>H</t>
    <phoneticPr fontId="1" type="noConversion"/>
  </si>
  <si>
    <t>N</t>
    <phoneticPr fontId="1" type="noConversion"/>
  </si>
  <si>
    <t>．</t>
    <phoneticPr fontId="1" type="noConversion"/>
  </si>
  <si>
    <t>&amp;</t>
    <phoneticPr fontId="1" type="noConversion"/>
  </si>
  <si>
    <t>U</t>
    <phoneticPr fontId="1" type="noConversion"/>
  </si>
  <si>
    <t>J</t>
    <phoneticPr fontId="1" type="noConversion"/>
  </si>
  <si>
    <t>M</t>
    <phoneticPr fontId="1" type="noConversion"/>
  </si>
  <si>
    <t>*</t>
    <phoneticPr fontId="1" type="noConversion"/>
  </si>
  <si>
    <t>ㆩ</t>
    <phoneticPr fontId="1" type="noConversion"/>
  </si>
  <si>
    <t>I</t>
    <phoneticPr fontId="1" type="noConversion"/>
  </si>
  <si>
    <t>K</t>
    <phoneticPr fontId="1" type="noConversion"/>
  </si>
  <si>
    <t>,</t>
    <phoneticPr fontId="1" type="noConversion"/>
  </si>
  <si>
    <t>&lt;</t>
    <phoneticPr fontId="1" type="noConversion"/>
  </si>
  <si>
    <t>(</t>
    <phoneticPr fontId="1" type="noConversion"/>
  </si>
  <si>
    <t>O</t>
    <phoneticPr fontId="1" type="noConversion"/>
  </si>
  <si>
    <t>ㆥ</t>
    <phoneticPr fontId="1" type="noConversion"/>
  </si>
  <si>
    <t>L</t>
    <phoneticPr fontId="1" type="noConversion"/>
  </si>
  <si>
    <t>.</t>
    <phoneticPr fontId="1" type="noConversion"/>
  </si>
  <si>
    <t>&gt;</t>
    <phoneticPr fontId="1" type="noConversion"/>
  </si>
  <si>
    <t>ㄢ</t>
    <phoneticPr fontId="1" type="noConversion"/>
  </si>
  <si>
    <t>)</t>
    <phoneticPr fontId="1" type="noConversion"/>
  </si>
  <si>
    <t>P</t>
    <phoneticPr fontId="1" type="noConversion"/>
  </si>
  <si>
    <t>;</t>
    <phoneticPr fontId="1" type="noConversion"/>
  </si>
  <si>
    <t>:</t>
    <phoneticPr fontId="1" type="noConversion"/>
  </si>
  <si>
    <t>/</t>
    <phoneticPr fontId="1" type="noConversion"/>
  </si>
  <si>
    <t>?</t>
    <phoneticPr fontId="1" type="noConversion"/>
  </si>
  <si>
    <t>-</t>
    <phoneticPr fontId="1" type="noConversion"/>
  </si>
  <si>
    <t>閩拼聲母</t>
    <phoneticPr fontId="1" type="noConversion"/>
  </si>
  <si>
    <t>台羅拼音聲母</t>
    <phoneticPr fontId="1" type="noConversion"/>
  </si>
  <si>
    <t>方音符號聲母</t>
    <phoneticPr fontId="1" type="noConversion"/>
  </si>
  <si>
    <t>na</t>
    <phoneticPr fontId="1" type="noConversion"/>
  </si>
  <si>
    <t>ah</t>
    <phoneticPr fontId="1" type="noConversion"/>
  </si>
  <si>
    <t>nah</t>
    <phoneticPr fontId="1" type="noConversion"/>
  </si>
  <si>
    <t>oo</t>
    <phoneticPr fontId="42" type="noConversion"/>
  </si>
  <si>
    <t>noo</t>
    <phoneticPr fontId="1" type="noConversion"/>
  </si>
  <si>
    <t>oh</t>
    <phoneticPr fontId="1" type="noConversion"/>
  </si>
  <si>
    <t>ne</t>
    <phoneticPr fontId="1" type="noConversion"/>
  </si>
  <si>
    <t>neh</t>
    <phoneticPr fontId="1" type="noConversion"/>
  </si>
  <si>
    <t>ai</t>
    <phoneticPr fontId="42" type="noConversion"/>
  </si>
  <si>
    <t>nai</t>
    <phoneticPr fontId="1" type="noConversion"/>
  </si>
  <si>
    <t>ao</t>
    <phoneticPr fontId="1" type="noConversion"/>
  </si>
  <si>
    <t>nao</t>
    <phoneticPr fontId="1" type="noConversion"/>
  </si>
  <si>
    <t>aoh</t>
    <phoneticPr fontId="42" type="noConversion"/>
  </si>
  <si>
    <t>am</t>
    <phoneticPr fontId="1" type="noConversion"/>
  </si>
  <si>
    <t>at</t>
    <phoneticPr fontId="1" type="noConversion"/>
  </si>
  <si>
    <t>ang</t>
    <phoneticPr fontId="1" type="noConversion"/>
  </si>
  <si>
    <t>ak</t>
    <phoneticPr fontId="1" type="noConversion"/>
  </si>
  <si>
    <t>ok</t>
    <phoneticPr fontId="1" type="noConversion"/>
  </si>
  <si>
    <t>ni</t>
    <phoneticPr fontId="1" type="noConversion"/>
  </si>
  <si>
    <t>ih</t>
    <phoneticPr fontId="1" type="noConversion"/>
  </si>
  <si>
    <t>nih</t>
    <phoneticPr fontId="1" type="noConversion"/>
  </si>
  <si>
    <t>ia</t>
    <phoneticPr fontId="1" type="noConversion"/>
  </si>
  <si>
    <t>nia</t>
    <phoneticPr fontId="1" type="noConversion"/>
  </si>
  <si>
    <t>iah</t>
    <phoneticPr fontId="1" type="noConversion"/>
  </si>
  <si>
    <t>nioo</t>
    <phoneticPr fontId="1" type="noConversion"/>
  </si>
  <si>
    <t>ioh</t>
    <phoneticPr fontId="1" type="noConversion"/>
  </si>
  <si>
    <t>iu</t>
    <phoneticPr fontId="1" type="noConversion"/>
  </si>
  <si>
    <t>niu</t>
    <phoneticPr fontId="1" type="noConversion"/>
  </si>
  <si>
    <t>iao</t>
    <phoneticPr fontId="1" type="noConversion"/>
  </si>
  <si>
    <t>niao</t>
    <phoneticPr fontId="1" type="noConversion"/>
  </si>
  <si>
    <t>niaoh</t>
    <phoneticPr fontId="1" type="noConversion"/>
  </si>
  <si>
    <t>iam</t>
    <phoneticPr fontId="1" type="noConversion"/>
  </si>
  <si>
    <t>iap</t>
    <phoneticPr fontId="1" type="noConversion"/>
  </si>
  <si>
    <t>im</t>
    <phoneticPr fontId="1" type="noConversion"/>
  </si>
  <si>
    <t>ip</t>
    <phoneticPr fontId="1" type="noConversion"/>
  </si>
  <si>
    <t>in</t>
    <phoneticPr fontId="1" type="noConversion"/>
  </si>
  <si>
    <t>it</t>
    <phoneticPr fontId="1" type="noConversion"/>
  </si>
  <si>
    <t>ian</t>
    <phoneticPr fontId="1" type="noConversion"/>
  </si>
  <si>
    <t>iat</t>
    <phoneticPr fontId="1" type="noConversion"/>
  </si>
  <si>
    <t>ing</t>
    <phoneticPr fontId="1" type="noConversion"/>
  </si>
  <si>
    <t>ik</t>
    <phoneticPr fontId="1" type="noConversion"/>
  </si>
  <si>
    <t>iang</t>
    <phoneticPr fontId="1" type="noConversion"/>
  </si>
  <si>
    <t>iak</t>
    <phoneticPr fontId="1" type="noConversion"/>
  </si>
  <si>
    <t>iong</t>
    <phoneticPr fontId="1" type="noConversion"/>
  </si>
  <si>
    <t>iok</t>
    <phoneticPr fontId="1" type="noConversion"/>
  </si>
  <si>
    <t>nu</t>
    <phoneticPr fontId="1" type="noConversion"/>
  </si>
  <si>
    <t>uh</t>
    <phoneticPr fontId="1" type="noConversion"/>
  </si>
  <si>
    <t>ua</t>
    <phoneticPr fontId="1" type="noConversion"/>
  </si>
  <si>
    <t>nua</t>
    <phoneticPr fontId="1" type="noConversion"/>
  </si>
  <si>
    <t>uah</t>
    <phoneticPr fontId="1" type="noConversion"/>
  </si>
  <si>
    <t>ue</t>
    <phoneticPr fontId="1" type="noConversion"/>
  </si>
  <si>
    <t>nue</t>
    <phoneticPr fontId="1" type="noConversion"/>
  </si>
  <si>
    <t>ueh</t>
    <phoneticPr fontId="1" type="noConversion"/>
  </si>
  <si>
    <t>nui</t>
    <phoneticPr fontId="1" type="noConversion"/>
  </si>
  <si>
    <t>uai</t>
    <phoneticPr fontId="1" type="noConversion"/>
  </si>
  <si>
    <t>nuai</t>
    <phoneticPr fontId="1" type="noConversion"/>
  </si>
  <si>
    <t>un</t>
    <phoneticPr fontId="1" type="noConversion"/>
  </si>
  <si>
    <t>ut</t>
    <phoneticPr fontId="1" type="noConversion"/>
  </si>
  <si>
    <t>uan</t>
    <phoneticPr fontId="1" type="noConversion"/>
  </si>
  <si>
    <t>uat</t>
    <phoneticPr fontId="1" type="noConversion"/>
  </si>
  <si>
    <t>uang</t>
    <phoneticPr fontId="1" type="noConversion"/>
  </si>
  <si>
    <t>聲母十五音</t>
  </si>
  <si>
    <t>白話字</t>
  </si>
  <si>
    <t>zi</t>
  </si>
  <si>
    <t>chi</t>
  </si>
  <si>
    <t>tsi</t>
  </si>
  <si>
    <r>
      <t>zz</t>
    </r>
    <r>
      <rPr>
        <sz val="36"/>
        <color rgb="FFFF0000"/>
        <rFont val="Arial"/>
        <family val="2"/>
      </rPr>
      <t>i</t>
    </r>
  </si>
  <si>
    <r>
      <t>j</t>
    </r>
    <r>
      <rPr>
        <sz val="36"/>
        <color rgb="FFFF0000"/>
        <rFont val="Arial"/>
        <family val="2"/>
      </rPr>
      <t>i</t>
    </r>
  </si>
  <si>
    <r>
      <t>s</t>
    </r>
    <r>
      <rPr>
        <sz val="36"/>
        <color rgb="FFFF0000"/>
        <rFont val="Arial"/>
        <family val="2"/>
      </rPr>
      <t>i</t>
    </r>
  </si>
  <si>
    <r>
      <t>c</t>
    </r>
    <r>
      <rPr>
        <sz val="36"/>
        <color rgb="FFFF0000"/>
        <rFont val="Arial"/>
        <family val="2"/>
      </rPr>
      <t>i</t>
    </r>
  </si>
  <si>
    <r>
      <t>chh</t>
    </r>
    <r>
      <rPr>
        <sz val="36"/>
        <color rgb="FFFF0000"/>
        <rFont val="Arial"/>
        <family val="2"/>
      </rPr>
      <t>i</t>
    </r>
  </si>
  <si>
    <r>
      <t>tsh</t>
    </r>
    <r>
      <rPr>
        <sz val="36"/>
        <color rgb="FFFF0000"/>
        <rFont val="Arial"/>
        <family val="2"/>
      </rPr>
      <t>i</t>
    </r>
  </si>
  <si>
    <t>毛</t>
  </si>
  <si>
    <t>耐</t>
  </si>
  <si>
    <t>雅</t>
  </si>
  <si>
    <t>十五音序</t>
  </si>
  <si>
    <t>台羅</t>
  </si>
  <si>
    <t>閩拼</t>
  </si>
  <si>
    <t>方音</t>
  </si>
  <si>
    <t>元音與鼻音字母表</t>
    <phoneticPr fontId="1" type="noConversion"/>
  </si>
  <si>
    <t>閩拼</t>
    <phoneticPr fontId="1" type="noConversion"/>
  </si>
  <si>
    <t>韻母</t>
    <phoneticPr fontId="44" type="noConversion"/>
  </si>
  <si>
    <t>陽平</t>
    <phoneticPr fontId="1" type="noConversion"/>
  </si>
  <si>
    <t>上声</t>
    <phoneticPr fontId="1" type="noConversion"/>
  </si>
  <si>
    <t>陽上</t>
    <phoneticPr fontId="1" type="noConversion"/>
  </si>
  <si>
    <t>陰去</t>
    <phoneticPr fontId="1" type="noConversion"/>
  </si>
  <si>
    <t>陽去</t>
    <phoneticPr fontId="1" type="noConversion"/>
  </si>
  <si>
    <t>陰入</t>
    <phoneticPr fontId="1" type="noConversion"/>
  </si>
  <si>
    <t>音調字母</t>
  </si>
  <si>
    <t>標音調字母的字串索引</t>
  </si>
  <si>
    <t>音調字母表所在序次</t>
  </si>
  <si>
    <t>ē</t>
  </si>
  <si>
    <t>é</t>
  </si>
  <si>
    <t>ě</t>
  </si>
  <si>
    <t>è</t>
  </si>
  <si>
    <t>ê</t>
  </si>
  <si>
    <t>ī</t>
  </si>
  <si>
    <t>í</t>
  </si>
  <si>
    <t>ǐ</t>
  </si>
  <si>
    <t>ì</t>
  </si>
  <si>
    <t>î</t>
  </si>
  <si>
    <t>ō</t>
  </si>
  <si>
    <t>ó</t>
  </si>
  <si>
    <t>ǒ</t>
  </si>
  <si>
    <t>ò</t>
  </si>
  <si>
    <t>ô</t>
  </si>
  <si>
    <t>ōo</t>
  </si>
  <si>
    <t>óo</t>
  </si>
  <si>
    <t>ǒo</t>
  </si>
  <si>
    <t>òo</t>
  </si>
  <si>
    <t>ôo</t>
  </si>
  <si>
    <t>ū</t>
  </si>
  <si>
    <t>ú</t>
  </si>
  <si>
    <t>ǔ</t>
  </si>
  <si>
    <t>ù</t>
  </si>
  <si>
    <t>û</t>
  </si>
  <si>
    <t>m̄</t>
  </si>
  <si>
    <t>ḿ</t>
  </si>
  <si>
    <t>m̌</t>
  </si>
  <si>
    <t>m̀</t>
  </si>
  <si>
    <t>m̂</t>
  </si>
  <si>
    <t>n̄g</t>
    <phoneticPr fontId="1" type="noConversion"/>
  </si>
  <si>
    <t>ńg</t>
    <phoneticPr fontId="1" type="noConversion"/>
  </si>
  <si>
    <t>ňg</t>
    <phoneticPr fontId="1" type="noConversion"/>
  </si>
  <si>
    <t>ň</t>
  </si>
  <si>
    <t>ǹg</t>
    <phoneticPr fontId="1" type="noConversion"/>
  </si>
  <si>
    <t>n̂g</t>
    <phoneticPr fontId="1" type="noConversion"/>
  </si>
  <si>
    <t>傳統八聲調</t>
    <phoneticPr fontId="1" type="noConversion"/>
  </si>
  <si>
    <t>調名</t>
    <phoneticPr fontId="1" type="noConversion"/>
  </si>
  <si>
    <t>閩拼七聲調</t>
    <phoneticPr fontId="1" type="noConversion"/>
  </si>
  <si>
    <t>五標</t>
    <phoneticPr fontId="1" type="noConversion"/>
  </si>
  <si>
    <t>調值</t>
    <phoneticPr fontId="1" type="noConversion"/>
  </si>
  <si>
    <t>上（陰）平</t>
    <phoneticPr fontId="1" type="noConversion"/>
  </si>
  <si>
    <t>˦˦</t>
  </si>
  <si>
    <t>上（陰）上</t>
    <phoneticPr fontId="1" type="noConversion"/>
  </si>
  <si>
    <t>˥˧</t>
    <phoneticPr fontId="1" type="noConversion"/>
  </si>
  <si>
    <t>上（陰）去</t>
    <phoneticPr fontId="1" type="noConversion"/>
  </si>
  <si>
    <t>˨˩</t>
    <phoneticPr fontId="1" type="noConversion"/>
  </si>
  <si>
    <t>上（陰）入</t>
    <phoneticPr fontId="1" type="noConversion"/>
  </si>
  <si>
    <t>˧ʔ</t>
    <phoneticPr fontId="1" type="noConversion"/>
  </si>
  <si>
    <t>3?</t>
    <phoneticPr fontId="1" type="noConversion"/>
  </si>
  <si>
    <t>下（陽）平</t>
    <phoneticPr fontId="1" type="noConversion"/>
  </si>
  <si>
    <t>下（陽）上</t>
    <phoneticPr fontId="1" type="noConversion"/>
  </si>
  <si>
    <t>下（陽）去</t>
    <phoneticPr fontId="1" type="noConversion"/>
  </si>
  <si>
    <t>˧˧</t>
    <phoneticPr fontId="1" type="noConversion"/>
  </si>
  <si>
    <t>下（陽）入</t>
    <phoneticPr fontId="1" type="noConversion"/>
  </si>
  <si>
    <t>˦ʔ</t>
  </si>
  <si>
    <t>4ʔ</t>
  </si>
  <si>
    <t>聲調[編輯]</t>
  </si>
  <si>
    <r>
      <t>聲調符號大致上為</t>
    </r>
    <r>
      <rPr>
        <sz val="15"/>
        <color rgb="FF0645AD"/>
        <rFont val="蘋方-繁 標準體"/>
        <charset val="136"/>
      </rPr>
      <t>漢語拼音方案</t>
    </r>
    <r>
      <rPr>
        <sz val="15"/>
        <color rgb="FF202122"/>
        <rFont val="蘋方-繁 標準體"/>
        <charset val="136"/>
      </rPr>
      <t>之擴充，陰平、陽平、上聲、陰去沿用</t>
    </r>
    <r>
      <rPr>
        <sz val="15"/>
        <color rgb="FF0645AD"/>
        <rFont val="蘋方-繁 標準體"/>
        <charset val="136"/>
      </rPr>
      <t>漢語拼音方案</t>
    </r>
    <r>
      <rPr>
        <sz val="15"/>
        <color rgb="FF202122"/>
        <rFont val="蘋方-繁 標準體"/>
        <charset val="136"/>
      </rPr>
      <t>之符號，另外新增陽去及兩個入聲。但注意部分聲調名稱與普通話相同但</t>
    </r>
    <r>
      <rPr>
        <sz val="15"/>
        <color rgb="FF0645AD"/>
        <rFont val="蘋方-繁 標準體"/>
        <charset val="136"/>
      </rPr>
      <t>調值</t>
    </r>
    <r>
      <rPr>
        <sz val="15"/>
        <color rgb="FF202122"/>
        <rFont val="蘋方-繁 標準體"/>
        <charset val="136"/>
      </rPr>
      <t>不同。陽上調僅在</t>
    </r>
    <r>
      <rPr>
        <sz val="15"/>
        <color rgb="FF0645AD"/>
        <rFont val="蘋方-繁 標準體"/>
        <charset val="136"/>
      </rPr>
      <t>泉州話</t>
    </r>
    <r>
      <rPr>
        <sz val="15"/>
        <color rgb="FF202122"/>
        <rFont val="蘋方-繁 標準體"/>
        <charset val="136"/>
      </rPr>
      <t>中存在，其他閩南語方言皆已併入陰上（上聲）。高升調僅在</t>
    </r>
    <r>
      <rPr>
        <sz val="15"/>
        <color rgb="FF0645AD"/>
        <rFont val="蘋方-繁 標準體"/>
        <charset val="136"/>
      </rPr>
      <t>連讀變調</t>
    </r>
    <r>
      <rPr>
        <sz val="15"/>
        <color rgb="FF202122"/>
        <rFont val="蘋方-繁 標準體"/>
        <charset val="136"/>
      </rPr>
      <t>中存在。在聲調排列上有部分文獻順序為：1 陰平、2 陰上、3 陰去、4 陰入、5 陽平、6 陽上、7 陽去、8 陽入與本方案不同。①→⑧為BP所使用的"調號"(調序)。</t>
    </r>
  </si>
  <si>
    <t>基本閩南語廈門話七聲</t>
  </si>
  <si>
    <t>方言及特殊音調</t>
  </si>
  <si>
    <t>調序</t>
  </si>
  <si>
    <t>①</t>
  </si>
  <si>
    <t>②</t>
  </si>
  <si>
    <t>③</t>
  </si>
  <si>
    <t>⑤</t>
  </si>
  <si>
    <t>⑥</t>
  </si>
  <si>
    <t>⑦</t>
  </si>
  <si>
    <t>⑧</t>
  </si>
  <si>
    <t>－</t>
  </si>
  <si>
    <t>調名</t>
  </si>
  <si>
    <t>上聲</t>
  </si>
  <si>
    <t>鼻化</t>
  </si>
  <si>
    <t>五標</t>
  </si>
  <si>
    <t>˧ʔ</t>
  </si>
  <si>
    <t>˥˥</t>
  </si>
  <si>
    <t>調值</t>
  </si>
  <si>
    <t>3ʔ</t>
  </si>
  <si>
    <t>調號標示規則[編輯]</t>
  </si>
  <si>
    <r>
      <t xml:space="preserve"> 當一個</t>
    </r>
    <r>
      <rPr>
        <sz val="15"/>
        <color rgb="FF0645AD"/>
        <rFont val="蘋方-繁 標準體"/>
        <charset val="136"/>
      </rPr>
      <t>音節</t>
    </r>
    <r>
      <rPr>
        <sz val="15"/>
        <color rgb="FF202122"/>
        <rFont val="蘋方-繁 標準體"/>
        <charset val="136"/>
      </rPr>
      <t>有多個</t>
    </r>
    <r>
      <rPr>
        <sz val="15"/>
        <color rgb="FF0645AD"/>
        <rFont val="蘋方-繁 標準體"/>
        <charset val="136"/>
      </rPr>
      <t>字母</t>
    </r>
    <r>
      <rPr>
        <sz val="15"/>
        <color rgb="FF202122"/>
        <rFont val="蘋方-繁 標準體"/>
        <charset val="136"/>
      </rPr>
      <t>時，</t>
    </r>
    <r>
      <rPr>
        <sz val="15"/>
        <color rgb="FF0645AD"/>
        <rFont val="蘋方-繁 標準體"/>
        <charset val="136"/>
      </rPr>
      <t>調號</t>
    </r>
    <r>
      <rPr>
        <sz val="15"/>
        <color rgb="FF202122"/>
        <rFont val="蘋方-繁 標準體"/>
        <charset val="136"/>
      </rPr>
      <t>得標示在</t>
    </r>
    <r>
      <rPr>
        <sz val="15"/>
        <color rgb="FF0645AD"/>
        <rFont val="蘋方-繁 標準體"/>
        <charset val="136"/>
      </rPr>
      <t>響度</t>
    </r>
    <r>
      <rPr>
        <sz val="15"/>
        <color rgb="FF202122"/>
        <rFont val="蘋方-繁 標準體"/>
        <charset val="136"/>
      </rPr>
      <t>最大的字母上面（通常在</t>
    </r>
    <r>
      <rPr>
        <sz val="15"/>
        <color rgb="FF0645AD"/>
        <rFont val="蘋方-繁 標準體"/>
        <charset val="136"/>
      </rPr>
      <t>韻腹</t>
    </r>
    <r>
      <rPr>
        <sz val="15"/>
        <color rgb="FF202122"/>
        <rFont val="蘋方-繁 標準體"/>
        <charset val="136"/>
      </rPr>
      <t>）。由規則可以判定確切的字母：</t>
    </r>
    <phoneticPr fontId="1" type="noConversion"/>
  </si>
  <si>
    <r>
      <t xml:space="preserve"> * 響度優先順序： a &gt; </t>
    </r>
    <r>
      <rPr>
        <sz val="15"/>
        <color rgb="FF0645AD"/>
        <rFont val="蘋方-繁 標準體"/>
        <charset val="136"/>
      </rPr>
      <t>oo</t>
    </r>
    <r>
      <rPr>
        <sz val="15"/>
        <color rgb="FF202122"/>
        <rFont val="蘋方-繁 標準體"/>
        <charset val="136"/>
      </rPr>
      <t> &gt; (e = </t>
    </r>
    <r>
      <rPr>
        <sz val="15"/>
        <color rgb="FF0645AD"/>
        <rFont val="蘋方-繁 標準體"/>
        <charset val="136"/>
      </rPr>
      <t>o</t>
    </r>
    <r>
      <rPr>
        <sz val="15"/>
        <color rgb="FF202122"/>
        <rFont val="蘋方-繁 標準體"/>
        <charset val="136"/>
      </rPr>
      <t>) &gt; (i = u)〈</t>
    </r>
    <r>
      <rPr>
        <sz val="15"/>
        <color rgb="FF0645AD"/>
        <rFont val="蘋方-繁 標準體"/>
        <charset val="136"/>
      </rPr>
      <t>低元音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高元音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無擦通音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擦音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塞音</t>
    </r>
    <r>
      <rPr>
        <sz val="15"/>
        <color rgb="FF202122"/>
        <rFont val="蘋方-繁 標準體"/>
        <charset val="136"/>
      </rPr>
      <t>〉</t>
    </r>
    <phoneticPr fontId="1" type="noConversion"/>
  </si>
  <si>
    <r>
      <t xml:space="preserve"> *二合字母</t>
    </r>
    <r>
      <rPr>
        <sz val="15"/>
        <color rgb="FF202122"/>
        <rFont val="蘋方-繁 標準體"/>
        <charset val="136"/>
      </rPr>
      <t> iu 及 ui ，</t>
    </r>
    <r>
      <rPr>
        <sz val="15"/>
        <color rgb="FF0645AD"/>
        <rFont val="蘋方-繁 標準體"/>
        <charset val="136"/>
      </rPr>
      <t>調號</t>
    </r>
    <r>
      <rPr>
        <sz val="15"/>
        <color rgb="FF202122"/>
        <rFont val="蘋方-繁 標準體"/>
        <charset val="136"/>
      </rPr>
      <t>都標在後一個字母上；因為前一個字母是</t>
    </r>
    <r>
      <rPr>
        <sz val="15"/>
        <color rgb="FF0645AD"/>
        <rFont val="蘋方-繁 標準體"/>
        <charset val="136"/>
      </rPr>
      <t>介音</t>
    </r>
    <r>
      <rPr>
        <sz val="15"/>
        <color rgb="FF202122"/>
        <rFont val="蘋方-繁 標準體"/>
        <charset val="136"/>
      </rPr>
      <t>。</t>
    </r>
    <phoneticPr fontId="1" type="noConversion"/>
  </si>
  <si>
    <t xml:space="preserve"> * m 作韻腹時則標於字母 m 上。</t>
    <phoneticPr fontId="1" type="noConversion"/>
  </si>
  <si>
    <t xml:space="preserve"> * 二合字母 oo 及 ng，標於前一個字母上；比如 ng 標示在字母 n 上。</t>
    <phoneticPr fontId="1" type="noConversion"/>
  </si>
  <si>
    <t xml:space="preserve"> * 三合字母 ere，標於最後的字母 e 上。</t>
    <phoneticPr fontId="1" type="noConversion"/>
  </si>
  <si>
    <t>ba</t>
  </si>
  <si>
    <t>cha</t>
  </si>
  <si>
    <t>chha</t>
  </si>
  <si>
    <t>ga</t>
  </si>
  <si>
    <t>ha</t>
  </si>
  <si>
    <t>ka</t>
  </si>
  <si>
    <t>kha</t>
  </si>
  <si>
    <t>la</t>
  </si>
  <si>
    <t>ma</t>
  </si>
  <si>
    <t>nga</t>
  </si>
  <si>
    <t>pa</t>
  </si>
  <si>
    <t>pha</t>
  </si>
  <si>
    <t>sa</t>
  </si>
  <si>
    <t>ta</t>
  </si>
  <si>
    <t>tha</t>
  </si>
  <si>
    <r>
      <t>a</t>
    </r>
    <r>
      <rPr>
        <b/>
        <sz val="16"/>
        <color rgb="FF202122"/>
        <rFont val="Arial"/>
        <family val="2"/>
      </rPr>
      <t>ⁿ</t>
    </r>
  </si>
  <si>
    <r>
      <t>a</t>
    </r>
    <r>
      <rPr>
        <sz val="16"/>
        <color rgb="FF202122"/>
        <rFont val="Arial"/>
        <family val="2"/>
      </rPr>
      <t>ⁿ</t>
    </r>
  </si>
  <si>
    <r>
      <t>cha</t>
    </r>
    <r>
      <rPr>
        <sz val="16"/>
        <color rgb="FF202122"/>
        <rFont val="Arial"/>
        <family val="2"/>
      </rPr>
      <t>ⁿ</t>
    </r>
  </si>
  <si>
    <r>
      <t>chha</t>
    </r>
    <r>
      <rPr>
        <sz val="16"/>
        <color rgb="FF202122"/>
        <rFont val="Arial"/>
        <family val="2"/>
      </rPr>
      <t>ⁿ</t>
    </r>
  </si>
  <si>
    <r>
      <t>ha</t>
    </r>
    <r>
      <rPr>
        <sz val="16"/>
        <color rgb="FF202122"/>
        <rFont val="Arial"/>
        <family val="2"/>
      </rPr>
      <t>ⁿ</t>
    </r>
  </si>
  <si>
    <r>
      <t>ka</t>
    </r>
    <r>
      <rPr>
        <sz val="16"/>
        <color rgb="FF202122"/>
        <rFont val="Arial"/>
        <family val="2"/>
      </rPr>
      <t>ⁿ</t>
    </r>
  </si>
  <si>
    <r>
      <t>kha</t>
    </r>
    <r>
      <rPr>
        <sz val="16"/>
        <color rgb="FF202122"/>
        <rFont val="Arial"/>
        <family val="2"/>
      </rPr>
      <t>ⁿ</t>
    </r>
  </si>
  <si>
    <r>
      <t>pha</t>
    </r>
    <r>
      <rPr>
        <sz val="16"/>
        <color rgb="FF202122"/>
        <rFont val="Arial"/>
        <family val="2"/>
      </rPr>
      <t>ⁿ</t>
    </r>
  </si>
  <si>
    <r>
      <t>sa</t>
    </r>
    <r>
      <rPr>
        <sz val="16"/>
        <color rgb="FF202122"/>
        <rFont val="Arial"/>
        <family val="2"/>
      </rPr>
      <t>ⁿ</t>
    </r>
  </si>
  <si>
    <r>
      <t>ta</t>
    </r>
    <r>
      <rPr>
        <sz val="16"/>
        <color rgb="FF202122"/>
        <rFont val="Arial"/>
        <family val="2"/>
      </rPr>
      <t>ⁿ</t>
    </r>
  </si>
  <si>
    <r>
      <t>tha</t>
    </r>
    <r>
      <rPr>
        <sz val="16"/>
        <color rgb="FF202122"/>
        <rFont val="Arial"/>
        <family val="2"/>
      </rPr>
      <t>ⁿ</t>
    </r>
  </si>
  <si>
    <t>bah</t>
  </si>
  <si>
    <t>chah</t>
  </si>
  <si>
    <t>chhah</t>
  </si>
  <si>
    <t>hah</t>
  </si>
  <si>
    <t>kah</t>
  </si>
  <si>
    <t>khah</t>
  </si>
  <si>
    <t>lah</t>
  </si>
  <si>
    <t>pah</t>
  </si>
  <si>
    <t>phah</t>
  </si>
  <si>
    <t>sah</t>
  </si>
  <si>
    <t>tah</t>
  </si>
  <si>
    <t>thah</t>
  </si>
  <si>
    <r>
      <t>ah</t>
    </r>
    <r>
      <rPr>
        <b/>
        <sz val="16"/>
        <color rgb="FF202122"/>
        <rFont val="Arial"/>
        <family val="2"/>
      </rPr>
      <t>ⁿ</t>
    </r>
  </si>
  <si>
    <r>
      <t>hah</t>
    </r>
    <r>
      <rPr>
        <sz val="16"/>
        <color rgb="FF202122"/>
        <rFont val="Arial"/>
        <family val="2"/>
      </rPr>
      <t>ⁿ</t>
    </r>
  </si>
  <si>
    <r>
      <t>sah</t>
    </r>
    <r>
      <rPr>
        <sz val="16"/>
        <color rgb="FF202122"/>
        <rFont val="Arial"/>
        <family val="2"/>
      </rPr>
      <t>ⁿ</t>
    </r>
  </si>
  <si>
    <t>bai</t>
  </si>
  <si>
    <t>chai</t>
  </si>
  <si>
    <t>chhai</t>
  </si>
  <si>
    <t>gai</t>
  </si>
  <si>
    <t>hai</t>
  </si>
  <si>
    <t>kai</t>
  </si>
  <si>
    <t>khai</t>
  </si>
  <si>
    <t>lai</t>
  </si>
  <si>
    <t>mai</t>
  </si>
  <si>
    <t>ngai</t>
  </si>
  <si>
    <t>pai</t>
  </si>
  <si>
    <t>phai</t>
  </si>
  <si>
    <t>sai</t>
  </si>
  <si>
    <t>tai</t>
  </si>
  <si>
    <t>thai</t>
  </si>
  <si>
    <r>
      <t>ai</t>
    </r>
    <r>
      <rPr>
        <b/>
        <sz val="16"/>
        <color rgb="FF202122"/>
        <rFont val="Arial"/>
        <family val="2"/>
      </rPr>
      <t>ⁿ</t>
    </r>
  </si>
  <si>
    <r>
      <t>ai</t>
    </r>
    <r>
      <rPr>
        <sz val="16"/>
        <color rgb="FF202122"/>
        <rFont val="Arial"/>
        <family val="2"/>
      </rPr>
      <t>ⁿ</t>
    </r>
  </si>
  <si>
    <r>
      <t>chai</t>
    </r>
    <r>
      <rPr>
        <sz val="16"/>
        <color rgb="FF202122"/>
        <rFont val="Arial"/>
        <family val="2"/>
      </rPr>
      <t>ⁿ</t>
    </r>
  </si>
  <si>
    <r>
      <t>hai</t>
    </r>
    <r>
      <rPr>
        <sz val="16"/>
        <color rgb="FF202122"/>
        <rFont val="Arial"/>
        <family val="2"/>
      </rPr>
      <t>ⁿ</t>
    </r>
  </si>
  <si>
    <r>
      <t>kai</t>
    </r>
    <r>
      <rPr>
        <sz val="16"/>
        <color rgb="FF202122"/>
        <rFont val="Arial"/>
        <family val="2"/>
      </rPr>
      <t>ⁿ</t>
    </r>
  </si>
  <si>
    <r>
      <t>khai</t>
    </r>
    <r>
      <rPr>
        <sz val="16"/>
        <color rgb="FF202122"/>
        <rFont val="Arial"/>
        <family val="2"/>
      </rPr>
      <t>ⁿ</t>
    </r>
  </si>
  <si>
    <r>
      <t>phai</t>
    </r>
    <r>
      <rPr>
        <sz val="16"/>
        <color rgb="FF202122"/>
        <rFont val="Arial"/>
        <family val="2"/>
      </rPr>
      <t>ⁿ</t>
    </r>
  </si>
  <si>
    <r>
      <t>tai</t>
    </r>
    <r>
      <rPr>
        <sz val="16"/>
        <color rgb="FF202122"/>
        <rFont val="Arial"/>
        <family val="2"/>
      </rPr>
      <t>ⁿ</t>
    </r>
  </si>
  <si>
    <t>bak</t>
  </si>
  <si>
    <t>chak</t>
  </si>
  <si>
    <t>chhak</t>
  </si>
  <si>
    <t>gak</t>
  </si>
  <si>
    <t>hak</t>
  </si>
  <si>
    <t>kak</t>
  </si>
  <si>
    <t>khak</t>
  </si>
  <si>
    <t>lak</t>
  </si>
  <si>
    <t>pak</t>
  </si>
  <si>
    <t>phak</t>
  </si>
  <si>
    <t>sak</t>
  </si>
  <si>
    <t>tak</t>
  </si>
  <si>
    <t>thak</t>
  </si>
  <si>
    <t>cham</t>
  </si>
  <si>
    <t>chham</t>
  </si>
  <si>
    <t>gam</t>
  </si>
  <si>
    <t>ham</t>
  </si>
  <si>
    <t>kam</t>
  </si>
  <si>
    <t>kham</t>
  </si>
  <si>
    <t>lam</t>
  </si>
  <si>
    <t>sam</t>
  </si>
  <si>
    <t>tam</t>
  </si>
  <si>
    <t>tham</t>
  </si>
  <si>
    <t>ban</t>
  </si>
  <si>
    <t>chan</t>
  </si>
  <si>
    <t>chhan</t>
  </si>
  <si>
    <t>gan</t>
  </si>
  <si>
    <t>han</t>
  </si>
  <si>
    <t>kan</t>
  </si>
  <si>
    <t>khan</t>
  </si>
  <si>
    <t>lan</t>
  </si>
  <si>
    <t>pan</t>
  </si>
  <si>
    <t>phan</t>
  </si>
  <si>
    <t>san</t>
  </si>
  <si>
    <t>tan</t>
  </si>
  <si>
    <t>than</t>
  </si>
  <si>
    <t>bang</t>
  </si>
  <si>
    <t>chang</t>
  </si>
  <si>
    <t>chhang</t>
  </si>
  <si>
    <t>gang</t>
  </si>
  <si>
    <t>hang</t>
  </si>
  <si>
    <t>kang</t>
  </si>
  <si>
    <t>khang</t>
  </si>
  <si>
    <t>lang</t>
  </si>
  <si>
    <t>pang</t>
  </si>
  <si>
    <t>phang</t>
  </si>
  <si>
    <t>sang</t>
  </si>
  <si>
    <t>tang</t>
  </si>
  <si>
    <t>thang</t>
  </si>
  <si>
    <t>chap</t>
  </si>
  <si>
    <t>chhap</t>
  </si>
  <si>
    <t>hap</t>
  </si>
  <si>
    <t>kap</t>
  </si>
  <si>
    <t>khap</t>
  </si>
  <si>
    <t>lap</t>
  </si>
  <si>
    <t>sap</t>
  </si>
  <si>
    <t>tap</t>
  </si>
  <si>
    <t>thap</t>
  </si>
  <si>
    <t>bat</t>
  </si>
  <si>
    <t>chat</t>
  </si>
  <si>
    <t>chhat</t>
  </si>
  <si>
    <t>hat</t>
  </si>
  <si>
    <t>kat</t>
  </si>
  <si>
    <t>khat</t>
  </si>
  <si>
    <t>lat</t>
  </si>
  <si>
    <t>pat</t>
  </si>
  <si>
    <t>sat</t>
  </si>
  <si>
    <t>tat</t>
  </si>
  <si>
    <t>that</t>
  </si>
  <si>
    <t>bau</t>
  </si>
  <si>
    <t>chau</t>
  </si>
  <si>
    <t>chhau</t>
  </si>
  <si>
    <t>gau</t>
  </si>
  <si>
    <t>hau</t>
  </si>
  <si>
    <t>kau</t>
  </si>
  <si>
    <t>khau</t>
  </si>
  <si>
    <t>lau</t>
  </si>
  <si>
    <t>mau</t>
  </si>
  <si>
    <t>nau</t>
  </si>
  <si>
    <t>ngau</t>
  </si>
  <si>
    <t>pau</t>
  </si>
  <si>
    <t>phau</t>
  </si>
  <si>
    <t>sau</t>
  </si>
  <si>
    <t>tau</t>
  </si>
  <si>
    <t>thau</t>
  </si>
  <si>
    <t>chhauh</t>
  </si>
  <si>
    <t>kauh</t>
  </si>
  <si>
    <t>lauh</t>
  </si>
  <si>
    <t>mauh</t>
  </si>
  <si>
    <t>nauh</t>
  </si>
  <si>
    <t>phauh</t>
  </si>
  <si>
    <t>tauh</t>
  </si>
  <si>
    <t>be</t>
  </si>
  <si>
    <t>che</t>
  </si>
  <si>
    <t>chhe</t>
  </si>
  <si>
    <t>ge</t>
  </si>
  <si>
    <t>he</t>
  </si>
  <si>
    <t>ke</t>
  </si>
  <si>
    <t>khe</t>
  </si>
  <si>
    <t>le</t>
  </si>
  <si>
    <t>me</t>
  </si>
  <si>
    <t>nge</t>
  </si>
  <si>
    <t>pe</t>
  </si>
  <si>
    <t>phe</t>
  </si>
  <si>
    <t>se</t>
  </si>
  <si>
    <t>te</t>
  </si>
  <si>
    <t>the</t>
  </si>
  <si>
    <r>
      <t>e</t>
    </r>
    <r>
      <rPr>
        <b/>
        <sz val="16"/>
        <color rgb="FF202122"/>
        <rFont val="Arial"/>
        <family val="2"/>
      </rPr>
      <t>ⁿ</t>
    </r>
  </si>
  <si>
    <r>
      <t>e</t>
    </r>
    <r>
      <rPr>
        <sz val="16"/>
        <color rgb="FF202122"/>
        <rFont val="Arial"/>
        <family val="2"/>
      </rPr>
      <t>ⁿ</t>
    </r>
  </si>
  <si>
    <r>
      <t>che</t>
    </r>
    <r>
      <rPr>
        <sz val="16"/>
        <color rgb="FF202122"/>
        <rFont val="Arial"/>
        <family val="2"/>
      </rPr>
      <t>ⁿ</t>
    </r>
  </si>
  <si>
    <r>
      <t>chhe</t>
    </r>
    <r>
      <rPr>
        <sz val="16"/>
        <color rgb="FF202122"/>
        <rFont val="Arial"/>
        <family val="2"/>
      </rPr>
      <t>ⁿ</t>
    </r>
  </si>
  <si>
    <r>
      <t>he</t>
    </r>
    <r>
      <rPr>
        <sz val="16"/>
        <color rgb="FF202122"/>
        <rFont val="Arial"/>
        <family val="2"/>
      </rPr>
      <t>ⁿ</t>
    </r>
  </si>
  <si>
    <r>
      <t>ke</t>
    </r>
    <r>
      <rPr>
        <sz val="16"/>
        <color rgb="FF202122"/>
        <rFont val="Arial"/>
        <family val="2"/>
      </rPr>
      <t>ⁿ</t>
    </r>
  </si>
  <si>
    <r>
      <t>khe</t>
    </r>
    <r>
      <rPr>
        <sz val="16"/>
        <color rgb="FF202122"/>
        <rFont val="Arial"/>
        <family val="2"/>
      </rPr>
      <t>ⁿ</t>
    </r>
  </si>
  <si>
    <r>
      <t>pe</t>
    </r>
    <r>
      <rPr>
        <sz val="16"/>
        <color rgb="FF202122"/>
        <rFont val="Arial"/>
        <family val="2"/>
      </rPr>
      <t>ⁿ</t>
    </r>
  </si>
  <si>
    <r>
      <t>phe</t>
    </r>
    <r>
      <rPr>
        <sz val="16"/>
        <color rgb="FF202122"/>
        <rFont val="Arial"/>
        <family val="2"/>
      </rPr>
      <t>ⁿ</t>
    </r>
  </si>
  <si>
    <r>
      <t>se</t>
    </r>
    <r>
      <rPr>
        <sz val="16"/>
        <color rgb="FF202122"/>
        <rFont val="Arial"/>
        <family val="2"/>
      </rPr>
      <t>ⁿ</t>
    </r>
  </si>
  <si>
    <r>
      <t>te</t>
    </r>
    <r>
      <rPr>
        <sz val="16"/>
        <color rgb="FF202122"/>
        <rFont val="Arial"/>
        <family val="2"/>
      </rPr>
      <t>ⁿ</t>
    </r>
  </si>
  <si>
    <r>
      <t>the</t>
    </r>
    <r>
      <rPr>
        <sz val="16"/>
        <color rgb="FF202122"/>
        <rFont val="Arial"/>
        <family val="2"/>
      </rPr>
      <t>ⁿ</t>
    </r>
  </si>
  <si>
    <t>beh</t>
  </si>
  <si>
    <t>cheh</t>
  </si>
  <si>
    <t>chheh</t>
  </si>
  <si>
    <t>heh</t>
  </si>
  <si>
    <t>keh</t>
  </si>
  <si>
    <t>kheh</t>
  </si>
  <si>
    <t>leh</t>
  </si>
  <si>
    <t>meh</t>
  </si>
  <si>
    <t>ngeh</t>
  </si>
  <si>
    <t>peh</t>
  </si>
  <si>
    <t>seh</t>
  </si>
  <si>
    <t>teh</t>
  </si>
  <si>
    <t>theh</t>
  </si>
  <si>
    <r>
      <t>eh</t>
    </r>
    <r>
      <rPr>
        <b/>
        <sz val="16"/>
        <color rgb="FF202122"/>
        <rFont val="Arial"/>
        <family val="2"/>
      </rPr>
      <t>ⁿ</t>
    </r>
  </si>
  <si>
    <r>
      <t>heh</t>
    </r>
    <r>
      <rPr>
        <sz val="16"/>
        <color rgb="FF202122"/>
        <rFont val="Arial"/>
        <family val="2"/>
      </rPr>
      <t>ⁿ</t>
    </r>
  </si>
  <si>
    <r>
      <t>kheh</t>
    </r>
    <r>
      <rPr>
        <sz val="16"/>
        <color rgb="FF202122"/>
        <rFont val="Arial"/>
        <family val="2"/>
      </rPr>
      <t>ⁿ</t>
    </r>
  </si>
  <si>
    <t>bek</t>
  </si>
  <si>
    <t>chek</t>
  </si>
  <si>
    <t>chhek</t>
  </si>
  <si>
    <t>gek</t>
  </si>
  <si>
    <t>hek</t>
  </si>
  <si>
    <t>kek</t>
  </si>
  <si>
    <t>lek</t>
  </si>
  <si>
    <t>pek</t>
  </si>
  <si>
    <t>phek</t>
  </si>
  <si>
    <t>sek</t>
  </si>
  <si>
    <t>tek</t>
  </si>
  <si>
    <t>thek</t>
  </si>
  <si>
    <t>beng</t>
  </si>
  <si>
    <t>cheng</t>
  </si>
  <si>
    <t>chheng</t>
  </si>
  <si>
    <t>geng</t>
  </si>
  <si>
    <t>heng</t>
  </si>
  <si>
    <t>keng</t>
  </si>
  <si>
    <t>kheng</t>
  </si>
  <si>
    <t>leng</t>
  </si>
  <si>
    <t>peng</t>
  </si>
  <si>
    <t>pheng</t>
  </si>
  <si>
    <t>seng</t>
  </si>
  <si>
    <t>teng</t>
  </si>
  <si>
    <t>theng</t>
  </si>
  <si>
    <t>bi</t>
  </si>
  <si>
    <t>chhi</t>
  </si>
  <si>
    <t>gi</t>
  </si>
  <si>
    <t>hi</t>
  </si>
  <si>
    <t>ji</t>
  </si>
  <si>
    <t>ki</t>
  </si>
  <si>
    <t>khi</t>
  </si>
  <si>
    <t>li</t>
  </si>
  <si>
    <t>mi</t>
  </si>
  <si>
    <t>pi</t>
  </si>
  <si>
    <t>phi</t>
  </si>
  <si>
    <t>si</t>
  </si>
  <si>
    <t>ti</t>
  </si>
  <si>
    <t>thi</t>
  </si>
  <si>
    <r>
      <t>i</t>
    </r>
    <r>
      <rPr>
        <b/>
        <sz val="16"/>
        <color rgb="FF202122"/>
        <rFont val="Arial"/>
        <family val="2"/>
      </rPr>
      <t>ⁿ</t>
    </r>
  </si>
  <si>
    <r>
      <t>i</t>
    </r>
    <r>
      <rPr>
        <sz val="16"/>
        <color rgb="FF202122"/>
        <rFont val="Arial"/>
        <family val="2"/>
      </rPr>
      <t>ⁿ</t>
    </r>
  </si>
  <si>
    <r>
      <t>chi</t>
    </r>
    <r>
      <rPr>
        <sz val="16"/>
        <color rgb="FF202122"/>
        <rFont val="Arial"/>
        <family val="2"/>
      </rPr>
      <t>ⁿ</t>
    </r>
  </si>
  <si>
    <r>
      <t>chhi</t>
    </r>
    <r>
      <rPr>
        <sz val="16"/>
        <color rgb="FF202122"/>
        <rFont val="Arial"/>
        <family val="2"/>
      </rPr>
      <t>ⁿ</t>
    </r>
  </si>
  <si>
    <r>
      <t>hi</t>
    </r>
    <r>
      <rPr>
        <sz val="16"/>
        <color rgb="FF202122"/>
        <rFont val="Arial"/>
        <family val="2"/>
      </rPr>
      <t>ⁿ</t>
    </r>
  </si>
  <si>
    <r>
      <t>ki</t>
    </r>
    <r>
      <rPr>
        <sz val="16"/>
        <color rgb="FF202122"/>
        <rFont val="Arial"/>
        <family val="2"/>
      </rPr>
      <t>ⁿ</t>
    </r>
  </si>
  <si>
    <r>
      <t>khi</t>
    </r>
    <r>
      <rPr>
        <sz val="16"/>
        <color rgb="FF202122"/>
        <rFont val="Arial"/>
        <family val="2"/>
      </rPr>
      <t>ⁿ</t>
    </r>
  </si>
  <si>
    <r>
      <t>si</t>
    </r>
    <r>
      <rPr>
        <sz val="16"/>
        <color rgb="FF202122"/>
        <rFont val="Arial"/>
        <family val="2"/>
      </rPr>
      <t>ⁿ</t>
    </r>
  </si>
  <si>
    <r>
      <t>ti</t>
    </r>
    <r>
      <rPr>
        <sz val="16"/>
        <color rgb="FF202122"/>
        <rFont val="Arial"/>
        <family val="2"/>
      </rPr>
      <t>ⁿ</t>
    </r>
  </si>
  <si>
    <r>
      <t>thi</t>
    </r>
    <r>
      <rPr>
        <sz val="16"/>
        <color rgb="FF202122"/>
        <rFont val="Arial"/>
        <family val="2"/>
      </rPr>
      <t>ⁿ</t>
    </r>
  </si>
  <si>
    <t>chia</t>
  </si>
  <si>
    <t>chhia</t>
  </si>
  <si>
    <t>gia</t>
  </si>
  <si>
    <t>hia</t>
  </si>
  <si>
    <t>jia</t>
  </si>
  <si>
    <t>kia</t>
  </si>
  <si>
    <t>khia</t>
  </si>
  <si>
    <t>mia</t>
  </si>
  <si>
    <t>ngia</t>
  </si>
  <si>
    <t>sia</t>
  </si>
  <si>
    <t>tia</t>
  </si>
  <si>
    <r>
      <t>ia</t>
    </r>
    <r>
      <rPr>
        <b/>
        <sz val="16"/>
        <color rgb="FF202122"/>
        <rFont val="Arial"/>
        <family val="2"/>
      </rPr>
      <t>ⁿ</t>
    </r>
  </si>
  <si>
    <r>
      <t>ia</t>
    </r>
    <r>
      <rPr>
        <sz val="16"/>
        <color rgb="FF202122"/>
        <rFont val="Arial"/>
        <family val="2"/>
      </rPr>
      <t>ⁿ</t>
    </r>
  </si>
  <si>
    <r>
      <t>chia</t>
    </r>
    <r>
      <rPr>
        <sz val="16"/>
        <color rgb="FF202122"/>
        <rFont val="Arial"/>
        <family val="2"/>
      </rPr>
      <t>ⁿ</t>
    </r>
  </si>
  <si>
    <r>
      <t>chhia</t>
    </r>
    <r>
      <rPr>
        <sz val="16"/>
        <color rgb="FF202122"/>
        <rFont val="Arial"/>
        <family val="2"/>
      </rPr>
      <t>ⁿ</t>
    </r>
  </si>
  <si>
    <r>
      <t>hia</t>
    </r>
    <r>
      <rPr>
        <sz val="16"/>
        <color rgb="FF202122"/>
        <rFont val="Arial"/>
        <family val="2"/>
      </rPr>
      <t>ⁿ</t>
    </r>
  </si>
  <si>
    <r>
      <t>kia</t>
    </r>
    <r>
      <rPr>
        <sz val="16"/>
        <color rgb="FF202122"/>
        <rFont val="Arial"/>
        <family val="2"/>
      </rPr>
      <t>ⁿ</t>
    </r>
  </si>
  <si>
    <r>
      <t>pia</t>
    </r>
    <r>
      <rPr>
        <sz val="16"/>
        <color rgb="FF202122"/>
        <rFont val="Arial"/>
        <family val="2"/>
      </rPr>
      <t>ⁿ</t>
    </r>
  </si>
  <si>
    <r>
      <t>sia</t>
    </r>
    <r>
      <rPr>
        <sz val="16"/>
        <color rgb="FF202122"/>
        <rFont val="Arial"/>
        <family val="2"/>
      </rPr>
      <t>ⁿ</t>
    </r>
  </si>
  <si>
    <r>
      <t>tia</t>
    </r>
    <r>
      <rPr>
        <sz val="16"/>
        <color rgb="FF202122"/>
        <rFont val="Arial"/>
        <family val="2"/>
      </rPr>
      <t>ⁿ</t>
    </r>
  </si>
  <si>
    <r>
      <t>thia</t>
    </r>
    <r>
      <rPr>
        <sz val="16"/>
        <color rgb="FF202122"/>
        <rFont val="Arial"/>
        <family val="2"/>
      </rPr>
      <t>ⁿ</t>
    </r>
  </si>
  <si>
    <t>chiah</t>
  </si>
  <si>
    <t>chhiah</t>
  </si>
  <si>
    <t>giah</t>
  </si>
  <si>
    <t>hiah</t>
  </si>
  <si>
    <t>kiah</t>
  </si>
  <si>
    <t>khiah</t>
  </si>
  <si>
    <t>liah</t>
  </si>
  <si>
    <t>piah</t>
  </si>
  <si>
    <t>phiah</t>
  </si>
  <si>
    <t>siah</t>
  </si>
  <si>
    <t>tiah</t>
  </si>
  <si>
    <t>thiah</t>
  </si>
  <si>
    <r>
      <t>iah</t>
    </r>
    <r>
      <rPr>
        <b/>
        <sz val="16"/>
        <color rgb="FF202122"/>
        <rFont val="Arial"/>
        <family val="2"/>
      </rPr>
      <t>ⁿ</t>
    </r>
  </si>
  <si>
    <r>
      <t>hiah</t>
    </r>
    <r>
      <rPr>
        <sz val="16"/>
        <color rgb="FF202122"/>
        <rFont val="Arial"/>
        <family val="2"/>
      </rPr>
      <t>ⁿ</t>
    </r>
  </si>
  <si>
    <t>chhiak</t>
  </si>
  <si>
    <t>khiak</t>
  </si>
  <si>
    <t>piak</t>
  </si>
  <si>
    <t>phiak</t>
  </si>
  <si>
    <t>siak</t>
  </si>
  <si>
    <t>tiak</t>
  </si>
  <si>
    <t>chiam</t>
  </si>
  <si>
    <t>chhiam</t>
  </si>
  <si>
    <t>giam</t>
  </si>
  <si>
    <t>hiam</t>
  </si>
  <si>
    <t>jiam</t>
  </si>
  <si>
    <t>kiam</t>
  </si>
  <si>
    <t>khiam</t>
  </si>
  <si>
    <t>liam</t>
  </si>
  <si>
    <t>siam</t>
  </si>
  <si>
    <t>tiam</t>
  </si>
  <si>
    <t>thiam</t>
  </si>
  <si>
    <t>bian</t>
  </si>
  <si>
    <t>chian</t>
  </si>
  <si>
    <t>chhian</t>
  </si>
  <si>
    <t>gian</t>
  </si>
  <si>
    <t>hian</t>
  </si>
  <si>
    <t>jian</t>
  </si>
  <si>
    <t>kian</t>
  </si>
  <si>
    <t>khian</t>
  </si>
  <si>
    <t>lian</t>
  </si>
  <si>
    <t>pian</t>
  </si>
  <si>
    <t>phian</t>
  </si>
  <si>
    <t>sian</t>
  </si>
  <si>
    <t>tian</t>
  </si>
  <si>
    <t>thian</t>
  </si>
  <si>
    <t>chiang</t>
  </si>
  <si>
    <t>chhiang</t>
  </si>
  <si>
    <t>giang</t>
  </si>
  <si>
    <t>hiang</t>
  </si>
  <si>
    <t>jiang</t>
  </si>
  <si>
    <t>khiang</t>
  </si>
  <si>
    <t>liang</t>
  </si>
  <si>
    <t>piang</t>
  </si>
  <si>
    <t>phiang</t>
  </si>
  <si>
    <t>siang</t>
  </si>
  <si>
    <t>chiap</t>
  </si>
  <si>
    <t>chhiap</t>
  </si>
  <si>
    <t>giap</t>
  </si>
  <si>
    <t>hiap</t>
  </si>
  <si>
    <t>jiap</t>
  </si>
  <si>
    <t>kiap</t>
  </si>
  <si>
    <t>khiap</t>
  </si>
  <si>
    <t>liap</t>
  </si>
  <si>
    <t>siap</t>
  </si>
  <si>
    <t>tiap</t>
  </si>
  <si>
    <t>thiap</t>
  </si>
  <si>
    <t>biat</t>
  </si>
  <si>
    <t>chiat</t>
  </si>
  <si>
    <t>chhiat</t>
  </si>
  <si>
    <t>giat</t>
  </si>
  <si>
    <t>hiat</t>
  </si>
  <si>
    <t>jiat</t>
  </si>
  <si>
    <t>kiat</t>
  </si>
  <si>
    <t>khiat</t>
  </si>
  <si>
    <t>liat</t>
  </si>
  <si>
    <t>piat</t>
  </si>
  <si>
    <t>phiat</t>
  </si>
  <si>
    <t>siat</t>
  </si>
  <si>
    <t>tiat</t>
  </si>
  <si>
    <t>thiat</t>
  </si>
  <si>
    <t>biau</t>
  </si>
  <si>
    <t>chiau</t>
  </si>
  <si>
    <t>chhiau</t>
  </si>
  <si>
    <t>giau</t>
  </si>
  <si>
    <t>hiau</t>
  </si>
  <si>
    <t>jiau</t>
  </si>
  <si>
    <t>kiau</t>
  </si>
  <si>
    <t>khiau</t>
  </si>
  <si>
    <t>liau</t>
  </si>
  <si>
    <t>miau</t>
  </si>
  <si>
    <t>niau</t>
  </si>
  <si>
    <t>ngiau</t>
  </si>
  <si>
    <t>piau</t>
  </si>
  <si>
    <t>phiau</t>
  </si>
  <si>
    <t>siau</t>
  </si>
  <si>
    <t>tiau</t>
  </si>
  <si>
    <t>thiau</t>
  </si>
  <si>
    <r>
      <t>iau</t>
    </r>
    <r>
      <rPr>
        <b/>
        <sz val="16"/>
        <color rgb="FF202122"/>
        <rFont val="Arial"/>
        <family val="2"/>
      </rPr>
      <t>ⁿ</t>
    </r>
  </si>
  <si>
    <r>
      <t>iau</t>
    </r>
    <r>
      <rPr>
        <sz val="16"/>
        <color rgb="FF202122"/>
        <rFont val="Arial"/>
        <family val="2"/>
      </rPr>
      <t>ⁿ</t>
    </r>
  </si>
  <si>
    <t>hiauh</t>
  </si>
  <si>
    <t>khiauh</t>
  </si>
  <si>
    <t>ngiauh</t>
  </si>
  <si>
    <t>bih</t>
  </si>
  <si>
    <t>chih</t>
  </si>
  <si>
    <t>chhih</t>
  </si>
  <si>
    <t>khih</t>
  </si>
  <si>
    <t>mih</t>
  </si>
  <si>
    <t>pih</t>
  </si>
  <si>
    <t>phih</t>
  </si>
  <si>
    <t>sih</t>
  </si>
  <si>
    <t>tih</t>
  </si>
  <si>
    <t>thih</t>
  </si>
  <si>
    <t>chim</t>
  </si>
  <si>
    <t>chhim</t>
  </si>
  <si>
    <t>gim</t>
  </si>
  <si>
    <t>him</t>
  </si>
  <si>
    <t>jim</t>
  </si>
  <si>
    <t>kim</t>
  </si>
  <si>
    <t>khim</t>
  </si>
  <si>
    <t>lim</t>
  </si>
  <si>
    <t>sim</t>
  </si>
  <si>
    <t>tim</t>
  </si>
  <si>
    <t>thim</t>
  </si>
  <si>
    <t>bin</t>
  </si>
  <si>
    <t>chin</t>
  </si>
  <si>
    <t>chhin</t>
  </si>
  <si>
    <t>gin</t>
  </si>
  <si>
    <t>hin</t>
  </si>
  <si>
    <t>jin</t>
  </si>
  <si>
    <t>kin</t>
  </si>
  <si>
    <t>khin</t>
  </si>
  <si>
    <t>lin</t>
  </si>
  <si>
    <t>pin</t>
  </si>
  <si>
    <t>phin</t>
  </si>
  <si>
    <t>sin</t>
  </si>
  <si>
    <t>tin</t>
  </si>
  <si>
    <t>thin</t>
  </si>
  <si>
    <t>bio</t>
  </si>
  <si>
    <t>chio</t>
  </si>
  <si>
    <t>chhio</t>
  </si>
  <si>
    <t>gio</t>
  </si>
  <si>
    <t>hio</t>
  </si>
  <si>
    <t>jio</t>
  </si>
  <si>
    <t>kio</t>
  </si>
  <si>
    <t>khio</t>
  </si>
  <si>
    <t>lio</t>
  </si>
  <si>
    <t>pio</t>
  </si>
  <si>
    <t>phio</t>
  </si>
  <si>
    <t>sio</t>
  </si>
  <si>
    <t>tio</t>
  </si>
  <si>
    <t>thio</t>
  </si>
  <si>
    <t>chioh</t>
  </si>
  <si>
    <t>chhioh</t>
  </si>
  <si>
    <t>gioh</t>
  </si>
  <si>
    <t>hioh</t>
  </si>
  <si>
    <t>kioh</t>
  </si>
  <si>
    <t>khioh</t>
  </si>
  <si>
    <t>lioh</t>
  </si>
  <si>
    <t>sioh</t>
  </si>
  <si>
    <t>tioh</t>
  </si>
  <si>
    <t>chiok</t>
  </si>
  <si>
    <t>chhiok</t>
  </si>
  <si>
    <t>giok</t>
  </si>
  <si>
    <t>hiok</t>
  </si>
  <si>
    <t>jiok</t>
  </si>
  <si>
    <t>kiok</t>
  </si>
  <si>
    <t>khiok</t>
  </si>
  <si>
    <t>liok</t>
  </si>
  <si>
    <t>siok</t>
  </si>
  <si>
    <t>tiok</t>
  </si>
  <si>
    <t>thiok</t>
  </si>
  <si>
    <t>chiong</t>
  </si>
  <si>
    <t>chhiong</t>
  </si>
  <si>
    <t>giong</t>
  </si>
  <si>
    <t>hiong</t>
  </si>
  <si>
    <t>jiong</t>
  </si>
  <si>
    <t>kiong</t>
  </si>
  <si>
    <t>khiong</t>
  </si>
  <si>
    <t>liong</t>
  </si>
  <si>
    <t>siong</t>
  </si>
  <si>
    <t>tiong</t>
  </si>
  <si>
    <t>thiong</t>
  </si>
  <si>
    <t>chip</t>
  </si>
  <si>
    <t>chhip</t>
  </si>
  <si>
    <t>hip</t>
  </si>
  <si>
    <t>jip</t>
  </si>
  <si>
    <t>kip</t>
  </si>
  <si>
    <t>khip</t>
  </si>
  <si>
    <t>lip</t>
  </si>
  <si>
    <t>sip</t>
  </si>
  <si>
    <t>bit</t>
  </si>
  <si>
    <t>chit</t>
  </si>
  <si>
    <t>chhit</t>
  </si>
  <si>
    <t>hit</t>
  </si>
  <si>
    <t>jit</t>
  </si>
  <si>
    <t>kit</t>
  </si>
  <si>
    <t>khit</t>
  </si>
  <si>
    <t>pit</t>
  </si>
  <si>
    <t>phit</t>
  </si>
  <si>
    <t>sit</t>
  </si>
  <si>
    <t>tit</t>
  </si>
  <si>
    <t>biu</t>
  </si>
  <si>
    <t>chiu</t>
  </si>
  <si>
    <t>chhiu</t>
  </si>
  <si>
    <t>giu</t>
  </si>
  <si>
    <t>hiu</t>
  </si>
  <si>
    <t>jiu</t>
  </si>
  <si>
    <t>kiu</t>
  </si>
  <si>
    <t>khiu</t>
  </si>
  <si>
    <t>liu</t>
  </si>
  <si>
    <t>piu</t>
  </si>
  <si>
    <t>siu</t>
  </si>
  <si>
    <t>tiu</t>
  </si>
  <si>
    <t>thiu</t>
  </si>
  <si>
    <r>
      <t>iu</t>
    </r>
    <r>
      <rPr>
        <b/>
        <sz val="16"/>
        <color rgb="FF202122"/>
        <rFont val="Arial"/>
        <family val="2"/>
      </rPr>
      <t>ⁿ</t>
    </r>
  </si>
  <si>
    <r>
      <t>iu</t>
    </r>
    <r>
      <rPr>
        <sz val="16"/>
        <color rgb="FF202122"/>
        <rFont val="Arial"/>
        <family val="2"/>
      </rPr>
      <t>ⁿ</t>
    </r>
  </si>
  <si>
    <r>
      <t>chiu</t>
    </r>
    <r>
      <rPr>
        <sz val="16"/>
        <color rgb="FF202122"/>
        <rFont val="Arial"/>
        <family val="2"/>
      </rPr>
      <t>ⁿ</t>
    </r>
  </si>
  <si>
    <r>
      <t>chhiu</t>
    </r>
    <r>
      <rPr>
        <sz val="16"/>
        <color rgb="FF202122"/>
        <rFont val="Arial"/>
        <family val="2"/>
      </rPr>
      <t>ⁿ</t>
    </r>
  </si>
  <si>
    <r>
      <t>hiu</t>
    </r>
    <r>
      <rPr>
        <sz val="16"/>
        <color rgb="FF202122"/>
        <rFont val="Arial"/>
        <family val="2"/>
      </rPr>
      <t>ⁿ</t>
    </r>
  </si>
  <si>
    <r>
      <t>kiu</t>
    </r>
    <r>
      <rPr>
        <sz val="16"/>
        <color rgb="FF202122"/>
        <rFont val="Arial"/>
        <family val="2"/>
      </rPr>
      <t>ⁿ</t>
    </r>
  </si>
  <si>
    <r>
      <t>khiu</t>
    </r>
    <r>
      <rPr>
        <sz val="16"/>
        <color rgb="FF202122"/>
        <rFont val="Arial"/>
        <family val="2"/>
      </rPr>
      <t>ⁿ</t>
    </r>
  </si>
  <si>
    <r>
      <t>siu</t>
    </r>
    <r>
      <rPr>
        <sz val="16"/>
        <color rgb="FF202122"/>
        <rFont val="Arial"/>
        <family val="2"/>
      </rPr>
      <t>ⁿ</t>
    </r>
  </si>
  <si>
    <r>
      <t>tiu</t>
    </r>
    <r>
      <rPr>
        <sz val="16"/>
        <color rgb="FF202122"/>
        <rFont val="Arial"/>
        <family val="2"/>
      </rPr>
      <t>ⁿ</t>
    </r>
  </si>
  <si>
    <r>
      <t>iuh</t>
    </r>
    <r>
      <rPr>
        <b/>
        <sz val="16"/>
        <color rgb="FF202122"/>
        <rFont val="Arial"/>
        <family val="2"/>
      </rPr>
      <t>ⁿ</t>
    </r>
  </si>
  <si>
    <r>
      <t>iuh</t>
    </r>
    <r>
      <rPr>
        <sz val="16"/>
        <color rgb="FF202122"/>
        <rFont val="Arial"/>
        <family val="2"/>
      </rPr>
      <t>ⁿ</t>
    </r>
  </si>
  <si>
    <r>
      <t>hiuh</t>
    </r>
    <r>
      <rPr>
        <sz val="16"/>
        <color rgb="FF202122"/>
        <rFont val="Arial"/>
        <family val="2"/>
      </rPr>
      <t>ⁿ</t>
    </r>
  </si>
  <si>
    <t>hm</t>
  </si>
  <si>
    <t>hmh</t>
  </si>
  <si>
    <t>chng</t>
  </si>
  <si>
    <t>chhng</t>
  </si>
  <si>
    <t>hng</t>
  </si>
  <si>
    <t>kng</t>
  </si>
  <si>
    <t>khng</t>
  </si>
  <si>
    <t>mng</t>
  </si>
  <si>
    <t>nng</t>
  </si>
  <si>
    <t>png</t>
  </si>
  <si>
    <t>sng</t>
  </si>
  <si>
    <t>tng</t>
  </si>
  <si>
    <t>thng</t>
  </si>
  <si>
    <t>chhngh</t>
  </si>
  <si>
    <t>hngh</t>
  </si>
  <si>
    <t>phngh</t>
  </si>
  <si>
    <t>sngh</t>
  </si>
  <si>
    <t>bo</t>
  </si>
  <si>
    <t>cho</t>
  </si>
  <si>
    <t>chho</t>
  </si>
  <si>
    <t>go</t>
  </si>
  <si>
    <t>ho</t>
  </si>
  <si>
    <t>ko</t>
  </si>
  <si>
    <t>kho</t>
  </si>
  <si>
    <t>lo</t>
  </si>
  <si>
    <t>po</t>
  </si>
  <si>
    <t>pho</t>
  </si>
  <si>
    <t>so</t>
  </si>
  <si>
    <t>to</t>
  </si>
  <si>
    <t>tho</t>
  </si>
  <si>
    <r>
      <t>o</t>
    </r>
    <r>
      <rPr>
        <b/>
        <sz val="16"/>
        <color rgb="FF202122"/>
        <rFont val="Arial"/>
        <family val="2"/>
      </rPr>
      <t>ⁿ</t>
    </r>
  </si>
  <si>
    <r>
      <t>o</t>
    </r>
    <r>
      <rPr>
        <sz val="16"/>
        <color rgb="FF202122"/>
        <rFont val="Arial"/>
        <family val="2"/>
      </rPr>
      <t>ⁿ</t>
    </r>
  </si>
  <si>
    <r>
      <t>ho</t>
    </r>
    <r>
      <rPr>
        <sz val="16"/>
        <color rgb="FF202122"/>
        <rFont val="Arial"/>
        <family val="2"/>
      </rPr>
      <t>ⁿ</t>
    </r>
  </si>
  <si>
    <r>
      <t>ko</t>
    </r>
    <r>
      <rPr>
        <sz val="16"/>
        <color rgb="FF202122"/>
        <rFont val="Arial"/>
        <family val="2"/>
      </rPr>
      <t>ⁿ</t>
    </r>
  </si>
  <si>
    <t>bo͘</t>
  </si>
  <si>
    <t>cho͘</t>
  </si>
  <si>
    <t>chho͘</t>
  </si>
  <si>
    <t>go͘</t>
  </si>
  <si>
    <t>ho͘</t>
  </si>
  <si>
    <t>ko͘</t>
  </si>
  <si>
    <t>kho͘</t>
  </si>
  <si>
    <t>lo͘</t>
  </si>
  <si>
    <t>mo͘</t>
  </si>
  <si>
    <t>no͘</t>
  </si>
  <si>
    <t>ngo͘</t>
  </si>
  <si>
    <t>po͘</t>
  </si>
  <si>
    <t>pho͘</t>
  </si>
  <si>
    <t>so͘</t>
  </si>
  <si>
    <t>to͘</t>
  </si>
  <si>
    <t>tho͘</t>
  </si>
  <si>
    <t>boa</t>
  </si>
  <si>
    <t>choa</t>
  </si>
  <si>
    <t>chhoa</t>
  </si>
  <si>
    <t>goa</t>
  </si>
  <si>
    <t>hoa</t>
  </si>
  <si>
    <t>koa</t>
  </si>
  <si>
    <t>khoa</t>
  </si>
  <si>
    <t>loa</t>
  </si>
  <si>
    <t>moa</t>
  </si>
  <si>
    <t>noa</t>
  </si>
  <si>
    <t>poa</t>
  </si>
  <si>
    <t>phoa</t>
  </si>
  <si>
    <t>soa</t>
  </si>
  <si>
    <t>toa</t>
  </si>
  <si>
    <t>thoa</t>
  </si>
  <si>
    <r>
      <t>oa</t>
    </r>
    <r>
      <rPr>
        <b/>
        <sz val="16"/>
        <color rgb="FF202122"/>
        <rFont val="Arial"/>
        <family val="2"/>
      </rPr>
      <t>ⁿ</t>
    </r>
  </si>
  <si>
    <r>
      <t>oa</t>
    </r>
    <r>
      <rPr>
        <sz val="16"/>
        <color rgb="FF202122"/>
        <rFont val="Arial"/>
        <family val="2"/>
      </rPr>
      <t>ⁿ</t>
    </r>
  </si>
  <si>
    <r>
      <t>chhoa</t>
    </r>
    <r>
      <rPr>
        <sz val="16"/>
        <color rgb="FF202122"/>
        <rFont val="Arial"/>
        <family val="2"/>
      </rPr>
      <t>ⁿ</t>
    </r>
  </si>
  <si>
    <r>
      <t>hoa</t>
    </r>
    <r>
      <rPr>
        <sz val="16"/>
        <color rgb="FF202122"/>
        <rFont val="Arial"/>
        <family val="2"/>
      </rPr>
      <t>ⁿ</t>
    </r>
  </si>
  <si>
    <r>
      <t>koa</t>
    </r>
    <r>
      <rPr>
        <sz val="16"/>
        <color rgb="FF202122"/>
        <rFont val="Arial"/>
        <family val="2"/>
      </rPr>
      <t>ⁿ</t>
    </r>
  </si>
  <si>
    <r>
      <t>khoa</t>
    </r>
    <r>
      <rPr>
        <sz val="16"/>
        <color rgb="FF202122"/>
        <rFont val="Arial"/>
        <family val="2"/>
      </rPr>
      <t>ⁿ</t>
    </r>
  </si>
  <si>
    <r>
      <t>poa</t>
    </r>
    <r>
      <rPr>
        <sz val="16"/>
        <color rgb="FF202122"/>
        <rFont val="Arial"/>
        <family val="2"/>
      </rPr>
      <t>ⁿ</t>
    </r>
  </si>
  <si>
    <r>
      <t>phoa</t>
    </r>
    <r>
      <rPr>
        <sz val="16"/>
        <color rgb="FF202122"/>
        <rFont val="Arial"/>
        <family val="2"/>
      </rPr>
      <t>ⁿ</t>
    </r>
  </si>
  <si>
    <r>
      <t>soa</t>
    </r>
    <r>
      <rPr>
        <sz val="16"/>
        <color rgb="FF202122"/>
        <rFont val="Arial"/>
        <family val="2"/>
      </rPr>
      <t>ⁿ</t>
    </r>
  </si>
  <si>
    <r>
      <t>toa</t>
    </r>
    <r>
      <rPr>
        <sz val="16"/>
        <color rgb="FF202122"/>
        <rFont val="Arial"/>
        <family val="2"/>
      </rPr>
      <t>ⁿ</t>
    </r>
  </si>
  <si>
    <r>
      <t>thoa</t>
    </r>
    <r>
      <rPr>
        <sz val="16"/>
        <color rgb="FF202122"/>
        <rFont val="Arial"/>
        <family val="2"/>
      </rPr>
      <t>ⁿ</t>
    </r>
  </si>
  <si>
    <t>boah</t>
  </si>
  <si>
    <t>choah</t>
  </si>
  <si>
    <t>chhoah</t>
  </si>
  <si>
    <t>hoah</t>
  </si>
  <si>
    <t>joah</t>
  </si>
  <si>
    <t>koah</t>
  </si>
  <si>
    <t>khoah</t>
  </si>
  <si>
    <t>loah</t>
  </si>
  <si>
    <t>poah</t>
  </si>
  <si>
    <t>phoah</t>
  </si>
  <si>
    <t>soah</t>
  </si>
  <si>
    <t>thoah</t>
  </si>
  <si>
    <t>hoai</t>
  </si>
  <si>
    <t>koai</t>
  </si>
  <si>
    <t>khoai</t>
  </si>
  <si>
    <t>soai</t>
  </si>
  <si>
    <r>
      <t>oai</t>
    </r>
    <r>
      <rPr>
        <b/>
        <sz val="16"/>
        <color rgb="FF202122"/>
        <rFont val="Arial"/>
        <family val="2"/>
      </rPr>
      <t>ⁿ</t>
    </r>
  </si>
  <si>
    <r>
      <t>oai</t>
    </r>
    <r>
      <rPr>
        <sz val="16"/>
        <color rgb="FF202122"/>
        <rFont val="Arial"/>
        <family val="2"/>
      </rPr>
      <t>ⁿ</t>
    </r>
  </si>
  <si>
    <r>
      <t>choai</t>
    </r>
    <r>
      <rPr>
        <sz val="16"/>
        <color rgb="FF202122"/>
        <rFont val="Arial"/>
        <family val="2"/>
      </rPr>
      <t>ⁿ</t>
    </r>
  </si>
  <si>
    <r>
      <t>hoai</t>
    </r>
    <r>
      <rPr>
        <sz val="16"/>
        <color rgb="FF202122"/>
        <rFont val="Arial"/>
        <family val="2"/>
      </rPr>
      <t>ⁿ</t>
    </r>
  </si>
  <si>
    <r>
      <t>koai</t>
    </r>
    <r>
      <rPr>
        <sz val="16"/>
        <color rgb="FF202122"/>
        <rFont val="Arial"/>
        <family val="2"/>
      </rPr>
      <t>ⁿ</t>
    </r>
  </si>
  <si>
    <r>
      <t>soai</t>
    </r>
    <r>
      <rPr>
        <sz val="16"/>
        <color rgb="FF202122"/>
        <rFont val="Arial"/>
        <family val="2"/>
      </rPr>
      <t>ⁿ</t>
    </r>
  </si>
  <si>
    <t>boan</t>
  </si>
  <si>
    <t>choan</t>
  </si>
  <si>
    <t>chhoan</t>
  </si>
  <si>
    <t>goan</t>
  </si>
  <si>
    <t>hoan</t>
  </si>
  <si>
    <t>koan</t>
  </si>
  <si>
    <t>khoan</t>
  </si>
  <si>
    <t>loan</t>
  </si>
  <si>
    <t>poan</t>
  </si>
  <si>
    <t>phoan</t>
  </si>
  <si>
    <t>soan</t>
  </si>
  <si>
    <t>toan</t>
  </si>
  <si>
    <t>thoan</t>
  </si>
  <si>
    <t>chhoang</t>
  </si>
  <si>
    <t>boat</t>
  </si>
  <si>
    <t>choat</t>
  </si>
  <si>
    <t>goat</t>
  </si>
  <si>
    <t>hoat</t>
  </si>
  <si>
    <t>koat</t>
  </si>
  <si>
    <t>khoat</t>
  </si>
  <si>
    <t>loat</t>
  </si>
  <si>
    <t>poat</t>
  </si>
  <si>
    <t>phoat</t>
  </si>
  <si>
    <t>soat</t>
  </si>
  <si>
    <t>toat</t>
  </si>
  <si>
    <t>thoat</t>
  </si>
  <si>
    <t>boe</t>
  </si>
  <si>
    <t>choe</t>
  </si>
  <si>
    <t>chhoe</t>
  </si>
  <si>
    <t>goe</t>
  </si>
  <si>
    <t>hoe</t>
  </si>
  <si>
    <t>joe</t>
  </si>
  <si>
    <t>koe</t>
  </si>
  <si>
    <t>khoe</t>
  </si>
  <si>
    <t>loe</t>
  </si>
  <si>
    <t>poe</t>
  </si>
  <si>
    <t>phoe</t>
  </si>
  <si>
    <t>soe</t>
  </si>
  <si>
    <t>toe</t>
  </si>
  <si>
    <t>boeh</t>
  </si>
  <si>
    <t>goeh</t>
  </si>
  <si>
    <t>hoeh</t>
  </si>
  <si>
    <t>koeh</t>
  </si>
  <si>
    <t>khoeh</t>
  </si>
  <si>
    <t>poeh</t>
  </si>
  <si>
    <t>phoeh</t>
  </si>
  <si>
    <t>soeh</t>
  </si>
  <si>
    <t>choh</t>
  </si>
  <si>
    <t>chhoh</t>
  </si>
  <si>
    <t>hoh</t>
  </si>
  <si>
    <t>koh</t>
  </si>
  <si>
    <t>loh</t>
  </si>
  <si>
    <t>poh</t>
  </si>
  <si>
    <t>phoh</t>
  </si>
  <si>
    <t>soh</t>
  </si>
  <si>
    <t>toh</t>
  </si>
  <si>
    <t>thoh</t>
  </si>
  <si>
    <t>o͘h</t>
  </si>
  <si>
    <t>mo͘h</t>
  </si>
  <si>
    <r>
      <t>oh</t>
    </r>
    <r>
      <rPr>
        <b/>
        <sz val="16"/>
        <color rgb="FF202122"/>
        <rFont val="Arial"/>
        <family val="2"/>
      </rPr>
      <t>ⁿ</t>
    </r>
  </si>
  <si>
    <r>
      <t>oh</t>
    </r>
    <r>
      <rPr>
        <sz val="16"/>
        <color rgb="FF202122"/>
        <rFont val="Arial"/>
        <family val="2"/>
      </rPr>
      <t>ⁿ</t>
    </r>
  </si>
  <si>
    <r>
      <t>hoh</t>
    </r>
    <r>
      <rPr>
        <sz val="16"/>
        <color rgb="FF202122"/>
        <rFont val="Arial"/>
        <family val="2"/>
      </rPr>
      <t>ⁿ</t>
    </r>
  </si>
  <si>
    <t>bok</t>
  </si>
  <si>
    <t>chok</t>
  </si>
  <si>
    <t>chhok</t>
  </si>
  <si>
    <t>gok</t>
  </si>
  <si>
    <t>hok</t>
  </si>
  <si>
    <t>kok</t>
  </si>
  <si>
    <t>khok</t>
  </si>
  <si>
    <t>lok</t>
  </si>
  <si>
    <t>pok</t>
  </si>
  <si>
    <t>phok</t>
  </si>
  <si>
    <t>sok</t>
  </si>
  <si>
    <t>tok</t>
  </si>
  <si>
    <t>thok</t>
  </si>
  <si>
    <t>som</t>
  </si>
  <si>
    <t>tom</t>
  </si>
  <si>
    <t>bong</t>
  </si>
  <si>
    <t>chong</t>
  </si>
  <si>
    <t>chhong</t>
  </si>
  <si>
    <t>gong</t>
  </si>
  <si>
    <t>hong</t>
  </si>
  <si>
    <t>kong</t>
  </si>
  <si>
    <t>khong</t>
  </si>
  <si>
    <t>long</t>
  </si>
  <si>
    <t>pong</t>
  </si>
  <si>
    <t>phong</t>
  </si>
  <si>
    <t>song</t>
  </si>
  <si>
    <t>tong</t>
  </si>
  <si>
    <t>thong</t>
  </si>
  <si>
    <t>bu</t>
  </si>
  <si>
    <t>chu</t>
  </si>
  <si>
    <t>chhu</t>
  </si>
  <si>
    <t>gu</t>
  </si>
  <si>
    <t>hu</t>
  </si>
  <si>
    <t>ju</t>
  </si>
  <si>
    <t>ku</t>
  </si>
  <si>
    <t>khu</t>
  </si>
  <si>
    <t>lu</t>
  </si>
  <si>
    <t>pu</t>
  </si>
  <si>
    <t>phu</t>
  </si>
  <si>
    <t>su</t>
  </si>
  <si>
    <t>tu</t>
  </si>
  <si>
    <t>thu</t>
  </si>
  <si>
    <t>chuh</t>
  </si>
  <si>
    <t>chhuh</t>
  </si>
  <si>
    <t>khuh</t>
  </si>
  <si>
    <t>puh</t>
  </si>
  <si>
    <t>phuh</t>
  </si>
  <si>
    <t>tuh</t>
  </si>
  <si>
    <t>thuh</t>
  </si>
  <si>
    <t>bui</t>
  </si>
  <si>
    <t>chui</t>
  </si>
  <si>
    <t>chhui</t>
  </si>
  <si>
    <t>gui</t>
  </si>
  <si>
    <t>hui</t>
  </si>
  <si>
    <t>kui</t>
  </si>
  <si>
    <t>khui</t>
  </si>
  <si>
    <t>lui</t>
  </si>
  <si>
    <t>mui</t>
  </si>
  <si>
    <t>pui</t>
  </si>
  <si>
    <t>phui</t>
  </si>
  <si>
    <t>sui</t>
  </si>
  <si>
    <t>tui</t>
  </si>
  <si>
    <t>thui</t>
  </si>
  <si>
    <t>bun</t>
  </si>
  <si>
    <t>chun</t>
  </si>
  <si>
    <t>chhun</t>
  </si>
  <si>
    <t>gun</t>
  </si>
  <si>
    <t>hun</t>
  </si>
  <si>
    <t>jun</t>
  </si>
  <si>
    <t>kun</t>
  </si>
  <si>
    <t>khun</t>
  </si>
  <si>
    <t>lun</t>
  </si>
  <si>
    <t>pun</t>
  </si>
  <si>
    <t>phun</t>
  </si>
  <si>
    <t>sun</t>
  </si>
  <si>
    <t>tun</t>
  </si>
  <si>
    <t>thun</t>
  </si>
  <si>
    <t>but</t>
  </si>
  <si>
    <t>chut</t>
  </si>
  <si>
    <t>chhut</t>
  </si>
  <si>
    <t>hut</t>
  </si>
  <si>
    <t>kut</t>
  </si>
  <si>
    <t>khut</t>
  </si>
  <si>
    <t>lut</t>
  </si>
  <si>
    <t>put</t>
  </si>
  <si>
    <t>phut</t>
  </si>
  <si>
    <t>sut</t>
  </si>
  <si>
    <t>tut</t>
  </si>
  <si>
    <t>thut</t>
  </si>
  <si>
    <t>數量</t>
  </si>
  <si>
    <t>共716</t>
  </si>
  <si>
    <t>a̍</t>
  </si>
  <si>
    <t>e̍</t>
  </si>
  <si>
    <t>i̍</t>
  </si>
  <si>
    <t>o̍</t>
  </si>
  <si>
    <t>ó͘</t>
  </si>
  <si>
    <t>ò͘</t>
  </si>
  <si>
    <t>ô͘</t>
  </si>
  <si>
    <t xml:space="preserve"> ò͘</t>
  </si>
  <si>
    <t>ō͘</t>
  </si>
  <si>
    <t>o̍͘</t>
  </si>
  <si>
    <t>u̍</t>
  </si>
  <si>
    <t xml:space="preserve"> ḿ</t>
  </si>
  <si>
    <r>
      <t>m</t>
    </r>
    <r>
      <rPr>
        <sz val="18"/>
        <color theme="1"/>
        <rFont val="Arial"/>
        <family val="2"/>
      </rPr>
      <t>̀</t>
    </r>
  </si>
  <si>
    <t>m̍h</t>
    <phoneticPr fontId="44" type="noConversion"/>
  </si>
  <si>
    <t>ng</t>
    <phoneticPr fontId="44" type="noConversion"/>
  </si>
  <si>
    <t>ńg</t>
    <phoneticPr fontId="44" type="noConversion"/>
  </si>
  <si>
    <t xml:space="preserve">ǹ </t>
  </si>
  <si>
    <t>n̂g</t>
    <phoneticPr fontId="44" type="noConversion"/>
  </si>
  <si>
    <t>n̄g</t>
    <phoneticPr fontId="44" type="noConversion"/>
  </si>
  <si>
    <t>n̍g</t>
    <phoneticPr fontId="44" type="noConversion"/>
  </si>
  <si>
    <t>tsa</t>
  </si>
  <si>
    <t>tsha</t>
  </si>
  <si>
    <t>tsah</t>
  </si>
  <si>
    <t>tshah</t>
  </si>
  <si>
    <t>tsai</t>
  </si>
  <si>
    <t>tshai</t>
  </si>
  <si>
    <t>hainn</t>
  </si>
  <si>
    <t>kainn</t>
  </si>
  <si>
    <t>khainn</t>
  </si>
  <si>
    <t>phainn</t>
  </si>
  <si>
    <t>tainn</t>
  </si>
  <si>
    <t>tsainn</t>
  </si>
  <si>
    <t>tsak</t>
  </si>
  <si>
    <t>tshak</t>
  </si>
  <si>
    <t>tsam</t>
  </si>
  <si>
    <t>tsham</t>
  </si>
  <si>
    <t>tsan</t>
  </si>
  <si>
    <t>tshan</t>
  </si>
  <si>
    <t>tsang</t>
  </si>
  <si>
    <t>tshang</t>
  </si>
  <si>
    <t>hann</t>
  </si>
  <si>
    <t>kann</t>
  </si>
  <si>
    <t>khann</t>
  </si>
  <si>
    <t>phann</t>
  </si>
  <si>
    <t>sann</t>
  </si>
  <si>
    <t>tann</t>
  </si>
  <si>
    <t>thann</t>
  </si>
  <si>
    <t>tsann</t>
  </si>
  <si>
    <t>tshann</t>
  </si>
  <si>
    <t>hannh</t>
  </si>
  <si>
    <t>sannh</t>
  </si>
  <si>
    <t>tsap</t>
  </si>
  <si>
    <t>tshap</t>
  </si>
  <si>
    <t>tsat</t>
  </si>
  <si>
    <t>tshat</t>
  </si>
  <si>
    <t>tsau</t>
  </si>
  <si>
    <t>tshau</t>
  </si>
  <si>
    <t>tshauh</t>
  </si>
  <si>
    <t>tse</t>
  </si>
  <si>
    <t>tshe</t>
  </si>
  <si>
    <t>tseh</t>
  </si>
  <si>
    <t>tsheh</t>
  </si>
  <si>
    <t>henn</t>
  </si>
  <si>
    <t>kenn</t>
  </si>
  <si>
    <t>khenn</t>
  </si>
  <si>
    <t>penn</t>
  </si>
  <si>
    <t>phenn</t>
  </si>
  <si>
    <t>senn</t>
  </si>
  <si>
    <t>tenn</t>
  </si>
  <si>
    <t>thenn</t>
  </si>
  <si>
    <t>tsenn</t>
  </si>
  <si>
    <t>tshenn</t>
  </si>
  <si>
    <t>hennh</t>
  </si>
  <si>
    <t>khennh</t>
  </si>
  <si>
    <t>tshi</t>
  </si>
  <si>
    <t>tsia</t>
  </si>
  <si>
    <t>tshia</t>
  </si>
  <si>
    <t>tsiah</t>
  </si>
  <si>
    <t>tshiah</t>
  </si>
  <si>
    <t>tshiak</t>
  </si>
  <si>
    <t>tsiam</t>
  </si>
  <si>
    <t>tshiam</t>
  </si>
  <si>
    <t>tsian</t>
  </si>
  <si>
    <t>tshian</t>
  </si>
  <si>
    <t>tsiang</t>
  </si>
  <si>
    <t>tshiang</t>
  </si>
  <si>
    <t>hiann</t>
  </si>
  <si>
    <t>kiann</t>
  </si>
  <si>
    <t>piann</t>
  </si>
  <si>
    <t>siann</t>
  </si>
  <si>
    <t>tiann</t>
  </si>
  <si>
    <t>thiann</t>
  </si>
  <si>
    <t>tsiann</t>
  </si>
  <si>
    <t>tshiann</t>
  </si>
  <si>
    <t>hiannh</t>
  </si>
  <si>
    <t>tsiap</t>
  </si>
  <si>
    <t>tshiap</t>
  </si>
  <si>
    <t>tsiat</t>
  </si>
  <si>
    <t>tshiat</t>
  </si>
  <si>
    <t>tsiau</t>
  </si>
  <si>
    <t>tshiau</t>
  </si>
  <si>
    <t>tsih</t>
  </si>
  <si>
    <t>tshih</t>
  </si>
  <si>
    <t>bik</t>
  </si>
  <si>
    <t>gik</t>
  </si>
  <si>
    <t>hik</t>
  </si>
  <si>
    <t>kik</t>
  </si>
  <si>
    <t>lik</t>
  </si>
  <si>
    <t>pik</t>
  </si>
  <si>
    <t>phik</t>
  </si>
  <si>
    <t>sik</t>
  </si>
  <si>
    <t>tik</t>
  </si>
  <si>
    <t>thik</t>
  </si>
  <si>
    <t>tsik</t>
  </si>
  <si>
    <t>tshik</t>
  </si>
  <si>
    <t>tsim</t>
  </si>
  <si>
    <t>tshim</t>
  </si>
  <si>
    <t>tsin</t>
  </si>
  <si>
    <t>tshin</t>
  </si>
  <si>
    <t>bing</t>
  </si>
  <si>
    <t>ging</t>
  </si>
  <si>
    <t>hing</t>
  </si>
  <si>
    <t>king</t>
  </si>
  <si>
    <t>khing</t>
  </si>
  <si>
    <t>ling</t>
  </si>
  <si>
    <t>ping</t>
  </si>
  <si>
    <t>phing</t>
  </si>
  <si>
    <t>sing</t>
  </si>
  <si>
    <t>ting</t>
  </si>
  <si>
    <t>thing</t>
  </si>
  <si>
    <t>tsing</t>
  </si>
  <si>
    <t>tshing</t>
  </si>
  <si>
    <t>hinn</t>
  </si>
  <si>
    <t>kinn</t>
  </si>
  <si>
    <t>khinn</t>
  </si>
  <si>
    <t>sinn</t>
  </si>
  <si>
    <t>tinn</t>
  </si>
  <si>
    <t>thinn</t>
  </si>
  <si>
    <t>tsinn</t>
  </si>
  <si>
    <t>tshinn</t>
  </si>
  <si>
    <t>tsio</t>
  </si>
  <si>
    <t>tshio</t>
  </si>
  <si>
    <t>tsioh</t>
  </si>
  <si>
    <t>tshioh</t>
  </si>
  <si>
    <t>tsiok</t>
  </si>
  <si>
    <t>tshiok</t>
  </si>
  <si>
    <t>tsiong</t>
  </si>
  <si>
    <t>tshiong</t>
  </si>
  <si>
    <t>tsip</t>
  </si>
  <si>
    <t>tship</t>
  </si>
  <si>
    <t>tsit</t>
  </si>
  <si>
    <t>tshit</t>
  </si>
  <si>
    <t>tsiu</t>
  </si>
  <si>
    <t>tshiu</t>
  </si>
  <si>
    <t>hiunn</t>
  </si>
  <si>
    <t>kiunn</t>
  </si>
  <si>
    <t>khiunn</t>
  </si>
  <si>
    <t>siunn</t>
  </si>
  <si>
    <t>tiunn</t>
  </si>
  <si>
    <t>tsiunn</t>
  </si>
  <si>
    <t>tshiunn</t>
  </si>
  <si>
    <t>hiunnh</t>
  </si>
  <si>
    <t>tsng</t>
  </si>
  <si>
    <t>tshng</t>
  </si>
  <si>
    <t>tshngh</t>
  </si>
  <si>
    <t>tso</t>
  </si>
  <si>
    <t>tsho</t>
  </si>
  <si>
    <t>tsoh</t>
  </si>
  <si>
    <t>tshoh</t>
  </si>
  <si>
    <t>tsok</t>
  </si>
  <si>
    <t>tshok</t>
  </si>
  <si>
    <t>tsong</t>
  </si>
  <si>
    <t>tshong</t>
  </si>
  <si>
    <t>honn</t>
  </si>
  <si>
    <t>konn</t>
  </si>
  <si>
    <t>honnh</t>
  </si>
  <si>
    <t>boo</t>
  </si>
  <si>
    <t>goo</t>
  </si>
  <si>
    <t>hoo</t>
  </si>
  <si>
    <t>koo</t>
  </si>
  <si>
    <t>khoo</t>
  </si>
  <si>
    <t>loo</t>
  </si>
  <si>
    <t>moo</t>
  </si>
  <si>
    <t>ngoo</t>
  </si>
  <si>
    <t>poo</t>
  </si>
  <si>
    <t>phoo</t>
  </si>
  <si>
    <t>soo</t>
  </si>
  <si>
    <t>too</t>
  </si>
  <si>
    <t>thoo</t>
  </si>
  <si>
    <t>tsoo</t>
  </si>
  <si>
    <t>tshoo</t>
  </si>
  <si>
    <t>mooh</t>
  </si>
  <si>
    <t>tsu</t>
  </si>
  <si>
    <t>tshu</t>
  </si>
  <si>
    <t>bua</t>
  </si>
  <si>
    <t>gua</t>
  </si>
  <si>
    <t>hua</t>
  </si>
  <si>
    <t>kua</t>
  </si>
  <si>
    <t>khua</t>
  </si>
  <si>
    <t>lua</t>
  </si>
  <si>
    <t>mua</t>
  </si>
  <si>
    <t>pua</t>
  </si>
  <si>
    <t>phua</t>
  </si>
  <si>
    <t>sua</t>
  </si>
  <si>
    <t>tua</t>
  </si>
  <si>
    <t>thua</t>
  </si>
  <si>
    <t>tsua</t>
  </si>
  <si>
    <t>tshua</t>
  </si>
  <si>
    <t>buah</t>
  </si>
  <si>
    <t>huah</t>
  </si>
  <si>
    <t>juah</t>
  </si>
  <si>
    <t>kuah</t>
  </si>
  <si>
    <t>khuah</t>
  </si>
  <si>
    <t>luah</t>
  </si>
  <si>
    <t>puah</t>
  </si>
  <si>
    <t>phuah</t>
  </si>
  <si>
    <t>suah</t>
  </si>
  <si>
    <t>thuah</t>
  </si>
  <si>
    <t>tsuah</t>
  </si>
  <si>
    <t>tshuah</t>
  </si>
  <si>
    <t>huai</t>
  </si>
  <si>
    <t>kuai</t>
  </si>
  <si>
    <t>khuai</t>
  </si>
  <si>
    <t>suai</t>
  </si>
  <si>
    <t>huainn</t>
  </si>
  <si>
    <t>kuainn</t>
  </si>
  <si>
    <t>suainn</t>
  </si>
  <si>
    <t>tsuainn</t>
  </si>
  <si>
    <t>buan</t>
  </si>
  <si>
    <t>guan</t>
  </si>
  <si>
    <t>huan</t>
  </si>
  <si>
    <t>kuan</t>
  </si>
  <si>
    <t>khuan</t>
  </si>
  <si>
    <t>luan</t>
  </si>
  <si>
    <t>puan</t>
  </si>
  <si>
    <t>phuan</t>
  </si>
  <si>
    <t>suan</t>
  </si>
  <si>
    <t>tuan</t>
  </si>
  <si>
    <t>thuan</t>
  </si>
  <si>
    <t>tsuan</t>
  </si>
  <si>
    <t>tshuan</t>
  </si>
  <si>
    <t>tshuang</t>
  </si>
  <si>
    <t>huann</t>
  </si>
  <si>
    <t>kuann</t>
  </si>
  <si>
    <t>khuann</t>
  </si>
  <si>
    <t>puann</t>
  </si>
  <si>
    <t>phuann</t>
  </si>
  <si>
    <t>suann</t>
  </si>
  <si>
    <t>tuann</t>
  </si>
  <si>
    <t>thuann</t>
  </si>
  <si>
    <t>tshuann</t>
  </si>
  <si>
    <t>buat</t>
  </si>
  <si>
    <t>guat</t>
  </si>
  <si>
    <t>huat</t>
  </si>
  <si>
    <t>kuat</t>
  </si>
  <si>
    <t>khuat</t>
  </si>
  <si>
    <t>luat</t>
  </si>
  <si>
    <t>puat</t>
  </si>
  <si>
    <t>phuat</t>
  </si>
  <si>
    <t>suat</t>
  </si>
  <si>
    <t>tuat</t>
  </si>
  <si>
    <t>thuat</t>
  </si>
  <si>
    <t>tsuat</t>
  </si>
  <si>
    <t>bue</t>
  </si>
  <si>
    <t>gue</t>
  </si>
  <si>
    <t>hue</t>
  </si>
  <si>
    <t>jue</t>
  </si>
  <si>
    <t>kue</t>
  </si>
  <si>
    <t>khue</t>
  </si>
  <si>
    <t>lue</t>
  </si>
  <si>
    <t>pue</t>
  </si>
  <si>
    <t>phue</t>
  </si>
  <si>
    <t>sue</t>
  </si>
  <si>
    <t>tue</t>
  </si>
  <si>
    <t>tsue</t>
  </si>
  <si>
    <t>tshue</t>
  </si>
  <si>
    <t>bueh</t>
  </si>
  <si>
    <t>gueh</t>
  </si>
  <si>
    <t>hueh</t>
  </si>
  <si>
    <t>kueh</t>
  </si>
  <si>
    <t>khueh</t>
  </si>
  <si>
    <t>pueh</t>
  </si>
  <si>
    <t>phueh</t>
  </si>
  <si>
    <t>sueh</t>
  </si>
  <si>
    <t>tsuh</t>
  </si>
  <si>
    <t>tshuh</t>
  </si>
  <si>
    <t>tsui</t>
  </si>
  <si>
    <t>tshui</t>
  </si>
  <si>
    <t>tsun</t>
  </si>
  <si>
    <t>tshun</t>
  </si>
  <si>
    <t>tsut</t>
  </si>
  <si>
    <t>tshut</t>
  </si>
  <si>
    <t>台羅</t>
    <phoneticPr fontId="1" type="noConversion"/>
  </si>
  <si>
    <t>a̍</t>
    <phoneticPr fontId="1" type="noConversion"/>
  </si>
  <si>
    <t>e̍</t>
    <phoneticPr fontId="1" type="noConversion"/>
  </si>
  <si>
    <t>i̍</t>
    <phoneticPr fontId="1" type="noConversion"/>
  </si>
  <si>
    <t>o̍</t>
    <phoneticPr fontId="1" type="noConversion"/>
  </si>
  <si>
    <t>o̍o</t>
    <phoneticPr fontId="1" type="noConversion"/>
  </si>
  <si>
    <t>u̍</t>
    <phoneticPr fontId="1" type="noConversion"/>
  </si>
  <si>
    <t>m̍</t>
    <phoneticPr fontId="44" type="noConversion"/>
  </si>
  <si>
    <t>n̂gh</t>
    <phoneticPr fontId="44" type="noConversion"/>
  </si>
  <si>
    <t>聲：</t>
    <phoneticPr fontId="1" type="noConversion"/>
  </si>
  <si>
    <t>柳l、邊p、求k、去kh、地t、頗ph、他th、曾ts、入dz、時s、鶯y、門m、語g、出tsh、喜h</t>
    <phoneticPr fontId="1" type="noConversion"/>
  </si>
  <si>
    <t>韻：</t>
    <phoneticPr fontId="1" type="noConversion"/>
  </si>
  <si>
    <r>
      <rPr>
        <sz val="18"/>
        <color rgb="FF00B0F0"/>
        <rFont val="Heiti TC Light"/>
        <charset val="136"/>
      </rPr>
      <t>君</t>
    </r>
    <r>
      <rPr>
        <sz val="18"/>
        <color rgb="FF00B0F0"/>
        <rFont val="Cambria"/>
        <family val="1"/>
      </rPr>
      <t>un</t>
    </r>
    <r>
      <rPr>
        <sz val="18"/>
        <color rgb="FF00B0F0"/>
        <rFont val="Heiti TC Light"/>
        <charset val="136"/>
      </rPr>
      <t>、堅</t>
    </r>
    <r>
      <rPr>
        <sz val="18"/>
        <color rgb="FF00B0F0"/>
        <rFont val="Cambria"/>
        <family val="1"/>
      </rPr>
      <t>ian</t>
    </r>
    <r>
      <rPr>
        <sz val="18"/>
        <color rgb="FF00B0F0"/>
        <rFont val="Heiti TC Light"/>
        <charset val="136"/>
      </rPr>
      <t>、金</t>
    </r>
    <r>
      <rPr>
        <sz val="18"/>
        <color rgb="FF00B0F0"/>
        <rFont val="Cambria"/>
        <family val="1"/>
      </rPr>
      <t>im</t>
    </r>
    <r>
      <rPr>
        <sz val="18"/>
        <color rgb="FF00B0F0"/>
        <rFont val="Heiti TC Light"/>
        <charset val="136"/>
      </rPr>
      <t>、歸</t>
    </r>
    <r>
      <rPr>
        <sz val="18"/>
        <color rgb="FF00B0F0"/>
        <rFont val="Cambria"/>
        <family val="1"/>
      </rPr>
      <t>ui</t>
    </r>
    <r>
      <rPr>
        <sz val="18"/>
        <color rgb="FF00B0F0"/>
        <rFont val="Heiti TC Light"/>
        <charset val="136"/>
      </rPr>
      <t>、家</t>
    </r>
    <r>
      <rPr>
        <sz val="18"/>
        <color rgb="FFFF0000"/>
        <rFont val="Heiti TC Light"/>
        <charset val="136"/>
      </rPr>
      <t>a</t>
    </r>
    <r>
      <rPr>
        <sz val="18"/>
        <color rgb="FF00B0F0"/>
        <rFont val="Heiti TC Light"/>
        <charset val="136"/>
      </rPr>
      <t>、干</t>
    </r>
    <r>
      <rPr>
        <sz val="18"/>
        <color rgb="FF00B0F0"/>
        <rFont val="Cambria"/>
        <family val="1"/>
      </rPr>
      <t>an</t>
    </r>
    <r>
      <rPr>
        <sz val="18"/>
        <color rgb="FF00B0F0"/>
        <rFont val="Heiti TC Light"/>
        <charset val="136"/>
      </rPr>
      <t>、光</t>
    </r>
    <r>
      <rPr>
        <sz val="18"/>
        <color rgb="FF00B0F0"/>
        <rFont val="Cambria"/>
        <family val="1"/>
      </rPr>
      <t>ong</t>
    </r>
    <r>
      <rPr>
        <sz val="18"/>
        <color rgb="FF00B0F0"/>
        <rFont val="Heiti TC Light"/>
        <charset val="136"/>
      </rPr>
      <t>、乖</t>
    </r>
    <r>
      <rPr>
        <sz val="18"/>
        <color rgb="FFFF0000"/>
        <rFont val="Cambria"/>
        <family val="1"/>
      </rPr>
      <t>o</t>
    </r>
    <r>
      <rPr>
        <sz val="18"/>
        <color rgb="FF00B0F0"/>
        <rFont val="Cambria"/>
        <family val="1"/>
      </rPr>
      <t>ai</t>
    </r>
    <r>
      <rPr>
        <sz val="18"/>
        <color rgb="FF00B0F0"/>
        <rFont val="Heiti TC Light"/>
        <charset val="136"/>
      </rPr>
      <t>、京</t>
    </r>
    <r>
      <rPr>
        <sz val="18"/>
        <color rgb="FF00B0F0"/>
        <rFont val="Cambria"/>
        <family val="1"/>
      </rPr>
      <t>eng</t>
    </r>
    <r>
      <rPr>
        <sz val="18"/>
        <color rgb="FF00B0F0"/>
        <rFont val="Heiti TC Light"/>
        <charset val="136"/>
      </rPr>
      <t>、官</t>
    </r>
    <r>
      <rPr>
        <sz val="18"/>
        <color rgb="FFFF0000"/>
        <rFont val="Cambria"/>
        <family val="1"/>
      </rPr>
      <t>o</t>
    </r>
    <r>
      <rPr>
        <sz val="18"/>
        <color rgb="FF00B0F0"/>
        <rFont val="Cambria"/>
        <family val="1"/>
      </rPr>
      <t>an</t>
    </r>
    <r>
      <rPr>
        <sz val="18"/>
        <color rgb="FF00B0F0"/>
        <rFont val="Heiti TC Light"/>
        <charset val="136"/>
      </rPr>
      <t>、姑</t>
    </r>
    <r>
      <rPr>
        <sz val="18"/>
        <color rgb="FF00B0F0"/>
        <rFont val="Cambria"/>
        <family val="1"/>
      </rPr>
      <t>oo</t>
    </r>
    <r>
      <rPr>
        <sz val="18"/>
        <color rgb="FF00B0F0"/>
        <rFont val="Heiti TC Light"/>
        <charset val="136"/>
      </rPr>
      <t>、嬌</t>
    </r>
    <r>
      <rPr>
        <sz val="18"/>
        <color rgb="FF00B0F0"/>
        <rFont val="Cambria"/>
        <family val="1"/>
      </rPr>
      <t>iau</t>
    </r>
    <r>
      <rPr>
        <sz val="18"/>
        <color rgb="FF00B0F0"/>
        <rFont val="Heiti TC Light"/>
        <charset val="136"/>
      </rPr>
      <t>、稽</t>
    </r>
    <r>
      <rPr>
        <sz val="18"/>
        <color rgb="FF00B0F0"/>
        <rFont val="Cambria"/>
        <family val="1"/>
      </rPr>
      <t>e</t>
    </r>
    <r>
      <rPr>
        <sz val="18"/>
        <color rgb="FF00B0F0"/>
        <rFont val="Heiti TC Light"/>
        <charset val="136"/>
      </rPr>
      <t>、宮</t>
    </r>
    <r>
      <rPr>
        <sz val="18"/>
        <color rgb="FF00B0F0"/>
        <rFont val="Cambria"/>
        <family val="1"/>
      </rPr>
      <t>iong</t>
    </r>
    <r>
      <rPr>
        <sz val="18"/>
        <color rgb="FF00B0F0"/>
        <rFont val="Heiti TC Light"/>
        <charset val="136"/>
      </rPr>
      <t>、高</t>
    </r>
    <r>
      <rPr>
        <sz val="18"/>
        <color rgb="FF00B0F0"/>
        <rFont val="Cambria"/>
        <family val="1"/>
      </rPr>
      <t>o</t>
    </r>
    <r>
      <rPr>
        <sz val="18"/>
        <color rgb="FF00B0F0"/>
        <rFont val="Heiti TC Light"/>
        <charset val="136"/>
      </rPr>
      <t>、皆</t>
    </r>
    <r>
      <rPr>
        <sz val="18"/>
        <color rgb="FF00B0F0"/>
        <rFont val="Cambria"/>
        <family val="1"/>
      </rPr>
      <t>ai</t>
    </r>
    <r>
      <rPr>
        <sz val="18"/>
        <color rgb="FF00B0F0"/>
        <rFont val="Heiti TC Light"/>
        <charset val="136"/>
      </rPr>
      <t>、根</t>
    </r>
    <r>
      <rPr>
        <sz val="18"/>
        <color rgb="FF00B0F0"/>
        <rFont val="Cambria"/>
        <family val="1"/>
      </rPr>
      <t>in</t>
    </r>
    <r>
      <rPr>
        <sz val="18"/>
        <color rgb="FF00B0F0"/>
        <rFont val="Heiti TC Light"/>
        <charset val="136"/>
      </rPr>
      <t>、姜</t>
    </r>
    <r>
      <rPr>
        <sz val="18"/>
        <color rgb="FF00B0F0"/>
        <rFont val="Cambria"/>
        <family val="1"/>
      </rPr>
      <t>iang</t>
    </r>
    <r>
      <rPr>
        <sz val="18"/>
        <color rgb="FF00B0F0"/>
        <rFont val="Heiti TC Light"/>
        <charset val="136"/>
      </rPr>
      <t>、甘</t>
    </r>
    <r>
      <rPr>
        <sz val="18"/>
        <color rgb="FF00B0F0"/>
        <rFont val="Cambria"/>
        <family val="1"/>
      </rPr>
      <t>am</t>
    </r>
    <r>
      <rPr>
        <sz val="18"/>
        <color rgb="FF00B0F0"/>
        <rFont val="Heiti TC Light"/>
        <charset val="136"/>
      </rPr>
      <t>、瓜</t>
    </r>
    <r>
      <rPr>
        <sz val="18"/>
        <color rgb="FF00B0F0"/>
        <rFont val="Cambria"/>
        <family val="1"/>
      </rPr>
      <t>oa</t>
    </r>
    <r>
      <rPr>
        <sz val="18"/>
        <color rgb="FF00B0F0"/>
        <rFont val="Heiti TC Light"/>
        <charset val="136"/>
      </rPr>
      <t>、江</t>
    </r>
    <r>
      <rPr>
        <sz val="18"/>
        <color rgb="FF00B0F0"/>
        <rFont val="Cambria"/>
        <family val="1"/>
      </rPr>
      <t>ang</t>
    </r>
    <r>
      <rPr>
        <sz val="18"/>
        <color rgb="FF00B0F0"/>
        <rFont val="Heiti TC Light"/>
        <charset val="136"/>
      </rPr>
      <t>、兼</t>
    </r>
    <r>
      <rPr>
        <sz val="18"/>
        <color rgb="FF00B0F0"/>
        <rFont val="Cambria"/>
        <family val="1"/>
      </rPr>
      <t>iam</t>
    </r>
    <r>
      <rPr>
        <sz val="18"/>
        <color rgb="FF00B0F0"/>
        <rFont val="Heiti TC Light"/>
        <charset val="136"/>
      </rPr>
      <t>、交</t>
    </r>
    <r>
      <rPr>
        <sz val="18"/>
        <color rgb="FF00B0F0"/>
        <rFont val="Cambria"/>
        <family val="1"/>
      </rPr>
      <t>au</t>
    </r>
    <r>
      <rPr>
        <sz val="18"/>
        <color rgb="FF00B0F0"/>
        <rFont val="Heiti TC Light"/>
        <charset val="136"/>
      </rPr>
      <t>、伽</t>
    </r>
    <r>
      <rPr>
        <sz val="18"/>
        <color rgb="FF00B0F0"/>
        <rFont val="Cambria"/>
        <family val="1"/>
      </rPr>
      <t>ia</t>
    </r>
    <r>
      <rPr>
        <sz val="18"/>
        <color rgb="FF00B0F0"/>
        <rFont val="Heiti TC Light"/>
        <charset val="136"/>
      </rPr>
      <t>、</t>
    </r>
    <r>
      <rPr>
        <sz val="18"/>
        <color rgb="FFFF0000"/>
        <rFont val="Heiti TC Light"/>
        <charset val="136"/>
      </rPr>
      <t>檜</t>
    </r>
    <r>
      <rPr>
        <sz val="18"/>
        <color rgb="FF00B0F0"/>
        <rFont val="Cambria"/>
        <family val="1"/>
      </rPr>
      <t>oe</t>
    </r>
    <r>
      <rPr>
        <sz val="18"/>
        <color rgb="FF00B0F0"/>
        <rFont val="Heiti TC Light"/>
        <charset val="136"/>
      </rPr>
      <t>、葩</t>
    </r>
    <r>
      <rPr>
        <sz val="18"/>
        <color rgb="FF00B0F0"/>
        <rFont val="Cambria"/>
        <family val="1"/>
      </rPr>
      <t>a</t>
    </r>
    <r>
      <rPr>
        <sz val="18"/>
        <color rgb="FF00B0F0"/>
        <rFont val="Heiti TC Light"/>
        <charset val="136"/>
      </rPr>
      <t>、龜</t>
    </r>
    <r>
      <rPr>
        <sz val="18"/>
        <color rgb="FF00B0F0"/>
        <rFont val="Cambria"/>
        <family val="1"/>
      </rPr>
      <t>u</t>
    </r>
    <r>
      <rPr>
        <sz val="18"/>
        <color rgb="FF00B0F0"/>
        <rFont val="Heiti TC Light"/>
        <charset val="136"/>
      </rPr>
      <t>、箴</t>
    </r>
    <r>
      <rPr>
        <sz val="18"/>
        <color rgb="FFFF0000"/>
        <rFont val="Cambria"/>
        <family val="1"/>
      </rPr>
      <t>om</t>
    </r>
    <r>
      <rPr>
        <sz val="18"/>
        <color rgb="FF00B0F0"/>
        <rFont val="Heiti TC Light"/>
        <charset val="136"/>
      </rPr>
      <t>、璣</t>
    </r>
    <r>
      <rPr>
        <sz val="18"/>
        <color rgb="FF00B0F0"/>
        <rFont val="Cambria"/>
        <family val="1"/>
      </rPr>
      <t>i</t>
    </r>
    <r>
      <rPr>
        <sz val="18"/>
        <color rgb="FF00B0F0"/>
        <rFont val="Heiti TC Light"/>
        <charset val="136"/>
      </rPr>
      <t>、</t>
    </r>
    <r>
      <rPr>
        <sz val="18"/>
        <color rgb="FFFF0000"/>
        <rFont val="Heiti TC Light"/>
        <charset val="136"/>
      </rPr>
      <t>丩</t>
    </r>
    <r>
      <rPr>
        <sz val="18"/>
        <color rgb="FF00B0F0"/>
        <rFont val="Cambria"/>
        <family val="1"/>
      </rPr>
      <t>iu</t>
    </r>
    <phoneticPr fontId="1" type="noConversion"/>
  </si>
  <si>
    <t>彙音妙悟</t>
    <phoneticPr fontId="1" type="noConversion"/>
  </si>
  <si>
    <t>春</t>
  </si>
  <si>
    <t>朝</t>
  </si>
  <si>
    <t>飛</t>
  </si>
  <si>
    <t>花</t>
  </si>
  <si>
    <t>香</t>
  </si>
  <si>
    <t>歡</t>
  </si>
  <si>
    <t>卿</t>
  </si>
  <si>
    <t>杯</t>
  </si>
  <si>
    <t>商</t>
  </si>
  <si>
    <t>東</t>
  </si>
  <si>
    <t>郊</t>
  </si>
  <si>
    <t>開</t>
  </si>
  <si>
    <t>珠</t>
  </si>
  <si>
    <t>賓</t>
  </si>
  <si>
    <t>莪</t>
  </si>
  <si>
    <t>嗟</t>
  </si>
  <si>
    <t>恩</t>
  </si>
  <si>
    <t>西</t>
  </si>
  <si>
    <t>軒</t>
  </si>
  <si>
    <t>三</t>
  </si>
  <si>
    <t>秋</t>
  </si>
  <si>
    <t>關</t>
  </si>
  <si>
    <t>丹</t>
  </si>
  <si>
    <t>鉤</t>
  </si>
  <si>
    <t>川</t>
  </si>
  <si>
    <t>管</t>
  </si>
  <si>
    <t>生</t>
  </si>
  <si>
    <t>基</t>
  </si>
  <si>
    <t>貓</t>
  </si>
  <si>
    <t>刀</t>
  </si>
  <si>
    <t>科</t>
  </si>
  <si>
    <t>梅</t>
  </si>
  <si>
    <t>雞</t>
  </si>
  <si>
    <t>青</t>
  </si>
  <si>
    <t>燒</t>
  </si>
  <si>
    <t>風</t>
  </si>
  <si>
    <t>箱</t>
  </si>
  <si>
    <t>弎</t>
  </si>
  <si>
    <t>熊</t>
  </si>
  <si>
    <t>嘐</t>
  </si>
  <si>
    <t>ur</t>
  </si>
  <si>
    <t>urn</t>
  </si>
  <si>
    <t>eo</t>
  </si>
  <si>
    <t>er</t>
  </si>
  <si>
    <t>ire</t>
  </si>
  <si>
    <t>對映雅俗通</t>
    <phoneticPr fontId="1" type="noConversion"/>
  </si>
  <si>
    <t>龜</t>
  </si>
  <si>
    <t>葴</t>
  </si>
  <si>
    <t>京。</t>
  </si>
  <si>
    <t>官。</t>
  </si>
  <si>
    <t>天。</t>
  </si>
  <si>
    <t>光。</t>
  </si>
  <si>
    <t>皆。</t>
  </si>
  <si>
    <t>薑。</t>
  </si>
  <si>
    <t>么。</t>
  </si>
  <si>
    <t>姆。</t>
  </si>
  <si>
    <t>監。</t>
  </si>
  <si>
    <t>關。</t>
  </si>
  <si>
    <t>更。</t>
  </si>
  <si>
    <t>毛。</t>
  </si>
  <si>
    <t>交。</t>
  </si>
  <si>
    <t>嬌。</t>
  </si>
  <si>
    <t>台語彙音</t>
    <phoneticPr fontId="1" type="noConversion"/>
  </si>
  <si>
    <t>iau</t>
    <phoneticPr fontId="1" type="noConversion"/>
  </si>
  <si>
    <t>恭</t>
    <phoneticPr fontId="1" type="noConversion"/>
  </si>
  <si>
    <t>au</t>
    <phoneticPr fontId="1" type="noConversion"/>
  </si>
  <si>
    <t>uann</t>
    <phoneticPr fontId="1" type="noConversion"/>
  </si>
  <si>
    <t>uainn</t>
    <phoneticPr fontId="1" type="noConversion"/>
  </si>
  <si>
    <t>台羅拼音韻母</t>
    <phoneticPr fontId="1" type="noConversion"/>
  </si>
  <si>
    <t>ainnh</t>
    <phoneticPr fontId="1" type="noConversion"/>
  </si>
  <si>
    <t>aunnh</t>
    <phoneticPr fontId="1" type="noConversion"/>
  </si>
  <si>
    <t>innh</t>
    <phoneticPr fontId="1" type="noConversion"/>
  </si>
  <si>
    <t>ionnh</t>
    <phoneticPr fontId="1" type="noConversion"/>
  </si>
  <si>
    <t>iaunnh</t>
    <phoneticPr fontId="1" type="noConversion"/>
  </si>
  <si>
    <t>uenn</t>
    <phoneticPr fontId="1" type="noConversion"/>
  </si>
  <si>
    <t>uennh</t>
    <phoneticPr fontId="1" type="noConversion"/>
  </si>
  <si>
    <t>台羅韻母序號</t>
    <phoneticPr fontId="1" type="noConversion"/>
  </si>
  <si>
    <t>台羅舒聲韻母序號</t>
    <phoneticPr fontId="1" type="noConversion"/>
  </si>
  <si>
    <t>台羅入聲韻母序號</t>
    <phoneticPr fontId="1" type="noConversion"/>
  </si>
  <si>
    <t>方音符號韻母</t>
    <phoneticPr fontId="1" type="noConversion"/>
  </si>
  <si>
    <r>
      <rPr>
        <sz val="18"/>
        <color theme="1"/>
        <rFont val="蘋方-繁 中黑體"/>
        <charset val="136"/>
      </rPr>
      <t>【 閩拼韻母 】</t>
    </r>
    <phoneticPr fontId="1" type="noConversion"/>
  </si>
  <si>
    <t>台羅拼音</t>
    <phoneticPr fontId="1" type="noConversion"/>
  </si>
  <si>
    <t>漢字</t>
    <phoneticPr fontId="1" type="noConversion"/>
  </si>
  <si>
    <t>䆀</t>
    <phoneticPr fontId="1" type="noConversion"/>
  </si>
  <si>
    <t>bai3</t>
    <phoneticPr fontId="1" type="noConversion"/>
  </si>
  <si>
    <t>IPA序號</t>
    <phoneticPr fontId="1" type="noConversion"/>
  </si>
  <si>
    <t>IPA音標</t>
    <phoneticPr fontId="1" type="noConversion"/>
  </si>
  <si>
    <t>欲</t>
    <phoneticPr fontId="1" type="noConversion"/>
  </si>
  <si>
    <t>be7</t>
    <phoneticPr fontId="1" type="noConversion"/>
  </si>
  <si>
    <t>bue7</t>
    <phoneticPr fontId="1" type="noConversion"/>
  </si>
  <si>
    <t>莫</t>
    <phoneticPr fontId="1" type="noConversion"/>
  </si>
  <si>
    <t>mai3</t>
    <phoneticPr fontId="1" type="noConversion"/>
  </si>
  <si>
    <t>台羅聲母序號</t>
    <phoneticPr fontId="1" type="noConversion"/>
  </si>
  <si>
    <t>l / n</t>
    <phoneticPr fontId="1" type="noConversion"/>
  </si>
  <si>
    <t>g / ng</t>
    <phoneticPr fontId="1" type="noConversion"/>
  </si>
  <si>
    <t>b / m</t>
    <phoneticPr fontId="1" type="noConversion"/>
  </si>
  <si>
    <t>dd</t>
  </si>
  <si>
    <t>dd</t>
    <phoneticPr fontId="1" type="noConversion"/>
  </si>
  <si>
    <t>[d]</t>
    <phoneticPr fontId="1" type="noConversion"/>
  </si>
  <si>
    <t>zzi</t>
  </si>
  <si>
    <t>zzi</t>
    <phoneticPr fontId="1" type="noConversion"/>
  </si>
  <si>
    <t>白話字舒聲韻母</t>
    <phoneticPr fontId="1" type="noConversion"/>
  </si>
  <si>
    <t>白話字入聲韻母</t>
    <phoneticPr fontId="1" type="noConversion"/>
  </si>
  <si>
    <t>台羅舒聲韻母</t>
    <phoneticPr fontId="1" type="noConversion"/>
  </si>
  <si>
    <t>台羅入聲韻母</t>
    <phoneticPr fontId="1" type="noConversion"/>
  </si>
  <si>
    <t>閩拼舒聲韻母</t>
    <phoneticPr fontId="1" type="noConversion"/>
  </si>
  <si>
    <t>閩拼入聲韻母</t>
    <phoneticPr fontId="1" type="noConversion"/>
  </si>
  <si>
    <t>方音舒聲韻母</t>
    <phoneticPr fontId="1" type="noConversion"/>
  </si>
  <si>
    <t>方音入聲韻母</t>
    <phoneticPr fontId="1" type="noConversion"/>
  </si>
  <si>
    <t>麥氏舒聲韻母</t>
    <phoneticPr fontId="1" type="noConversion"/>
  </si>
  <si>
    <t>麥氏都入聲韻母</t>
    <phoneticPr fontId="1" type="noConversion"/>
  </si>
  <si>
    <t>[ʦ]</t>
    <phoneticPr fontId="1" type="noConversion"/>
  </si>
  <si>
    <t>ㄗ</t>
    <phoneticPr fontId="1" type="noConversion"/>
  </si>
  <si>
    <t>[ʦʰ]</t>
    <phoneticPr fontId="1" type="noConversion"/>
  </si>
  <si>
    <t>ㄘ</t>
    <phoneticPr fontId="1" type="noConversion"/>
  </si>
  <si>
    <t>[s]</t>
    <phoneticPr fontId="1" type="noConversion"/>
  </si>
  <si>
    <t>ㄙ</t>
    <phoneticPr fontId="1" type="noConversion"/>
  </si>
  <si>
    <t>[ʣ]</t>
    <phoneticPr fontId="1" type="noConversion"/>
  </si>
  <si>
    <t>ㆡ</t>
    <phoneticPr fontId="1" type="noConversion"/>
  </si>
  <si>
    <t>ts
ts(i~)</t>
    <phoneticPr fontId="1" type="noConversion"/>
  </si>
  <si>
    <t>s
s(i~)</t>
    <phoneticPr fontId="1" type="noConversion"/>
  </si>
  <si>
    <t>tsh
tsh(i~)</t>
    <phoneticPr fontId="1" type="noConversion"/>
  </si>
  <si>
    <t>韻母中「韻腹」為 i 時，方音符號需變更「聲母」之符號</t>
    <phoneticPr fontId="1" type="noConversion"/>
  </si>
  <si>
    <t>白話字拼音</t>
    <phoneticPr fontId="1" type="noConversion"/>
  </si>
  <si>
    <t>ch
ch(i~)</t>
    <phoneticPr fontId="1" type="noConversion"/>
  </si>
  <si>
    <t>chh
chh(i~)</t>
    <phoneticPr fontId="1" type="noConversion"/>
  </si>
  <si>
    <t>國際音標舒聲韻母</t>
    <phoneticPr fontId="1" type="noConversion"/>
  </si>
  <si>
    <t>國際音標入聲韻母</t>
    <phoneticPr fontId="1" type="noConversion"/>
  </si>
  <si>
    <t>十八聲母</t>
    <phoneticPr fontId="1" type="noConversion"/>
  </si>
  <si>
    <t>聲母碼序號</t>
    <phoneticPr fontId="1" type="noConversion"/>
  </si>
  <si>
    <t>四十五韻母</t>
    <phoneticPr fontId="1" type="noConversion"/>
  </si>
  <si>
    <t>加</t>
    <phoneticPr fontId="1" type="noConversion"/>
  </si>
  <si>
    <t>監</t>
    <phoneticPr fontId="1" type="noConversion"/>
  </si>
  <si>
    <t>雞</t>
    <phoneticPr fontId="1" type="noConversion"/>
  </si>
  <si>
    <t>更</t>
    <phoneticPr fontId="1" type="noConversion"/>
  </si>
  <si>
    <t>基</t>
    <phoneticPr fontId="1" type="noConversion"/>
  </si>
  <si>
    <t>迦</t>
    <phoneticPr fontId="1" type="noConversion"/>
  </si>
  <si>
    <t>喵</t>
    <phoneticPr fontId="1" type="noConversion"/>
  </si>
  <si>
    <t>巾</t>
    <phoneticPr fontId="1" type="noConversion"/>
  </si>
  <si>
    <t>經</t>
    <phoneticPr fontId="1" type="noConversion"/>
  </si>
  <si>
    <t>茄</t>
    <phoneticPr fontId="1" type="noConversion"/>
  </si>
  <si>
    <t>鴦</t>
    <phoneticPr fontId="1" type="noConversion"/>
  </si>
  <si>
    <t>糾</t>
    <phoneticPr fontId="1" type="noConversion"/>
  </si>
  <si>
    <t>姆</t>
    <phoneticPr fontId="1" type="noConversion"/>
  </si>
  <si>
    <t>缸</t>
    <phoneticPr fontId="1" type="noConversion"/>
  </si>
  <si>
    <t>孤</t>
    <phoneticPr fontId="1" type="noConversion"/>
  </si>
  <si>
    <t>瘂</t>
    <phoneticPr fontId="1" type="noConversion"/>
  </si>
  <si>
    <t>掩</t>
    <phoneticPr fontId="1" type="noConversion"/>
  </si>
  <si>
    <t>公</t>
    <phoneticPr fontId="1" type="noConversion"/>
  </si>
  <si>
    <t>痀</t>
    <phoneticPr fontId="1" type="noConversion"/>
  </si>
  <si>
    <t>糜</t>
    <phoneticPr fontId="1" type="noConversion"/>
  </si>
  <si>
    <t>觀</t>
    <phoneticPr fontId="1" type="noConversion"/>
  </si>
  <si>
    <t>檜</t>
    <phoneticPr fontId="1" type="noConversion"/>
  </si>
  <si>
    <t>規</t>
    <phoneticPr fontId="1" type="noConversion"/>
  </si>
  <si>
    <t>ionn</t>
    <phoneticPr fontId="1" type="noConversion"/>
  </si>
  <si>
    <t>oonn</t>
  </si>
  <si>
    <t>雅俗通韻母</t>
    <phoneticPr fontId="1" type="noConversion"/>
  </si>
  <si>
    <t>eih</t>
  </si>
  <si>
    <t>oonnh</t>
  </si>
  <si>
    <t>oonnh</t>
    <phoneticPr fontId="1" type="noConversion"/>
  </si>
  <si>
    <t>韻母碼序號</t>
    <phoneticPr fontId="42" type="noConversion"/>
  </si>
  <si>
    <t>SN</t>
    <phoneticPr fontId="42" type="noConversion"/>
  </si>
  <si>
    <t>奇偶</t>
    <phoneticPr fontId="42" type="noConversion"/>
  </si>
  <si>
    <t>=0</t>
    <phoneticPr fontId="42" type="noConversion"/>
  </si>
  <si>
    <t>目前沒用用到的韻母</t>
    <phoneticPr fontId="4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</si>
</sst>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General;;"/>
    <numFmt numFmtId="178" formatCode="General;;&quot;&quot;"/>
  </numFmts>
  <fonts count="236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b/>
      <sz val="18"/>
      <color rgb="FF000000"/>
      <name val="蘋方-繁 標準體"/>
      <charset val="136"/>
    </font>
    <font>
      <sz val="18"/>
      <color rgb="FF000000"/>
      <name val="蘋方-繁 標準體"/>
      <charset val="136"/>
    </font>
    <font>
      <sz val="18"/>
      <color rgb="FF000000"/>
      <name val="Arial"/>
      <family val="2"/>
    </font>
    <font>
      <sz val="18"/>
      <color rgb="FF000000"/>
      <name val="蘋方-繁"/>
      <family val="2"/>
      <charset val="136"/>
    </font>
    <font>
      <sz val="36"/>
      <color rgb="FF000000"/>
      <name val="蘋方-繁 標準體"/>
      <charset val="136"/>
    </font>
    <font>
      <sz val="36"/>
      <color rgb="FF000000"/>
      <name val="蘋方-繁"/>
      <family val="2"/>
      <charset val="136"/>
    </font>
    <font>
      <sz val="10"/>
      <color rgb="FF000000"/>
      <name val="蘋方-繁 標準體"/>
      <charset val="136"/>
    </font>
    <font>
      <sz val="24"/>
      <color theme="1"/>
      <name val="蘋方-繁 標準體"/>
      <charset val="136"/>
    </font>
    <font>
      <b/>
      <sz val="18"/>
      <color theme="1"/>
      <name val="蘋方-繁 標準體"/>
      <charset val="136"/>
    </font>
    <font>
      <sz val="36"/>
      <color rgb="FF000000"/>
      <name val="Arial"/>
      <family val="2"/>
    </font>
    <font>
      <sz val="36"/>
      <color rgb="FFFF0000"/>
      <name val="Arial"/>
      <family val="2"/>
    </font>
    <font>
      <sz val="36"/>
      <color rgb="FF9BC2E6"/>
      <name val="蘋方-繁"/>
      <family val="2"/>
      <charset val="136"/>
    </font>
    <font>
      <sz val="36"/>
      <color rgb="FF9BC2E6"/>
      <name val="Arial"/>
      <family val="2"/>
    </font>
    <font>
      <sz val="36"/>
      <color rgb="FF9BC2E6"/>
      <name val="蘋方-繁 標準體"/>
      <charset val="136"/>
    </font>
    <font>
      <b/>
      <sz val="18"/>
      <color rgb="FF000000"/>
      <name val="蘋方-繁"/>
      <family val="2"/>
      <charset val="136"/>
    </font>
    <font>
      <sz val="18"/>
      <color rgb="FF000000"/>
      <name val="Linux Libertine G"/>
      <family val="2"/>
    </font>
    <font>
      <sz val="23"/>
      <color rgb="FF202122"/>
      <name val="Arial"/>
      <family val="2"/>
    </font>
    <font>
      <sz val="24"/>
      <color rgb="FF000000"/>
      <name val="Arial"/>
      <family val="2"/>
    </font>
    <font>
      <sz val="18"/>
      <color rgb="FF202122"/>
      <name val="蘋方-繁 標準體"/>
      <charset val="136"/>
    </font>
    <font>
      <sz val="14"/>
      <color rgb="FF000000"/>
      <name val="Arial"/>
      <family val="2"/>
    </font>
    <font>
      <sz val="24"/>
      <color rgb="FF0000FF"/>
      <name val="Arial"/>
      <family val="2"/>
    </font>
    <font>
      <sz val="24"/>
      <color rgb="FF202122"/>
      <name val="Arial"/>
      <family val="2"/>
    </font>
    <font>
      <sz val="24"/>
      <color rgb="FFB7B7B7"/>
      <name val="Arial"/>
      <family val="2"/>
    </font>
    <font>
      <sz val="24"/>
      <color rgb="FFEA4335"/>
      <name val="Arial"/>
      <family val="2"/>
    </font>
    <font>
      <sz val="14"/>
      <color rgb="FF000000"/>
      <name val="蘋方-繁 標準體"/>
      <charset val="136"/>
    </font>
    <font>
      <sz val="24"/>
      <color rgb="FF000000"/>
      <name val="-apple-system"/>
    </font>
    <font>
      <sz val="24"/>
      <color rgb="FF305496"/>
      <name val="Arial"/>
      <family val="2"/>
    </font>
    <font>
      <sz val="14"/>
      <color rgb="FFEA7500"/>
      <name val="蘋方-繁 標準體"/>
      <charset val="136"/>
    </font>
    <font>
      <sz val="24"/>
      <color rgb="FFFF0000"/>
      <name val="Arial"/>
      <family val="2"/>
    </font>
    <font>
      <sz val="24"/>
      <color rgb="FFC9211E"/>
      <name val="Arial"/>
      <family val="2"/>
    </font>
    <font>
      <b/>
      <sz val="16"/>
      <color rgb="FFFFFFFF"/>
      <name val="Arial"/>
      <family val="2"/>
    </font>
    <font>
      <b/>
      <sz val="18"/>
      <color rgb="FF000000"/>
      <name val="PingFang TC Semibold"/>
      <family val="1"/>
    </font>
    <font>
      <sz val="28"/>
      <color rgb="FF000000"/>
      <name val="蘋方-繁"/>
      <family val="2"/>
      <charset val="136"/>
    </font>
    <font>
      <sz val="18"/>
      <color theme="8"/>
      <name val="黒体-繁"/>
      <family val="2"/>
      <charset val="136"/>
    </font>
    <font>
      <sz val="18"/>
      <color rgb="FFFF0000"/>
      <name val="黒体-繁"/>
      <family val="2"/>
      <charset val="136"/>
    </font>
    <font>
      <sz val="18"/>
      <color theme="0"/>
      <name val="黒体-繁"/>
      <family val="2"/>
      <charset val="136"/>
    </font>
    <font>
      <sz val="10"/>
      <color rgb="FF000000"/>
      <name val="Linux Libertine G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6"/>
      <color rgb="FF000000"/>
      <name val="Linux Libertine G"/>
      <family val="2"/>
    </font>
    <font>
      <sz val="9"/>
      <name val="cwTeX 仿宋體"/>
      <family val="3"/>
      <charset val="136"/>
    </font>
    <font>
      <sz val="24"/>
      <color theme="1"/>
      <name val="Arial"/>
      <family val="2"/>
    </font>
    <font>
      <sz val="9"/>
      <name val="新細明體"/>
      <family val="3"/>
      <charset val="136"/>
      <scheme val="minor"/>
    </font>
    <font>
      <sz val="14"/>
      <color rgb="FF000000"/>
      <name val="新細明體"/>
      <family val="1"/>
      <charset val="136"/>
    </font>
    <font>
      <sz val="14"/>
      <color theme="1"/>
      <name val="新細明體"/>
      <family val="2"/>
      <scheme val="minor"/>
    </font>
    <font>
      <b/>
      <sz val="14"/>
      <color rgb="FF4A86E8"/>
      <name val="新細明體"/>
      <family val="1"/>
      <charset val="136"/>
    </font>
    <font>
      <b/>
      <sz val="14"/>
      <color rgb="FF4A86E8"/>
      <name val="新細明體"/>
      <family val="2"/>
      <scheme val="minor"/>
    </font>
    <font>
      <b/>
      <sz val="16"/>
      <color rgb="FF4A86E8"/>
      <name val="新細明體"/>
      <family val="1"/>
      <charset val="136"/>
    </font>
    <font>
      <sz val="18"/>
      <color rgb="FF000000"/>
      <name val="PingFang TC"/>
      <family val="2"/>
      <charset val="136"/>
    </font>
    <font>
      <sz val="36"/>
      <color theme="8" tint="0.39997558519241921"/>
      <name val="蘋方-繁"/>
      <family val="2"/>
      <charset val="136"/>
    </font>
    <font>
      <sz val="36"/>
      <color theme="8" tint="0.39997558519241921"/>
      <name val="Arial"/>
      <family val="2"/>
    </font>
    <font>
      <sz val="10"/>
      <color rgb="FF000000"/>
      <name val="Arial"/>
      <family val="2"/>
    </font>
    <font>
      <sz val="14"/>
      <color theme="1"/>
      <name val="Arial"/>
      <family val="2"/>
    </font>
    <font>
      <b/>
      <sz val="13"/>
      <color rgb="FF202122"/>
      <name val="Arial"/>
      <family val="2"/>
    </font>
    <font>
      <sz val="13"/>
      <color rgb="FF202122"/>
      <name val="Arial"/>
      <family val="2"/>
    </font>
    <font>
      <sz val="18"/>
      <color rgb="FF202122"/>
      <name val="Cambria"/>
      <family val="1"/>
    </font>
    <font>
      <sz val="18"/>
      <color rgb="FF202122"/>
      <name val="PingFang TC"/>
      <family val="2"/>
      <charset val="136"/>
    </font>
    <font>
      <sz val="16"/>
      <color rgb="FF00B0F0"/>
      <name val="Arial"/>
      <family val="2"/>
    </font>
    <font>
      <sz val="18"/>
      <color rgb="FF000000"/>
      <name val="蘋方-繁 標準體"/>
      <family val="2"/>
      <charset val="136"/>
    </font>
    <font>
      <sz val="23"/>
      <color rgb="FFFF0000"/>
      <name val="Arial"/>
      <family val="2"/>
    </font>
    <font>
      <sz val="18"/>
      <color rgb="FFFF0000"/>
      <name val="蘋方-繁 標準體"/>
      <charset val="136"/>
    </font>
    <font>
      <sz val="18"/>
      <color rgb="FFFF0000"/>
      <name val="Arial"/>
      <family val="2"/>
    </font>
    <font>
      <b/>
      <sz val="14"/>
      <name val="蘋方-繁 標準體"/>
      <charset val="136"/>
    </font>
    <font>
      <sz val="16"/>
      <color rgb="FF0070C0"/>
      <name val="Arial"/>
      <family val="2"/>
    </font>
    <font>
      <sz val="34"/>
      <color rgb="FF202122"/>
      <name val="Arial"/>
      <family val="2"/>
    </font>
    <font>
      <sz val="18"/>
      <color theme="1"/>
      <name val="Heiti TC Light"/>
      <family val="1"/>
    </font>
    <font>
      <sz val="18"/>
      <color theme="1"/>
      <name val="Cambria"/>
      <family val="1"/>
    </font>
    <font>
      <b/>
      <sz val="14"/>
      <name val="PingFang TC Semibold"/>
      <charset val="136"/>
    </font>
    <font>
      <sz val="10"/>
      <color rgb="FF000000"/>
      <name val="新細明體"/>
      <family val="2"/>
      <scheme val="minor"/>
    </font>
    <font>
      <vertAlign val="superscript"/>
      <sz val="18"/>
      <color rgb="FF202122"/>
      <name val="蘋方-繁 標準體"/>
      <charset val="136"/>
    </font>
    <font>
      <b/>
      <sz val="28"/>
      <color rgb="FF202122"/>
      <name val="蘋方-繁 標準體"/>
      <charset val="136"/>
    </font>
    <font>
      <sz val="28"/>
      <color rgb="FF202122"/>
      <name val="蘋方-繁 標準體"/>
      <charset val="136"/>
    </font>
    <font>
      <sz val="28"/>
      <color rgb="FF202122"/>
      <name val="Arial"/>
      <family val="2"/>
    </font>
    <font>
      <sz val="28"/>
      <color rgb="FF000000"/>
      <name val="蘋方-繁 標準體"/>
      <charset val="136"/>
    </font>
    <font>
      <sz val="28"/>
      <color rgb="FF202122"/>
      <name val="Lucida Sans Unicode"/>
    </font>
    <font>
      <sz val="28"/>
      <color rgb="FF0645AD"/>
      <name val="蘋方-繁 標準體"/>
      <charset val="136"/>
    </font>
    <font>
      <vertAlign val="superscript"/>
      <sz val="28"/>
      <color rgb="FF202122"/>
      <name val="蘋方-繁 標準體"/>
      <charset val="136"/>
    </font>
    <font>
      <sz val="28"/>
      <color theme="1"/>
      <name val="黒体-繁"/>
      <family val="2"/>
      <charset val="136"/>
    </font>
    <font>
      <sz val="18"/>
      <color rgb="FF000000"/>
      <name val="PingFang TC Semibold"/>
      <charset val="136"/>
    </font>
    <font>
      <sz val="18"/>
      <color rgb="FF000000"/>
      <name val="PingFang TC Semibold"/>
      <family val="1"/>
    </font>
    <font>
      <sz val="34"/>
      <color rgb="FFFF0000"/>
      <name val="Arial"/>
      <family val="2"/>
    </font>
    <font>
      <b/>
      <sz val="16"/>
      <color rgb="FFFFFF00"/>
      <name val="Arial"/>
      <family val="2"/>
    </font>
    <font>
      <b/>
      <sz val="16"/>
      <color theme="0"/>
      <name val="Arial"/>
      <family val="2"/>
    </font>
    <font>
      <b/>
      <sz val="16"/>
      <color rgb="FFFFFFFF"/>
      <name val="蘋方-繁 標準體"/>
      <charset val="136"/>
    </font>
    <font>
      <sz val="16"/>
      <color theme="1"/>
      <name val="黒体-繁"/>
      <family val="2"/>
      <charset val="136"/>
    </font>
    <font>
      <b/>
      <sz val="18"/>
      <color rgb="FF202122"/>
      <name val="Sans-serif"/>
    </font>
    <font>
      <sz val="16"/>
      <color theme="1"/>
      <name val="蘋方-繁 標準體"/>
      <charset val="136"/>
    </font>
    <font>
      <b/>
      <sz val="16"/>
      <color rgb="FF202122"/>
      <name val="蘋方-繁 標準體"/>
      <charset val="136"/>
    </font>
    <font>
      <sz val="16"/>
      <color rgb="FF202122"/>
      <name val="蘋方-繁 標準體"/>
      <charset val="136"/>
    </font>
    <font>
      <b/>
      <sz val="16"/>
      <color rgb="FF202122"/>
      <name val="Arial"/>
      <family val="2"/>
    </font>
    <font>
      <sz val="16"/>
      <color rgb="FF202122"/>
      <name val="Arial"/>
      <family val="2"/>
    </font>
    <font>
      <b/>
      <sz val="16"/>
      <color theme="0"/>
      <name val="蘋方-繁 標準體"/>
      <charset val="136"/>
    </font>
    <font>
      <sz val="16"/>
      <color theme="4" tint="0.39997558519241921"/>
      <name val="黒体-繁"/>
      <family val="2"/>
      <charset val="136"/>
    </font>
    <font>
      <sz val="18"/>
      <color rgb="FFFF0000"/>
      <name val="Linux Libertine G"/>
      <family val="2"/>
    </font>
    <font>
      <sz val="18"/>
      <color rgb="FFFF0000"/>
      <name val="蘋方-繁"/>
      <family val="2"/>
      <charset val="136"/>
    </font>
    <font>
      <sz val="28"/>
      <color rgb="FF000000"/>
      <name val="Linux Libertine G"/>
      <family val="2"/>
    </font>
    <font>
      <sz val="28"/>
      <color rgb="FF000000"/>
      <name val="Arial"/>
      <family val="2"/>
    </font>
    <font>
      <sz val="24"/>
      <name val="Arial"/>
      <family val="2"/>
    </font>
    <font>
      <sz val="28"/>
      <color rgb="FF000000"/>
      <name val="黒体-繁"/>
      <family val="2"/>
      <charset val="136"/>
    </font>
    <font>
      <sz val="18"/>
      <color rgb="FF000000"/>
      <name val="Cambria"/>
      <family val="1"/>
    </font>
    <font>
      <sz val="18"/>
      <color rgb="FF000000"/>
      <name val="PingFang TC Semibold"/>
      <family val="1"/>
      <charset val="136"/>
    </font>
    <font>
      <b/>
      <sz val="18"/>
      <color theme="0"/>
      <name val="黒体-繁"/>
      <family val="2"/>
      <charset val="136"/>
    </font>
    <font>
      <sz val="18"/>
      <color theme="0"/>
      <name val="Heiti TC Light"/>
      <charset val="136"/>
    </font>
    <font>
      <sz val="15"/>
      <color rgb="FF202122"/>
      <name val="Arial"/>
      <family val="2"/>
    </font>
    <font>
      <sz val="18"/>
      <color theme="1"/>
      <name val="蘋方-繁 標準體"/>
      <charset val="136"/>
    </font>
    <font>
      <sz val="18"/>
      <color theme="1"/>
      <name val="PingFang TC"/>
      <family val="2"/>
      <charset val="136"/>
    </font>
    <font>
      <sz val="18"/>
      <color rgb="FFFF0000"/>
      <name val="PingFang TC"/>
      <family val="2"/>
      <charset val="136"/>
    </font>
    <font>
      <sz val="18"/>
      <color theme="1"/>
      <name val="蘋方-繁 標準體"/>
      <family val="2"/>
      <charset val="136"/>
    </font>
    <font>
      <b/>
      <sz val="18"/>
      <color rgb="FF202122"/>
      <name val="Arial"/>
      <family val="2"/>
    </font>
    <font>
      <sz val="18"/>
      <color theme="0"/>
      <name val="蘋方-繁 標準體"/>
      <charset val="136"/>
    </font>
    <font>
      <sz val="14"/>
      <color theme="1"/>
      <name val="蘋方-繁 標準體"/>
      <charset val="136"/>
    </font>
    <font>
      <sz val="14"/>
      <color theme="0"/>
      <name val="黒体-繁"/>
      <family val="2"/>
      <charset val="136"/>
    </font>
    <font>
      <sz val="14"/>
      <color theme="0"/>
      <name val="Heiti TC Light"/>
      <charset val="136"/>
    </font>
    <font>
      <b/>
      <sz val="18"/>
      <color rgb="FFFF0000"/>
      <name val="Arial"/>
      <family val="2"/>
    </font>
    <font>
      <sz val="14"/>
      <color theme="0"/>
      <name val="蘋方-繁 標準體"/>
      <charset val="136"/>
    </font>
    <font>
      <sz val="14"/>
      <color rgb="FFFF0000"/>
      <name val="蘋方-繁 標準體"/>
      <charset val="136"/>
    </font>
    <font>
      <sz val="14"/>
      <color theme="1"/>
      <name val="蘋方-繁 標準體"/>
      <family val="2"/>
      <charset val="136"/>
    </font>
    <font>
      <sz val="14"/>
      <color theme="1"/>
      <name val="PingFang TC"/>
      <family val="2"/>
      <charset val="136"/>
    </font>
    <font>
      <sz val="14"/>
      <color theme="1"/>
      <name val="Cambria"/>
      <family val="1"/>
    </font>
    <font>
      <sz val="14"/>
      <color rgb="FFFF0000"/>
      <name val="蘋方-繁 標準體"/>
      <family val="2"/>
      <charset val="136"/>
    </font>
    <font>
      <sz val="14"/>
      <color rgb="FFFF0000"/>
      <name val="PingFang TC"/>
      <family val="2"/>
      <charset val="136"/>
    </font>
    <font>
      <sz val="14"/>
      <color rgb="FFFF0000"/>
      <name val="Cambria"/>
      <family val="1"/>
    </font>
    <font>
      <b/>
      <sz val="14"/>
      <color rgb="FF202122"/>
      <name val="Arial"/>
      <family val="2"/>
    </font>
    <font>
      <sz val="18"/>
      <color theme="1"/>
      <name val="Times New Roman"/>
      <family val="1"/>
    </font>
    <font>
      <sz val="18"/>
      <color rgb="FFFF0000"/>
      <name val="Heiti TC Light"/>
      <charset val="136"/>
    </font>
    <font>
      <sz val="18"/>
      <color theme="1"/>
      <name val="Heiti TC Light"/>
      <charset val="136"/>
    </font>
    <font>
      <sz val="36"/>
      <color rgb="FF000000"/>
      <name val="PingFang TC"/>
      <family val="2"/>
      <charset val="136"/>
    </font>
    <font>
      <sz val="36"/>
      <color theme="8" tint="0.39997558519241921"/>
      <name val="PingFang TC"/>
      <family val="2"/>
      <charset val="136"/>
    </font>
    <font>
      <sz val="16"/>
      <color rgb="FFFF0000"/>
      <name val="Helvetica"/>
      <family val="2"/>
    </font>
    <font>
      <sz val="18"/>
      <color rgb="FFFF0000"/>
      <name val="Cambria"/>
      <family val="1"/>
    </font>
    <font>
      <sz val="18"/>
      <color rgb="FF00B0F0"/>
      <name val="Heiti TC Light"/>
      <charset val="136"/>
    </font>
    <font>
      <sz val="18"/>
      <color rgb="FF00B0F0"/>
      <name val="Cambria"/>
      <family val="1"/>
    </font>
    <font>
      <sz val="24"/>
      <color rgb="FF000000"/>
      <name val="Linux Libertine G"/>
      <family val="2"/>
    </font>
    <font>
      <sz val="18"/>
      <color rgb="FF00B0F0"/>
      <name val="黒体-繁"/>
      <family val="2"/>
      <charset val="136"/>
    </font>
    <font>
      <sz val="24"/>
      <color theme="4"/>
      <name val="Arial"/>
      <family val="2"/>
    </font>
    <font>
      <sz val="22"/>
      <color rgb="FF000000"/>
      <name val="Arial"/>
      <family val="2"/>
    </font>
    <font>
      <b/>
      <sz val="22"/>
      <color rgb="FF4A86E8"/>
      <name val="Arial"/>
      <family val="2"/>
    </font>
    <font>
      <sz val="22"/>
      <name val="Arial"/>
      <family val="2"/>
    </font>
    <font>
      <sz val="16"/>
      <name val="Linux Libertine G"/>
      <family val="2"/>
    </font>
    <font>
      <sz val="14"/>
      <name val="Arial"/>
      <family val="2"/>
    </font>
    <font>
      <b/>
      <sz val="18"/>
      <color rgb="FF0C0301"/>
      <name val="Helvetica"/>
      <family val="2"/>
    </font>
    <font>
      <sz val="18"/>
      <color rgb="FF0C0301"/>
      <name val="Helvetica"/>
      <family val="2"/>
    </font>
    <font>
      <b/>
      <sz val="18"/>
      <color rgb="FF202122"/>
      <name val="蘋方-繁 標準體"/>
      <charset val="136"/>
    </font>
    <font>
      <b/>
      <sz val="16"/>
      <color rgb="FFFFFFFF"/>
      <name val="蘋方-繁 標準體"/>
      <family val="1"/>
      <charset val="136"/>
    </font>
    <font>
      <b/>
      <sz val="18"/>
      <color rgb="FF202122"/>
      <name val="PMingLiU"/>
      <family val="1"/>
      <charset val="136"/>
    </font>
    <font>
      <b/>
      <sz val="18"/>
      <color rgb="FF202122"/>
      <name val="PingFang TC Semibold"/>
      <charset val="136"/>
    </font>
    <font>
      <sz val="24"/>
      <color rgb="FF000000"/>
      <name val="PMingLiU"/>
      <family val="1"/>
      <charset val="136"/>
    </font>
    <font>
      <sz val="24"/>
      <color rgb="FF0000FF"/>
      <name val="PMingLiU"/>
      <family val="1"/>
      <charset val="136"/>
    </font>
    <font>
      <sz val="24"/>
      <color rgb="FF0000FF"/>
      <name val="Arial"/>
      <family val="1"/>
      <charset val="136"/>
    </font>
    <font>
      <b/>
      <sz val="18"/>
      <color rgb="FF202122"/>
      <name val="蘋方-繁 標準體"/>
      <family val="1"/>
      <charset val="136"/>
    </font>
    <font>
      <sz val="28"/>
      <color rgb="FF202122"/>
      <name val="Times New Roman"/>
      <family val="1"/>
    </font>
    <font>
      <sz val="28"/>
      <color rgb="FF202122"/>
      <name val="PingFang TC"/>
      <family val="2"/>
      <charset val="136"/>
    </font>
    <font>
      <sz val="28"/>
      <color rgb="FF202122"/>
      <name val="蘋方-繁 標準體"/>
      <family val="1"/>
      <charset val="136"/>
    </font>
    <font>
      <sz val="10"/>
      <name val="Linux Libertine G"/>
      <family val="2"/>
    </font>
    <font>
      <sz val="11"/>
      <name val="Arial"/>
      <family val="2"/>
    </font>
    <font>
      <sz val="14"/>
      <name val="新細明體"/>
      <family val="1"/>
      <charset val="136"/>
    </font>
    <font>
      <strike/>
      <sz val="24"/>
      <color rgb="FFFF0000"/>
      <name val="Arial"/>
      <family val="2"/>
    </font>
    <font>
      <sz val="24"/>
      <color rgb="FFFF0000"/>
      <name val="Linux Libertine G"/>
      <family val="2"/>
    </font>
    <font>
      <sz val="18"/>
      <color rgb="FFFF0000"/>
      <name val="新細明體"/>
      <family val="1"/>
      <charset val="136"/>
    </font>
    <font>
      <sz val="18"/>
      <color theme="1"/>
      <name val="PMingLiU"/>
      <family val="1"/>
      <charset val="136"/>
    </font>
    <font>
      <b/>
      <sz val="14"/>
      <name val="PMingLiU"/>
      <family val="1"/>
      <charset val="136"/>
    </font>
    <font>
      <b/>
      <sz val="14"/>
      <name val="PingFang TC Semibold"/>
      <family val="1"/>
      <charset val="136"/>
    </font>
    <font>
      <sz val="15"/>
      <color rgb="FF202122"/>
      <name val="蘋方-繁 標準體"/>
      <charset val="136"/>
    </font>
    <font>
      <sz val="15"/>
      <color rgb="FF0645AD"/>
      <name val="蘋方-繁 標準體"/>
      <charset val="136"/>
    </font>
    <font>
      <b/>
      <sz val="15"/>
      <color rgb="FF202122"/>
      <name val="蘋方-繁 標準體"/>
      <charset val="136"/>
    </font>
    <font>
      <sz val="15"/>
      <color rgb="FF202122"/>
      <name val="Times New Roman"/>
      <family val="1"/>
    </font>
    <font>
      <sz val="10"/>
      <color rgb="FF000000"/>
      <name val="源樣黑體 L"/>
      <family val="3"/>
      <charset val="136"/>
    </font>
    <font>
      <sz val="11"/>
      <color rgb="FF1155CC"/>
      <name val="源樣黑體 L"/>
      <family val="3"/>
      <charset val="136"/>
    </font>
    <font>
      <sz val="14"/>
      <color rgb="FFFFFFFF"/>
      <name val="源樣黑體 L"/>
      <family val="3"/>
      <charset val="136"/>
    </font>
    <font>
      <sz val="11"/>
      <color rgb="FFFFFFFF"/>
      <name val="源樣黑體 L"/>
      <family val="3"/>
      <charset val="136"/>
    </font>
    <font>
      <sz val="14"/>
      <color rgb="FF000000"/>
      <name val="源樣黑體 L"/>
      <family val="3"/>
      <charset val="136"/>
    </font>
    <font>
      <sz val="24"/>
      <color rgb="FFFF6D01"/>
      <name val="源樣黑體 L"/>
      <family val="3"/>
      <charset val="136"/>
    </font>
    <font>
      <sz val="24"/>
      <color rgb="FF000000"/>
      <name val="源樣黑體 L"/>
      <family val="3"/>
      <charset val="136"/>
    </font>
    <font>
      <sz val="24"/>
      <color rgb="FFB4C7DC"/>
      <name val="源樣黑體 L"/>
      <family val="3"/>
      <charset val="136"/>
    </font>
    <font>
      <sz val="24"/>
      <color rgb="FFFF0000"/>
      <name val="源樣黑體 L"/>
      <family val="3"/>
      <charset val="136"/>
    </font>
    <font>
      <sz val="24"/>
      <color rgb="FFFF9900"/>
      <name val="源樣黑體 L"/>
      <family val="3"/>
      <charset val="136"/>
    </font>
    <font>
      <b/>
      <sz val="14"/>
      <color theme="4"/>
      <name val="源樣黑體 L"/>
      <family val="3"/>
      <charset val="136"/>
    </font>
    <font>
      <b/>
      <sz val="14"/>
      <color theme="4"/>
      <name val="黒体-繁"/>
      <family val="2"/>
      <charset val="136"/>
    </font>
    <font>
      <sz val="10"/>
      <color theme="1"/>
      <name val="源樣黑體 L"/>
      <family val="3"/>
      <charset val="136"/>
    </font>
    <font>
      <sz val="18"/>
      <color theme="1"/>
      <name val="源樣黑體 L"/>
      <family val="3"/>
      <charset val="136"/>
    </font>
    <font>
      <sz val="10"/>
      <name val="源樣黑體 L"/>
      <family val="3"/>
      <charset val="136"/>
    </font>
    <font>
      <sz val="14"/>
      <color theme="1"/>
      <name val="源樣黑體 L"/>
      <family val="3"/>
      <charset val="136"/>
    </font>
    <font>
      <sz val="18"/>
      <color rgb="FF134F5C"/>
      <name val="源樣黑體 L"/>
      <family val="3"/>
      <charset val="136"/>
    </font>
    <font>
      <sz val="18"/>
      <color rgb="FFB7B7B7"/>
      <name val="源樣黑體 L"/>
      <family val="3"/>
      <charset val="136"/>
    </font>
    <font>
      <sz val="18"/>
      <color theme="1"/>
      <name val="Arial"/>
      <family val="2"/>
    </font>
    <font>
      <sz val="18"/>
      <color rgb="FFEA4335"/>
      <name val="源樣黑體 L"/>
      <family val="3"/>
      <charset val="136"/>
    </font>
    <font>
      <sz val="24"/>
      <color theme="1"/>
      <name val="源樣黑體 L"/>
      <family val="3"/>
      <charset val="136"/>
    </font>
    <font>
      <sz val="18"/>
      <color theme="4"/>
      <name val="源樣黑體 L"/>
      <family val="3"/>
      <charset val="136"/>
    </font>
    <font>
      <sz val="18"/>
      <name val="源樣黑體 L"/>
      <family val="3"/>
      <charset val="136"/>
    </font>
    <font>
      <sz val="16"/>
      <color rgb="FF0C0301"/>
      <name val="Arial"/>
      <family val="2"/>
    </font>
    <font>
      <sz val="18"/>
      <color rgb="FF9C0006"/>
      <name val="黒体-繁"/>
      <family val="2"/>
      <charset val="136"/>
    </font>
    <font>
      <b/>
      <sz val="18"/>
      <color theme="1"/>
      <name val="黒体-繁"/>
      <family val="2"/>
      <charset val="136"/>
    </font>
    <font>
      <sz val="18"/>
      <color rgb="FF000000"/>
      <name val="PMingLiU"/>
      <family val="1"/>
      <charset val="136"/>
    </font>
    <font>
      <b/>
      <sz val="18"/>
      <color rgb="FF000000"/>
      <name val="PMingLiU"/>
      <family val="1"/>
      <charset val="136"/>
    </font>
    <font>
      <b/>
      <sz val="18"/>
      <color rgb="FF000000"/>
      <name val="PingFang TC Semibold"/>
      <family val="1"/>
      <charset val="136"/>
    </font>
    <font>
      <b/>
      <sz val="16"/>
      <color rgb="FFFFFFFF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20"/>
      <color theme="7" tint="-0.249977111117893"/>
      <name val="Arial"/>
      <family val="2"/>
    </font>
    <font>
      <sz val="28"/>
      <color rgb="FF9C0006"/>
      <name val="黒体-繁"/>
      <family val="2"/>
      <charset val="136"/>
    </font>
    <font>
      <sz val="28"/>
      <color rgb="FF9C0006"/>
      <name val="Cambria"/>
      <family val="1"/>
    </font>
    <font>
      <sz val="20"/>
      <color theme="4"/>
      <name val="Arial"/>
      <family val="2"/>
    </font>
    <font>
      <sz val="24"/>
      <color theme="1"/>
      <name val="黒体-繁"/>
      <family val="2"/>
      <charset val="136"/>
    </font>
    <font>
      <sz val="24"/>
      <color theme="1"/>
      <name val="微軟正黑體"/>
      <family val="2"/>
      <charset val="136"/>
    </font>
    <font>
      <sz val="20"/>
      <color theme="1"/>
      <name val="黒体-繁"/>
      <family val="2"/>
      <charset val="136"/>
    </font>
    <font>
      <sz val="20"/>
      <color theme="1"/>
      <name val="Cambria"/>
      <family val="1"/>
    </font>
    <font>
      <sz val="20"/>
      <color rgb="FF000000"/>
      <name val="Arial"/>
      <family val="2"/>
    </font>
    <font>
      <sz val="24"/>
      <color theme="1"/>
      <name val="Cambria"/>
      <family val="1"/>
    </font>
    <font>
      <sz val="24"/>
      <color rgb="FF000000"/>
      <name val="Arial"/>
      <family val="1"/>
    </font>
    <font>
      <sz val="24"/>
      <color rgb="FFFF0000"/>
      <name val="PMingLiU"/>
      <family val="1"/>
      <charset val="136"/>
    </font>
    <font>
      <sz val="24"/>
      <color rgb="FFEA4335"/>
      <name val="PMingLiU"/>
      <family val="1"/>
      <charset val="136"/>
    </font>
    <font>
      <sz val="24"/>
      <name val="PMingLiU"/>
      <family val="1"/>
      <charset val="136"/>
    </font>
    <font>
      <b/>
      <sz val="12"/>
      <color rgb="FFFFFFFF"/>
      <name val="Arial"/>
      <family val="2"/>
    </font>
    <font>
      <b/>
      <sz val="12"/>
      <color rgb="FFFFFFFF"/>
      <name val="PMingLiU"/>
      <family val="1"/>
      <charset val="136"/>
    </font>
    <font>
      <b/>
      <sz val="12"/>
      <color rgb="FFFFFF00"/>
      <name val="Arial"/>
      <family val="2"/>
    </font>
    <font>
      <sz val="12"/>
      <color theme="1"/>
      <name val="黒体-繁"/>
      <family val="2"/>
      <charset val="136"/>
    </font>
    <font>
      <b/>
      <sz val="12"/>
      <color theme="0"/>
      <name val="Arial"/>
      <family val="2"/>
    </font>
    <font>
      <b/>
      <sz val="12"/>
      <color rgb="FFFFFFFF"/>
      <name val="蘋方-繁 標準體"/>
      <charset val="136"/>
    </font>
    <font>
      <sz val="24"/>
      <name val="Iansui 094"/>
      <family val="3"/>
      <charset val="136"/>
    </font>
    <font>
      <sz val="36"/>
      <color rgb="FFFF0000"/>
      <name val="蘋方-繁"/>
      <family val="2"/>
      <charset val="136"/>
    </font>
    <font>
      <sz val="18"/>
      <color theme="1"/>
      <name val="蘋方-繁 中黑體"/>
      <family val="3"/>
      <charset val="136"/>
    </font>
    <font>
      <sz val="18"/>
      <color theme="1"/>
      <name val="蘋方-繁 中黑體"/>
      <charset val="136"/>
    </font>
    <font>
      <sz val="28"/>
      <color rgb="FFFF0000"/>
      <name val="LXGW WenKai Mono TC"/>
    </font>
    <font>
      <sz val="26"/>
      <color theme="1"/>
      <name val="LXGW WenKai Mono TC Bold"/>
    </font>
    <font>
      <sz val="24"/>
      <color rgb="FFFF0000"/>
      <name val="LXGW WenKai Mono TC Bold"/>
    </font>
    <font>
      <b/>
      <sz val="16"/>
      <color theme="0"/>
      <name val="PMingLiU"/>
      <family val="1"/>
      <charset val="136"/>
    </font>
    <font>
      <b/>
      <sz val="18"/>
      <color rgb="FF000000"/>
      <name val="PingFang TC Semibold"/>
      <charset val="136"/>
    </font>
    <font>
      <sz val="18"/>
      <color theme="1"/>
      <name val="黒体-繁"/>
      <family val="1"/>
      <charset val="136"/>
    </font>
    <font>
      <sz val="24"/>
      <color rgb="FF000000"/>
      <name val="LXGW WenKai TC Bold"/>
    </font>
    <font>
      <sz val="24"/>
      <color rgb="FF202122"/>
      <name val="LXGW WenKai TC Bold"/>
    </font>
    <font>
      <sz val="24"/>
      <color rgb="FFFF0000"/>
      <name val="LXGW WenKai TC Bold"/>
    </font>
    <font>
      <sz val="24"/>
      <name val="LXGW WenKai TC Bold"/>
    </font>
    <font>
      <sz val="24"/>
      <color theme="4"/>
      <name val="LXGW WenKai TC"/>
    </font>
    <font>
      <sz val="24"/>
      <color rgb="FFFF0000"/>
      <name val="KangXiZiDian.com 康熙字典體常用版"/>
      <family val="3"/>
      <charset val="136"/>
    </font>
    <font>
      <sz val="18"/>
      <color rgb="FFFF0000"/>
      <name val="Arial Bold"/>
    </font>
  </fonts>
  <fills count="31">
    <fill>
      <patternFill patternType="none"/>
    </fill>
    <fill>
      <patternFill patternType="gray125"/>
    </fill>
    <fill>
      <patternFill patternType="solid">
        <fgColor rgb="FFC9DAF8"/>
        <bgColor rgb="FFCFE2F3"/>
      </patternFill>
    </fill>
    <fill>
      <patternFill patternType="solid">
        <fgColor rgb="FFD6DCE4"/>
        <bgColor rgb="FF000000"/>
      </patternFill>
    </fill>
    <fill>
      <patternFill patternType="solid">
        <fgColor rgb="FF45818E"/>
        <bgColor rgb="FF45818E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5B9BD5"/>
        <bgColor rgb="FFB7B7B7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CCCC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AECF0"/>
        <bgColor rgb="FFEAECF0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29FCF"/>
        <bgColor rgb="FF729FCF"/>
      </patternFill>
    </fill>
    <fill>
      <patternFill patternType="solid">
        <fgColor rgb="FFB7E1CD"/>
        <bgColor rgb="FFB7E1CD"/>
      </patternFill>
    </fill>
    <fill>
      <patternFill patternType="solid">
        <fgColor rgb="FF999999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FFC7CE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3366BB"/>
      </left>
      <right style="thin">
        <color rgb="FF3366BB"/>
      </right>
      <top style="thin">
        <color rgb="FF3366BB"/>
      </top>
      <bottom style="thin">
        <color rgb="FF3366BB"/>
      </bottom>
      <diagonal/>
    </border>
    <border>
      <left/>
      <right style="thin">
        <color rgb="FF3366BB"/>
      </right>
      <top style="thin">
        <color rgb="FF3366BB"/>
      </top>
      <bottom style="thin">
        <color rgb="FF3366BB"/>
      </bottom>
      <diagonal/>
    </border>
    <border>
      <left/>
      <right/>
      <top/>
      <bottom style="thin">
        <color rgb="FF000000"/>
      </bottom>
      <diagonal/>
    </border>
    <border>
      <left style="thin">
        <color rgb="FF3366BB"/>
      </left>
      <right style="thin">
        <color rgb="FF3366BB"/>
      </right>
      <top/>
      <bottom style="thin">
        <color rgb="FF3366BB"/>
      </bottom>
      <diagonal/>
    </border>
    <border>
      <left/>
      <right style="thin">
        <color rgb="FF3366BB"/>
      </right>
      <top/>
      <bottom style="thin">
        <color rgb="FF3366BB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38" fillId="0" borderId="0"/>
    <xf numFmtId="0" fontId="70" fillId="0" borderId="0"/>
    <xf numFmtId="0" fontId="192" fillId="30" borderId="0" applyNumberFormat="0" applyBorder="0" applyAlignment="0" applyProtection="0">
      <alignment vertical="center"/>
    </xf>
  </cellStyleXfs>
  <cellXfs count="45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8" fillId="0" borderId="0" xfId="0" applyFont="1" applyAlignment="1">
      <alignment horizontal="left" indent="1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9" fillId="0" borderId="2" xfId="0" applyFont="1" applyBorder="1" applyAlignment="1">
      <alignment horizontal="center" vertical="center"/>
    </xf>
    <xf numFmtId="0" fontId="19" fillId="0" borderId="2" xfId="0" applyFont="1" applyBorder="1">
      <alignment vertical="center"/>
    </xf>
    <xf numFmtId="0" fontId="22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23" fillId="5" borderId="2" xfId="0" applyFont="1" applyFill="1" applyBorder="1" applyAlignment="1">
      <alignment horizontal="center" vertical="center"/>
    </xf>
    <xf numFmtId="0" fontId="24" fillId="6" borderId="2" xfId="0" applyFont="1" applyFill="1" applyBorder="1">
      <alignment vertical="center"/>
    </xf>
    <xf numFmtId="0" fontId="19" fillId="5" borderId="2" xfId="0" applyFont="1" applyFill="1" applyBorder="1">
      <alignment vertical="center"/>
    </xf>
    <xf numFmtId="0" fontId="25" fillId="7" borderId="2" xfId="0" applyFont="1" applyFill="1" applyBorder="1" applyAlignment="1">
      <alignment horizontal="center" vertical="center"/>
    </xf>
    <xf numFmtId="0" fontId="26" fillId="0" borderId="2" xfId="0" applyFont="1" applyBorder="1">
      <alignment vertical="center"/>
    </xf>
    <xf numFmtId="0" fontId="27" fillId="5" borderId="2" xfId="0" applyFont="1" applyFill="1" applyBorder="1">
      <alignment vertical="center"/>
    </xf>
    <xf numFmtId="0" fontId="19" fillId="9" borderId="2" xfId="0" applyFont="1" applyFill="1" applyBorder="1">
      <alignment vertical="center"/>
    </xf>
    <xf numFmtId="0" fontId="19" fillId="0" borderId="3" xfId="0" applyFont="1" applyBorder="1">
      <alignment vertical="center"/>
    </xf>
    <xf numFmtId="0" fontId="19" fillId="0" borderId="4" xfId="0" applyFont="1" applyBorder="1">
      <alignment vertical="center"/>
    </xf>
    <xf numFmtId="0" fontId="22" fillId="0" borderId="4" xfId="0" applyFont="1" applyBorder="1">
      <alignment vertical="center"/>
    </xf>
    <xf numFmtId="0" fontId="3" fillId="0" borderId="2" xfId="0" applyFont="1" applyBorder="1">
      <alignment vertical="center"/>
    </xf>
    <xf numFmtId="0" fontId="22" fillId="5" borderId="2" xfId="0" applyFont="1" applyFill="1" applyBorder="1">
      <alignment vertical="center"/>
    </xf>
    <xf numFmtId="0" fontId="28" fillId="0" borderId="2" xfId="0" applyFont="1" applyBorder="1">
      <alignment vertical="center"/>
    </xf>
    <xf numFmtId="0" fontId="29" fillId="0" borderId="2" xfId="0" applyFont="1" applyBorder="1">
      <alignment vertical="center"/>
    </xf>
    <xf numFmtId="0" fontId="30" fillId="5" borderId="2" xfId="0" applyFont="1" applyFill="1" applyBorder="1">
      <alignment vertical="center"/>
    </xf>
    <xf numFmtId="0" fontId="31" fillId="0" borderId="2" xfId="0" applyFont="1" applyBorder="1">
      <alignment vertical="center"/>
    </xf>
    <xf numFmtId="0" fontId="31" fillId="5" borderId="2" xfId="0" applyFont="1" applyFill="1" applyBorder="1">
      <alignment vertical="center"/>
    </xf>
    <xf numFmtId="0" fontId="24" fillId="10" borderId="2" xfId="0" applyFont="1" applyFill="1" applyBorder="1">
      <alignment vertical="center"/>
    </xf>
    <xf numFmtId="0" fontId="21" fillId="0" borderId="2" xfId="0" applyFont="1" applyBorder="1" applyAlignment="1">
      <alignment horizontal="center" vertical="center"/>
    </xf>
    <xf numFmtId="0" fontId="32" fillId="4" borderId="2" xfId="0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/>
    </xf>
    <xf numFmtId="0" fontId="35" fillId="0" borderId="0" xfId="0" applyFont="1">
      <alignment vertical="center"/>
    </xf>
    <xf numFmtId="176" fontId="35" fillId="0" borderId="0" xfId="0" applyNumberFormat="1" applyFont="1" applyAlignment="1">
      <alignment horizontal="center" vertical="center"/>
    </xf>
    <xf numFmtId="0" fontId="39" fillId="0" borderId="0" xfId="1" applyFont="1" applyAlignment="1">
      <alignment horizontal="center" vertical="center"/>
    </xf>
    <xf numFmtId="0" fontId="40" fillId="0" borderId="0" xfId="1" applyFont="1" applyAlignment="1">
      <alignment horizontal="center" vertical="center"/>
    </xf>
    <xf numFmtId="0" fontId="40" fillId="0" borderId="0" xfId="1" applyFont="1" applyAlignment="1">
      <alignment horizontal="left" vertical="center" indent="1"/>
    </xf>
    <xf numFmtId="0" fontId="41" fillId="0" borderId="0" xfId="1" applyFont="1" applyAlignment="1">
      <alignment horizontal="left" vertical="center"/>
    </xf>
    <xf numFmtId="0" fontId="38" fillId="0" borderId="0" xfId="1"/>
    <xf numFmtId="0" fontId="45" fillId="0" borderId="0" xfId="1" applyFont="1" applyAlignment="1">
      <alignment vertical="center"/>
    </xf>
    <xf numFmtId="0" fontId="46" fillId="0" borderId="0" xfId="1" applyFont="1" applyAlignment="1">
      <alignment vertical="center"/>
    </xf>
    <xf numFmtId="0" fontId="46" fillId="0" borderId="0" xfId="1" applyFont="1" applyAlignment="1">
      <alignment horizontal="left" vertical="center" indent="1"/>
    </xf>
    <xf numFmtId="0" fontId="47" fillId="0" borderId="0" xfId="1" applyFont="1" applyAlignment="1">
      <alignment vertical="center"/>
    </xf>
    <xf numFmtId="0" fontId="48" fillId="0" borderId="0" xfId="1" applyFont="1" applyAlignment="1">
      <alignment vertical="center"/>
    </xf>
    <xf numFmtId="0" fontId="48" fillId="0" borderId="0" xfId="1" applyFont="1" applyAlignment="1">
      <alignment horizontal="left" vertical="center" indent="1"/>
    </xf>
    <xf numFmtId="0" fontId="49" fillId="0" borderId="0" xfId="1" applyFont="1" applyAlignment="1">
      <alignment horizontal="left" vertical="center"/>
    </xf>
    <xf numFmtId="0" fontId="38" fillId="0" borderId="0" xfId="1" applyAlignment="1">
      <alignment horizontal="left" indent="1"/>
    </xf>
    <xf numFmtId="0" fontId="45" fillId="0" borderId="0" xfId="1" applyFont="1" applyAlignment="1">
      <alignment horizontal="center" vertical="center"/>
    </xf>
    <xf numFmtId="0" fontId="47" fillId="0" borderId="0" xfId="1" applyFont="1" applyAlignment="1">
      <alignment horizontal="center" vertical="center"/>
    </xf>
    <xf numFmtId="0" fontId="38" fillId="0" borderId="0" xfId="1" applyAlignment="1">
      <alignment horizontal="center"/>
    </xf>
    <xf numFmtId="0" fontId="17" fillId="0" borderId="0" xfId="1" applyFont="1"/>
    <xf numFmtId="0" fontId="5" fillId="0" borderId="0" xfId="1" applyFont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50" fillId="2" borderId="1" xfId="1" applyFont="1" applyFill="1" applyBorder="1" applyAlignment="1">
      <alignment horizontal="center" vertical="center" wrapText="1"/>
    </xf>
    <xf numFmtId="0" fontId="3" fillId="0" borderId="0" xfId="1" applyFont="1"/>
    <xf numFmtId="0" fontId="4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7" fillId="11" borderId="1" xfId="1" applyFont="1" applyFill="1" applyBorder="1" applyAlignment="1">
      <alignment horizontal="center" vertical="center" wrapText="1"/>
    </xf>
    <xf numFmtId="0" fontId="11" fillId="11" borderId="1" xfId="1" applyFont="1" applyFill="1" applyBorder="1" applyAlignment="1">
      <alignment horizontal="center" vertical="center" wrapText="1"/>
    </xf>
    <xf numFmtId="0" fontId="6" fillId="11" borderId="1" xfId="1" applyFont="1" applyFill="1" applyBorder="1" applyAlignment="1">
      <alignment horizontal="center" vertical="center" wrapText="1"/>
    </xf>
    <xf numFmtId="0" fontId="11" fillId="0" borderId="0" xfId="1" applyFont="1" applyAlignment="1">
      <alignment horizontal="center" vertical="center"/>
    </xf>
    <xf numFmtId="0" fontId="51" fillId="0" borderId="1" xfId="1" applyFont="1" applyBorder="1" applyAlignment="1">
      <alignment horizontal="center" vertical="center" wrapText="1"/>
    </xf>
    <xf numFmtId="0" fontId="52" fillId="0" borderId="1" xfId="1" applyFont="1" applyBorder="1" applyAlignment="1">
      <alignment horizontal="center" vertical="center" wrapText="1"/>
    </xf>
    <xf numFmtId="0" fontId="53" fillId="0" borderId="0" xfId="1" applyFont="1" applyAlignment="1">
      <alignment horizontal="center" vertical="center"/>
    </xf>
    <xf numFmtId="0" fontId="32" fillId="4" borderId="2" xfId="1" applyFont="1" applyFill="1" applyBorder="1" applyAlignment="1">
      <alignment horizontal="center" vertical="center"/>
    </xf>
    <xf numFmtId="0" fontId="41" fillId="0" borderId="0" xfId="1" applyFont="1"/>
    <xf numFmtId="0" fontId="54" fillId="0" borderId="2" xfId="1" applyFont="1" applyBorder="1" applyAlignment="1">
      <alignment horizontal="center" vertical="center"/>
    </xf>
    <xf numFmtId="0" fontId="43" fillId="0" borderId="2" xfId="1" applyFont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55" fillId="13" borderId="1" xfId="0" applyFont="1" applyFill="1" applyBorder="1" applyAlignment="1">
      <alignment horizontal="center" vertical="center"/>
    </xf>
    <xf numFmtId="0" fontId="55" fillId="12" borderId="1" xfId="0" applyFont="1" applyFill="1" applyBorder="1" applyAlignment="1">
      <alignment horizontal="center" vertical="center"/>
    </xf>
    <xf numFmtId="0" fontId="56" fillId="0" borderId="1" xfId="0" applyFont="1" applyBorder="1" applyAlignment="1">
      <alignment horizontal="center" vertical="center"/>
    </xf>
    <xf numFmtId="0" fontId="59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2" fillId="4" borderId="2" xfId="1" applyFont="1" applyFill="1" applyBorder="1" applyAlignment="1">
      <alignment horizontal="left" vertical="center" indent="1"/>
    </xf>
    <xf numFmtId="0" fontId="53" fillId="0" borderId="0" xfId="1" applyFont="1" applyAlignment="1">
      <alignment horizontal="left" vertical="center" indent="1"/>
    </xf>
    <xf numFmtId="0" fontId="61" fillId="14" borderId="0" xfId="0" applyFont="1" applyFill="1" applyAlignment="1">
      <alignment horizontal="left" indent="1"/>
    </xf>
    <xf numFmtId="0" fontId="62" fillId="14" borderId="0" xfId="0" applyFont="1" applyFill="1" applyAlignment="1">
      <alignment horizontal="center" vertical="center"/>
    </xf>
    <xf numFmtId="0" fontId="62" fillId="14" borderId="0" xfId="0" applyFont="1" applyFill="1" applyAlignment="1">
      <alignment horizontal="left" vertical="center" indent="1"/>
    </xf>
    <xf numFmtId="176" fontId="37" fillId="15" borderId="0" xfId="0" applyNumberFormat="1" applyFont="1" applyFill="1" applyAlignment="1">
      <alignment horizontal="center" vertical="center"/>
    </xf>
    <xf numFmtId="176" fontId="63" fillId="14" borderId="0" xfId="0" applyNumberFormat="1" applyFont="1" applyFill="1" applyAlignment="1">
      <alignment horizontal="center" vertical="center"/>
    </xf>
    <xf numFmtId="177" fontId="43" fillId="0" borderId="2" xfId="1" applyNumberFormat="1" applyFont="1" applyBorder="1" applyAlignment="1">
      <alignment horizontal="left" vertical="center" indent="1"/>
    </xf>
    <xf numFmtId="0" fontId="11" fillId="0" borderId="0" xfId="0" applyFont="1" applyAlignment="1">
      <alignment horizontal="center" vertical="center"/>
    </xf>
    <xf numFmtId="0" fontId="64" fillId="13" borderId="1" xfId="0" applyFont="1" applyFill="1" applyBorder="1" applyAlignment="1">
      <alignment horizontal="center" vertical="center"/>
    </xf>
    <xf numFmtId="0" fontId="65" fillId="0" borderId="1" xfId="0" applyFont="1" applyBorder="1" applyAlignment="1">
      <alignment horizontal="center" vertical="center"/>
    </xf>
    <xf numFmtId="0" fontId="66" fillId="0" borderId="1" xfId="0" applyFont="1" applyBorder="1" applyAlignment="1">
      <alignment horizontal="center" vertical="center"/>
    </xf>
    <xf numFmtId="0" fontId="67" fillId="0" borderId="0" xfId="0" applyFont="1">
      <alignment vertical="center"/>
    </xf>
    <xf numFmtId="0" fontId="69" fillId="13" borderId="1" xfId="0" applyFont="1" applyFill="1" applyBorder="1" applyAlignment="1">
      <alignment horizontal="center" vertical="center"/>
    </xf>
    <xf numFmtId="0" fontId="24" fillId="0" borderId="2" xfId="0" applyFont="1" applyBorder="1">
      <alignment vertical="center"/>
    </xf>
    <xf numFmtId="0" fontId="20" fillId="12" borderId="1" xfId="2" applyFont="1" applyFill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72" fillId="0" borderId="1" xfId="2" applyFont="1" applyBorder="1" applyAlignment="1">
      <alignment horizontal="left" vertical="center" indent="1"/>
    </xf>
    <xf numFmtId="0" fontId="73" fillId="0" borderId="1" xfId="2" applyFont="1" applyBorder="1" applyAlignment="1">
      <alignment horizontal="center" vertical="center"/>
    </xf>
    <xf numFmtId="0" fontId="75" fillId="0" borderId="1" xfId="2" applyFont="1" applyBorder="1"/>
    <xf numFmtId="0" fontId="77" fillId="0" borderId="1" xfId="2" applyFont="1" applyBorder="1" applyAlignment="1">
      <alignment horizontal="center" vertical="center"/>
    </xf>
    <xf numFmtId="0" fontId="72" fillId="0" borderId="1" xfId="2" applyFont="1" applyBorder="1" applyAlignment="1">
      <alignment horizontal="center" vertical="center"/>
    </xf>
    <xf numFmtId="0" fontId="78" fillId="0" borderId="1" xfId="2" applyFont="1" applyBorder="1" applyAlignment="1">
      <alignment horizontal="center" vertical="center"/>
    </xf>
    <xf numFmtId="0" fontId="73" fillId="0" borderId="1" xfId="2" applyFont="1" applyBorder="1" applyAlignment="1">
      <alignment horizontal="left" vertical="center" indent="1"/>
    </xf>
    <xf numFmtId="0" fontId="36" fillId="14" borderId="0" xfId="0" applyFont="1" applyFill="1" applyAlignment="1">
      <alignment horizontal="center" vertical="center"/>
    </xf>
    <xf numFmtId="0" fontId="74" fillId="0" borderId="1" xfId="0" applyFont="1" applyBorder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79" fillId="0" borderId="1" xfId="0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80" fillId="2" borderId="1" xfId="1" applyFont="1" applyFill="1" applyBorder="1" applyAlignment="1">
      <alignment horizontal="center" vertical="center" wrapText="1"/>
    </xf>
    <xf numFmtId="0" fontId="60" fillId="2" borderId="1" xfId="1" applyFont="1" applyFill="1" applyBorder="1" applyAlignment="1">
      <alignment horizontal="center" vertical="center" wrapText="1"/>
    </xf>
    <xf numFmtId="176" fontId="37" fillId="0" borderId="0" xfId="0" applyNumberFormat="1" applyFont="1" applyAlignment="1">
      <alignment horizontal="center" vertical="center"/>
    </xf>
    <xf numFmtId="0" fontId="24" fillId="6" borderId="5" xfId="0" applyFont="1" applyFill="1" applyBorder="1">
      <alignment vertical="center"/>
    </xf>
    <xf numFmtId="0" fontId="83" fillId="4" borderId="2" xfId="0" applyFont="1" applyFill="1" applyBorder="1" applyAlignment="1">
      <alignment horizontal="center" vertical="center"/>
    </xf>
    <xf numFmtId="0" fontId="84" fillId="4" borderId="2" xfId="0" applyFont="1" applyFill="1" applyBorder="1" applyAlignment="1">
      <alignment horizontal="center" vertical="center"/>
    </xf>
    <xf numFmtId="0" fontId="85" fillId="4" borderId="2" xfId="0" applyFont="1" applyFill="1" applyBorder="1" applyAlignment="1">
      <alignment horizontal="center" vertical="center"/>
    </xf>
    <xf numFmtId="0" fontId="86" fillId="0" borderId="0" xfId="0" applyFont="1">
      <alignment vertical="center"/>
    </xf>
    <xf numFmtId="0" fontId="66" fillId="0" borderId="1" xfId="0" applyFont="1" applyBorder="1" applyAlignment="1">
      <alignment horizontal="left" vertical="center" indent="1"/>
    </xf>
    <xf numFmtId="0" fontId="82" fillId="14" borderId="1" xfId="0" applyFont="1" applyFill="1" applyBorder="1" applyAlignment="1">
      <alignment horizontal="left" vertical="center" indent="1"/>
    </xf>
    <xf numFmtId="0" fontId="87" fillId="17" borderId="0" xfId="0" applyFont="1" applyFill="1" applyAlignment="1">
      <alignment horizontal="center"/>
    </xf>
    <xf numFmtId="0" fontId="88" fillId="0" borderId="0" xfId="0" applyFont="1">
      <alignment vertical="center"/>
    </xf>
    <xf numFmtId="0" fontId="93" fillId="15" borderId="1" xfId="0" applyFont="1" applyFill="1" applyBorder="1" applyAlignment="1">
      <alignment horizontal="center" vertical="center"/>
    </xf>
    <xf numFmtId="0" fontId="89" fillId="12" borderId="1" xfId="0" applyFont="1" applyFill="1" applyBorder="1">
      <alignment vertical="center"/>
    </xf>
    <xf numFmtId="0" fontId="90" fillId="0" borderId="1" xfId="0" applyFont="1" applyBorder="1">
      <alignment vertical="center"/>
    </xf>
    <xf numFmtId="0" fontId="89" fillId="0" borderId="1" xfId="0" applyFont="1" applyBorder="1">
      <alignment vertical="center"/>
    </xf>
    <xf numFmtId="0" fontId="94" fillId="0" borderId="0" xfId="0" applyFont="1" applyAlignment="1">
      <alignment horizontal="center" vertical="center"/>
    </xf>
    <xf numFmtId="0" fontId="95" fillId="14" borderId="0" xfId="1" applyFont="1" applyFill="1" applyAlignment="1">
      <alignment horizontal="center" vertical="center"/>
    </xf>
    <xf numFmtId="0" fontId="96" fillId="14" borderId="0" xfId="1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97" fillId="0" borderId="0" xfId="1" applyFont="1"/>
    <xf numFmtId="0" fontId="98" fillId="0" borderId="1" xfId="1" applyFont="1" applyBorder="1" applyAlignment="1">
      <alignment horizontal="center" vertical="center"/>
    </xf>
    <xf numFmtId="0" fontId="98" fillId="0" borderId="1" xfId="1" applyFont="1" applyBorder="1" applyAlignment="1">
      <alignment horizontal="center" vertical="center" wrapText="1"/>
    </xf>
    <xf numFmtId="0" fontId="79" fillId="0" borderId="0" xfId="0" applyFont="1">
      <alignment vertical="center"/>
    </xf>
    <xf numFmtId="0" fontId="99" fillId="0" borderId="2" xfId="0" applyFont="1" applyBorder="1">
      <alignment vertical="center"/>
    </xf>
    <xf numFmtId="0" fontId="99" fillId="5" borderId="2" xfId="0" applyFont="1" applyFill="1" applyBorder="1">
      <alignment vertical="center"/>
    </xf>
    <xf numFmtId="0" fontId="99" fillId="0" borderId="4" xfId="0" applyFont="1" applyBorder="1">
      <alignment vertical="center"/>
    </xf>
    <xf numFmtId="0" fontId="99" fillId="6" borderId="2" xfId="0" applyFont="1" applyFill="1" applyBorder="1">
      <alignment vertical="center"/>
    </xf>
    <xf numFmtId="0" fontId="98" fillId="18" borderId="1" xfId="1" applyFont="1" applyFill="1" applyBorder="1" applyAlignment="1">
      <alignment horizontal="center" vertical="center" wrapText="1"/>
    </xf>
    <xf numFmtId="0" fontId="79" fillId="0" borderId="6" xfId="0" applyFont="1" applyBorder="1" applyAlignment="1">
      <alignment horizontal="center" vertical="center"/>
    </xf>
    <xf numFmtId="0" fontId="79" fillId="0" borderId="7" xfId="0" applyFont="1" applyBorder="1" applyAlignment="1">
      <alignment horizontal="center" vertical="center"/>
    </xf>
    <xf numFmtId="0" fontId="102" fillId="2" borderId="1" xfId="1" applyFont="1" applyFill="1" applyBorder="1" applyAlignment="1">
      <alignment horizontal="center" vertical="center" wrapText="1"/>
    </xf>
    <xf numFmtId="0" fontId="101" fillId="2" borderId="1" xfId="1" applyFont="1" applyFill="1" applyBorder="1" applyAlignment="1">
      <alignment horizontal="center" vertical="center" wrapText="1"/>
    </xf>
    <xf numFmtId="0" fontId="98" fillId="0" borderId="1" xfId="1" applyFont="1" applyBorder="1" applyAlignment="1">
      <alignment horizontal="left" vertical="center" wrapText="1" indent="3"/>
    </xf>
    <xf numFmtId="0" fontId="98" fillId="18" borderId="1" xfId="1" applyFont="1" applyFill="1" applyBorder="1" applyAlignment="1">
      <alignment horizontal="left" vertical="center" wrapText="1" indent="3"/>
    </xf>
    <xf numFmtId="0" fontId="100" fillId="18" borderId="1" xfId="1" applyFont="1" applyFill="1" applyBorder="1" applyAlignment="1">
      <alignment horizontal="center" vertical="center" wrapText="1"/>
    </xf>
    <xf numFmtId="0" fontId="103" fillId="19" borderId="0" xfId="0" applyFont="1" applyFill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7" fillId="15" borderId="1" xfId="0" applyFont="1" applyFill="1" applyBorder="1" applyAlignment="1">
      <alignment horizontal="center" vertical="center"/>
    </xf>
    <xf numFmtId="0" fontId="104" fillId="1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36" fillId="14" borderId="0" xfId="0" applyFont="1" applyFill="1" applyAlignment="1">
      <alignment horizontal="left" vertical="center" indent="1"/>
    </xf>
    <xf numFmtId="0" fontId="103" fillId="19" borderId="0" xfId="0" applyFont="1" applyFill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105" fillId="0" borderId="0" xfId="0" applyFont="1">
      <alignment vertical="center"/>
    </xf>
    <xf numFmtId="0" fontId="106" fillId="0" borderId="0" xfId="0" applyFont="1" applyAlignment="1">
      <alignment horizontal="center" vertical="center"/>
    </xf>
    <xf numFmtId="0" fontId="106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07" fillId="0" borderId="0" xfId="0" applyFont="1" applyAlignment="1">
      <alignment horizontal="left" vertical="center"/>
    </xf>
    <xf numFmtId="0" fontId="110" fillId="0" borderId="1" xfId="0" applyFont="1" applyBorder="1" applyAlignment="1">
      <alignment horizontal="center" vertical="center"/>
    </xf>
    <xf numFmtId="0" fontId="111" fillId="19" borderId="0" xfId="0" applyFont="1" applyFill="1" applyAlignment="1">
      <alignment horizontal="center" vertical="center"/>
    </xf>
    <xf numFmtId="0" fontId="112" fillId="0" borderId="1" xfId="0" applyFont="1" applyBorder="1" applyAlignment="1">
      <alignment horizontal="center" vertical="center"/>
    </xf>
    <xf numFmtId="0" fontId="113" fillId="15" borderId="1" xfId="0" applyFont="1" applyFill="1" applyBorder="1" applyAlignment="1">
      <alignment horizontal="center" vertical="center"/>
    </xf>
    <xf numFmtId="0" fontId="114" fillId="15" borderId="1" xfId="0" applyFont="1" applyFill="1" applyBorder="1" applyAlignment="1">
      <alignment horizontal="center" vertical="center"/>
    </xf>
    <xf numFmtId="0" fontId="112" fillId="0" borderId="0" xfId="0" applyFont="1" applyAlignment="1">
      <alignment horizontal="center" vertical="center"/>
    </xf>
    <xf numFmtId="0" fontId="62" fillId="0" borderId="1" xfId="0" applyFont="1" applyBorder="1" applyAlignment="1">
      <alignment horizontal="center" vertical="center"/>
    </xf>
    <xf numFmtId="0" fontId="115" fillId="0" borderId="1" xfId="0" applyFont="1" applyBorder="1" applyAlignment="1">
      <alignment horizontal="center" vertical="center"/>
    </xf>
    <xf numFmtId="0" fontId="116" fillId="19" borderId="0" xfId="0" applyFont="1" applyFill="1" applyAlignment="1">
      <alignment horizontal="center" vertical="center"/>
    </xf>
    <xf numFmtId="0" fontId="117" fillId="0" borderId="1" xfId="0" applyFont="1" applyBorder="1" applyAlignment="1">
      <alignment horizontal="center" vertical="center"/>
    </xf>
    <xf numFmtId="0" fontId="118" fillId="0" borderId="1" xfId="0" applyFont="1" applyBorder="1" applyAlignment="1">
      <alignment horizontal="center" vertical="center" wrapText="1"/>
    </xf>
    <xf numFmtId="0" fontId="121" fillId="0" borderId="1" xfId="0" applyFont="1" applyBorder="1" applyAlignment="1">
      <alignment horizontal="center" vertical="center" wrapText="1"/>
    </xf>
    <xf numFmtId="0" fontId="124" fillId="0" borderId="1" xfId="0" applyFont="1" applyBorder="1">
      <alignment vertical="center"/>
    </xf>
    <xf numFmtId="0" fontId="106" fillId="0" borderId="0" xfId="0" quotePrefix="1" applyFont="1" applyAlignment="1">
      <alignment horizontal="center" vertical="center"/>
    </xf>
    <xf numFmtId="0" fontId="125" fillId="0" borderId="0" xfId="0" applyFont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106" fillId="16" borderId="0" xfId="0" applyFont="1" applyFill="1" applyAlignment="1">
      <alignment horizontal="center" vertical="center"/>
    </xf>
    <xf numFmtId="0" fontId="107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/>
    </xf>
    <xf numFmtId="0" fontId="109" fillId="0" borderId="1" xfId="0" applyFont="1" applyBorder="1" applyAlignment="1">
      <alignment horizontal="center" vertical="center"/>
    </xf>
    <xf numFmtId="0" fontId="106" fillId="13" borderId="1" xfId="0" applyFont="1" applyFill="1" applyBorder="1" applyAlignment="1">
      <alignment horizontal="center" vertical="center"/>
    </xf>
    <xf numFmtId="0" fontId="128" fillId="0" borderId="1" xfId="1" applyFont="1" applyBorder="1" applyAlignment="1">
      <alignment horizontal="center" vertical="center" wrapText="1"/>
    </xf>
    <xf numFmtId="0" fontId="129" fillId="0" borderId="1" xfId="1" applyFont="1" applyBorder="1" applyAlignment="1">
      <alignment horizontal="center" vertical="center" wrapText="1"/>
    </xf>
    <xf numFmtId="0" fontId="128" fillId="11" borderId="1" xfId="1" applyFont="1" applyFill="1" applyBorder="1" applyAlignment="1">
      <alignment horizontal="center" vertical="center" wrapText="1"/>
    </xf>
    <xf numFmtId="0" fontId="37" fillId="20" borderId="0" xfId="0" applyFont="1" applyFill="1">
      <alignment vertical="center"/>
    </xf>
    <xf numFmtId="0" fontId="130" fillId="14" borderId="0" xfId="0" applyFont="1" applyFill="1">
      <alignment vertical="center"/>
    </xf>
    <xf numFmtId="0" fontId="130" fillId="14" borderId="0" xfId="0" applyFont="1" applyFill="1" applyAlignment="1">
      <alignment horizontal="left" vertical="center"/>
    </xf>
    <xf numFmtId="0" fontId="134" fillId="0" borderId="0" xfId="1" applyFont="1" applyAlignment="1">
      <alignment horizontal="center" vertical="center"/>
    </xf>
    <xf numFmtId="0" fontId="134" fillId="0" borderId="0" xfId="1" applyFont="1" applyAlignment="1">
      <alignment horizontal="left" vertical="center" indent="1"/>
    </xf>
    <xf numFmtId="0" fontId="19" fillId="0" borderId="0" xfId="1" applyFont="1" applyAlignment="1">
      <alignment horizontal="left" vertical="center"/>
    </xf>
    <xf numFmtId="0" fontId="135" fillId="0" borderId="0" xfId="0" applyFont="1" applyAlignment="1">
      <alignment horizontal="left" vertical="center"/>
    </xf>
    <xf numFmtId="0" fontId="135" fillId="0" borderId="0" xfId="0" applyFont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1" borderId="0" xfId="0" applyFill="1" applyAlignment="1">
      <alignment horizontal="left" vertical="center" indent="1"/>
    </xf>
    <xf numFmtId="0" fontId="32" fillId="4" borderId="1" xfId="1" applyFont="1" applyFill="1" applyBorder="1" applyAlignment="1">
      <alignment horizontal="center" vertical="center"/>
    </xf>
    <xf numFmtId="0" fontId="83" fillId="4" borderId="1" xfId="1" applyFont="1" applyFill="1" applyBorder="1" applyAlignment="1">
      <alignment horizontal="center" vertical="center"/>
    </xf>
    <xf numFmtId="0" fontId="83" fillId="4" borderId="1" xfId="1" applyFont="1" applyFill="1" applyBorder="1" applyAlignment="1">
      <alignment horizontal="left" vertical="center" indent="1"/>
    </xf>
    <xf numFmtId="0" fontId="63" fillId="14" borderId="0" xfId="1" applyFont="1" applyFill="1" applyAlignment="1">
      <alignment horizontal="center" vertical="center"/>
    </xf>
    <xf numFmtId="0" fontId="21" fillId="0" borderId="1" xfId="1" applyFont="1" applyBorder="1" applyAlignment="1">
      <alignment horizontal="center" vertical="center"/>
    </xf>
    <xf numFmtId="0" fontId="19" fillId="0" borderId="1" xfId="1" applyFont="1" applyBorder="1" applyAlignment="1">
      <alignment horizontal="center" vertical="center"/>
    </xf>
    <xf numFmtId="0" fontId="23" fillId="0" borderId="1" xfId="1" applyFont="1" applyBorder="1" applyAlignment="1">
      <alignment horizontal="center" vertical="center"/>
    </xf>
    <xf numFmtId="0" fontId="25" fillId="0" borderId="1" xfId="1" applyFont="1" applyBorder="1" applyAlignment="1">
      <alignment horizontal="center" vertical="center"/>
    </xf>
    <xf numFmtId="178" fontId="19" fillId="0" borderId="1" xfId="1" applyNumberFormat="1" applyFont="1" applyBorder="1" applyAlignment="1">
      <alignment vertical="center"/>
    </xf>
    <xf numFmtId="0" fontId="41" fillId="0" borderId="0" xfId="1" applyFont="1" applyAlignment="1">
      <alignment horizontal="center" vertical="center"/>
    </xf>
    <xf numFmtId="0" fontId="49" fillId="0" borderId="0" xfId="1" applyFont="1" applyAlignment="1">
      <alignment horizontal="center" vertical="center"/>
    </xf>
    <xf numFmtId="0" fontId="137" fillId="0" borderId="0" xfId="1" applyFont="1" applyAlignment="1">
      <alignment horizontal="center" vertical="center"/>
    </xf>
    <xf numFmtId="0" fontId="138" fillId="0" borderId="0" xfId="1" applyFont="1" applyAlignment="1">
      <alignment horizontal="center" vertical="center"/>
    </xf>
    <xf numFmtId="0" fontId="99" fillId="0" borderId="1" xfId="1" applyFont="1" applyBorder="1" applyAlignment="1">
      <alignment horizontal="center" vertical="center"/>
    </xf>
    <xf numFmtId="0" fontId="139" fillId="0" borderId="1" xfId="1" applyFont="1" applyBorder="1" applyAlignment="1">
      <alignment horizontal="center" vertical="center"/>
    </xf>
    <xf numFmtId="0" fontId="140" fillId="0" borderId="1" xfId="1" applyFont="1" applyBorder="1" applyAlignment="1">
      <alignment horizontal="center" vertical="center"/>
    </xf>
    <xf numFmtId="0" fontId="141" fillId="0" borderId="1" xfId="1" applyFont="1" applyBorder="1" applyAlignment="1">
      <alignment horizontal="right" vertical="center"/>
    </xf>
    <xf numFmtId="0" fontId="30" fillId="0" borderId="1" xfId="1" applyFont="1" applyBorder="1" applyAlignment="1">
      <alignment horizontal="center" vertical="center"/>
    </xf>
    <xf numFmtId="0" fontId="32" fillId="4" borderId="1" xfId="1" applyFont="1" applyFill="1" applyBorder="1" applyAlignment="1">
      <alignment horizontal="center" vertical="center" wrapText="1"/>
    </xf>
    <xf numFmtId="0" fontId="83" fillId="4" borderId="1" xfId="1" applyFont="1" applyFill="1" applyBorder="1" applyAlignment="1">
      <alignment horizontal="center" vertical="center" wrapText="1"/>
    </xf>
    <xf numFmtId="0" fontId="142" fillId="12" borderId="1" xfId="0" applyFont="1" applyFill="1" applyBorder="1">
      <alignment vertical="center"/>
    </xf>
    <xf numFmtId="0" fontId="142" fillId="0" borderId="1" xfId="0" applyFont="1" applyBorder="1">
      <alignment vertical="center"/>
    </xf>
    <xf numFmtId="0" fontId="143" fillId="0" borderId="1" xfId="0" applyFont="1" applyBorder="1">
      <alignment vertical="center"/>
    </xf>
    <xf numFmtId="0" fontId="142" fillId="22" borderId="1" xfId="0" applyFont="1" applyFill="1" applyBorder="1">
      <alignment vertical="center"/>
    </xf>
    <xf numFmtId="0" fontId="143" fillId="22" borderId="1" xfId="0" applyFont="1" applyFill="1" applyBorder="1">
      <alignment vertical="center"/>
    </xf>
    <xf numFmtId="176" fontId="111" fillId="15" borderId="0" xfId="0" applyNumberFormat="1" applyFont="1" applyFill="1" applyAlignment="1">
      <alignment horizontal="center" vertical="center"/>
    </xf>
    <xf numFmtId="0" fontId="106" fillId="0" borderId="0" xfId="0" applyFont="1" applyAlignment="1">
      <alignment horizontal="left" vertical="center"/>
    </xf>
    <xf numFmtId="176" fontId="62" fillId="14" borderId="0" xfId="0" applyNumberFormat="1" applyFont="1" applyFill="1" applyAlignment="1">
      <alignment horizontal="center" vertical="center"/>
    </xf>
    <xf numFmtId="0" fontId="106" fillId="0" borderId="0" xfId="0" applyFont="1" applyAlignment="1">
      <alignment horizontal="left" vertical="center" indent="1"/>
    </xf>
    <xf numFmtId="0" fontId="8" fillId="0" borderId="0" xfId="1" applyFont="1" applyAlignment="1">
      <alignment horizontal="center" vertical="center"/>
    </xf>
    <xf numFmtId="0" fontId="8" fillId="0" borderId="0" xfId="1" applyFont="1"/>
    <xf numFmtId="0" fontId="85" fillId="4" borderId="2" xfId="1" applyFont="1" applyFill="1" applyBorder="1" applyAlignment="1">
      <alignment horizontal="center" vertical="center"/>
    </xf>
    <xf numFmtId="176" fontId="111" fillId="15" borderId="0" xfId="0" applyNumberFormat="1" applyFont="1" applyFill="1" applyAlignment="1">
      <alignment horizontal="left" vertical="center"/>
    </xf>
    <xf numFmtId="0" fontId="144" fillId="17" borderId="0" xfId="0" applyFont="1" applyFill="1" applyAlignment="1">
      <alignment horizontal="left"/>
    </xf>
    <xf numFmtId="0" fontId="145" fillId="4" borderId="2" xfId="1" applyFont="1" applyFill="1" applyBorder="1" applyAlignment="1">
      <alignment horizontal="center" vertical="center"/>
    </xf>
    <xf numFmtId="0" fontId="148" fillId="5" borderId="2" xfId="0" applyFont="1" applyFill="1" applyBorder="1">
      <alignment vertical="center"/>
    </xf>
    <xf numFmtId="0" fontId="150" fillId="5" borderId="2" xfId="0" applyFont="1" applyFill="1" applyBorder="1">
      <alignment vertical="center"/>
    </xf>
    <xf numFmtId="0" fontId="151" fillId="17" borderId="0" xfId="0" applyFont="1" applyFill="1" applyAlignment="1">
      <alignment horizontal="left"/>
    </xf>
    <xf numFmtId="0" fontId="149" fillId="0" borderId="2" xfId="0" applyFont="1" applyBorder="1">
      <alignment vertical="center"/>
    </xf>
    <xf numFmtId="0" fontId="150" fillId="0" borderId="2" xfId="0" applyFont="1" applyBorder="1">
      <alignment vertical="center"/>
    </xf>
    <xf numFmtId="0" fontId="150" fillId="0" borderId="4" xfId="0" applyFont="1" applyBorder="1">
      <alignment vertical="center"/>
    </xf>
    <xf numFmtId="0" fontId="145" fillId="4" borderId="2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58" fillId="12" borderId="1" xfId="2" applyFont="1" applyFill="1" applyBorder="1" applyAlignment="1">
      <alignment horizontal="center" vertical="center"/>
    </xf>
    <xf numFmtId="0" fontId="152" fillId="0" borderId="1" xfId="2" applyFont="1" applyBorder="1" applyAlignment="1">
      <alignment horizontal="left" vertical="center" indent="1"/>
    </xf>
    <xf numFmtId="0" fontId="154" fillId="0" borderId="1" xfId="2" applyFont="1" applyBorder="1" applyAlignment="1">
      <alignment horizontal="left" vertical="center" indent="1"/>
    </xf>
    <xf numFmtId="0" fontId="4" fillId="0" borderId="0" xfId="1" applyFont="1" applyAlignment="1">
      <alignment horizontal="left" vertical="center"/>
    </xf>
    <xf numFmtId="0" fontId="136" fillId="0" borderId="0" xfId="1" applyFont="1" applyAlignment="1">
      <alignment horizontal="left" vertical="center"/>
    </xf>
    <xf numFmtId="178" fontId="19" fillId="0" borderId="1" xfId="1" applyNumberFormat="1" applyFont="1" applyBorder="1" applyAlignment="1">
      <alignment horizontal="center" vertical="center"/>
    </xf>
    <xf numFmtId="0" fontId="155" fillId="0" borderId="0" xfId="1" applyFont="1"/>
    <xf numFmtId="0" fontId="156" fillId="0" borderId="0" xfId="1" applyFont="1" applyAlignment="1">
      <alignment horizontal="center" vertical="center"/>
    </xf>
    <xf numFmtId="0" fontId="157" fillId="0" borderId="0" xfId="1" applyFont="1" applyAlignment="1">
      <alignment vertical="center"/>
    </xf>
    <xf numFmtId="0" fontId="84" fillId="4" borderId="1" xfId="1" applyFont="1" applyFill="1" applyBorder="1" applyAlignment="1">
      <alignment horizontal="center" vertical="center"/>
    </xf>
    <xf numFmtId="0" fontId="158" fillId="0" borderId="2" xfId="0" applyFont="1" applyBorder="1">
      <alignment vertical="center"/>
    </xf>
    <xf numFmtId="0" fontId="159" fillId="0" borderId="0" xfId="1" applyFont="1" applyAlignment="1">
      <alignment horizontal="center" vertical="center"/>
    </xf>
    <xf numFmtId="178" fontId="30" fillId="0" borderId="1" xfId="1" applyNumberFormat="1" applyFont="1" applyBorder="1" applyAlignment="1">
      <alignment vertical="center"/>
    </xf>
    <xf numFmtId="0" fontId="30" fillId="14" borderId="1" xfId="1" applyFont="1" applyFill="1" applyBorder="1" applyAlignment="1">
      <alignment horizontal="center" vertical="center"/>
    </xf>
    <xf numFmtId="0" fontId="160" fillId="0" borderId="0" xfId="1" applyFont="1" applyAlignment="1">
      <alignment vertical="center"/>
    </xf>
    <xf numFmtId="0" fontId="161" fillId="0" borderId="1" xfId="0" applyFont="1" applyBorder="1" applyAlignment="1">
      <alignment horizontal="center" vertical="center"/>
    </xf>
    <xf numFmtId="0" fontId="163" fillId="13" borderId="1" xfId="0" applyFont="1" applyFill="1" applyBorder="1" applyAlignment="1">
      <alignment horizontal="center" vertical="center"/>
    </xf>
    <xf numFmtId="0" fontId="162" fillId="13" borderId="1" xfId="0" applyFont="1" applyFill="1" applyBorder="1" applyAlignment="1">
      <alignment horizontal="center" vertical="center"/>
    </xf>
    <xf numFmtId="0" fontId="125" fillId="0" borderId="1" xfId="0" applyFont="1" applyBorder="1" applyAlignment="1">
      <alignment horizontal="center" vertical="center"/>
    </xf>
    <xf numFmtId="0" fontId="106" fillId="0" borderId="0" xfId="0" applyFont="1">
      <alignment vertical="center"/>
    </xf>
    <xf numFmtId="0" fontId="164" fillId="0" borderId="0" xfId="0" applyFont="1">
      <alignment vertical="center"/>
    </xf>
    <xf numFmtId="0" fontId="164" fillId="0" borderId="0" xfId="0" applyFont="1" applyAlignment="1">
      <alignment horizontal="center" vertical="center"/>
    </xf>
    <xf numFmtId="0" fontId="106" fillId="24" borderId="1" xfId="0" applyFont="1" applyFill="1" applyBorder="1" applyAlignment="1">
      <alignment horizontal="center" vertical="center"/>
    </xf>
    <xf numFmtId="0" fontId="166" fillId="0" borderId="1" xfId="0" applyFont="1" applyBorder="1" applyAlignment="1">
      <alignment horizontal="center" vertical="center"/>
    </xf>
    <xf numFmtId="0" fontId="164" fillId="0" borderId="1" xfId="0" applyFont="1" applyBorder="1" applyAlignment="1">
      <alignment horizontal="center" vertical="center"/>
    </xf>
    <xf numFmtId="0" fontId="164" fillId="0" borderId="1" xfId="0" applyFont="1" applyBorder="1">
      <alignment vertical="center"/>
    </xf>
    <xf numFmtId="0" fontId="106" fillId="0" borderId="1" xfId="0" applyFont="1" applyBorder="1">
      <alignment vertical="center"/>
    </xf>
    <xf numFmtId="0" fontId="165" fillId="0" borderId="1" xfId="0" applyFont="1" applyBorder="1">
      <alignment vertical="center"/>
    </xf>
    <xf numFmtId="0" fontId="165" fillId="0" borderId="0" xfId="0" applyFont="1">
      <alignment vertical="center"/>
    </xf>
    <xf numFmtId="0" fontId="167" fillId="0" borderId="0" xfId="0" applyFont="1" applyAlignment="1">
      <alignment horizontal="center" vertical="center"/>
    </xf>
    <xf numFmtId="0" fontId="106" fillId="25" borderId="1" xfId="0" applyFont="1" applyFill="1" applyBorder="1" applyAlignment="1">
      <alignment horizontal="center" vertical="center"/>
    </xf>
    <xf numFmtId="0" fontId="168" fillId="0" borderId="0" xfId="0" applyFont="1">
      <alignment vertical="center"/>
    </xf>
    <xf numFmtId="0" fontId="169" fillId="5" borderId="0" xfId="0" applyFont="1" applyFill="1" applyAlignment="1">
      <alignment horizontal="center" vertical="center"/>
    </xf>
    <xf numFmtId="0" fontId="171" fillId="4" borderId="0" xfId="0" applyFont="1" applyFill="1" applyAlignment="1">
      <alignment horizontal="center" vertical="center"/>
    </xf>
    <xf numFmtId="0" fontId="171" fillId="4" borderId="13" xfId="0" applyFont="1" applyFill="1" applyBorder="1" applyAlignment="1">
      <alignment horizontal="center" vertical="center"/>
    </xf>
    <xf numFmtId="0" fontId="171" fillId="4" borderId="14" xfId="0" applyFont="1" applyFill="1" applyBorder="1" applyAlignment="1">
      <alignment horizontal="center" vertical="center"/>
    </xf>
    <xf numFmtId="0" fontId="172" fillId="0" borderId="4" xfId="0" applyFont="1" applyBorder="1" applyAlignment="1">
      <alignment horizontal="center" vertical="center"/>
    </xf>
    <xf numFmtId="0" fontId="173" fillId="7" borderId="15" xfId="0" applyFont="1" applyFill="1" applyBorder="1" applyAlignment="1">
      <alignment horizontal="center" vertical="center"/>
    </xf>
    <xf numFmtId="0" fontId="174" fillId="0" borderId="16" xfId="0" applyFont="1" applyBorder="1" applyAlignment="1">
      <alignment horizontal="center" vertical="center"/>
    </xf>
    <xf numFmtId="0" fontId="174" fillId="0" borderId="17" xfId="0" applyFont="1" applyBorder="1" applyAlignment="1">
      <alignment horizontal="center" vertical="center"/>
    </xf>
    <xf numFmtId="0" fontId="175" fillId="26" borderId="17" xfId="0" applyFont="1" applyFill="1" applyBorder="1" applyAlignment="1">
      <alignment horizontal="center" vertical="center"/>
    </xf>
    <xf numFmtId="0" fontId="176" fillId="0" borderId="17" xfId="0" applyFont="1" applyBorder="1" applyAlignment="1">
      <alignment horizontal="center" vertical="center"/>
    </xf>
    <xf numFmtId="0" fontId="174" fillId="5" borderId="16" xfId="0" applyFont="1" applyFill="1" applyBorder="1" applyAlignment="1">
      <alignment horizontal="center" vertical="center"/>
    </xf>
    <xf numFmtId="0" fontId="168" fillId="0" borderId="0" xfId="0" applyFont="1" applyAlignment="1">
      <alignment horizontal="center" vertical="center"/>
    </xf>
    <xf numFmtId="0" fontId="178" fillId="0" borderId="0" xfId="0" applyFont="1" applyAlignment="1">
      <alignment horizontal="center" vertical="center"/>
    </xf>
    <xf numFmtId="0" fontId="179" fillId="0" borderId="0" xfId="0" applyFont="1">
      <alignment vertical="center"/>
    </xf>
    <xf numFmtId="0" fontId="180" fillId="0" borderId="0" xfId="0" applyFont="1" applyAlignment="1">
      <alignment horizontal="center" vertical="center"/>
    </xf>
    <xf numFmtId="0" fontId="180" fillId="0" borderId="0" xfId="0" applyFont="1" applyAlignment="1">
      <alignment horizontal="left" vertical="center"/>
    </xf>
    <xf numFmtId="0" fontId="168" fillId="0" borderId="0" xfId="0" applyFont="1" applyAlignment="1"/>
    <xf numFmtId="0" fontId="181" fillId="0" borderId="0" xfId="0" applyFont="1" applyAlignment="1">
      <alignment horizontal="center" vertical="center"/>
    </xf>
    <xf numFmtId="0" fontId="180" fillId="0" borderId="0" xfId="0" applyFont="1">
      <alignment vertical="center"/>
    </xf>
    <xf numFmtId="0" fontId="171" fillId="4" borderId="2" xfId="0" applyFont="1" applyFill="1" applyBorder="1" applyAlignment="1">
      <alignment horizontal="center" vertical="center"/>
    </xf>
    <xf numFmtId="0" fontId="183" fillId="0" borderId="2" xfId="0" applyFont="1" applyBorder="1" applyAlignment="1">
      <alignment horizontal="center" vertical="center"/>
    </xf>
    <xf numFmtId="0" fontId="181" fillId="0" borderId="2" xfId="0" applyFont="1" applyBorder="1" applyAlignment="1">
      <alignment horizontal="center" vertical="center"/>
    </xf>
    <xf numFmtId="0" fontId="184" fillId="27" borderId="2" xfId="0" applyFont="1" applyFill="1" applyBorder="1" applyAlignment="1">
      <alignment horizontal="center" vertical="center"/>
    </xf>
    <xf numFmtId="0" fontId="185" fillId="28" borderId="2" xfId="0" applyFont="1" applyFill="1" applyBorder="1" applyAlignment="1">
      <alignment horizontal="center" vertical="center"/>
    </xf>
    <xf numFmtId="0" fontId="173" fillId="7" borderId="2" xfId="0" applyFont="1" applyFill="1" applyBorder="1" applyAlignment="1">
      <alignment horizontal="center"/>
    </xf>
    <xf numFmtId="0" fontId="187" fillId="29" borderId="2" xfId="0" applyFont="1" applyFill="1" applyBorder="1" applyAlignment="1">
      <alignment horizontal="center" vertical="center"/>
    </xf>
    <xf numFmtId="0" fontId="187" fillId="27" borderId="2" xfId="0" applyFont="1" applyFill="1" applyBorder="1" applyAlignment="1">
      <alignment horizontal="center" vertical="center"/>
    </xf>
    <xf numFmtId="0" fontId="188" fillId="0" borderId="0" xfId="0" applyFont="1">
      <alignment vertical="center"/>
    </xf>
    <xf numFmtId="0" fontId="173" fillId="7" borderId="2" xfId="0" applyFont="1" applyFill="1" applyBorder="1" applyAlignment="1">
      <alignment horizontal="left" indent="1"/>
    </xf>
    <xf numFmtId="0" fontId="181" fillId="0" borderId="2" xfId="0" applyFont="1" applyBorder="1" applyAlignment="1">
      <alignment horizontal="left" vertical="center"/>
    </xf>
    <xf numFmtId="0" fontId="189" fillId="23" borderId="2" xfId="0" applyFont="1" applyFill="1" applyBorder="1" applyAlignment="1">
      <alignment horizontal="left" vertical="center"/>
    </xf>
    <xf numFmtId="0" fontId="190" fillId="0" borderId="2" xfId="0" applyFont="1" applyBorder="1" applyAlignment="1">
      <alignment horizontal="center" vertical="center"/>
    </xf>
    <xf numFmtId="0" fontId="190" fillId="27" borderId="2" xfId="0" applyFont="1" applyFill="1" applyBorder="1" applyAlignment="1">
      <alignment horizontal="center" vertical="center"/>
    </xf>
    <xf numFmtId="0" fontId="30" fillId="8" borderId="2" xfId="0" applyFont="1" applyFill="1" applyBorder="1">
      <alignment vertical="center"/>
    </xf>
    <xf numFmtId="0" fontId="191" fillId="0" borderId="0" xfId="0" applyFont="1" applyAlignment="1">
      <alignment horizontal="center" vertical="center"/>
    </xf>
    <xf numFmtId="0" fontId="194" fillId="0" borderId="1" xfId="0" applyFont="1" applyBorder="1" applyAlignment="1">
      <alignment horizontal="center" vertical="center" wrapText="1"/>
    </xf>
    <xf numFmtId="0" fontId="50" fillId="0" borderId="1" xfId="0" applyFont="1" applyBorder="1" applyAlignment="1">
      <alignment horizontal="center" vertical="center" wrapText="1"/>
    </xf>
    <xf numFmtId="0" fontId="192" fillId="30" borderId="1" xfId="3" applyBorder="1" applyAlignment="1">
      <alignment horizontal="left" vertical="center" indent="1"/>
    </xf>
    <xf numFmtId="0" fontId="0" fillId="0" borderId="1" xfId="0" applyBorder="1" applyAlignment="1">
      <alignment horizontal="left" vertical="center" indent="2"/>
    </xf>
    <xf numFmtId="0" fontId="192" fillId="30" borderId="1" xfId="3" applyBorder="1" applyAlignment="1">
      <alignment horizontal="left" vertical="center" wrapText="1" indent="1"/>
    </xf>
    <xf numFmtId="0" fontId="195" fillId="2" borderId="1" xfId="0" applyFont="1" applyFill="1" applyBorder="1" applyAlignment="1">
      <alignment horizontal="center" vertical="center" wrapText="1"/>
    </xf>
    <xf numFmtId="0" fontId="196" fillId="2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horizontal="left" vertical="center" indent="2"/>
    </xf>
    <xf numFmtId="0" fontId="197" fillId="4" borderId="2" xfId="1" applyFont="1" applyFill="1" applyBorder="1" applyAlignment="1">
      <alignment horizontal="center" vertical="center"/>
    </xf>
    <xf numFmtId="0" fontId="68" fillId="0" borderId="1" xfId="0" applyFont="1" applyBorder="1" applyAlignment="1">
      <alignment horizontal="left" vertical="center" indent="1"/>
    </xf>
    <xf numFmtId="0" fontId="198" fillId="0" borderId="1" xfId="0" applyFont="1" applyBorder="1" applyAlignment="1">
      <alignment horizontal="left" vertical="center" indent="2"/>
    </xf>
    <xf numFmtId="0" fontId="197" fillId="4" borderId="1" xfId="1" applyFont="1" applyFill="1" applyBorder="1" applyAlignment="1">
      <alignment horizontal="center" vertical="center"/>
    </xf>
    <xf numFmtId="0" fontId="62" fillId="14" borderId="1" xfId="0" applyFont="1" applyFill="1" applyBorder="1" applyAlignment="1">
      <alignment horizontal="left" vertical="center" indent="1"/>
    </xf>
    <xf numFmtId="0" fontId="62" fillId="14" borderId="1" xfId="0" applyFont="1" applyFill="1" applyBorder="1" applyAlignment="1">
      <alignment horizontal="center" vertical="center"/>
    </xf>
    <xf numFmtId="0" fontId="193" fillId="0" borderId="0" xfId="0" applyFont="1">
      <alignment vertical="center"/>
    </xf>
    <xf numFmtId="0" fontId="199" fillId="0" borderId="1" xfId="1" applyFont="1" applyBorder="1" applyAlignment="1">
      <alignment horizontal="center" vertical="center"/>
    </xf>
    <xf numFmtId="0" fontId="200" fillId="30" borderId="1" xfId="3" applyFont="1" applyBorder="1" applyAlignment="1">
      <alignment horizontal="left" vertical="center" indent="1"/>
    </xf>
    <xf numFmtId="0" fontId="200" fillId="30" borderId="1" xfId="3" applyFont="1" applyBorder="1" applyAlignment="1">
      <alignment horizontal="left" vertical="center" wrapText="1" indent="1"/>
    </xf>
    <xf numFmtId="0" fontId="201" fillId="30" borderId="1" xfId="3" applyFont="1" applyBorder="1" applyAlignment="1">
      <alignment horizontal="left" vertical="center" indent="1"/>
    </xf>
    <xf numFmtId="0" fontId="202" fillId="0" borderId="1" xfId="1" applyFont="1" applyBorder="1" applyAlignment="1">
      <alignment horizontal="center" vertical="center"/>
    </xf>
    <xf numFmtId="0" fontId="203" fillId="0" borderId="1" xfId="0" applyFont="1" applyBorder="1" applyAlignment="1">
      <alignment horizontal="left" vertical="center" indent="2"/>
    </xf>
    <xf numFmtId="0" fontId="204" fillId="0" borderId="1" xfId="0" applyFont="1" applyBorder="1" applyAlignment="1">
      <alignment horizontal="left" vertical="center" indent="2"/>
    </xf>
    <xf numFmtId="0" fontId="203" fillId="0" borderId="1" xfId="0" applyFont="1" applyBorder="1" applyAlignment="1">
      <alignment horizontal="center" vertical="center"/>
    </xf>
    <xf numFmtId="0" fontId="205" fillId="0" borderId="1" xfId="0" applyFont="1" applyBorder="1" applyAlignment="1">
      <alignment horizontal="left" vertical="center" indent="1"/>
    </xf>
    <xf numFmtId="0" fontId="206" fillId="0" borderId="1" xfId="0" applyFont="1" applyBorder="1" applyAlignment="1">
      <alignment horizontal="left" vertical="center" indent="1"/>
    </xf>
    <xf numFmtId="0" fontId="207" fillId="0" borderId="0" xfId="1" applyFont="1" applyAlignment="1">
      <alignment horizontal="center" vertical="center"/>
    </xf>
    <xf numFmtId="0" fontId="207" fillId="0" borderId="1" xfId="1" applyFont="1" applyBorder="1" applyAlignment="1">
      <alignment horizontal="center" vertical="center"/>
    </xf>
    <xf numFmtId="0" fontId="208" fillId="0" borderId="1" xfId="0" applyFont="1" applyBorder="1" applyAlignment="1">
      <alignment horizontal="left" vertical="center" indent="2"/>
    </xf>
    <xf numFmtId="0" fontId="19" fillId="0" borderId="2" xfId="0" applyFont="1" applyBorder="1" applyAlignment="1">
      <alignment horizontal="left" vertical="center" indent="1"/>
    </xf>
    <xf numFmtId="0" fontId="209" fillId="0" borderId="2" xfId="0" applyFont="1" applyBorder="1">
      <alignment vertical="center"/>
    </xf>
    <xf numFmtId="0" fontId="148" fillId="0" borderId="2" xfId="0" applyFont="1" applyBorder="1">
      <alignment vertical="center"/>
    </xf>
    <xf numFmtId="0" fontId="210" fillId="0" borderId="2" xfId="0" applyFont="1" applyBorder="1">
      <alignment vertical="center"/>
    </xf>
    <xf numFmtId="0" fontId="148" fillId="0" borderId="2" xfId="0" applyFont="1" applyBorder="1" applyAlignment="1">
      <alignment horizontal="center" vertical="center"/>
    </xf>
    <xf numFmtId="0" fontId="99" fillId="0" borderId="2" xfId="0" applyFont="1" applyBorder="1" applyAlignment="1">
      <alignment horizontal="left" vertical="center" indent="2"/>
    </xf>
    <xf numFmtId="0" fontId="99" fillId="5" borderId="2" xfId="0" applyFont="1" applyFill="1" applyBorder="1" applyAlignment="1">
      <alignment horizontal="left" vertical="center" indent="2"/>
    </xf>
    <xf numFmtId="0" fontId="99" fillId="7" borderId="2" xfId="0" applyFont="1" applyFill="1" applyBorder="1" applyAlignment="1">
      <alignment horizontal="left" vertical="center" indent="2"/>
    </xf>
    <xf numFmtId="0" fontId="212" fillId="0" borderId="2" xfId="0" applyFont="1" applyBorder="1" applyAlignment="1">
      <alignment horizontal="left" vertical="center" indent="2"/>
    </xf>
    <xf numFmtId="0" fontId="99" fillId="5" borderId="2" xfId="0" applyFont="1" applyFill="1" applyBorder="1" applyAlignment="1">
      <alignment horizontal="center" vertical="center"/>
    </xf>
    <xf numFmtId="0" fontId="99" fillId="0" borderId="2" xfId="0" applyFont="1" applyBorder="1" applyAlignment="1">
      <alignment horizontal="center" vertical="center"/>
    </xf>
    <xf numFmtId="0" fontId="30" fillId="0" borderId="2" xfId="0" applyFont="1" applyBorder="1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horizontal="left" vertical="center" indent="4"/>
    </xf>
    <xf numFmtId="176" fontId="37" fillId="15" borderId="0" xfId="0" applyNumberFormat="1" applyFont="1" applyFill="1" applyAlignment="1">
      <alignment horizontal="left" vertical="center" indent="4"/>
    </xf>
    <xf numFmtId="0" fontId="19" fillId="0" borderId="18" xfId="0" applyFont="1" applyBorder="1" applyAlignment="1">
      <alignment horizontal="left" vertical="center" indent="4"/>
    </xf>
    <xf numFmtId="0" fontId="19" fillId="0" borderId="2" xfId="0" applyFont="1" applyBorder="1" applyAlignment="1">
      <alignment horizontal="left" vertical="center" indent="4"/>
    </xf>
    <xf numFmtId="0" fontId="23" fillId="5" borderId="2" xfId="0" applyFont="1" applyFill="1" applyBorder="1" applyAlignment="1">
      <alignment horizontal="left" vertical="center" indent="4"/>
    </xf>
    <xf numFmtId="0" fontId="25" fillId="7" borderId="2" xfId="0" applyFont="1" applyFill="1" applyBorder="1" applyAlignment="1">
      <alignment horizontal="left" vertical="center" indent="4"/>
    </xf>
    <xf numFmtId="0" fontId="211" fillId="7" borderId="2" xfId="0" applyFont="1" applyFill="1" applyBorder="1" applyAlignment="1">
      <alignment horizontal="left" vertical="center" indent="4"/>
    </xf>
    <xf numFmtId="0" fontId="148" fillId="0" borderId="2" xfId="0" applyFont="1" applyBorder="1" applyAlignment="1">
      <alignment horizontal="left" vertical="center" indent="4"/>
    </xf>
    <xf numFmtId="0" fontId="213" fillId="4" borderId="2" xfId="0" applyFont="1" applyFill="1" applyBorder="1" applyAlignment="1">
      <alignment horizontal="center" vertical="center"/>
    </xf>
    <xf numFmtId="0" fontId="214" fillId="4" borderId="2" xfId="0" applyFont="1" applyFill="1" applyBorder="1" applyAlignment="1">
      <alignment horizontal="center" vertical="center"/>
    </xf>
    <xf numFmtId="0" fontId="215" fillId="4" borderId="2" xfId="0" applyFont="1" applyFill="1" applyBorder="1" applyAlignment="1">
      <alignment horizontal="center" vertical="center"/>
    </xf>
    <xf numFmtId="0" fontId="215" fillId="0" borderId="0" xfId="0" applyFont="1" applyAlignment="1">
      <alignment horizontal="center" vertical="center"/>
    </xf>
    <xf numFmtId="0" fontId="215" fillId="4" borderId="0" xfId="0" applyFont="1" applyFill="1" applyAlignment="1">
      <alignment horizontal="center" vertical="center"/>
    </xf>
    <xf numFmtId="0" fontId="216" fillId="0" borderId="0" xfId="0" applyFont="1">
      <alignment vertical="center"/>
    </xf>
    <xf numFmtId="0" fontId="217" fillId="4" borderId="2" xfId="0" applyFont="1" applyFill="1" applyBorder="1" applyAlignment="1">
      <alignment horizontal="center" vertical="center"/>
    </xf>
    <xf numFmtId="0" fontId="218" fillId="4" borderId="2" xfId="0" applyFont="1" applyFill="1" applyBorder="1" applyAlignment="1">
      <alignment horizontal="center" vertical="center"/>
    </xf>
    <xf numFmtId="176" fontId="37" fillId="15" borderId="0" xfId="0" applyNumberFormat="1" applyFont="1" applyFill="1" applyAlignment="1">
      <alignment horizontal="left" vertical="center" indent="1"/>
    </xf>
    <xf numFmtId="0" fontId="19" fillId="0" borderId="2" xfId="0" applyFont="1" applyBorder="1" applyAlignment="1">
      <alignment horizontal="left" vertical="center" indent="3"/>
    </xf>
    <xf numFmtId="0" fontId="23" fillId="5" borderId="2" xfId="0" applyFont="1" applyFill="1" applyBorder="1" applyAlignment="1">
      <alignment horizontal="left" vertical="center" indent="3"/>
    </xf>
    <xf numFmtId="0" fontId="25" fillId="7" borderId="2" xfId="0" applyFont="1" applyFill="1" applyBorder="1" applyAlignment="1">
      <alignment horizontal="left" vertical="center" indent="3"/>
    </xf>
    <xf numFmtId="0" fontId="211" fillId="7" borderId="2" xfId="0" applyFont="1" applyFill="1" applyBorder="1" applyAlignment="1">
      <alignment horizontal="left" vertical="center" indent="3"/>
    </xf>
    <xf numFmtId="0" fontId="148" fillId="0" borderId="2" xfId="0" applyFont="1" applyBorder="1" applyAlignment="1">
      <alignment horizontal="left" vertical="center" indent="3"/>
    </xf>
    <xf numFmtId="0" fontId="99" fillId="0" borderId="18" xfId="0" applyFont="1" applyBorder="1" applyAlignment="1">
      <alignment horizontal="left" vertical="center" indent="1"/>
    </xf>
    <xf numFmtId="0" fontId="212" fillId="0" borderId="18" xfId="0" applyFont="1" applyBorder="1" applyAlignment="1">
      <alignment horizontal="left" vertical="center" indent="1"/>
    </xf>
    <xf numFmtId="0" fontId="19" fillId="0" borderId="19" xfId="0" applyFont="1" applyBorder="1" applyAlignment="1">
      <alignment horizontal="left" vertical="center" indent="2"/>
    </xf>
    <xf numFmtId="0" fontId="213" fillId="4" borderId="5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left" vertical="center" indent="1"/>
    </xf>
    <xf numFmtId="0" fontId="219" fillId="0" borderId="18" xfId="0" applyFont="1" applyBorder="1" applyAlignment="1">
      <alignment horizontal="left" vertical="center" indent="1"/>
    </xf>
    <xf numFmtId="0" fontId="5" fillId="0" borderId="0" xfId="1" applyFont="1" applyAlignment="1">
      <alignment horizontal="left" vertical="center" indent="2"/>
    </xf>
    <xf numFmtId="0" fontId="11" fillId="0" borderId="1" xfId="1" applyFont="1" applyBorder="1" applyAlignment="1">
      <alignment horizontal="left" vertical="center" wrapText="1" indent="2"/>
    </xf>
    <xf numFmtId="0" fontId="11" fillId="11" borderId="1" xfId="1" applyFont="1" applyFill="1" applyBorder="1" applyAlignment="1">
      <alignment horizontal="left" vertical="center" wrapText="1" indent="2"/>
    </xf>
    <xf numFmtId="0" fontId="52" fillId="0" borderId="1" xfId="1" applyFont="1" applyBorder="1" applyAlignment="1">
      <alignment horizontal="left" vertical="center" wrapText="1" indent="2"/>
    </xf>
    <xf numFmtId="0" fontId="12" fillId="0" borderId="1" xfId="1" applyFont="1" applyBorder="1" applyAlignment="1">
      <alignment horizontal="left" vertical="center" indent="2"/>
    </xf>
    <xf numFmtId="0" fontId="12" fillId="0" borderId="1" xfId="1" applyFont="1" applyBorder="1" applyAlignment="1">
      <alignment horizontal="center" vertical="center"/>
    </xf>
    <xf numFmtId="0" fontId="220" fillId="0" borderId="1" xfId="1" applyFont="1" applyBorder="1" applyAlignment="1">
      <alignment horizontal="center" vertical="center" wrapText="1"/>
    </xf>
    <xf numFmtId="0" fontId="74" fillId="0" borderId="1" xfId="0" applyFont="1" applyBorder="1" applyAlignment="1">
      <alignment horizontal="left" vertical="center" indent="2"/>
    </xf>
    <xf numFmtId="0" fontId="79" fillId="0" borderId="1" xfId="0" applyFont="1" applyBorder="1" applyAlignment="1">
      <alignment horizontal="left" vertical="center"/>
    </xf>
    <xf numFmtId="0" fontId="36" fillId="14" borderId="0" xfId="0" applyFont="1" applyFill="1" applyAlignment="1">
      <alignment horizontal="left" vertical="center"/>
    </xf>
    <xf numFmtId="0" fontId="221" fillId="0" borderId="0" xfId="0" applyFont="1" applyAlignment="1">
      <alignment horizontal="left" vertical="center"/>
    </xf>
    <xf numFmtId="0" fontId="79" fillId="0" borderId="1" xfId="0" applyFont="1" applyBorder="1" applyAlignment="1">
      <alignment horizontal="left" vertical="center" indent="1"/>
    </xf>
    <xf numFmtId="0" fontId="79" fillId="0" borderId="1" xfId="0" applyFont="1" applyBorder="1" applyAlignment="1">
      <alignment horizontal="left" vertical="center" indent="3"/>
    </xf>
    <xf numFmtId="0" fontId="127" fillId="0" borderId="0" xfId="0" applyFont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6" fillId="0" borderId="1" xfId="0" applyFont="1" applyBorder="1" applyAlignment="1">
      <alignment horizontal="left" vertical="center" indent="1"/>
    </xf>
    <xf numFmtId="0" fontId="17" fillId="0" borderId="0" xfId="1" applyFont="1" applyAlignment="1">
      <alignment horizontal="center"/>
    </xf>
    <xf numFmtId="0" fontId="223" fillId="0" borderId="0" xfId="0" applyFont="1">
      <alignment vertical="center"/>
    </xf>
    <xf numFmtId="0" fontId="224" fillId="0" borderId="1" xfId="0" applyFont="1" applyBorder="1" applyAlignment="1">
      <alignment horizontal="center" vertical="center"/>
    </xf>
    <xf numFmtId="0" fontId="22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2"/>
    </xf>
    <xf numFmtId="0" fontId="17" fillId="0" borderId="1" xfId="0" applyFont="1" applyBorder="1" applyAlignment="1">
      <alignment horizontal="left" vertical="center" indent="2"/>
    </xf>
    <xf numFmtId="0" fontId="226" fillId="4" borderId="2" xfId="0" applyFont="1" applyFill="1" applyBorder="1" applyAlignment="1">
      <alignment horizontal="center" vertical="center"/>
    </xf>
    <xf numFmtId="0" fontId="170" fillId="4" borderId="5" xfId="0" applyFont="1" applyFill="1" applyBorder="1" applyAlignment="1">
      <alignment horizontal="center" vertical="center"/>
    </xf>
    <xf numFmtId="0" fontId="170" fillId="4" borderId="4" xfId="0" applyFont="1" applyFill="1" applyBorder="1" applyAlignment="1">
      <alignment horizontal="center" vertical="center"/>
    </xf>
    <xf numFmtId="0" fontId="170" fillId="4" borderId="11" xfId="0" applyFont="1" applyFill="1" applyBorder="1" applyAlignment="1">
      <alignment horizontal="center" vertical="center"/>
    </xf>
    <xf numFmtId="0" fontId="170" fillId="4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6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106" fillId="0" borderId="1" xfId="0" applyFont="1" applyBorder="1" applyAlignment="1">
      <alignment horizontal="center" vertical="center"/>
    </xf>
    <xf numFmtId="0" fontId="166" fillId="0" borderId="8" xfId="0" applyFont="1" applyBorder="1" applyAlignment="1">
      <alignment horizontal="center" vertical="center"/>
    </xf>
    <xf numFmtId="0" fontId="166" fillId="0" borderId="9" xfId="0" applyFont="1" applyBorder="1" applyAlignment="1">
      <alignment horizontal="center" vertical="center"/>
    </xf>
    <xf numFmtId="0" fontId="166" fillId="0" borderId="10" xfId="0" applyFont="1" applyBorder="1" applyAlignment="1">
      <alignment horizontal="center" vertical="center"/>
    </xf>
    <xf numFmtId="0" fontId="164" fillId="0" borderId="0" xfId="0" applyFont="1" applyAlignment="1">
      <alignment horizontal="left" vertical="center" wrapText="1"/>
    </xf>
    <xf numFmtId="0" fontId="182" fillId="0" borderId="4" xfId="0" applyFont="1" applyBorder="1" applyAlignment="1"/>
    <xf numFmtId="0" fontId="170" fillId="4" borderId="5" xfId="0" applyFont="1" applyFill="1" applyBorder="1" applyAlignment="1">
      <alignment horizontal="center" vertical="center" wrapText="1"/>
    </xf>
    <xf numFmtId="0" fontId="170" fillId="4" borderId="0" xfId="0" applyFont="1" applyFill="1" applyAlignment="1">
      <alignment horizontal="center" vertical="center"/>
    </xf>
    <xf numFmtId="0" fontId="168" fillId="0" borderId="0" xfId="0" applyFont="1" applyAlignment="1"/>
    <xf numFmtId="0" fontId="227" fillId="2" borderId="1" xfId="0" applyFont="1" applyFill="1" applyBorder="1" applyAlignment="1">
      <alignment horizontal="center" vertical="center" wrapText="1"/>
    </xf>
    <xf numFmtId="0" fontId="228" fillId="0" borderId="1" xfId="0" applyFont="1" applyBorder="1" applyAlignment="1">
      <alignment horizontal="left" vertical="center" indent="2"/>
    </xf>
    <xf numFmtId="0" fontId="98" fillId="14" borderId="1" xfId="1" applyFont="1" applyFill="1" applyBorder="1" applyAlignment="1">
      <alignment horizontal="center" vertical="center"/>
    </xf>
    <xf numFmtId="0" fontId="224" fillId="14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68" fillId="14" borderId="1" xfId="0" applyFont="1" applyFill="1" applyBorder="1" applyAlignment="1">
      <alignment horizontal="center" vertical="center"/>
    </xf>
    <xf numFmtId="0" fontId="198" fillId="14" borderId="1" xfId="0" applyFont="1" applyFill="1" applyBorder="1" applyAlignment="1">
      <alignment horizontal="center" vertical="center"/>
    </xf>
    <xf numFmtId="0" fontId="36" fillId="14" borderId="1" xfId="0" applyFont="1" applyFill="1" applyBorder="1" applyAlignment="1">
      <alignment horizontal="center" vertical="center"/>
    </xf>
    <xf numFmtId="0" fontId="79" fillId="0" borderId="1" xfId="0" applyFont="1" applyBorder="1">
      <alignment vertical="center"/>
    </xf>
    <xf numFmtId="0" fontId="229" fillId="0" borderId="2" xfId="0" applyFont="1" applyBorder="1" applyAlignment="1">
      <alignment horizontal="center" vertical="center"/>
    </xf>
    <xf numFmtId="0" fontId="23" fillId="5" borderId="2" xfId="0" applyFont="1" applyFill="1" applyBorder="1" applyAlignment="1">
      <alignment horizontal="left" vertical="center" indent="1"/>
    </xf>
    <xf numFmtId="0" fontId="25" fillId="7" borderId="2" xfId="0" applyFont="1" applyFill="1" applyBorder="1" applyAlignment="1">
      <alignment horizontal="left" vertical="center" indent="1"/>
    </xf>
    <xf numFmtId="0" fontId="231" fillId="14" borderId="2" xfId="0" applyFont="1" applyFill="1" applyBorder="1" applyAlignment="1">
      <alignment horizontal="center" vertical="center"/>
    </xf>
    <xf numFmtId="0" fontId="30" fillId="14" borderId="2" xfId="0" applyFont="1" applyFill="1" applyBorder="1" applyAlignment="1">
      <alignment horizontal="left" vertical="center" indent="1"/>
    </xf>
    <xf numFmtId="0" fontId="229" fillId="0" borderId="2" xfId="0" applyFont="1" applyFill="1" applyBorder="1" applyAlignment="1">
      <alignment horizontal="center" vertical="center"/>
    </xf>
    <xf numFmtId="0" fontId="230" fillId="0" borderId="2" xfId="0" applyFont="1" applyFill="1" applyBorder="1" applyAlignment="1">
      <alignment horizontal="center" vertical="center"/>
    </xf>
    <xf numFmtId="0" fontId="232" fillId="0" borderId="2" xfId="0" applyFont="1" applyFill="1" applyBorder="1" applyAlignment="1">
      <alignment horizontal="center" vertical="center"/>
    </xf>
    <xf numFmtId="0" fontId="99" fillId="0" borderId="2" xfId="0" applyFont="1" applyFill="1" applyBorder="1" applyAlignment="1">
      <alignment horizontal="left" vertical="center" indent="1"/>
    </xf>
    <xf numFmtId="0" fontId="233" fillId="0" borderId="2" xfId="0" applyFont="1" applyBorder="1" applyAlignment="1">
      <alignment horizontal="center" vertical="center"/>
    </xf>
    <xf numFmtId="0" fontId="25" fillId="0" borderId="2" xfId="0" applyFont="1" applyFill="1" applyBorder="1" applyAlignment="1">
      <alignment horizontal="center" vertical="center"/>
    </xf>
    <xf numFmtId="0" fontId="99" fillId="0" borderId="2" xfId="0" applyFont="1" applyFill="1" applyBorder="1" applyAlignment="1">
      <alignment horizontal="center" vertical="center"/>
    </xf>
    <xf numFmtId="176" fontId="99" fillId="0" borderId="2" xfId="0" applyNumberFormat="1" applyFont="1" applyFill="1" applyBorder="1" applyAlignment="1">
      <alignment horizontal="right" vertical="center"/>
    </xf>
    <xf numFmtId="0" fontId="99" fillId="0" borderId="0" xfId="0" applyFont="1" applyFill="1" applyBorder="1" applyAlignment="1">
      <alignment horizontal="left" vertical="center" indent="1"/>
    </xf>
    <xf numFmtId="0" fontId="99" fillId="0" borderId="0" xfId="0" applyFont="1" applyFill="1" applyBorder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234" fillId="0" borderId="0" xfId="0" applyFont="1" applyAlignment="1">
      <alignment horizontal="left" vertical="center"/>
    </xf>
    <xf numFmtId="0" fontId="235" fillId="0" borderId="0" xfId="0" applyFont="1" applyAlignment="1">
      <alignment horizontal="left" vertical="center"/>
    </xf>
  </cellXfs>
  <cellStyles count="4">
    <cellStyle name="一般" xfId="0" builtinId="0"/>
    <cellStyle name="一般 2" xfId="1" xr:uid="{DE8FD42F-79EA-3A4F-AB90-DF8FC3774AA3}"/>
    <cellStyle name="一般 3" xfId="2" xr:uid="{2D3D8F7B-917A-BE4D-8D9A-7BBFAD05A116}"/>
    <cellStyle name="壞" xfId="3" builtinId="27"/>
  </cellStyles>
  <dxfs count="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theme="9" tint="0.59996337778862885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File:Tilde_(diacritic).svg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zh.wikipedia.org/wiki/File:Ring_above.svg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17</xdr:row>
      <xdr:rowOff>0</xdr:rowOff>
    </xdr:from>
    <xdr:to>
      <xdr:col>12</xdr:col>
      <xdr:colOff>101600</xdr:colOff>
      <xdr:row>17</xdr:row>
      <xdr:rowOff>152400</xdr:rowOff>
    </xdr:to>
    <xdr:pic>
      <xdr:nvPicPr>
        <xdr:cNvPr id="2" name="圖片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933CA7-FE07-2D2A-6AD2-744B7F6E3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7900" y="19558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101600</xdr:colOff>
      <xdr:row>17</xdr:row>
      <xdr:rowOff>139700</xdr:rowOff>
    </xdr:to>
    <xdr:pic>
      <xdr:nvPicPr>
        <xdr:cNvPr id="3" name="圖片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64897A6-EAF1-F0EA-BFCA-CCBADDAF5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0" y="1955800"/>
          <a:ext cx="101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&#33274;&#28771;&#38313;&#21335;&#35486;&#32645;&#39340;&#23383;&#25340;&#38899;&#26041;&#26696;" TargetMode="External"/><Relationship Id="rId2" Type="http://schemas.openxmlformats.org/officeDocument/2006/relationships/hyperlink" Target="https://zh.wikipedia.org/wiki/&#38313;&#21335;&#26041;&#35328;&#25340;&#38899;&#26041;&#26696;" TargetMode="External"/><Relationship Id="rId1" Type="http://schemas.openxmlformats.org/officeDocument/2006/relationships/hyperlink" Target="https://zh.wikipedia.org/wiki/&#22283;&#38555;&#38899;&#27161;" TargetMode="External"/><Relationship Id="rId6" Type="http://schemas.openxmlformats.org/officeDocument/2006/relationships/hyperlink" Target="https://zh.wikipedia.org/wiki/&#33274;&#28771;&#38313;&#21335;&#35486;&#32645;&#39340;&#23383;&#25340;&#38899;&#26041;&#26696;" TargetMode="External"/><Relationship Id="rId5" Type="http://schemas.openxmlformats.org/officeDocument/2006/relationships/hyperlink" Target="https://zh.wikipedia.org/wiki/&#38313;&#21335;&#26041;&#35328;&#25340;&#38899;&#26041;&#26696;" TargetMode="External"/><Relationship Id="rId4" Type="http://schemas.openxmlformats.org/officeDocument/2006/relationships/hyperlink" Target="https://zh.wikipedia.org/wiki/&#22283;&#38555;&#38899;&#27161;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&#28165;&#21897;&#25830;&#38899;" TargetMode="External"/><Relationship Id="rId3" Type="http://schemas.openxmlformats.org/officeDocument/2006/relationships/hyperlink" Target="https://zh.wikipedia.org/wiki/&#28165;&#36575;&#38990;&#22622;&#38899;" TargetMode="External"/><Relationship Id="rId7" Type="http://schemas.openxmlformats.org/officeDocument/2006/relationships/hyperlink" Target="https://zh.wikipedia.org/wiki/&#32882;&#38272;&#22622;&#38899;" TargetMode="External"/><Relationship Id="rId2" Type="http://schemas.openxmlformats.org/officeDocument/2006/relationships/hyperlink" Target="https://zh.wikipedia.org/wiki/&#28165;&#36575;&#38990;&#22622;&#38899;" TargetMode="External"/><Relationship Id="rId1" Type="http://schemas.openxmlformats.org/officeDocument/2006/relationships/hyperlink" Target="https://zh.wikipedia.org/wiki/&#28165;&#38617;&#21767;&#22622;&#38899;" TargetMode="External"/><Relationship Id="rId6" Type="http://schemas.openxmlformats.org/officeDocument/2006/relationships/hyperlink" Target="https://zh.wikipedia.org/wiki/&#28165;&#40786;&#40806;&#22622;&#38899;" TargetMode="External"/><Relationship Id="rId5" Type="http://schemas.openxmlformats.org/officeDocument/2006/relationships/hyperlink" Target="https://zh.wikipedia.org/wiki/&#28165;&#38617;&#21767;&#22622;&#38899;" TargetMode="External"/><Relationship Id="rId4" Type="http://schemas.openxmlformats.org/officeDocument/2006/relationships/hyperlink" Target="https://zh.wikipedia.org/wiki/&#28165;&#40786;&#40806;&#22622;&#38899;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&#33274;&#28771;&#38313;&#21335;&#35486;&#32645;&#39340;&#23383;&#25340;&#38899;&#26041;&#26696;" TargetMode="External"/><Relationship Id="rId2" Type="http://schemas.openxmlformats.org/officeDocument/2006/relationships/hyperlink" Target="https://zh.wikipedia.org/wiki/&#38313;&#21335;&#26041;&#35328;&#25340;&#38899;&#26041;&#26696;" TargetMode="External"/><Relationship Id="rId1" Type="http://schemas.openxmlformats.org/officeDocument/2006/relationships/hyperlink" Target="https://zh.wikipedia.org/wiki/&#22283;&#38555;&#38899;&#27161;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&#33274;&#28771;&#38313;&#21335;&#35486;&#32645;&#39340;&#23383;&#25340;&#38899;&#26041;&#26696;" TargetMode="External"/><Relationship Id="rId2" Type="http://schemas.openxmlformats.org/officeDocument/2006/relationships/hyperlink" Target="https://zh.wikipedia.org/wiki/&#38313;&#21335;&#26041;&#35328;&#25340;&#38899;&#26041;&#26696;" TargetMode="External"/><Relationship Id="rId1" Type="http://schemas.openxmlformats.org/officeDocument/2006/relationships/hyperlink" Target="https://zh.wikipedia.org/wiki/&#22283;&#38555;&#38899;&#27161;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&#28165;&#38617;&#21767;&#22622;&#38899;" TargetMode="External"/><Relationship Id="rId13" Type="http://schemas.openxmlformats.org/officeDocument/2006/relationships/hyperlink" Target="https://zh.wikipedia.org/wiki/&#38313;&#21335;&#26041;&#35328;&#25340;&#38899;&#26041;&#26696;" TargetMode="External"/><Relationship Id="rId3" Type="http://schemas.openxmlformats.org/officeDocument/2006/relationships/hyperlink" Target="https://zh.wikipedia.org/wiki/&#33274;&#28771;&#38313;&#21335;&#35486;&#32645;&#39340;&#23383;&#25340;&#38899;&#26041;&#26696;" TargetMode="External"/><Relationship Id="rId7" Type="http://schemas.openxmlformats.org/officeDocument/2006/relationships/hyperlink" Target="https://zh.wikipedia.org/wiki/&#28165;&#40786;&#40806;&#22622;&#38899;" TargetMode="External"/><Relationship Id="rId12" Type="http://schemas.openxmlformats.org/officeDocument/2006/relationships/hyperlink" Target="https://zh.wikipedia.org/wiki/&#22283;&#38555;&#38899;&#27161;" TargetMode="External"/><Relationship Id="rId2" Type="http://schemas.openxmlformats.org/officeDocument/2006/relationships/hyperlink" Target="https://zh.wikipedia.org/wiki/&#38313;&#21335;&#26041;&#35328;&#25340;&#38899;&#26041;&#26696;" TargetMode="External"/><Relationship Id="rId1" Type="http://schemas.openxmlformats.org/officeDocument/2006/relationships/hyperlink" Target="https://zh.wikipedia.org/wiki/&#22283;&#38555;&#38899;&#27161;" TargetMode="External"/><Relationship Id="rId6" Type="http://schemas.openxmlformats.org/officeDocument/2006/relationships/hyperlink" Target="https://zh.wikipedia.org/wiki/&#28165;&#36575;&#38990;&#22622;&#38899;" TargetMode="External"/><Relationship Id="rId11" Type="http://schemas.openxmlformats.org/officeDocument/2006/relationships/hyperlink" Target="https://zh.wikipedia.org/wiki/&#28165;&#21897;&#25830;&#38899;" TargetMode="External"/><Relationship Id="rId5" Type="http://schemas.openxmlformats.org/officeDocument/2006/relationships/hyperlink" Target="https://zh.wikipedia.org/wiki/&#28165;&#36575;&#38990;&#22622;&#38899;" TargetMode="External"/><Relationship Id="rId10" Type="http://schemas.openxmlformats.org/officeDocument/2006/relationships/hyperlink" Target="https://zh.wikipedia.org/wiki/&#32882;&#38272;&#22622;&#38899;" TargetMode="External"/><Relationship Id="rId4" Type="http://schemas.openxmlformats.org/officeDocument/2006/relationships/hyperlink" Target="https://zh.wikipedia.org/wiki/&#28165;&#38617;&#21767;&#22622;&#38899;" TargetMode="External"/><Relationship Id="rId9" Type="http://schemas.openxmlformats.org/officeDocument/2006/relationships/hyperlink" Target="https://zh.wikipedia.org/wiki/&#28165;&#40786;&#40806;&#22622;&#38899;" TargetMode="External"/><Relationship Id="rId14" Type="http://schemas.openxmlformats.org/officeDocument/2006/relationships/hyperlink" Target="https://zh.wikipedia.org/wiki/&#33274;&#28771;&#38313;&#21335;&#35486;&#32645;&#39340;&#23383;&#25340;&#38899;&#26041;&#26696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C4C1-90BE-AD4D-A8E0-6324E57A87ED}">
  <sheetPr codeName="工作表10">
    <tabColor rgb="FFFF0000"/>
  </sheetPr>
  <dimension ref="A1:Z24"/>
  <sheetViews>
    <sheetView showGridLines="0" topLeftCell="C3" workbookViewId="0">
      <selection activeCell="AB14" sqref="AB14"/>
    </sheetView>
  </sheetViews>
  <sheetFormatPr baseColWidth="10" defaultColWidth="10.8984375" defaultRowHeight="27" outlineLevelRow="1" outlineLevelCol="1"/>
  <cols>
    <col min="1" max="1" width="4" hidden="1" customWidth="1" outlineLevel="1"/>
    <col min="2" max="2" width="0" style="6" hidden="1" customWidth="1" outlineLevel="1"/>
    <col min="3" max="3" width="2.69921875" style="69" customWidth="1" collapsed="1"/>
    <col min="4" max="4" width="6.796875" style="69" customWidth="1"/>
    <col min="5" max="5" width="10.5" style="70" customWidth="1"/>
    <col min="6" max="9" width="12.5" style="71" customWidth="1"/>
    <col min="10" max="10" width="12.5" style="70" customWidth="1"/>
    <col min="11" max="11" width="12.5" style="71" customWidth="1"/>
    <col min="12" max="12" width="6.8984375" style="407"/>
    <col min="13" max="13" width="0" style="69" hidden="1" customWidth="1" outlineLevel="1"/>
    <col min="14" max="16" width="0" hidden="1" customWidth="1" outlineLevel="1"/>
    <col min="17" max="18" width="12.19921875" hidden="1" customWidth="1" outlineLevel="1"/>
    <col min="19" max="21" width="0" hidden="1" customWidth="1" outlineLevel="1"/>
    <col min="22" max="22" width="10.8984375" collapsed="1"/>
    <col min="24" max="24" width="0" hidden="1" customWidth="1" outlineLevel="1"/>
    <col min="25" max="25" width="10.8984375" collapsed="1"/>
  </cols>
  <sheetData>
    <row r="1" spans="2:26" ht="12" customHeight="1" outlineLevel="1"/>
    <row r="2" spans="2:26" ht="27" customHeight="1" outlineLevel="1">
      <c r="F2" s="143">
        <v>5</v>
      </c>
      <c r="G2" s="143">
        <v>6</v>
      </c>
      <c r="H2" s="143">
        <v>7</v>
      </c>
      <c r="I2" s="143">
        <v>6</v>
      </c>
      <c r="J2" s="144">
        <v>4</v>
      </c>
      <c r="K2" s="143">
        <v>3</v>
      </c>
      <c r="Y2" s="143">
        <v>8</v>
      </c>
      <c r="Z2" s="143">
        <v>4</v>
      </c>
    </row>
    <row r="3" spans="2:26" ht="23" outlineLevel="1">
      <c r="D3" s="102" cm="1">
        <f t="array" ref="D3">COLUMN()-COLUMN(($C:$C))</f>
        <v>1</v>
      </c>
      <c r="E3" s="102" cm="1">
        <f t="array" ref="E3">COLUMN()-COLUMN(($C:$C))</f>
        <v>2</v>
      </c>
      <c r="F3" s="102" cm="1">
        <f t="array" ref="F3">COLUMN()-COLUMN(($C:$C))</f>
        <v>3</v>
      </c>
      <c r="G3" s="102" cm="1">
        <f t="array" ref="G3">COLUMN()-COLUMN(($C:$C))</f>
        <v>4</v>
      </c>
      <c r="H3" s="102" cm="1">
        <f t="array" ref="H3">COLUMN()-COLUMN(($C:$C))</f>
        <v>5</v>
      </c>
      <c r="I3" s="102" cm="1">
        <f t="array" ref="I3">COLUMN()-COLUMN(($C:$C))</f>
        <v>6</v>
      </c>
      <c r="J3" s="102" cm="1">
        <f t="array" ref="J3">COLUMN()-COLUMN(($C:$C))</f>
        <v>7</v>
      </c>
      <c r="K3" s="102" cm="1">
        <f t="array" ref="K3">COLUMN()-COLUMN(($C:$C))</f>
        <v>8</v>
      </c>
    </row>
    <row r="4" spans="2:26" ht="21" customHeight="1"/>
    <row r="5" spans="2:26" ht="28">
      <c r="B5" s="127" t="s">
        <v>688</v>
      </c>
      <c r="C5" s="74"/>
      <c r="D5" s="19" t="s">
        <v>0</v>
      </c>
      <c r="E5" s="19" t="s">
        <v>5</v>
      </c>
      <c r="F5" s="19" t="s">
        <v>6</v>
      </c>
      <c r="G5" s="19" t="s">
        <v>2</v>
      </c>
      <c r="H5" s="19" t="s">
        <v>7</v>
      </c>
      <c r="I5" s="19" t="s">
        <v>3</v>
      </c>
      <c r="J5" s="19" t="s">
        <v>8</v>
      </c>
      <c r="K5" s="19" t="s">
        <v>9</v>
      </c>
      <c r="M5"/>
      <c r="V5" s="19" t="s">
        <v>0</v>
      </c>
      <c r="W5" s="430" t="s">
        <v>3677</v>
      </c>
      <c r="X5" s="167" t="s">
        <v>3678</v>
      </c>
      <c r="Y5" s="19" t="s">
        <v>9</v>
      </c>
      <c r="Z5" s="19" t="s">
        <v>2</v>
      </c>
    </row>
    <row r="6" spans="2:26" s="149" customFormat="1" ht="40" customHeight="1">
      <c r="B6" s="145" t="e">
        <f xml:space="preserve"> MATCH(E6, 十五音聲母清單!$C$5:$C$26,0)</f>
        <v>#N/A</v>
      </c>
      <c r="C6" s="146"/>
      <c r="D6" s="147">
        <v>1</v>
      </c>
      <c r="E6" s="325" t="s">
        <v>689</v>
      </c>
      <c r="F6" s="331" t="s">
        <v>16</v>
      </c>
      <c r="G6" s="409" t="s">
        <v>82</v>
      </c>
      <c r="H6" s="168" t="s">
        <v>16</v>
      </c>
      <c r="I6" s="168" t="s">
        <v>742</v>
      </c>
      <c r="J6" s="168" t="s">
        <v>742</v>
      </c>
      <c r="K6" s="332" t="s">
        <v>16</v>
      </c>
      <c r="L6" s="145"/>
      <c r="V6" s="147">
        <v>1</v>
      </c>
      <c r="W6" s="325" t="s">
        <v>22</v>
      </c>
      <c r="X6" s="438">
        <f xml:space="preserve"> MATCH(W6, 聲母碼,0)</f>
        <v>2</v>
      </c>
      <c r="Y6" s="402" t="str" cm="1">
        <f t="array" ref="Y6">INDEX(聲母碼表,$X6,Y$2)</f>
        <v>ㄅ</v>
      </c>
      <c r="Z6" s="402" t="str" cm="1">
        <f t="array" ref="Z6">INDEX(聲母碼表,$X6,Z$2)</f>
        <v>邊</v>
      </c>
    </row>
    <row r="7" spans="2:26" s="149" customFormat="1" ht="40" customHeight="1">
      <c r="B7" s="145">
        <f xml:space="preserve"> MATCH(E7, 十五音聲母清單!$C$5:$C$26,0)</f>
        <v>2</v>
      </c>
      <c r="C7" s="146"/>
      <c r="D7" s="147">
        <v>2</v>
      </c>
      <c r="E7" s="325" t="s">
        <v>24</v>
      </c>
      <c r="F7" s="168" t="s">
        <v>25</v>
      </c>
      <c r="G7" s="409" t="s">
        <v>23</v>
      </c>
      <c r="H7" s="168" t="s">
        <v>24</v>
      </c>
      <c r="I7" s="168" t="s">
        <v>24</v>
      </c>
      <c r="J7" s="406" t="s">
        <v>21</v>
      </c>
      <c r="K7" s="332" t="s">
        <v>26</v>
      </c>
      <c r="L7" s="145"/>
      <c r="V7" s="147">
        <v>2</v>
      </c>
      <c r="W7" s="325" t="s">
        <v>28</v>
      </c>
      <c r="X7" s="438">
        <f xml:space="preserve"> MATCH(W7, 聲母碼,0)</f>
        <v>4</v>
      </c>
      <c r="Y7" s="402" t="str" cm="1">
        <f t="array" ref="Y7">INDEX(聲母碼表,$X7,Y$2)</f>
        <v>ㄆ</v>
      </c>
      <c r="Z7" s="402" t="str" cm="1">
        <f t="array" ref="Z7">INDEX(聲母碼表,$X7,Z$2)</f>
        <v>頗</v>
      </c>
    </row>
    <row r="8" spans="2:26" s="149" customFormat="1" ht="40" customHeight="1">
      <c r="B8" s="145">
        <f xml:space="preserve"> MATCH(E8, 十五音聲母清單!$C$5:$C$26,0)</f>
        <v>15</v>
      </c>
      <c r="C8" s="146"/>
      <c r="D8" s="147">
        <v>3</v>
      </c>
      <c r="E8" s="325" t="s">
        <v>21</v>
      </c>
      <c r="F8" s="168" t="s">
        <v>94</v>
      </c>
      <c r="G8" s="409" t="s">
        <v>88</v>
      </c>
      <c r="H8" s="168" t="s">
        <v>21</v>
      </c>
      <c r="I8" s="168" t="s">
        <v>21</v>
      </c>
      <c r="J8" s="406" t="s">
        <v>95</v>
      </c>
      <c r="K8" s="332" t="s">
        <v>96</v>
      </c>
      <c r="L8" s="145"/>
      <c r="V8" s="147">
        <v>3</v>
      </c>
      <c r="W8" s="325" t="s">
        <v>40</v>
      </c>
      <c r="X8" s="438">
        <f xml:space="preserve"> MATCH(W8, 聲母碼,0)</f>
        <v>5</v>
      </c>
      <c r="Y8" s="402" t="str" cm="1">
        <f t="array" ref="Y8">INDEX(聲母碼表,$X8,Y$2)</f>
        <v>ㄇ</v>
      </c>
      <c r="Z8" s="402" t="str" cm="1">
        <f t="array" ref="Z8">INDEX(聲母碼表,$X8,Z$2)</f>
        <v>門</v>
      </c>
    </row>
    <row r="9" spans="2:26" s="149" customFormat="1" ht="40" customHeight="1">
      <c r="B9" s="145">
        <f xml:space="preserve"> MATCH(E9, 十五音聲母清單!$C$5:$C$26,0)</f>
        <v>6</v>
      </c>
      <c r="C9" s="146"/>
      <c r="D9" s="147">
        <v>4</v>
      </c>
      <c r="E9" s="325" t="s">
        <v>48</v>
      </c>
      <c r="F9" s="168" t="s">
        <v>49</v>
      </c>
      <c r="G9" s="409" t="s">
        <v>47</v>
      </c>
      <c r="H9" s="168" t="s">
        <v>48</v>
      </c>
      <c r="I9" s="168" t="s">
        <v>48</v>
      </c>
      <c r="J9" s="406" t="s">
        <v>24</v>
      </c>
      <c r="K9" s="332" t="s">
        <v>50</v>
      </c>
      <c r="L9" s="145"/>
      <c r="V9" s="147">
        <v>4</v>
      </c>
      <c r="W9" s="325" t="s">
        <v>34</v>
      </c>
      <c r="X9" s="438">
        <f xml:space="preserve"> MATCH(W9, 聲母碼,0)</f>
        <v>3</v>
      </c>
      <c r="Y9" s="402" t="str" cm="1">
        <f t="array" ref="Y9">INDEX(聲母碼表,$X9,Y$2)</f>
        <v>ㆠ</v>
      </c>
      <c r="Z9" s="402" t="str" cm="1">
        <f t="array" ref="Z9">INDEX(聲母碼表,$X9,Z$2)</f>
        <v>門</v>
      </c>
    </row>
    <row r="10" spans="2:26" s="149" customFormat="1" ht="40" customHeight="1">
      <c r="B10" s="145">
        <f xml:space="preserve"> MATCH(E10, 十五音聲母清單!$C$5:$C$26,0)</f>
        <v>20</v>
      </c>
      <c r="C10" s="146"/>
      <c r="D10" s="147">
        <v>5</v>
      </c>
      <c r="E10" s="325" t="s">
        <v>64</v>
      </c>
      <c r="F10" s="168" t="s">
        <v>89</v>
      </c>
      <c r="G10" s="409" t="s">
        <v>88</v>
      </c>
      <c r="H10" s="168" t="s">
        <v>64</v>
      </c>
      <c r="I10" s="168" t="s">
        <v>64</v>
      </c>
      <c r="J10" s="406" t="s">
        <v>1980</v>
      </c>
      <c r="K10" s="332" t="s">
        <v>91</v>
      </c>
      <c r="L10" s="145"/>
      <c r="V10" s="147">
        <v>5</v>
      </c>
      <c r="W10" s="325" t="s">
        <v>72</v>
      </c>
      <c r="X10" s="438">
        <f xml:space="preserve"> MATCH(W10, 聲母碼,0)</f>
        <v>10</v>
      </c>
      <c r="Y10" s="402" t="str" cm="1">
        <f t="array" ref="Y10">INDEX(聲母碼表,$X10,Y$2)</f>
        <v>ㄍ</v>
      </c>
      <c r="Z10" s="402" t="str" cm="1">
        <f t="array" ref="Z10">INDEX(聲母碼表,$X10,Z$2)</f>
        <v>求</v>
      </c>
    </row>
    <row r="11" spans="2:26" s="149" customFormat="1" ht="40" customHeight="1">
      <c r="B11" s="145">
        <f xml:space="preserve"> MATCH(E11, 十五音聲母清單!$C$5:$C$26,0)</f>
        <v>5</v>
      </c>
      <c r="C11" s="146"/>
      <c r="D11" s="147">
        <v>6</v>
      </c>
      <c r="E11" s="325" t="s">
        <v>42</v>
      </c>
      <c r="F11" s="168" t="s">
        <v>43</v>
      </c>
      <c r="G11" s="409" t="s">
        <v>41</v>
      </c>
      <c r="H11" s="168" t="s">
        <v>42</v>
      </c>
      <c r="I11" s="168" t="s">
        <v>42</v>
      </c>
      <c r="J11" s="406" t="s">
        <v>44</v>
      </c>
      <c r="K11" s="332" t="s">
        <v>45</v>
      </c>
      <c r="L11" s="145"/>
      <c r="V11" s="147">
        <v>6</v>
      </c>
      <c r="W11" s="325" t="s">
        <v>80</v>
      </c>
      <c r="X11" s="438">
        <f xml:space="preserve"> MATCH(W11, 聲母碼,0)</f>
        <v>11</v>
      </c>
      <c r="Y11" s="402" t="str" cm="1">
        <f t="array" ref="Y11">INDEX(聲母碼表,$X11,Y$2)</f>
        <v>ㄎ</v>
      </c>
      <c r="Z11" s="402" t="str" cm="1">
        <f t="array" ref="Z11">INDEX(聲母碼表,$X11,Z$2)</f>
        <v>去</v>
      </c>
    </row>
    <row r="12" spans="2:26" s="149" customFormat="1" ht="40" customHeight="1">
      <c r="B12" s="145"/>
      <c r="C12" s="146"/>
      <c r="D12" s="147">
        <v>7</v>
      </c>
      <c r="E12" s="325" t="s">
        <v>53</v>
      </c>
      <c r="F12" s="168" t="s">
        <v>54</v>
      </c>
      <c r="G12" s="409" t="s">
        <v>52</v>
      </c>
      <c r="H12" s="168" t="s">
        <v>53</v>
      </c>
      <c r="I12" s="168" t="s">
        <v>53</v>
      </c>
      <c r="J12" s="406" t="s">
        <v>42</v>
      </c>
      <c r="K12" s="332" t="s">
        <v>55</v>
      </c>
      <c r="L12" s="145"/>
      <c r="V12" s="147">
        <v>7</v>
      </c>
      <c r="W12" s="325" t="s">
        <v>92</v>
      </c>
      <c r="X12" s="438">
        <f xml:space="preserve"> MATCH(W12, 聲母碼,0)</f>
        <v>13</v>
      </c>
      <c r="Y12" s="402" t="str" cm="1">
        <f t="array" ref="Y12">INDEX(聲母碼表,$X12,Y$2)</f>
        <v>ㄫ</v>
      </c>
      <c r="Z12" s="402" t="str" cm="1">
        <f t="array" ref="Z12">INDEX(聲母碼表,$X12,Z$2)</f>
        <v>語</v>
      </c>
    </row>
    <row r="13" spans="2:26" s="149" customFormat="1" ht="40" customHeight="1">
      <c r="B13" s="145">
        <f xml:space="preserve"> MATCH(E12, 十五音聲母清單!$C$5:$C$26,0)</f>
        <v>7</v>
      </c>
      <c r="C13" s="146"/>
      <c r="D13" s="147">
        <v>8</v>
      </c>
      <c r="E13" s="325" t="s">
        <v>17</v>
      </c>
      <c r="F13" s="168" t="s">
        <v>18</v>
      </c>
      <c r="G13" s="409" t="s">
        <v>12</v>
      </c>
      <c r="H13" s="168" t="s">
        <v>17</v>
      </c>
      <c r="I13" s="168" t="s">
        <v>17</v>
      </c>
      <c r="J13" s="406" t="s">
        <v>19</v>
      </c>
      <c r="K13" s="332" t="s">
        <v>20</v>
      </c>
      <c r="L13" s="145"/>
      <c r="V13" s="147">
        <v>8</v>
      </c>
      <c r="W13" s="325" t="s">
        <v>86</v>
      </c>
      <c r="X13" s="438">
        <f xml:space="preserve"> MATCH(W13, 聲母碼,0)</f>
        <v>12</v>
      </c>
      <c r="Y13" s="402" t="str" cm="1">
        <f t="array" ref="Y13">INDEX(聲母碼表,$X13,Y$2)</f>
        <v>ㆣ</v>
      </c>
      <c r="Z13" s="402" t="str" cm="1">
        <f t="array" ref="Z13">INDEX(聲母碼表,$X13,Z$2)</f>
        <v>語</v>
      </c>
    </row>
    <row r="14" spans="2:26" s="149" customFormat="1" ht="40" customHeight="1">
      <c r="B14" s="145">
        <f xml:space="preserve"> MATCH(E13, 十五音聲母清單!$C$5:$C$26,0)</f>
        <v>21</v>
      </c>
      <c r="C14" s="146"/>
      <c r="D14" s="147">
        <v>9</v>
      </c>
      <c r="E14" s="325" t="s">
        <v>13</v>
      </c>
      <c r="F14" s="168" t="s">
        <v>14</v>
      </c>
      <c r="G14" s="409" t="s">
        <v>12</v>
      </c>
      <c r="H14" s="168" t="s">
        <v>13</v>
      </c>
      <c r="I14" s="168" t="s">
        <v>13</v>
      </c>
      <c r="J14" s="406" t="s">
        <v>13</v>
      </c>
      <c r="K14" s="332" t="s">
        <v>15</v>
      </c>
      <c r="L14" s="145"/>
      <c r="V14" s="147">
        <v>9</v>
      </c>
      <c r="W14" s="325" t="s">
        <v>46</v>
      </c>
      <c r="X14" s="438">
        <f xml:space="preserve"> MATCH(W14, 聲母碼,0)</f>
        <v>6</v>
      </c>
      <c r="Y14" s="402" t="str" cm="1">
        <f t="array" ref="Y14">INDEX(聲母碼表,$X14,Y$2)</f>
        <v>ㄉ</v>
      </c>
      <c r="Z14" s="402" t="str" cm="1">
        <f t="array" ref="Z14">INDEX(聲母碼表,$X14,Z$2)</f>
        <v>地</v>
      </c>
    </row>
    <row r="15" spans="2:26" s="149" customFormat="1" ht="40" customHeight="1">
      <c r="B15" s="145">
        <f xml:space="preserve"> MATCH(E14, 十五音聲母清單!$C$5:$C$26,0)</f>
        <v>1</v>
      </c>
      <c r="C15" s="146"/>
      <c r="D15" s="147">
        <v>10</v>
      </c>
      <c r="E15" s="325" t="s">
        <v>30</v>
      </c>
      <c r="F15" s="168" t="s">
        <v>31</v>
      </c>
      <c r="G15" s="409" t="s">
        <v>29</v>
      </c>
      <c r="H15" s="168" t="s">
        <v>30</v>
      </c>
      <c r="I15" s="168" t="s">
        <v>30</v>
      </c>
      <c r="J15" s="406" t="s">
        <v>27</v>
      </c>
      <c r="K15" s="332" t="s">
        <v>32</v>
      </c>
      <c r="L15" s="145"/>
      <c r="V15" s="147">
        <v>10</v>
      </c>
      <c r="W15" s="325" t="s">
        <v>51</v>
      </c>
      <c r="X15" s="438">
        <f xml:space="preserve"> MATCH(W15, 聲母碼,0)</f>
        <v>7</v>
      </c>
      <c r="Y15" s="402" t="str" cm="1">
        <f t="array" ref="Y15">INDEX(聲母碼表,$X15,Y$2)</f>
        <v>ㄊ</v>
      </c>
      <c r="Z15" s="402" t="str" cm="1">
        <f t="array" ref="Z15">INDEX(聲母碼表,$X15,Z$2)</f>
        <v>他</v>
      </c>
    </row>
    <row r="16" spans="2:26" s="149" customFormat="1" ht="40" customHeight="1">
      <c r="B16" s="145">
        <f xml:space="preserve"> MATCH(E15, 十五音聲母清單!$C$5:$C$26,0)</f>
        <v>3</v>
      </c>
      <c r="C16" s="146"/>
      <c r="D16" s="147">
        <v>11</v>
      </c>
      <c r="E16" s="325" t="s">
        <v>36</v>
      </c>
      <c r="F16" s="168" t="s">
        <v>37</v>
      </c>
      <c r="G16" s="409" t="s">
        <v>35</v>
      </c>
      <c r="H16" s="168" t="s">
        <v>36</v>
      </c>
      <c r="I16" s="168" t="s">
        <v>36</v>
      </c>
      <c r="J16" s="406" t="s">
        <v>30</v>
      </c>
      <c r="K16" s="332" t="s">
        <v>38</v>
      </c>
      <c r="L16" s="145"/>
      <c r="V16" s="147">
        <v>11</v>
      </c>
      <c r="W16" s="325" t="s">
        <v>56</v>
      </c>
      <c r="X16" s="438">
        <f xml:space="preserve"> MATCH(W16, 聲母碼,0)</f>
        <v>8</v>
      </c>
      <c r="Y16" s="402" t="str" cm="1">
        <f t="array" ref="Y16">INDEX(聲母碼表,$X16,Y$2)</f>
        <v>ㄋ</v>
      </c>
      <c r="Z16" s="402" t="str" cm="1">
        <f t="array" ref="Z16">INDEX(聲母碼表,$X16,Z$2)</f>
        <v>柳</v>
      </c>
    </row>
    <row r="17" spans="2:26" s="149" customFormat="1" ht="40" customHeight="1">
      <c r="B17" s="145">
        <f xml:space="preserve"> MATCH(E16, 十五音聲母清單!$C$5:$C$26,0)</f>
        <v>4</v>
      </c>
      <c r="C17" s="146"/>
      <c r="D17" s="147">
        <v>12</v>
      </c>
      <c r="E17" s="325" t="s">
        <v>27</v>
      </c>
      <c r="F17" s="168" t="s">
        <v>100</v>
      </c>
      <c r="G17" s="409" t="s">
        <v>99</v>
      </c>
      <c r="H17" s="168" t="s">
        <v>27</v>
      </c>
      <c r="I17" s="168" t="s">
        <v>27</v>
      </c>
      <c r="J17" s="406" t="s">
        <v>101</v>
      </c>
      <c r="K17" s="332" t="s">
        <v>102</v>
      </c>
      <c r="L17" s="145"/>
      <c r="V17" s="147">
        <v>12</v>
      </c>
      <c r="W17" s="325" t="s">
        <v>65</v>
      </c>
      <c r="X17" s="438">
        <f xml:space="preserve"> MATCH(W17, 聲母碼,0)</f>
        <v>9</v>
      </c>
      <c r="Y17" s="402" t="str" cm="1">
        <f t="array" ref="Y17">INDEX(聲母碼表,$X17,Y$2)</f>
        <v>ㄌ</v>
      </c>
      <c r="Z17" s="402" t="str" cm="1">
        <f t="array" ref="Z17">INDEX(聲母碼表,$X17,Z$2)</f>
        <v>柳</v>
      </c>
    </row>
    <row r="18" spans="2:26" s="149" customFormat="1" ht="40" customHeight="1">
      <c r="B18" s="145">
        <f xml:space="preserve"> MATCH(E17, 十五音聲母清單!$C$5:$C$26,0)</f>
        <v>16</v>
      </c>
      <c r="C18" s="146"/>
      <c r="D18" s="147">
        <v>13</v>
      </c>
      <c r="E18" s="325" t="s">
        <v>79</v>
      </c>
      <c r="F18" s="168" t="s">
        <v>105</v>
      </c>
      <c r="G18" s="409" t="s">
        <v>99</v>
      </c>
      <c r="H18" s="168" t="s">
        <v>79</v>
      </c>
      <c r="I18" s="168" t="s">
        <v>79</v>
      </c>
      <c r="J18" s="406" t="s">
        <v>106</v>
      </c>
      <c r="K18" s="332" t="s">
        <v>107</v>
      </c>
      <c r="L18" s="145"/>
      <c r="V18" s="147">
        <v>13</v>
      </c>
      <c r="W18" s="325" t="s">
        <v>103</v>
      </c>
      <c r="X18" s="438">
        <f xml:space="preserve"> MATCH(W18, 聲母碼,0)</f>
        <v>15</v>
      </c>
      <c r="Y18" s="402" t="str" cm="1">
        <f t="array" ref="Y18">INDEX(聲母碼表,$X18,Y$2)</f>
        <v>ㄗ</v>
      </c>
      <c r="Z18" s="402" t="str" cm="1">
        <f t="array" ref="Z18">INDEX(聲母碼表,$X18,Z$2)</f>
        <v>曾</v>
      </c>
    </row>
    <row r="19" spans="2:26" s="149" customFormat="1" ht="40" customHeight="1">
      <c r="B19" s="145">
        <f xml:space="preserve"> MATCH(E18, 十五音聲母清單!$C$5:$C$26,0)</f>
        <v>22</v>
      </c>
      <c r="C19" s="146"/>
      <c r="D19" s="147">
        <v>14</v>
      </c>
      <c r="E19" s="325" t="s">
        <v>33</v>
      </c>
      <c r="F19" s="168" t="s">
        <v>120</v>
      </c>
      <c r="G19" s="409" t="s">
        <v>119</v>
      </c>
      <c r="H19" s="168" t="s">
        <v>33</v>
      </c>
      <c r="I19" s="168" t="s">
        <v>33</v>
      </c>
      <c r="J19" s="406" t="s">
        <v>33</v>
      </c>
      <c r="K19" s="332" t="s">
        <v>121</v>
      </c>
      <c r="L19" s="145"/>
      <c r="M19" s="408" t="s">
        <v>3671</v>
      </c>
      <c r="V19" s="147">
        <v>14</v>
      </c>
      <c r="W19" s="325" t="s">
        <v>108</v>
      </c>
      <c r="X19" s="438">
        <f xml:space="preserve"> MATCH(W19, 聲母碼,0)</f>
        <v>16</v>
      </c>
      <c r="Y19" s="402" t="str" cm="1">
        <f t="array" ref="Y19">INDEX(聲母碼表,$X19,Y$2)</f>
        <v>ㄘ</v>
      </c>
      <c r="Z19" s="402" t="str" cm="1">
        <f t="array" ref="Z19">INDEX(聲母碼表,$X19,Z$2)</f>
        <v>出</v>
      </c>
    </row>
    <row r="20" spans="2:26" s="149" customFormat="1" ht="40" customHeight="1">
      <c r="B20" s="145">
        <f xml:space="preserve"> MATCH(E19, 十五音聲母清單!$C$5:$C$26,0)</f>
        <v>19</v>
      </c>
      <c r="C20" s="146"/>
      <c r="D20" s="147">
        <v>15</v>
      </c>
      <c r="E20" s="325" t="s">
        <v>59</v>
      </c>
      <c r="F20" s="331" t="s">
        <v>3660</v>
      </c>
      <c r="G20" s="409" t="s">
        <v>57</v>
      </c>
      <c r="H20" s="168" t="s">
        <v>1599</v>
      </c>
      <c r="I20" s="168" t="s">
        <v>103</v>
      </c>
      <c r="J20" s="406" t="s">
        <v>62</v>
      </c>
      <c r="K20" s="332" t="s">
        <v>3661</v>
      </c>
      <c r="L20" s="145"/>
      <c r="M20" s="19" t="s">
        <v>0</v>
      </c>
      <c r="N20" s="19" t="s">
        <v>5</v>
      </c>
      <c r="O20" s="19" t="s">
        <v>6</v>
      </c>
      <c r="P20" s="19" t="s">
        <v>2</v>
      </c>
      <c r="Q20" s="19" t="s">
        <v>7</v>
      </c>
      <c r="R20" s="19" t="s">
        <v>3</v>
      </c>
      <c r="S20" s="19" t="s">
        <v>8</v>
      </c>
      <c r="T20" s="19" t="s">
        <v>9</v>
      </c>
      <c r="V20" s="147">
        <v>15</v>
      </c>
      <c r="W20" s="325" t="s">
        <v>117</v>
      </c>
      <c r="X20" s="438">
        <f xml:space="preserve"> MATCH(W20, 聲母碼,0)</f>
        <v>17</v>
      </c>
      <c r="Y20" s="402" t="str" cm="1">
        <f t="array" ref="Y20">INDEX(聲母碼表,$X20,Y$2)</f>
        <v>ㄙ</v>
      </c>
      <c r="Z20" s="402" t="str" cm="1">
        <f t="array" ref="Z20">INDEX(聲母碼表,$X20,Z$2)</f>
        <v>時</v>
      </c>
    </row>
    <row r="21" spans="2:26" s="149" customFormat="1" ht="40" customHeight="1">
      <c r="B21" s="145">
        <f xml:space="preserve"> MATCH(E20, 十五音聲母清單!$C$5:$C$26,0)</f>
        <v>8</v>
      </c>
      <c r="C21" s="146"/>
      <c r="D21" s="147">
        <v>16</v>
      </c>
      <c r="E21" s="325" t="s">
        <v>112</v>
      </c>
      <c r="F21" s="331" t="s">
        <v>3662</v>
      </c>
      <c r="G21" s="409" t="s">
        <v>110</v>
      </c>
      <c r="H21" s="168" t="s">
        <v>1601</v>
      </c>
      <c r="I21" s="168" t="s">
        <v>108</v>
      </c>
      <c r="J21" s="406" t="s">
        <v>115</v>
      </c>
      <c r="K21" s="332" t="s">
        <v>3663</v>
      </c>
      <c r="L21" s="145"/>
      <c r="M21" s="147">
        <v>16</v>
      </c>
      <c r="N21" s="325" t="s">
        <v>59</v>
      </c>
      <c r="O21" s="331" t="s">
        <v>60</v>
      </c>
      <c r="P21" s="166" t="s">
        <v>57</v>
      </c>
      <c r="Q21" s="168" t="s">
        <v>61</v>
      </c>
      <c r="R21" s="168" t="s">
        <v>58</v>
      </c>
      <c r="S21" s="406" t="s">
        <v>62</v>
      </c>
      <c r="T21" s="332" t="s">
        <v>63</v>
      </c>
      <c r="V21" s="147">
        <v>16</v>
      </c>
      <c r="W21" s="325" t="s">
        <v>122</v>
      </c>
      <c r="X21" s="438">
        <f xml:space="preserve"> MATCH(W21, 聲母碼,0)</f>
        <v>18</v>
      </c>
      <c r="Y21" s="402" t="str" cm="1">
        <f t="array" ref="Y21">INDEX(聲母碼表,$X21,Y$2)</f>
        <v>ㆡ</v>
      </c>
      <c r="Z21" s="402" t="str" cm="1">
        <f t="array" ref="Z21">INDEX(聲母碼表,$X21,Z$2)</f>
        <v>入</v>
      </c>
    </row>
    <row r="22" spans="2:26" s="149" customFormat="1" ht="40" customHeight="1">
      <c r="B22" s="145">
        <f xml:space="preserve"> MATCH(E21, 十五音聲母清單!$C$5:$C$26,0)</f>
        <v>17</v>
      </c>
      <c r="C22" s="146"/>
      <c r="D22" s="147">
        <v>17</v>
      </c>
      <c r="E22" s="325" t="s">
        <v>76</v>
      </c>
      <c r="F22" s="331" t="s">
        <v>3664</v>
      </c>
      <c r="G22" s="409" t="s">
        <v>74</v>
      </c>
      <c r="H22" s="168" t="s">
        <v>117</v>
      </c>
      <c r="I22" s="168" t="s">
        <v>117</v>
      </c>
      <c r="J22" s="406" t="s">
        <v>76</v>
      </c>
      <c r="K22" s="332" t="s">
        <v>3665</v>
      </c>
      <c r="L22" s="145"/>
      <c r="M22" s="147">
        <v>17</v>
      </c>
      <c r="N22" s="325" t="s">
        <v>112</v>
      </c>
      <c r="O22" s="331" t="s">
        <v>113</v>
      </c>
      <c r="P22" s="166" t="s">
        <v>110</v>
      </c>
      <c r="Q22" s="168" t="s">
        <v>114</v>
      </c>
      <c r="R22" s="168" t="s">
        <v>111</v>
      </c>
      <c r="S22" s="406" t="s">
        <v>115</v>
      </c>
      <c r="T22" s="332" t="s">
        <v>116</v>
      </c>
      <c r="V22" s="147">
        <v>17</v>
      </c>
      <c r="W22" s="325" t="s">
        <v>97</v>
      </c>
      <c r="X22" s="438">
        <f xml:space="preserve"> MATCH(W22, 聲母碼,0)</f>
        <v>14</v>
      </c>
      <c r="Y22" s="402" t="str" cm="1">
        <f t="array" ref="Y22">INDEX(聲母碼表,$X22,Y$2)</f>
        <v>ㄏ</v>
      </c>
      <c r="Z22" s="402" t="str" cm="1">
        <f t="array" ref="Z22">INDEX(聲母碼表,$X22,Z$2)</f>
        <v>喜</v>
      </c>
    </row>
    <row r="23" spans="2:26" s="149" customFormat="1" ht="40" customHeight="1">
      <c r="B23" s="145">
        <f xml:space="preserve"> MATCH(E22, 十五音聲母清單!$C$5:$C$26,0)</f>
        <v>12</v>
      </c>
      <c r="C23" s="146"/>
      <c r="D23" s="147">
        <v>18</v>
      </c>
      <c r="E23" s="325" t="s">
        <v>39</v>
      </c>
      <c r="F23" s="331" t="s">
        <v>3666</v>
      </c>
      <c r="G23" s="409" t="s">
        <v>66</v>
      </c>
      <c r="H23" s="168" t="s">
        <v>122</v>
      </c>
      <c r="I23" s="168" t="s">
        <v>39</v>
      </c>
      <c r="J23" s="406" t="s">
        <v>3649</v>
      </c>
      <c r="K23" s="332" t="s">
        <v>3667</v>
      </c>
      <c r="L23" s="145"/>
      <c r="M23" s="147">
        <v>18</v>
      </c>
      <c r="N23" s="325" t="s">
        <v>76</v>
      </c>
      <c r="O23" s="331" t="s">
        <v>77</v>
      </c>
      <c r="P23" s="166" t="s">
        <v>74</v>
      </c>
      <c r="Q23" s="168" t="s">
        <v>75</v>
      </c>
      <c r="R23" s="168" t="s">
        <v>75</v>
      </c>
      <c r="S23" s="406" t="s">
        <v>76</v>
      </c>
      <c r="T23" s="332" t="s">
        <v>78</v>
      </c>
      <c r="V23" s="147">
        <v>18</v>
      </c>
      <c r="W23" s="431" t="s">
        <v>83</v>
      </c>
      <c r="X23" s="438">
        <f xml:space="preserve"> MATCH(W23, 聲母碼,0)</f>
        <v>1</v>
      </c>
      <c r="Y23" s="402" t="str" cm="1">
        <f t="array" ref="Y23">INDEX(聲母碼表,$X23,Y$2)</f>
        <v>Ø</v>
      </c>
      <c r="Z23" s="402" t="str" cm="1">
        <f t="array" ref="Z23">INDEX(聲母碼表,$X23,Z$2)</f>
        <v>英</v>
      </c>
    </row>
    <row r="24" spans="2:26" ht="40" customHeight="1">
      <c r="M24" s="147">
        <v>19</v>
      </c>
      <c r="N24" s="325" t="s">
        <v>39</v>
      </c>
      <c r="O24" s="331" t="s">
        <v>68</v>
      </c>
      <c r="P24" s="166" t="s">
        <v>66</v>
      </c>
      <c r="Q24" s="168" t="s">
        <v>69</v>
      </c>
      <c r="R24" s="168" t="s">
        <v>39</v>
      </c>
      <c r="S24" s="406" t="s">
        <v>3649</v>
      </c>
      <c r="T24" s="332" t="s">
        <v>71</v>
      </c>
    </row>
  </sheetData>
  <sortState xmlns:xlrd2="http://schemas.microsoft.com/office/spreadsheetml/2017/richdata2" ref="D6:K22">
    <sortCondition ref="D6:D22"/>
  </sortState>
  <phoneticPr fontId="1" type="noConversion"/>
  <hyperlinks>
    <hyperlink ref="F5" r:id="rId1" xr:uid="{77BAB548-80A8-C443-A501-9530895D6DE0}"/>
    <hyperlink ref="J5" r:id="rId2" display="閩南拼音" xr:uid="{8C92DF8C-81A3-2145-A9C7-088973DF42DB}"/>
    <hyperlink ref="I5" r:id="rId3" xr:uid="{07B4635D-E5BC-734D-914F-B0E69487C89B}"/>
    <hyperlink ref="O20" r:id="rId4" xr:uid="{A1BE5427-D5B0-9941-8B8E-07932E95A1BA}"/>
    <hyperlink ref="S20" r:id="rId5" display="閩南拼音" xr:uid="{00FDE9A7-7572-A64A-BBA5-3DE5324D09C9}"/>
    <hyperlink ref="R20" r:id="rId6" xr:uid="{52129571-85C6-614B-AB62-A2182138D0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BAB2F-E711-E743-B828-2C308E0CB861}">
  <sheetPr codeName="工作表14">
    <tabColor rgb="FF00B0F0"/>
  </sheetPr>
  <dimension ref="A1:AB103"/>
  <sheetViews>
    <sheetView tabSelected="1" topLeftCell="E1" workbookViewId="0">
      <pane ySplit="4" topLeftCell="A5" activePane="bottomLeft" state="frozen"/>
      <selection activeCell="F16" sqref="F16"/>
      <selection pane="bottomLeft" activeCell="AF18" sqref="AF18"/>
    </sheetView>
  </sheetViews>
  <sheetFormatPr baseColWidth="10" defaultColWidth="10.69921875" defaultRowHeight="22" outlineLevelRow="1" outlineLevelCol="1"/>
  <cols>
    <col min="1" max="1" width="2.69921875" style="96" hidden="1" customWidth="1" outlineLevel="1"/>
    <col min="2" max="2" width="10.69921875" style="24" hidden="1" customWidth="1" outlineLevel="1"/>
    <col min="3" max="4" width="12.09765625" style="6" hidden="1" customWidth="1" outlineLevel="1"/>
    <col min="5" max="5" width="2.69921875" style="96" customWidth="1" collapsed="1"/>
    <col min="6" max="6" width="7.796875" style="6" bestFit="1" customWidth="1"/>
    <col min="7" max="7" width="12.09765625" style="24" customWidth="1"/>
    <col min="8" max="12" width="10.69921875" style="24"/>
    <col min="13" max="13" width="12.09765625" style="6" customWidth="1"/>
    <col min="14" max="15" width="10.69921875" style="96"/>
    <col min="16" max="16" width="12.3984375" style="96" customWidth="1"/>
    <col min="17" max="17" width="4.8984375" style="6" hidden="1" customWidth="1" outlineLevel="1"/>
    <col min="18" max="19" width="4.8984375" style="96" hidden="1" customWidth="1" outlineLevel="1"/>
    <col min="20" max="21" width="11.19921875" style="96" hidden="1" customWidth="1" outlineLevel="1"/>
    <col min="22" max="27" width="0" style="96" hidden="1" customWidth="1" outlineLevel="1"/>
    <col min="28" max="28" width="10.69921875" style="96" collapsed="1"/>
    <col min="29" max="16384" width="10.69921875" style="96"/>
  </cols>
  <sheetData>
    <row r="1" spans="2:27" s="6" customFormat="1" ht="30" customHeight="1" outlineLevel="1">
      <c r="D1" s="103">
        <v>2</v>
      </c>
      <c r="G1" s="103">
        <v>5</v>
      </c>
      <c r="H1" s="103">
        <v>6</v>
      </c>
      <c r="I1" s="103">
        <v>7</v>
      </c>
      <c r="J1" s="103">
        <v>9</v>
      </c>
      <c r="K1" s="103">
        <v>8</v>
      </c>
      <c r="L1" s="103">
        <v>10</v>
      </c>
      <c r="M1" s="103">
        <v>3</v>
      </c>
      <c r="W1" s="330" t="s">
        <v>3709</v>
      </c>
    </row>
    <row r="2" spans="2:27" ht="30" outlineLevel="1">
      <c r="B2" s="102" cm="1">
        <f t="array" ref="B2">COLUMN()-COLUMN(($A:$A))</f>
        <v>1</v>
      </c>
      <c r="C2" s="102" cm="1">
        <f t="array" ref="C2">COLUMN()-COLUMN(($A:$A))</f>
        <v>2</v>
      </c>
      <c r="D2" s="102" cm="1">
        <f t="array" ref="D2">COLUMN()-COLUMN(($A:$A))</f>
        <v>3</v>
      </c>
      <c r="F2" s="102" cm="1">
        <f t="array" ref="F2">COLUMN()-COLUMN(($E:$E))</f>
        <v>1</v>
      </c>
      <c r="G2" s="102" cm="1">
        <f t="array" ref="G2">COLUMN()-COLUMN(($E:$E))</f>
        <v>2</v>
      </c>
      <c r="H2" s="102" cm="1">
        <f t="array" ref="H2">COLUMN()-COLUMN(($E:$E))</f>
        <v>3</v>
      </c>
      <c r="I2" s="102" cm="1">
        <f t="array" ref="I2">COLUMN()-COLUMN(($E:$E))</f>
        <v>4</v>
      </c>
      <c r="J2" s="102" cm="1">
        <f t="array" ref="J2">COLUMN()-COLUMN(($E:$E))</f>
        <v>5</v>
      </c>
      <c r="K2" s="102" cm="1">
        <f t="array" ref="K2">COLUMN()-COLUMN(($E:$E))</f>
        <v>6</v>
      </c>
      <c r="L2" s="102" cm="1">
        <f t="array" ref="L2">COLUMN()-COLUMN(($E:$E))</f>
        <v>7</v>
      </c>
      <c r="M2" s="102" cm="1">
        <f t="array" ref="M2">COLUMN()-COLUMN(($E:$E))</f>
        <v>8</v>
      </c>
      <c r="O2" s="455" t="s">
        <v>3713</v>
      </c>
      <c r="W2" s="454" t="s">
        <v>3712</v>
      </c>
    </row>
    <row r="3" spans="2:27">
      <c r="G3" s="86"/>
      <c r="H3" s="86"/>
      <c r="I3" s="57"/>
      <c r="J3" s="57"/>
      <c r="K3" s="57"/>
      <c r="L3" s="57"/>
    </row>
    <row r="4" spans="2:27" s="6" customFormat="1" ht="23">
      <c r="B4" s="87" t="s">
        <v>690</v>
      </c>
      <c r="C4" s="87" t="s">
        <v>691</v>
      </c>
      <c r="D4" s="87" t="s">
        <v>692</v>
      </c>
      <c r="F4" s="330" t="s">
        <v>693</v>
      </c>
      <c r="G4" s="330" t="s">
        <v>694</v>
      </c>
      <c r="H4" s="330" t="s">
        <v>695</v>
      </c>
      <c r="I4" s="330" t="s">
        <v>690</v>
      </c>
      <c r="J4" s="330" t="s">
        <v>696</v>
      </c>
      <c r="K4" s="330" t="s">
        <v>697</v>
      </c>
      <c r="L4" s="330" t="s">
        <v>698</v>
      </c>
      <c r="M4" s="330" t="s">
        <v>699</v>
      </c>
      <c r="O4" s="330" t="s">
        <v>694</v>
      </c>
      <c r="Q4" s="330" t="s">
        <v>3710</v>
      </c>
      <c r="R4" s="330" t="s">
        <v>693</v>
      </c>
      <c r="S4" s="330" t="s">
        <v>3711</v>
      </c>
      <c r="T4" s="330" t="s">
        <v>694</v>
      </c>
      <c r="U4" s="330" t="s">
        <v>3709</v>
      </c>
      <c r="W4" s="330" t="s">
        <v>3710</v>
      </c>
      <c r="X4" s="330" t="s">
        <v>693</v>
      </c>
      <c r="Y4" s="330" t="s">
        <v>3711</v>
      </c>
      <c r="Z4" s="330" t="s">
        <v>694</v>
      </c>
      <c r="AA4" s="330" t="s">
        <v>3709</v>
      </c>
    </row>
    <row r="5" spans="2:27" ht="27">
      <c r="B5" s="136" t="s">
        <v>424</v>
      </c>
      <c r="C5" s="21">
        <f xml:space="preserve"> MATCH(B5, 十五音韻母清單!$H$6:$H$105,0)</f>
        <v>55</v>
      </c>
      <c r="D5" s="21" cm="1">
        <f t="array" ref="D5" xml:space="preserve"> INDEX(十五音韻母清單!$B$6:$K$105, $C5, D$1)</f>
        <v>28</v>
      </c>
      <c r="F5" s="21">
        <v>1</v>
      </c>
      <c r="G5" s="23" t="str" cm="1">
        <f t="array" ref="G5" xml:space="preserve"> INDEX(十五音韻母清單!$B$6:$K$105, $C5, G$1)</f>
        <v>a</v>
      </c>
      <c r="H5" s="23" t="str" cm="1">
        <f t="array" ref="H5" xml:space="preserve"> INDEX(十五音韻母清單!$B$6:$K$105, 韻母碼!$C5,韻母碼!H$1)</f>
        <v>a</v>
      </c>
      <c r="I5" s="23" t="str" cm="1">
        <f t="array" ref="I5" xml:space="preserve"> INDEX(十五音韻母清單!$B$6:$K$105, 韻母碼!$C5,韻母碼!I$1)</f>
        <v>a</v>
      </c>
      <c r="J5" s="23" t="str" cm="1">
        <f t="array" ref="J5" xml:space="preserve"> INDEX(十五音韻母清單!$B$6:$K$105, 韻母碼!$C5,韻母碼!J$1)</f>
        <v>a</v>
      </c>
      <c r="K5" s="23" t="str" cm="1">
        <f t="array" ref="K5" xml:space="preserve"> INDEX(十五音韻母清單!$B$6:$K$105, 韻母碼!$C5,韻母碼!K$1)</f>
        <v>a</v>
      </c>
      <c r="L5" s="23" t="str" cm="1">
        <f t="array" ref="L5" xml:space="preserve"> INDEX(十五音韻母清單!$B$6:$K$105, 韻母碼!$C5,韻母碼!L$1)</f>
        <v>ㄚ</v>
      </c>
      <c r="M5" s="21" t="str" cm="1">
        <f t="array" ref="M5" xml:space="preserve"> INDEX(十五音韻母清單!$B$6:$K$105, $C5, M$1)</f>
        <v>膠</v>
      </c>
      <c r="O5" s="456" t="s">
        <v>179</v>
      </c>
      <c r="Q5" s="21">
        <v>1</v>
      </c>
      <c r="R5" s="96">
        <f>ROUND($Q5/2, 0)</f>
        <v>1</v>
      </c>
      <c r="S5" s="96">
        <f xml:space="preserve"> MOD($Q5, 2)</f>
        <v>1</v>
      </c>
      <c r="T5" s="96" t="str" cm="1">
        <f t="array" ref="T5">IF(S5=1,  INDEX('十五音-韻母'!$D$5:$E$54, $R5, 1), INDEX('十五音-韻母'!$D$5:$E$54, $R5, 2))</f>
        <v>un</v>
      </c>
      <c r="U5" s="96">
        <f xml:space="preserve"> IFERROR( MATCH(T5, $G$5:$G$78, 0), 0)</f>
        <v>73</v>
      </c>
      <c r="W5" s="21">
        <v>8</v>
      </c>
      <c r="X5" s="96">
        <v>4</v>
      </c>
      <c r="Y5" s="96">
        <v>0</v>
      </c>
      <c r="Z5" s="96" t="s">
        <v>179</v>
      </c>
      <c r="AA5" s="96">
        <v>0</v>
      </c>
    </row>
    <row r="6" spans="2:27" ht="27">
      <c r="B6" s="136" t="s">
        <v>404</v>
      </c>
      <c r="C6" s="21">
        <f xml:space="preserve"> MATCH(B6, 十五音韻母清單!$H$6:$H$105,0)</f>
        <v>51</v>
      </c>
      <c r="D6" s="21" cm="1">
        <f t="array" ref="D6" xml:space="preserve"> INDEX(十五音韻母清單!$B$6:$K$105, $C6, D$1)</f>
        <v>26</v>
      </c>
      <c r="F6" s="21">
        <v>2</v>
      </c>
      <c r="G6" s="23" t="str" cm="1">
        <f t="array" ref="G6" xml:space="preserve"> INDEX(十五音韻母清單!$B$6:$K$105, $C6, G$1)</f>
        <v>ann</v>
      </c>
      <c r="H6" s="23" t="str" cm="1">
        <f t="array" ref="H6" xml:space="preserve"> INDEX(十五音韻母清單!$B$6:$K$105, 韻母碼!$C6,韻母碼!H$1)</f>
        <v>ã</v>
      </c>
      <c r="I6" s="23" t="str" cm="1">
        <f t="array" ref="I6" xml:space="preserve"> INDEX(十五音韻母清單!$B$6:$K$105, 韻母碼!$C6,韻母碼!I$1)</f>
        <v>aⁿ</v>
      </c>
      <c r="J6" s="23" t="str" cm="1">
        <f t="array" ref="J6" xml:space="preserve"> INDEX(十五音韻母清單!$B$6:$K$105, 韻母碼!$C6,韻母碼!J$1)</f>
        <v>na</v>
      </c>
      <c r="K6" s="23" t="str" cm="1">
        <f t="array" ref="K6" xml:space="preserve"> INDEX(十五音韻母清單!$B$6:$K$105, 韻母碼!$C6,韻母碼!K$1)</f>
        <v>ann</v>
      </c>
      <c r="L6" s="23" t="str" cm="1">
        <f t="array" ref="L6" xml:space="preserve"> INDEX(十五音韻母清單!$B$6:$K$105, 韻母碼!$C6,韻母碼!L$1)</f>
        <v>ㆩ</v>
      </c>
      <c r="M6" s="21" t="str" cm="1">
        <f t="array" ref="M6" xml:space="preserve"> INDEX(十五音韻母清單!$B$6:$K$105, $C6, M$1)</f>
        <v>監</v>
      </c>
      <c r="O6" s="456" t="s">
        <v>188</v>
      </c>
      <c r="Q6" s="21">
        <v>2</v>
      </c>
      <c r="R6" s="96">
        <f t="shared" ref="R6:R69" si="0">ROUND($Q6/2, 0)</f>
        <v>1</v>
      </c>
      <c r="S6" s="96">
        <f t="shared" ref="S6:S69" si="1" xml:space="preserve"> MOD($Q6, 2)</f>
        <v>0</v>
      </c>
      <c r="T6" s="96" t="str" cm="1">
        <f t="array" ref="T6">IF(S6=1,  INDEX('十五音-韻母'!$D$5:$E$54, $R6, 1), INDEX('十五音-韻母'!$D$5:$E$54, $R6, 2))</f>
        <v>ut</v>
      </c>
      <c r="U6" s="96">
        <f t="shared" ref="U6:U69" si="2" xml:space="preserve"> IFERROR( MATCH(T6, $G$5:$G$78, 0), 0)</f>
        <v>74</v>
      </c>
      <c r="W6" s="21">
        <v>9</v>
      </c>
      <c r="X6" s="96">
        <v>5</v>
      </c>
      <c r="Y6" s="96">
        <v>1</v>
      </c>
      <c r="Z6" s="96" t="s">
        <v>188</v>
      </c>
      <c r="AA6" s="96">
        <v>0</v>
      </c>
    </row>
    <row r="7" spans="2:27" ht="27">
      <c r="B7" s="136" t="s">
        <v>425</v>
      </c>
      <c r="C7" s="21">
        <f xml:space="preserve"> MATCH(B7, 十五音韻母清單!$H$6:$H$105,0)</f>
        <v>56</v>
      </c>
      <c r="D7" s="21" cm="1">
        <f t="array" ref="D7" xml:space="preserve"> INDEX(十五音韻母清單!$B$6:$K$105, $C7, D$1)</f>
        <v>28</v>
      </c>
      <c r="F7" s="21">
        <v>3</v>
      </c>
      <c r="G7" s="23" t="str" cm="1">
        <f t="array" ref="G7" xml:space="preserve"> INDEX(十五音韻母清單!$B$6:$K$105, $C7, G$1)</f>
        <v>ah</v>
      </c>
      <c r="H7" s="23" t="str" cm="1">
        <f t="array" ref="H7" xml:space="preserve"> INDEX(十五音韻母清單!$B$6:$K$105, 韻母碼!$C7,韻母碼!H$1)</f>
        <v>a?</v>
      </c>
      <c r="I7" s="23" t="str" cm="1">
        <f t="array" ref="I7" xml:space="preserve"> INDEX(十五音韻母清單!$B$6:$K$105, 韻母碼!$C7,韻母碼!I$1)</f>
        <v>ah</v>
      </c>
      <c r="J7" s="23" t="str" cm="1">
        <f t="array" ref="J7" xml:space="preserve"> INDEX(十五音韻母清單!$B$6:$K$105, 韻母碼!$C7,韻母碼!J$1)</f>
        <v>ah</v>
      </c>
      <c r="K7" s="23" t="str" cm="1">
        <f t="array" ref="K7" xml:space="preserve"> INDEX(十五音韻母清單!$B$6:$K$105, 韻母碼!$C7,韻母碼!K$1)</f>
        <v>ah</v>
      </c>
      <c r="L7" s="23" t="str" cm="1">
        <f t="array" ref="L7" xml:space="preserve"> INDEX(十五音韻母清單!$B$6:$K$105, 韻母碼!$C7,韻母碼!L$1)</f>
        <v>ㄚㆷ</v>
      </c>
      <c r="M7" s="21" t="str" cm="1">
        <f t="array" ref="M7" xml:space="preserve"> INDEX(十五音韻母清單!$B$6:$K$105, $C7, M$1)</f>
        <v>膠</v>
      </c>
      <c r="O7" s="456" t="s">
        <v>221</v>
      </c>
      <c r="Q7" s="21">
        <v>3</v>
      </c>
      <c r="R7" s="96">
        <f t="shared" si="0"/>
        <v>2</v>
      </c>
      <c r="S7" s="96">
        <f t="shared" si="1"/>
        <v>1</v>
      </c>
      <c r="T7" s="96" t="str" cm="1">
        <f t="array" ref="T7">IF(S7=1,  INDEX('十五音-韻母'!$D$5:$E$54, $R7, 1), INDEX('十五音-韻母'!$D$5:$E$54, $R7, 2))</f>
        <v>ian</v>
      </c>
      <c r="U7" s="96">
        <f t="shared" si="2"/>
        <v>29</v>
      </c>
      <c r="W7" s="21">
        <v>16</v>
      </c>
      <c r="X7" s="96">
        <v>8</v>
      </c>
      <c r="Y7" s="96">
        <v>0</v>
      </c>
      <c r="Z7" s="96" t="s">
        <v>221</v>
      </c>
      <c r="AA7" s="96">
        <v>0</v>
      </c>
    </row>
    <row r="8" spans="2:27" ht="27">
      <c r="B8" s="136" t="s">
        <v>700</v>
      </c>
      <c r="C8" s="21">
        <f xml:space="preserve"> MATCH(B8, 十五音韻母清單!$H$6:$H$105,0)</f>
        <v>52</v>
      </c>
      <c r="D8" s="21" cm="1">
        <f t="array" ref="D8" xml:space="preserve"> INDEX(十五音韻母清單!$B$6:$K$105, $C8, D$1)</f>
        <v>26</v>
      </c>
      <c r="F8" s="21">
        <v>4</v>
      </c>
      <c r="G8" s="23" t="str" cm="1">
        <f t="array" ref="G8" xml:space="preserve"> INDEX(十五音韻母清單!$B$6:$K$105, $C8, G$1)</f>
        <v>annh</v>
      </c>
      <c r="H8" s="23" t="str" cm="1">
        <f t="array" ref="H8" xml:space="preserve"> INDEX(十五音韻母清單!$B$6:$K$105, 韻母碼!$C8,韻母碼!H$1)</f>
        <v>ã?</v>
      </c>
      <c r="I8" s="23" t="str" cm="1">
        <f t="array" ref="I8" xml:space="preserve"> INDEX(十五音韻母清單!$B$6:$K$105, 韻母碼!$C8,韻母碼!I$1)</f>
        <v>ahⁿ</v>
      </c>
      <c r="J8" s="23" t="str" cm="1">
        <f t="array" ref="J8" xml:space="preserve"> INDEX(十五音韻母清單!$B$6:$K$105, 韻母碼!$C8,韻母碼!J$1)</f>
        <v>nah</v>
      </c>
      <c r="K8" s="23" t="str" cm="1">
        <f t="array" ref="K8" xml:space="preserve"> INDEX(十五音韻母清單!$B$6:$K$105, 韻母碼!$C8,韻母碼!K$1)</f>
        <v>annh</v>
      </c>
      <c r="L8" s="23" t="str" cm="1">
        <f t="array" ref="L8" xml:space="preserve"> INDEX(十五音韻母清單!$B$6:$K$105, 韻母碼!$C8,韻母碼!L$1)</f>
        <v>ㆩㆷ</v>
      </c>
      <c r="M8" s="21" t="str" cm="1">
        <f t="array" ref="M8" xml:space="preserve"> INDEX(十五音韻母清單!$B$6:$K$105, $C8, M$1)</f>
        <v>監</v>
      </c>
      <c r="O8" s="456" t="s">
        <v>253</v>
      </c>
      <c r="Q8" s="21">
        <v>4</v>
      </c>
      <c r="R8" s="96">
        <f t="shared" si="0"/>
        <v>2</v>
      </c>
      <c r="S8" s="96">
        <f t="shared" si="1"/>
        <v>0</v>
      </c>
      <c r="T8" s="96" t="str" cm="1">
        <f t="array" ref="T8">IF(S8=1,  INDEX('十五音-韻母'!$D$5:$E$54, $R8, 1), INDEX('十五音-韻母'!$D$5:$E$54, $R8, 2))</f>
        <v>iat</v>
      </c>
      <c r="U8" s="96">
        <f t="shared" si="2"/>
        <v>32</v>
      </c>
      <c r="W8" s="21">
        <v>22</v>
      </c>
      <c r="X8" s="96">
        <v>11</v>
      </c>
      <c r="Y8" s="96">
        <v>0</v>
      </c>
      <c r="Z8" s="96" t="s">
        <v>253</v>
      </c>
      <c r="AA8" s="96">
        <v>0</v>
      </c>
    </row>
    <row r="9" spans="2:27" ht="27">
      <c r="B9" s="136" t="s">
        <v>307</v>
      </c>
      <c r="C9" s="21">
        <f xml:space="preserve"> MATCH(B9, 十五音韻母清單!$H$6:$H$105,0)</f>
        <v>31</v>
      </c>
      <c r="D9" s="21" cm="1">
        <f t="array" ref="D9" xml:space="preserve"> INDEX(十五音韻母清單!$B$6:$K$105, $C9, D$1)</f>
        <v>16</v>
      </c>
      <c r="F9" s="21">
        <v>5</v>
      </c>
      <c r="G9" s="23" t="str" cm="1">
        <f t="array" ref="G9" xml:space="preserve"> INDEX(十五音韻母清單!$B$6:$K$105, $C9, G$1)</f>
        <v>ai</v>
      </c>
      <c r="H9" s="23" t="str" cm="1">
        <f t="array" ref="H9" xml:space="preserve"> INDEX(十五音韻母清單!$B$6:$K$105, 韻母碼!$C9,韻母碼!H$1)</f>
        <v>ai</v>
      </c>
      <c r="I9" s="23" t="str" cm="1">
        <f t="array" ref="I9" xml:space="preserve"> INDEX(十五音韻母清單!$B$6:$K$105, 韻母碼!$C9,韻母碼!I$1)</f>
        <v>ai</v>
      </c>
      <c r="J9" s="23" t="str" cm="1">
        <f t="array" ref="J9" xml:space="preserve"> INDEX(十五音韻母清單!$B$6:$K$105, 韻母碼!$C9,韻母碼!J$1)</f>
        <v>ai</v>
      </c>
      <c r="K9" s="23" t="str" cm="1">
        <f t="array" ref="K9" xml:space="preserve"> INDEX(十五音韻母清單!$B$6:$K$105, 韻母碼!$C9,韻母碼!K$1)</f>
        <v>ai</v>
      </c>
      <c r="L9" s="23" t="str" cm="1">
        <f t="array" ref="L9" xml:space="preserve"> INDEX(十五音韻母清單!$B$6:$K$105, 韻母碼!$C9,韻母碼!L$1)</f>
        <v>ㄞ</v>
      </c>
      <c r="M9" s="21" t="str" cm="1">
        <f t="array" ref="M9" xml:space="preserve"> INDEX(十五音韻母清單!$B$6:$K$105, $C9, M$1)</f>
        <v>皆</v>
      </c>
      <c r="O9" s="456" t="s">
        <v>279</v>
      </c>
      <c r="Q9" s="21">
        <v>5</v>
      </c>
      <c r="R9" s="96">
        <f t="shared" si="0"/>
        <v>3</v>
      </c>
      <c r="S9" s="96">
        <f t="shared" si="1"/>
        <v>1</v>
      </c>
      <c r="T9" s="96" t="str" cm="1">
        <f t="array" ref="T9">IF(S9=1,  INDEX('十五音-韻母'!$D$5:$E$54, $R9, 1), INDEX('十五音-韻母'!$D$5:$E$54, $R9, 2))</f>
        <v>im</v>
      </c>
      <c r="U9" s="96">
        <f t="shared" si="2"/>
        <v>37</v>
      </c>
      <c r="W9" s="21">
        <v>25</v>
      </c>
      <c r="X9" s="96">
        <v>13</v>
      </c>
      <c r="Y9" s="96">
        <v>1</v>
      </c>
      <c r="Z9" s="96" t="s">
        <v>279</v>
      </c>
      <c r="AA9" s="96">
        <v>0</v>
      </c>
    </row>
    <row r="10" spans="2:27" ht="27">
      <c r="B10" s="136" t="s">
        <v>563</v>
      </c>
      <c r="C10" s="21">
        <f xml:space="preserve"> MATCH(B10, 十五音韻母清單!$H$6:$H$105,0)</f>
        <v>79</v>
      </c>
      <c r="D10" s="21" cm="1">
        <f t="array" ref="D10" xml:space="preserve"> INDEX(十五音韻母清單!$B$6:$K$105, $C10, D$1)</f>
        <v>40</v>
      </c>
      <c r="F10" s="21">
        <v>6</v>
      </c>
      <c r="G10" s="23" t="str" cm="1">
        <f t="array" ref="G10" xml:space="preserve"> INDEX(十五音韻母清單!$B$6:$K$105, $C10, G$1)</f>
        <v>ainn</v>
      </c>
      <c r="H10" s="23" t="str" cm="1">
        <f t="array" ref="H10" xml:space="preserve"> INDEX(十五音韻母清單!$B$6:$K$105, 韻母碼!$C10,韻母碼!H$1)</f>
        <v>ãĩ</v>
      </c>
      <c r="I10" s="23" t="str" cm="1">
        <f t="array" ref="I10" xml:space="preserve"> INDEX(十五音韻母清單!$B$6:$K$105, 韻母碼!$C10,韻母碼!I$1)</f>
        <v>aiⁿ</v>
      </c>
      <c r="J10" s="23" t="str" cm="1">
        <f t="array" ref="J10" xml:space="preserve"> INDEX(十五音韻母清單!$B$6:$K$105, 韻母碼!$C10,韻母碼!J$1)</f>
        <v>nai</v>
      </c>
      <c r="K10" s="23" t="str" cm="1">
        <f t="array" ref="K10" xml:space="preserve"> INDEX(十五音韻母清單!$B$6:$K$105, 韻母碼!$C10,韻母碼!K$1)</f>
        <v>ainn</v>
      </c>
      <c r="L10" s="23" t="str" cm="1">
        <f t="array" ref="L10" xml:space="preserve"> INDEX(十五音韻母清單!$B$6:$K$105, 韻母碼!$C10,韻母碼!L$1)</f>
        <v>ㆮ</v>
      </c>
      <c r="M10" s="21" t="str" cm="1">
        <f t="array" ref="M10" xml:space="preserve"> INDEX(十五音韻母清單!$B$6:$K$105, $C10, M$1)</f>
        <v>閒</v>
      </c>
      <c r="O10" s="456" t="s">
        <v>3706</v>
      </c>
      <c r="Q10" s="21">
        <v>6</v>
      </c>
      <c r="R10" s="96">
        <f t="shared" si="0"/>
        <v>3</v>
      </c>
      <c r="S10" s="96">
        <f t="shared" si="1"/>
        <v>0</v>
      </c>
      <c r="T10" s="96" t="str" cm="1">
        <f t="array" ref="T10">IF(S10=1,  INDEX('十五音-韻母'!$D$5:$E$54, $R10, 1), INDEX('十五音-韻母'!$D$5:$E$54, $R10, 2))</f>
        <v>ip</v>
      </c>
      <c r="U10" s="96">
        <f t="shared" si="2"/>
        <v>43</v>
      </c>
      <c r="W10" s="21">
        <v>26</v>
      </c>
      <c r="X10" s="96">
        <v>13</v>
      </c>
      <c r="Y10" s="96">
        <v>0</v>
      </c>
      <c r="Z10" s="96" t="s">
        <v>3706</v>
      </c>
      <c r="AA10" s="96">
        <v>0</v>
      </c>
    </row>
    <row r="11" spans="2:27" ht="27">
      <c r="B11" s="136" t="s">
        <v>352</v>
      </c>
      <c r="C11" s="21">
        <f xml:space="preserve"> MATCH(B11, 十五音韻母清單!$H$6:$H$105,0)</f>
        <v>42</v>
      </c>
      <c r="D11" s="21" cm="1">
        <f t="array" ref="D11" xml:space="preserve"> INDEX(十五音韻母清單!$B$6:$K$105, $C11, D$1)</f>
        <v>21</v>
      </c>
      <c r="F11" s="21">
        <v>7</v>
      </c>
      <c r="G11" s="23" t="str" cm="1">
        <f t="array" ref="G11" xml:space="preserve"> INDEX(十五音韻母清單!$B$6:$K$105, $C11, G$1)</f>
        <v>ak</v>
      </c>
      <c r="H11" s="23" t="str" cm="1">
        <f t="array" ref="H11" xml:space="preserve"> INDEX(十五音韻母清單!$B$6:$K$105, 韻母碼!$C11,韻母碼!H$1)</f>
        <v>ak̚</v>
      </c>
      <c r="I11" s="23" t="str" cm="1">
        <f t="array" ref="I11" xml:space="preserve"> INDEX(十五音韻母清單!$B$6:$K$105, 韻母碼!$C11,韻母碼!I$1)</f>
        <v>ak</v>
      </c>
      <c r="J11" s="23" t="str" cm="1">
        <f t="array" ref="J11" xml:space="preserve"> INDEX(十五音韻母清單!$B$6:$K$105, 韻母碼!$C11,韻母碼!J$1)</f>
        <v>ak</v>
      </c>
      <c r="K11" s="23" t="str" cm="1">
        <f t="array" ref="K11" xml:space="preserve"> INDEX(十五音韻母清單!$B$6:$K$105, 韻母碼!$C11,韻母碼!K$1)</f>
        <v>ak</v>
      </c>
      <c r="L11" s="23" t="str" cm="1">
        <f t="array" ref="L11" xml:space="preserve"> INDEX(十五音韻母清單!$B$6:$K$105, 韻母碼!$C11,韻母碼!L$1)</f>
        <v>ㄚㆻ</v>
      </c>
      <c r="M11" s="21" t="str" cm="1">
        <f t="array" ref="M11" xml:space="preserve"> INDEX(十五音韻母清單!$B$6:$K$105, $C11, M$1)</f>
        <v>江</v>
      </c>
      <c r="O11" s="456" t="s">
        <v>308</v>
      </c>
      <c r="Q11" s="21">
        <v>7</v>
      </c>
      <c r="R11" s="96">
        <f t="shared" si="0"/>
        <v>4</v>
      </c>
      <c r="S11" s="96">
        <f t="shared" si="1"/>
        <v>1</v>
      </c>
      <c r="T11" s="96" t="str" cm="1">
        <f t="array" ref="T11">IF(S11=1,  INDEX('十五音-韻母'!$D$5:$E$54, $R11, 1), INDEX('十五音-韻母'!$D$5:$E$54, $R11, 2))</f>
        <v>ui</v>
      </c>
      <c r="U11" s="96">
        <f t="shared" si="2"/>
        <v>72</v>
      </c>
      <c r="W11" s="21">
        <v>32</v>
      </c>
      <c r="X11" s="96">
        <v>16</v>
      </c>
      <c r="Y11" s="96">
        <v>0</v>
      </c>
      <c r="Z11" s="96" t="s">
        <v>308</v>
      </c>
      <c r="AA11" s="96">
        <v>0</v>
      </c>
    </row>
    <row r="12" spans="2:27" ht="27">
      <c r="B12" s="136" t="s">
        <v>334</v>
      </c>
      <c r="C12" s="21">
        <f xml:space="preserve"> MATCH(B12, 十五音韻母清單!$H$6:$H$105,0)</f>
        <v>37</v>
      </c>
      <c r="D12" s="21" cm="1">
        <f t="array" ref="D12" xml:space="preserve"> INDEX(十五音韻母清單!$B$6:$K$105, $C12, D$1)</f>
        <v>19</v>
      </c>
      <c r="F12" s="21">
        <v>8</v>
      </c>
      <c r="G12" s="23" t="str" cm="1">
        <f t="array" ref="G12" xml:space="preserve"> INDEX(十五音韻母清單!$B$6:$K$105, $C12, G$1)</f>
        <v>am</v>
      </c>
      <c r="H12" s="23" t="str" cm="1">
        <f t="array" ref="H12" xml:space="preserve"> INDEX(十五音韻母清單!$B$6:$K$105, 韻母碼!$C12,韻母碼!H$1)</f>
        <v>am</v>
      </c>
      <c r="I12" s="23" t="str" cm="1">
        <f t="array" ref="I12" xml:space="preserve"> INDEX(十五音韻母清單!$B$6:$K$105, 韻母碼!$C12,韻母碼!I$1)</f>
        <v>am</v>
      </c>
      <c r="J12" s="23" t="str" cm="1">
        <f t="array" ref="J12" xml:space="preserve"> INDEX(十五音韻母清單!$B$6:$K$105, 韻母碼!$C12,韻母碼!J$1)</f>
        <v>am</v>
      </c>
      <c r="K12" s="23" t="str" cm="1">
        <f t="array" ref="K12" xml:space="preserve"> INDEX(十五音韻母清單!$B$6:$K$105, 韻母碼!$C12,韻母碼!K$1)</f>
        <v>am</v>
      </c>
      <c r="L12" s="23" t="str" cm="1">
        <f t="array" ref="L12" xml:space="preserve"> INDEX(十五音韻母清單!$B$6:$K$105, 韻母碼!$C12,韻母碼!L$1)</f>
        <v>ㆰ</v>
      </c>
      <c r="M12" s="21" t="str" cm="1">
        <f t="array" ref="M12" xml:space="preserve"> INDEX(十五音韻母清單!$B$6:$K$105, $C12, M$1)</f>
        <v>甘</v>
      </c>
      <c r="O12" s="456" t="s">
        <v>440</v>
      </c>
      <c r="Q12" s="21">
        <v>8</v>
      </c>
      <c r="R12" s="96">
        <f t="shared" si="0"/>
        <v>4</v>
      </c>
      <c r="S12" s="96">
        <f t="shared" si="1"/>
        <v>0</v>
      </c>
      <c r="T12" s="96" t="str" cm="1">
        <f t="array" ref="T12">IF(S12=1,  INDEX('十五音-韻母'!$D$5:$E$54, $R12, 1), INDEX('十五音-韻母'!$D$5:$E$54, $R12, 2))</f>
        <v>uih</v>
      </c>
      <c r="U12" s="96">
        <f t="shared" si="2"/>
        <v>0</v>
      </c>
      <c r="W12" s="21">
        <v>60</v>
      </c>
      <c r="X12" s="96">
        <v>30</v>
      </c>
      <c r="Y12" s="96">
        <v>0</v>
      </c>
      <c r="Z12" s="96" t="s">
        <v>440</v>
      </c>
      <c r="AA12" s="96">
        <v>0</v>
      </c>
    </row>
    <row r="13" spans="2:27" ht="27">
      <c r="B13" s="136" t="s">
        <v>202</v>
      </c>
      <c r="C13" s="21">
        <f xml:space="preserve"> MATCH(B13, 十五音韻母清單!$H$6:$H$105,0)</f>
        <v>11</v>
      </c>
      <c r="D13" s="21" cm="1">
        <f t="array" ref="D13" xml:space="preserve"> INDEX(十五音韻母清單!$B$6:$K$105, $C13, D$1)</f>
        <v>6</v>
      </c>
      <c r="F13" s="21">
        <v>9</v>
      </c>
      <c r="G13" s="23" t="str" cm="1">
        <f t="array" ref="G13" xml:space="preserve"> INDEX(十五音韻母清單!$B$6:$K$105, $C13, G$1)</f>
        <v>an</v>
      </c>
      <c r="H13" s="23" t="str" cm="1">
        <f t="array" ref="H13" xml:space="preserve"> INDEX(十五音韻母清單!$B$6:$K$105, 韻母碼!$C13,韻母碼!H$1)</f>
        <v>an</v>
      </c>
      <c r="I13" s="23" t="str" cm="1">
        <f t="array" ref="I13" xml:space="preserve"> INDEX(十五音韻母清單!$B$6:$K$105, 韻母碼!$C13,韻母碼!I$1)</f>
        <v>an</v>
      </c>
      <c r="J13" s="23" t="str" cm="1">
        <f t="array" ref="J13" xml:space="preserve"> INDEX(十五音韻母清單!$B$6:$K$105, 韻母碼!$C13,韻母碼!J$1)</f>
        <v>an</v>
      </c>
      <c r="K13" s="23" t="str" cm="1">
        <f t="array" ref="K13" xml:space="preserve"> INDEX(十五音韻母清單!$B$6:$K$105, 韻母碼!$C13,韻母碼!K$1)</f>
        <v>an</v>
      </c>
      <c r="L13" s="23" t="str" cm="1">
        <f t="array" ref="L13" xml:space="preserve"> INDEX(十五音韻母清單!$B$6:$K$105, 韻母碼!$C13,韻母碼!L$1)</f>
        <v>ㄢ</v>
      </c>
      <c r="M13" s="21" t="str" cm="1">
        <f t="array" ref="M13" xml:space="preserve"> INDEX(十五音韻母清單!$B$6:$K$105, $C13, M$1)</f>
        <v>干</v>
      </c>
      <c r="O13" s="456" t="s">
        <v>465</v>
      </c>
      <c r="Q13" s="21">
        <v>9</v>
      </c>
      <c r="R13" s="96">
        <f t="shared" si="0"/>
        <v>5</v>
      </c>
      <c r="S13" s="96">
        <f t="shared" si="1"/>
        <v>1</v>
      </c>
      <c r="T13" s="96" t="str" cm="1">
        <f t="array" ref="T13">IF(S13=1,  INDEX('十五音-韻母'!$D$5:$E$54, $R13, 1), INDEX('十五音-韻母'!$D$5:$E$54, $R13, 2))</f>
        <v>ee</v>
      </c>
      <c r="U13" s="96">
        <f t="shared" si="2"/>
        <v>0</v>
      </c>
      <c r="W13" s="21">
        <v>63</v>
      </c>
      <c r="X13" s="96">
        <v>32</v>
      </c>
      <c r="Y13" s="96">
        <v>1</v>
      </c>
      <c r="Z13" s="96" t="s">
        <v>465</v>
      </c>
      <c r="AA13" s="96">
        <v>0</v>
      </c>
    </row>
    <row r="14" spans="2:27" ht="27">
      <c r="B14" s="136" t="s">
        <v>351</v>
      </c>
      <c r="C14" s="21">
        <f xml:space="preserve"> MATCH(B14, 十五音韻母清單!$H$6:$H$105,0)</f>
        <v>41</v>
      </c>
      <c r="D14" s="21" cm="1">
        <f t="array" ref="D14" xml:space="preserve"> INDEX(十五音韻母清單!$B$6:$K$105, $C14, D$1)</f>
        <v>21</v>
      </c>
      <c r="F14" s="21">
        <v>10</v>
      </c>
      <c r="G14" s="23" t="str" cm="1">
        <f t="array" ref="G14" xml:space="preserve"> INDEX(十五音韻母清單!$B$6:$K$105, $C14, G$1)</f>
        <v>ang</v>
      </c>
      <c r="H14" s="23" t="str" cm="1">
        <f t="array" ref="H14" xml:space="preserve"> INDEX(十五音韻母清單!$B$6:$K$105, 韻母碼!$C14,韻母碼!H$1)</f>
        <v>aŋ</v>
      </c>
      <c r="I14" s="23" t="str" cm="1">
        <f t="array" ref="I14" xml:space="preserve"> INDEX(十五音韻母清單!$B$6:$K$105, 韻母碼!$C14,韻母碼!I$1)</f>
        <v>ang</v>
      </c>
      <c r="J14" s="23" t="str" cm="1">
        <f t="array" ref="J14" xml:space="preserve"> INDEX(十五音韻母清單!$B$6:$K$105, 韻母碼!$C14,韻母碼!J$1)</f>
        <v>ang</v>
      </c>
      <c r="K14" s="23" t="str" cm="1">
        <f t="array" ref="K14" xml:space="preserve"> INDEX(十五音韻母清單!$B$6:$K$105, 韻母碼!$C14,韻母碼!K$1)</f>
        <v>ang</v>
      </c>
      <c r="L14" s="23" t="str" cm="1">
        <f t="array" ref="L14" xml:space="preserve"> INDEX(十五音韻母清單!$B$6:$K$105, 韻母碼!$C14,韻母碼!L$1)</f>
        <v>ㄤ</v>
      </c>
      <c r="M14" s="21" t="str" cm="1">
        <f t="array" ref="M14" xml:space="preserve"> INDEX(十五音韻母清單!$B$6:$K$105, $C14, M$1)</f>
        <v>江</v>
      </c>
      <c r="O14" s="456" t="s">
        <v>466</v>
      </c>
      <c r="Q14" s="21">
        <v>10</v>
      </c>
      <c r="R14" s="96">
        <f t="shared" si="0"/>
        <v>5</v>
      </c>
      <c r="S14" s="96">
        <f t="shared" si="1"/>
        <v>0</v>
      </c>
      <c r="T14" s="96" t="str" cm="1">
        <f t="array" ref="T14">IF(S14=1,  INDEX('十五音-韻母'!$D$5:$E$54, $R14, 1), INDEX('十五音-韻母'!$D$5:$E$54, $R14, 2))</f>
        <v>eh</v>
      </c>
      <c r="U14" s="96">
        <f t="shared" si="2"/>
        <v>17</v>
      </c>
      <c r="W14" s="21">
        <v>64</v>
      </c>
      <c r="X14" s="96">
        <v>32</v>
      </c>
      <c r="Y14" s="96">
        <v>0</v>
      </c>
      <c r="Z14" s="96" t="s">
        <v>466</v>
      </c>
      <c r="AA14" s="96">
        <v>0</v>
      </c>
    </row>
    <row r="15" spans="2:27" ht="27">
      <c r="B15" s="136" t="s">
        <v>203</v>
      </c>
      <c r="C15" s="21">
        <f xml:space="preserve"> MATCH(B15, 十五音韻母清單!$H$6:$H$105,0)</f>
        <v>38</v>
      </c>
      <c r="D15" s="21" cm="1">
        <f t="array" ref="D15" xml:space="preserve"> INDEX(十五音韻母清單!$B$6:$K$105, $C15, D$1)</f>
        <v>19</v>
      </c>
      <c r="F15" s="21">
        <v>11</v>
      </c>
      <c r="G15" s="23" t="str" cm="1">
        <f t="array" ref="G15" xml:space="preserve"> INDEX(十五音韻母清單!$B$6:$K$105, $C15, G$1)</f>
        <v>ap</v>
      </c>
      <c r="H15" s="23" t="str" cm="1">
        <f t="array" ref="H15" xml:space="preserve"> INDEX(十五音韻母清單!$B$6:$K$105, 韻母碼!$C15,韻母碼!H$1)</f>
        <v>ap̚</v>
      </c>
      <c r="I15" s="23" t="str" cm="1">
        <f t="array" ref="I15" xml:space="preserve"> INDEX(十五音韻母清單!$B$6:$K$105, 韻母碼!$C15,韻母碼!I$1)</f>
        <v>ap</v>
      </c>
      <c r="J15" s="23" t="str" cm="1">
        <f t="array" ref="J15" xml:space="preserve"> INDEX(十五音韻母清單!$B$6:$K$105, 韻母碼!$C15,韻母碼!J$1)</f>
        <v>ap</v>
      </c>
      <c r="K15" s="23" t="str" cm="1">
        <f t="array" ref="K15" xml:space="preserve"> INDEX(十五音韻母清單!$B$6:$K$105, 韻母碼!$C15,韻母碼!K$1)</f>
        <v>ap</v>
      </c>
      <c r="L15" s="23" t="str" cm="1">
        <f t="array" ref="L15" xml:space="preserve"> INDEX(十五音韻母清單!$B$6:$K$105, 韻母碼!$C15,韻母碼!L$1)</f>
        <v>ㄚㆴ</v>
      </c>
      <c r="M15" s="21" t="str" cm="1">
        <f t="array" ref="M15" xml:space="preserve"> INDEX(十五音韻母清單!$B$6:$K$105, $C15, M$1)</f>
        <v>甘</v>
      </c>
      <c r="O15" s="456" t="s">
        <v>491</v>
      </c>
      <c r="Q15" s="21">
        <v>11</v>
      </c>
      <c r="R15" s="96">
        <f t="shared" si="0"/>
        <v>6</v>
      </c>
      <c r="S15" s="96">
        <f t="shared" si="1"/>
        <v>1</v>
      </c>
      <c r="T15" s="96" t="str" cm="1">
        <f t="array" ref="T15">IF(S15=1,  INDEX('十五音-韻母'!$D$5:$E$54, $R15, 1), INDEX('十五音-韻母'!$D$5:$E$54, $R15, 2))</f>
        <v>an</v>
      </c>
      <c r="U15" s="96">
        <f t="shared" si="2"/>
        <v>9</v>
      </c>
      <c r="W15" s="21">
        <v>68</v>
      </c>
      <c r="X15" s="96">
        <v>34</v>
      </c>
      <c r="Y15" s="96">
        <v>0</v>
      </c>
      <c r="Z15" s="96" t="s">
        <v>491</v>
      </c>
      <c r="AA15" s="96">
        <v>0</v>
      </c>
    </row>
    <row r="16" spans="2:27" ht="27">
      <c r="B16" s="136" t="s">
        <v>205</v>
      </c>
      <c r="C16" s="21">
        <f xml:space="preserve"> MATCH(B16, 十五音韻母清單!$H$6:$H$105,0)</f>
        <v>12</v>
      </c>
      <c r="D16" s="21" cm="1">
        <f t="array" ref="D16" xml:space="preserve"> INDEX(十五音韻母清單!$B$6:$K$105, $C16, D$1)</f>
        <v>6</v>
      </c>
      <c r="F16" s="21">
        <v>12</v>
      </c>
      <c r="G16" s="23" t="str" cm="1">
        <f t="array" ref="G16" xml:space="preserve"> INDEX(十五音韻母清單!$B$6:$K$105, $C16, G$1)</f>
        <v>ap</v>
      </c>
      <c r="H16" s="23" t="str" cm="1">
        <f t="array" ref="H16" xml:space="preserve"> INDEX(十五音韻母清單!$B$6:$K$105, 韻母碼!$C16,韻母碼!H$1)</f>
        <v>at̚</v>
      </c>
      <c r="I16" s="23" t="str" cm="1">
        <f t="array" ref="I16" xml:space="preserve"> INDEX(十五音韻母清單!$B$6:$K$105, 韻母碼!$C16,韻母碼!I$1)</f>
        <v>at</v>
      </c>
      <c r="J16" s="23" t="str" cm="1">
        <f t="array" ref="J16" xml:space="preserve"> INDEX(十五音韻母清單!$B$6:$K$105, 韻母碼!$C16,韻母碼!J$1)</f>
        <v>at</v>
      </c>
      <c r="K16" s="23" t="str" cm="1">
        <f t="array" ref="K16" xml:space="preserve"> INDEX(十五音韻母清單!$B$6:$K$105, 韻母碼!$C16,韻母碼!K$1)</f>
        <v>ap</v>
      </c>
      <c r="L16" s="23" t="str" cm="1">
        <f t="array" ref="L16" xml:space="preserve"> INDEX(十五音韻母清單!$B$6:$K$105, 韻母碼!$C16,韻母碼!L$1)</f>
        <v>ㄚㆵ</v>
      </c>
      <c r="M16" s="21" t="str" cm="1">
        <f t="array" ref="M16" xml:space="preserve"> INDEX(十五音韻母清單!$B$6:$K$105, $C16, M$1)</f>
        <v>干</v>
      </c>
      <c r="O16" s="456" t="s">
        <v>504</v>
      </c>
      <c r="Q16" s="21">
        <v>12</v>
      </c>
      <c r="R16" s="96">
        <f t="shared" si="0"/>
        <v>6</v>
      </c>
      <c r="S16" s="96">
        <f t="shared" si="1"/>
        <v>0</v>
      </c>
      <c r="T16" s="96" t="str" cm="1">
        <f t="array" ref="T16">IF(S16=1,  INDEX('十五音-韻母'!$D$5:$E$54, $R16, 1), INDEX('十五音-韻母'!$D$5:$E$54, $R16, 2))</f>
        <v>ap</v>
      </c>
      <c r="U16" s="96">
        <f t="shared" si="2"/>
        <v>11</v>
      </c>
      <c r="W16" s="21">
        <v>69</v>
      </c>
      <c r="X16" s="96">
        <v>35</v>
      </c>
      <c r="Y16" s="96">
        <v>1</v>
      </c>
      <c r="Z16" s="96" t="s">
        <v>504</v>
      </c>
      <c r="AA16" s="96">
        <v>0</v>
      </c>
    </row>
    <row r="17" spans="2:27" ht="27">
      <c r="B17" s="136" t="s">
        <v>368</v>
      </c>
      <c r="C17" s="21">
        <f xml:space="preserve"> MATCH(B17, 十五音韻母清單!$H$6:$H$105,0)</f>
        <v>45</v>
      </c>
      <c r="D17" s="21" cm="1">
        <f t="array" ref="D17" xml:space="preserve"> INDEX(十五音韻母清單!$B$6:$K$105, $C17, D$1)</f>
        <v>23</v>
      </c>
      <c r="F17" s="21">
        <v>13</v>
      </c>
      <c r="G17" s="23" t="str" cm="1">
        <f t="array" ref="G17" xml:space="preserve"> INDEX(十五音韻母清單!$B$6:$K$105, $C17, G$1)</f>
        <v>au</v>
      </c>
      <c r="H17" s="23" t="str" cm="1">
        <f t="array" ref="H17" xml:space="preserve"> INDEX(十五音韻母清單!$B$6:$K$105, 韻母碼!$C17,韻母碼!H$1)</f>
        <v>aʊ</v>
      </c>
      <c r="I17" s="23" t="str" cm="1">
        <f t="array" ref="I17" xml:space="preserve"> INDEX(十五音韻母清單!$B$6:$K$105, 韻母碼!$C17,韻母碼!I$1)</f>
        <v>au</v>
      </c>
      <c r="J17" s="23" t="str" cm="1">
        <f t="array" ref="J17" xml:space="preserve"> INDEX(十五音韻母清單!$B$6:$K$105, 韻母碼!$C17,韻母碼!J$1)</f>
        <v>ao</v>
      </c>
      <c r="K17" s="23" t="str" cm="1">
        <f t="array" ref="K17" xml:space="preserve"> INDEX(十五音韻母清單!$B$6:$K$105, 韻母碼!$C17,韻母碼!K$1)</f>
        <v>au</v>
      </c>
      <c r="L17" s="23" t="str" cm="1">
        <f t="array" ref="L17" xml:space="preserve"> INDEX(十五音韻母清單!$B$6:$K$105, 韻母碼!$C17,韻母碼!L$1)</f>
        <v>ㄠ</v>
      </c>
      <c r="M17" s="21" t="str" cm="1">
        <f t="array" ref="M17" xml:space="preserve"> INDEX(十五音韻母清單!$B$6:$K$105, $C17, M$1)</f>
        <v>交</v>
      </c>
      <c r="O17" s="456" t="s">
        <v>505</v>
      </c>
      <c r="Q17" s="21">
        <v>13</v>
      </c>
      <c r="R17" s="96">
        <f t="shared" si="0"/>
        <v>7</v>
      </c>
      <c r="S17" s="96">
        <f t="shared" si="1"/>
        <v>1</v>
      </c>
      <c r="T17" s="96" t="str" cm="1">
        <f t="array" ref="T17">IF(S17=1,  INDEX('十五音-韻母'!$D$5:$E$54, $R17, 1), INDEX('十五音-韻母'!$D$5:$E$54, $R17, 2))</f>
        <v>ong</v>
      </c>
      <c r="U17" s="96">
        <f t="shared" si="2"/>
        <v>69</v>
      </c>
      <c r="W17" s="21">
        <v>70</v>
      </c>
      <c r="X17" s="96">
        <v>35</v>
      </c>
      <c r="Y17" s="96">
        <v>0</v>
      </c>
      <c r="Z17" s="96" t="s">
        <v>505</v>
      </c>
      <c r="AA17" s="96">
        <v>0</v>
      </c>
    </row>
    <row r="18" spans="2:27" ht="27">
      <c r="B18" s="136" t="s">
        <v>369</v>
      </c>
      <c r="C18" s="21">
        <f xml:space="preserve"> MATCH(B18, 十五音韻母清單!$H$6:$H$105,0)</f>
        <v>46</v>
      </c>
      <c r="D18" s="21" cm="1">
        <f t="array" ref="D18" xml:space="preserve"> INDEX(十五音韻母清單!$B$6:$K$105, $C18, D$1)</f>
        <v>23</v>
      </c>
      <c r="F18" s="21">
        <v>14</v>
      </c>
      <c r="G18" s="23" t="str" cm="1">
        <f t="array" ref="G18" xml:space="preserve"> INDEX(十五音韻母清單!$B$6:$K$105, $C18, G$1)</f>
        <v>auh</v>
      </c>
      <c r="H18" s="23" t="str" cm="1">
        <f t="array" ref="H18" xml:space="preserve"> INDEX(十五音韻母清單!$B$6:$K$105, 韻母碼!$C18,韻母碼!H$1)</f>
        <v>au?</v>
      </c>
      <c r="I18" s="23" t="str" cm="1">
        <f t="array" ref="I18" xml:space="preserve"> INDEX(十五音韻母清單!$B$6:$K$105, 韻母碼!$C18,韻母碼!I$1)</f>
        <v>auh</v>
      </c>
      <c r="J18" s="23" t="str" cm="1">
        <f t="array" ref="J18" xml:space="preserve"> INDEX(十五音韻母清單!$B$6:$K$105, 韻母碼!$C18,韻母碼!J$1)</f>
        <v>aoh</v>
      </c>
      <c r="K18" s="23" t="str" cm="1">
        <f t="array" ref="K18" xml:space="preserve"> INDEX(十五音韻母清單!$B$6:$K$105, 韻母碼!$C18,韻母碼!K$1)</f>
        <v>auh</v>
      </c>
      <c r="L18" s="23" t="str" cm="1">
        <f t="array" ref="L18" xml:space="preserve"> INDEX(十五音韻母清單!$B$6:$K$105, 韻母碼!$C18,韻母碼!L$1)</f>
        <v>ㄠㆷ</v>
      </c>
      <c r="M18" s="21" t="str" cm="1">
        <f t="array" ref="M18" xml:space="preserve"> INDEX(十五音韻母清單!$B$6:$K$105, $C18, M$1)</f>
        <v>交</v>
      </c>
      <c r="O18" s="456" t="s">
        <v>533</v>
      </c>
      <c r="Q18" s="21">
        <v>14</v>
      </c>
      <c r="R18" s="96">
        <f t="shared" si="0"/>
        <v>7</v>
      </c>
      <c r="S18" s="96">
        <f t="shared" si="1"/>
        <v>0</v>
      </c>
      <c r="T18" s="96" t="str" cm="1">
        <f t="array" ref="T18">IF(S18=1,  INDEX('十五音-韻母'!$D$5:$E$54, $R18, 1), INDEX('十五音-韻母'!$D$5:$E$54, $R18, 2))</f>
        <v>ok</v>
      </c>
      <c r="U18" s="96">
        <f t="shared" si="2"/>
        <v>67</v>
      </c>
      <c r="W18" s="21">
        <v>74</v>
      </c>
      <c r="X18" s="96">
        <v>37</v>
      </c>
      <c r="Y18" s="96">
        <v>0</v>
      </c>
      <c r="Z18" s="96" t="s">
        <v>533</v>
      </c>
      <c r="AA18" s="96">
        <v>0</v>
      </c>
    </row>
    <row r="19" spans="2:27" ht="27">
      <c r="B19" s="136" t="s">
        <v>278</v>
      </c>
      <c r="C19" s="21">
        <f xml:space="preserve"> MATCH(B19, 十五音韻母清單!$H$6:$H$105,0)</f>
        <v>77</v>
      </c>
      <c r="D19" s="21" cm="1">
        <f t="array" ref="D19" xml:space="preserve"> INDEX(十五音韻母清單!$B$6:$K$105, $C19, D$1)</f>
        <v>39</v>
      </c>
      <c r="F19" s="21">
        <v>15</v>
      </c>
      <c r="G19" s="23" t="str" cm="1">
        <f t="array" ref="G19" xml:space="preserve"> INDEX(十五音韻母清單!$B$6:$K$105, $C19, G$1)</f>
        <v>e</v>
      </c>
      <c r="H19" s="23" t="str" cm="1">
        <f t="array" ref="H19" xml:space="preserve"> INDEX(十五音韻母清單!$B$6:$K$105, 韻母碼!$C19,韻母碼!H$1)</f>
        <v>e</v>
      </c>
      <c r="I19" s="23" t="str" cm="1">
        <f t="array" ref="I19" xml:space="preserve"> INDEX(十五音韻母清單!$B$6:$K$105, 韻母碼!$C19,韻母碼!I$1)</f>
        <v>e</v>
      </c>
      <c r="J19" s="23" t="str" cm="1">
        <f t="array" ref="J19" xml:space="preserve"> INDEX(十五音韻母清單!$B$6:$K$105, 韻母碼!$C19,韻母碼!J$1)</f>
        <v>e</v>
      </c>
      <c r="K19" s="23" t="str" cm="1">
        <f t="array" ref="K19" xml:space="preserve"> INDEX(十五音韻母清單!$B$6:$K$105, 韻母碼!$C19,韻母碼!K$1)</f>
        <v>e</v>
      </c>
      <c r="L19" s="23" t="str" cm="1">
        <f t="array" ref="L19" xml:space="preserve"> INDEX(十五音韻母清單!$B$6:$K$105, 韻母碼!$C19,韻母碼!L$1)</f>
        <v>ㆤ</v>
      </c>
      <c r="M19" s="21" t="str" cm="1">
        <f t="array" ref="M19" xml:space="preserve"> INDEX(十五音韻母清單!$B$6:$K$105, $C19, M$1)</f>
        <v>伽</v>
      </c>
      <c r="O19" s="456" t="s">
        <v>560</v>
      </c>
      <c r="Q19" s="21">
        <v>15</v>
      </c>
      <c r="R19" s="96">
        <f t="shared" si="0"/>
        <v>8</v>
      </c>
      <c r="S19" s="96">
        <f t="shared" si="1"/>
        <v>1</v>
      </c>
      <c r="T19" s="96" t="str" cm="1">
        <f t="array" ref="T19">IF(S19=1,  INDEX('十五音-韻母'!$D$5:$E$54, $R19, 1), INDEX('十五音-韻母'!$D$5:$E$54, $R19, 2))</f>
        <v>uai</v>
      </c>
      <c r="U19" s="96">
        <f t="shared" si="2"/>
        <v>58</v>
      </c>
      <c r="W19" s="21">
        <v>80</v>
      </c>
      <c r="X19" s="96">
        <v>40</v>
      </c>
      <c r="Y19" s="96">
        <v>0</v>
      </c>
      <c r="Z19" s="96" t="s">
        <v>560</v>
      </c>
      <c r="AA19" s="96">
        <v>0</v>
      </c>
    </row>
    <row r="20" spans="2:27" ht="27">
      <c r="B20" s="136" t="s">
        <v>453</v>
      </c>
      <c r="C20" s="21">
        <f xml:space="preserve"> MATCH(B20, 十五音韻母清單!$H$6:$H$105,0)</f>
        <v>61</v>
      </c>
      <c r="D20" s="21" cm="1">
        <f t="array" ref="D20" xml:space="preserve"> INDEX(十五音韻母清單!$B$6:$K$105, $C20, D$1)</f>
        <v>31</v>
      </c>
      <c r="F20" s="21">
        <v>16</v>
      </c>
      <c r="G20" s="23" t="str" cm="1">
        <f t="array" ref="G20" xml:space="preserve"> INDEX(十五音韻母清單!$B$6:$K$105, $C20, G$1)</f>
        <v>enn</v>
      </c>
      <c r="H20" s="23" t="str" cm="1">
        <f t="array" ref="H20" xml:space="preserve"> INDEX(十五音韻母清單!$B$6:$K$105, 韻母碼!$C20,韻母碼!H$1)</f>
        <v>ẽ</v>
      </c>
      <c r="I20" s="23" t="str" cm="1">
        <f t="array" ref="I20" xml:space="preserve"> INDEX(十五音韻母清單!$B$6:$K$105, 韻母碼!$C20,韻母碼!I$1)</f>
        <v>eⁿ</v>
      </c>
      <c r="J20" s="23" t="str" cm="1">
        <f t="array" ref="J20" xml:space="preserve"> INDEX(十五音韻母清單!$B$6:$K$105, 韻母碼!$C20,韻母碼!J$1)</f>
        <v>ne</v>
      </c>
      <c r="K20" s="23" t="str" cm="1">
        <f t="array" ref="K20" xml:space="preserve"> INDEX(十五音韻母清單!$B$6:$K$105, 韻母碼!$C20,韻母碼!K$1)</f>
        <v>enn</v>
      </c>
      <c r="L20" s="23" t="str" cm="1">
        <f t="array" ref="L20" xml:space="preserve"> INDEX(十五音韻母清單!$B$6:$K$105, 韻母碼!$C20,韻母碼!L$1)</f>
        <v>ㆥ</v>
      </c>
      <c r="M20" s="21" t="str" cm="1">
        <f t="array" ref="M20" xml:space="preserve"> INDEX(十五音韻母清單!$B$6:$K$105, $C20, M$1)</f>
        <v>更</v>
      </c>
      <c r="O20" s="456" t="s">
        <v>599</v>
      </c>
      <c r="Q20" s="21">
        <v>16</v>
      </c>
      <c r="R20" s="96">
        <f t="shared" si="0"/>
        <v>8</v>
      </c>
      <c r="S20" s="96">
        <f t="shared" si="1"/>
        <v>0</v>
      </c>
      <c r="T20" s="96" t="str" cm="1">
        <f t="array" ref="T20">IF(S20=1,  INDEX('十五音-韻母'!$D$5:$E$54, $R20, 1), INDEX('十五音-韻母'!$D$5:$E$54, $R20, 2))</f>
        <v>uaih</v>
      </c>
      <c r="U20" s="96">
        <f t="shared" si="2"/>
        <v>0</v>
      </c>
      <c r="W20" s="21">
        <v>86</v>
      </c>
      <c r="X20" s="96">
        <v>43</v>
      </c>
      <c r="Y20" s="96">
        <v>0</v>
      </c>
      <c r="Z20" s="96" t="s">
        <v>599</v>
      </c>
      <c r="AA20" s="96">
        <v>0</v>
      </c>
    </row>
    <row r="21" spans="2:27" ht="27">
      <c r="B21" s="136" t="s">
        <v>189</v>
      </c>
      <c r="C21" s="21">
        <f xml:space="preserve"> MATCH(B21, 十五音韻母清單!$H$6:$H$105,0)</f>
        <v>78</v>
      </c>
      <c r="D21" s="21" cm="1">
        <f t="array" ref="D21" xml:space="preserve"> INDEX(十五音韻母清單!$B$6:$K$105, $C21, D$1)</f>
        <v>39</v>
      </c>
      <c r="F21" s="21">
        <v>17</v>
      </c>
      <c r="G21" s="23" t="str" cm="1">
        <f t="array" ref="G21" xml:space="preserve"> INDEX(十五音韻母清單!$B$6:$K$105, $C21, G$1)</f>
        <v>eh</v>
      </c>
      <c r="H21" s="23" t="str" cm="1">
        <f t="array" ref="H21" xml:space="preserve"> INDEX(十五音韻母清單!$B$6:$K$105, 韻母碼!$C21,韻母碼!H$1)</f>
        <v>e?</v>
      </c>
      <c r="I21" s="23" t="str" cm="1">
        <f t="array" ref="I21" xml:space="preserve"> INDEX(十五音韻母清單!$B$6:$K$105, 韻母碼!$C21,韻母碼!I$1)</f>
        <v>eh</v>
      </c>
      <c r="J21" s="23" t="str" cm="1">
        <f t="array" ref="J21" xml:space="preserve"> INDEX(十五音韻母清單!$B$6:$K$105, 韻母碼!$C21,韻母碼!J$1)</f>
        <v>eh</v>
      </c>
      <c r="K21" s="23" t="str" cm="1">
        <f t="array" ref="K21" xml:space="preserve"> INDEX(十五音韻母清單!$B$6:$K$105, 韻母碼!$C21,韻母碼!K$1)</f>
        <v>eh</v>
      </c>
      <c r="L21" s="23" t="str" cm="1">
        <f t="array" ref="L21" xml:space="preserve"> INDEX(十五音韻母清單!$B$6:$K$105, 韻母碼!$C21,韻母碼!L$1)</f>
        <v>ㆤㆷ</v>
      </c>
      <c r="M21" s="21" t="str" cm="1">
        <f t="array" ref="M21" xml:space="preserve"> INDEX(十五音韻母清單!$B$6:$K$105, $C21, M$1)</f>
        <v>伽</v>
      </c>
      <c r="O21" s="456" t="s">
        <v>611</v>
      </c>
      <c r="Q21" s="21">
        <v>17</v>
      </c>
      <c r="R21" s="96">
        <f t="shared" si="0"/>
        <v>9</v>
      </c>
      <c r="S21" s="96">
        <f t="shared" si="1"/>
        <v>1</v>
      </c>
      <c r="T21" s="96" t="str" cm="1">
        <f t="array" ref="T21">IF(S21=1,  INDEX('十五音-韻母'!$D$5:$E$54, $R21, 1), INDEX('十五音-韻母'!$D$5:$E$54, $R21, 2))</f>
        <v>ing</v>
      </c>
      <c r="U21" s="96">
        <f t="shared" si="2"/>
        <v>20</v>
      </c>
      <c r="W21" s="21">
        <v>88</v>
      </c>
      <c r="X21" s="96">
        <v>44</v>
      </c>
      <c r="Y21" s="96">
        <v>0</v>
      </c>
      <c r="Z21" s="96" t="s">
        <v>611</v>
      </c>
      <c r="AA21" s="96">
        <v>0</v>
      </c>
    </row>
    <row r="22" spans="2:27" ht="27">
      <c r="B22" s="136" t="s">
        <v>701</v>
      </c>
      <c r="C22" s="21">
        <f xml:space="preserve"> MATCH(B22, 十五音韻母清單!$H$6:$H$105,0)</f>
        <v>62</v>
      </c>
      <c r="D22" s="21" cm="1">
        <f t="array" ref="D22" xml:space="preserve"> INDEX(十五音韻母清單!$B$6:$K$105, $C22, D$1)</f>
        <v>31</v>
      </c>
      <c r="F22" s="21">
        <v>18</v>
      </c>
      <c r="G22" s="23" t="str" cm="1">
        <f t="array" ref="G22" xml:space="preserve"> INDEX(十五音韻母清單!$B$6:$K$105, $C22, G$1)</f>
        <v>ennh</v>
      </c>
      <c r="H22" s="23" t="str" cm="1">
        <f t="array" ref="H22" xml:space="preserve"> INDEX(十五音韻母清單!$B$6:$K$105, 韻母碼!$C22,韻母碼!H$1)</f>
        <v>ẽ?</v>
      </c>
      <c r="I22" s="23" t="str" cm="1">
        <f t="array" ref="I22" xml:space="preserve"> INDEX(十五音韻母清單!$B$6:$K$105, 韻母碼!$C22,韻母碼!I$1)</f>
        <v>ehⁿ</v>
      </c>
      <c r="J22" s="23" t="str" cm="1">
        <f t="array" ref="J22" xml:space="preserve"> INDEX(十五音韻母清單!$B$6:$K$105, 韻母碼!$C22,韻母碼!J$1)</f>
        <v>neh</v>
      </c>
      <c r="K22" s="23" t="str" cm="1">
        <f t="array" ref="K22" xml:space="preserve"> INDEX(十五音韻母清單!$B$6:$K$105, 韻母碼!$C22,韻母碼!K$1)</f>
        <v>ennh</v>
      </c>
      <c r="L22" s="23" t="str" cm="1">
        <f t="array" ref="L22" xml:space="preserve"> INDEX(十五音韻母清單!$B$6:$K$105, 韻母碼!$C22,韻母碼!L$1)</f>
        <v>ㆥㆷ</v>
      </c>
      <c r="M22" s="21" t="str" cm="1">
        <f t="array" ref="M22" xml:space="preserve"> INDEX(十五音韻母清單!$B$6:$K$105, $C22, M$1)</f>
        <v>更</v>
      </c>
      <c r="O22" s="456" t="s">
        <v>624</v>
      </c>
      <c r="Q22" s="21">
        <v>18</v>
      </c>
      <c r="R22" s="96">
        <f t="shared" si="0"/>
        <v>9</v>
      </c>
      <c r="S22" s="96">
        <f t="shared" si="1"/>
        <v>0</v>
      </c>
      <c r="T22" s="96" t="str" cm="1">
        <f t="array" ref="T22">IF(S22=1,  INDEX('十五音-韻母'!$D$5:$E$54, $R22, 1), INDEX('十五音-韻母'!$D$5:$E$54, $R22, 2))</f>
        <v>ik</v>
      </c>
      <c r="U22" s="96">
        <f t="shared" si="2"/>
        <v>19</v>
      </c>
      <c r="W22" s="21">
        <v>89</v>
      </c>
      <c r="X22" s="96">
        <v>45</v>
      </c>
      <c r="Y22" s="96">
        <v>1</v>
      </c>
      <c r="Z22" s="96" t="s">
        <v>624</v>
      </c>
      <c r="AA22" s="96">
        <v>0</v>
      </c>
    </row>
    <row r="23" spans="2:27" ht="27">
      <c r="B23" s="136" t="s">
        <v>236</v>
      </c>
      <c r="C23" s="21">
        <f xml:space="preserve"> MATCH(B23, 十五音韻母清單!$H$6:$H$105,0)</f>
        <v>18</v>
      </c>
      <c r="D23" s="21" cm="1">
        <f t="array" ref="D23" xml:space="preserve"> INDEX(十五音韻母清單!$B$6:$K$105, $C23, D$1)</f>
        <v>9</v>
      </c>
      <c r="F23" s="21">
        <v>19</v>
      </c>
      <c r="G23" s="23" t="str" cm="1">
        <f t="array" ref="G23" xml:space="preserve"> INDEX(十五音韻母清單!$B$6:$K$105, $C23, G$1)</f>
        <v>ik</v>
      </c>
      <c r="H23" s="23" t="str" cm="1">
        <f t="array" ref="H23" xml:space="preserve"> INDEX(十五音韻母清單!$B$6:$K$105, 韻母碼!$C23,韻母碼!H$1)</f>
        <v>ik̚</v>
      </c>
      <c r="I23" s="23" t="str" cm="1">
        <f t="array" ref="I23" xml:space="preserve"> INDEX(十五音韻母清單!$B$6:$K$105, 韻母碼!$C23,韻母碼!I$1)</f>
        <v>ek</v>
      </c>
      <c r="J23" s="23" t="str" cm="1">
        <f t="array" ref="J23" xml:space="preserve"> INDEX(十五音韻母清單!$B$6:$K$105, 韻母碼!$C23,韻母碼!J$1)</f>
        <v>ik</v>
      </c>
      <c r="K23" s="23" t="str" cm="1">
        <f t="array" ref="K23" xml:space="preserve"> INDEX(十五音韻母清單!$B$6:$K$105, 韻母碼!$C23,韻母碼!K$1)</f>
        <v>ik</v>
      </c>
      <c r="L23" s="23" t="str" cm="1">
        <f t="array" ref="L23" xml:space="preserve"> INDEX(十五音韻母清單!$B$6:$K$105, 韻母碼!$C23,韻母碼!L$1)</f>
        <v>ㄧㆻ</v>
      </c>
      <c r="M23" s="21" t="str" cm="1">
        <f t="array" ref="M23" xml:space="preserve"> INDEX(十五音韻母清單!$B$6:$K$105, $C23, M$1)</f>
        <v>經</v>
      </c>
      <c r="O23" s="456" t="s">
        <v>625</v>
      </c>
      <c r="Q23" s="21">
        <v>19</v>
      </c>
      <c r="R23" s="96">
        <f t="shared" si="0"/>
        <v>10</v>
      </c>
      <c r="S23" s="96">
        <f t="shared" si="1"/>
        <v>1</v>
      </c>
      <c r="T23" s="96" t="str" cm="1">
        <f t="array" ref="T23">IF(S23=1,  INDEX('十五音-韻母'!$D$5:$E$54, $R23, 1), INDEX('十五音-韻母'!$D$5:$E$54, $R23, 2))</f>
        <v>uan</v>
      </c>
      <c r="U23" s="96">
        <f t="shared" si="2"/>
        <v>60</v>
      </c>
      <c r="W23" s="21">
        <v>90</v>
      </c>
      <c r="X23" s="96">
        <v>45</v>
      </c>
      <c r="Y23" s="96">
        <v>0</v>
      </c>
      <c r="Z23" s="96" t="s">
        <v>625</v>
      </c>
      <c r="AA23" s="96">
        <v>0</v>
      </c>
    </row>
    <row r="24" spans="2:27" ht="27">
      <c r="B24" s="136" t="s">
        <v>235</v>
      </c>
      <c r="C24" s="21">
        <f xml:space="preserve"> MATCH(B24, 十五音韻母清單!$H$6:$H$105,0)</f>
        <v>17</v>
      </c>
      <c r="D24" s="21" cm="1">
        <f t="array" ref="D24" xml:space="preserve"> INDEX(十五音韻母清單!$B$6:$K$105, $C24, D$1)</f>
        <v>9</v>
      </c>
      <c r="F24" s="21">
        <v>20</v>
      </c>
      <c r="G24" s="23" t="str" cm="1">
        <f t="array" ref="G24" xml:space="preserve"> INDEX(十五音韻母清單!$B$6:$K$105, $C24, G$1)</f>
        <v>ing</v>
      </c>
      <c r="H24" s="23" t="str" cm="1">
        <f t="array" ref="H24" xml:space="preserve"> INDEX(十五音韻母清單!$B$6:$K$105, 韻母碼!$C24,韻母碼!H$1)</f>
        <v>ɪŋ</v>
      </c>
      <c r="I24" s="23" t="str" cm="1">
        <f t="array" ref="I24" xml:space="preserve"> INDEX(十五音韻母清單!$B$6:$K$105, 韻母碼!$C24,韻母碼!I$1)</f>
        <v>eng</v>
      </c>
      <c r="J24" s="23" t="str" cm="1">
        <f t="array" ref="J24" xml:space="preserve"> INDEX(十五音韻母清單!$B$6:$K$105, 韻母碼!$C24,韻母碼!J$1)</f>
        <v>ing</v>
      </c>
      <c r="K24" s="23" t="str" cm="1">
        <f t="array" ref="K24" xml:space="preserve"> INDEX(十五音韻母清單!$B$6:$K$105, 韻母碼!$C24,韻母碼!K$1)</f>
        <v>ing</v>
      </c>
      <c r="L24" s="23" t="str" cm="1">
        <f t="array" ref="L24" xml:space="preserve"> INDEX(十五音韻母清單!$B$6:$K$105, 韻母碼!$C24,韻母碼!L$1)</f>
        <v>ㄧㄥ</v>
      </c>
      <c r="M24" s="21" t="str" cm="1">
        <f t="array" ref="M24" xml:space="preserve"> INDEX(十五音韻母清單!$B$6:$K$105, $C24, M$1)</f>
        <v>經</v>
      </c>
      <c r="O24" s="456" t="s">
        <v>638</v>
      </c>
      <c r="Q24" s="21">
        <v>20</v>
      </c>
      <c r="R24" s="96">
        <f t="shared" si="0"/>
        <v>10</v>
      </c>
      <c r="S24" s="96">
        <f t="shared" si="1"/>
        <v>0</v>
      </c>
      <c r="T24" s="96" t="str" cm="1">
        <f t="array" ref="T24">IF(S24=1,  INDEX('十五音-韻母'!$D$5:$E$54, $R24, 1), INDEX('十五音-韻母'!$D$5:$E$54, $R24, 2))</f>
        <v>uat</v>
      </c>
      <c r="U24" s="96">
        <f t="shared" si="2"/>
        <v>62</v>
      </c>
      <c r="W24" s="21">
        <v>92</v>
      </c>
      <c r="X24" s="96">
        <v>46</v>
      </c>
      <c r="Y24" s="96">
        <v>0</v>
      </c>
      <c r="Z24" s="96" t="s">
        <v>638</v>
      </c>
      <c r="AA24" s="96">
        <v>0</v>
      </c>
    </row>
    <row r="25" spans="2:27" ht="27">
      <c r="B25" s="136" t="s">
        <v>432</v>
      </c>
      <c r="C25" s="21">
        <f xml:space="preserve"> MATCH(B25, 十五音韻母清單!$H$6:$H$105,0)</f>
        <v>57</v>
      </c>
      <c r="D25" s="21" cm="1">
        <f t="array" ref="D25" xml:space="preserve"> INDEX(十五音韻母清單!$B$6:$K$105, $C25, D$1)</f>
        <v>29</v>
      </c>
      <c r="F25" s="21">
        <v>21</v>
      </c>
      <c r="G25" s="23" t="str" cm="1">
        <f t="array" ref="G25" xml:space="preserve"> INDEX(十五音韻母清單!$B$6:$K$105, $C25, G$1)</f>
        <v>i</v>
      </c>
      <c r="H25" s="23" t="str" cm="1">
        <f t="array" ref="H25" xml:space="preserve"> INDEX(十五音韻母清單!$B$6:$K$105, 韻母碼!$C25,韻母碼!H$1)</f>
        <v>i</v>
      </c>
      <c r="I25" s="23" t="str" cm="1">
        <f t="array" ref="I25" xml:space="preserve"> INDEX(十五音韻母清單!$B$6:$K$105, 韻母碼!$C25,韻母碼!I$1)</f>
        <v>i</v>
      </c>
      <c r="J25" s="23" t="str" cm="1">
        <f t="array" ref="J25" xml:space="preserve"> INDEX(十五音韻母清單!$B$6:$K$105, 韻母碼!$C25,韻母碼!J$1)</f>
        <v>i</v>
      </c>
      <c r="K25" s="23" t="str" cm="1">
        <f t="array" ref="K25" xml:space="preserve"> INDEX(十五音韻母清單!$B$6:$K$105, 韻母碼!$C25,韻母碼!K$1)</f>
        <v>i</v>
      </c>
      <c r="L25" s="23" t="str" cm="1">
        <f t="array" ref="L25" xml:space="preserve"> INDEX(十五音韻母清單!$B$6:$K$105, 韻母碼!$C25,韻母碼!L$1)</f>
        <v>ㄧ</v>
      </c>
      <c r="M25" s="21" t="str" cm="1">
        <f t="array" ref="M25" xml:space="preserve"> INDEX(十五音韻母清單!$B$6:$K$105, $C25, M$1)</f>
        <v>居</v>
      </c>
      <c r="O25" s="456" t="s">
        <v>650</v>
      </c>
      <c r="Q25" s="21">
        <v>21</v>
      </c>
      <c r="R25" s="96">
        <f t="shared" si="0"/>
        <v>11</v>
      </c>
      <c r="S25" s="96">
        <f t="shared" si="1"/>
        <v>1</v>
      </c>
      <c r="T25" s="96" t="str" cm="1">
        <f t="array" ref="T25">IF(S25=1,  INDEX('十五音-韻母'!$D$5:$E$54, $R25, 1), INDEX('十五音-韻母'!$D$5:$E$54, $R25, 2))</f>
        <v>oo</v>
      </c>
      <c r="U25" s="96">
        <f t="shared" si="2"/>
        <v>54</v>
      </c>
      <c r="W25" s="21">
        <v>94</v>
      </c>
      <c r="X25" s="96">
        <v>47</v>
      </c>
      <c r="Y25" s="96">
        <v>0</v>
      </c>
      <c r="Z25" s="96" t="s">
        <v>650</v>
      </c>
      <c r="AA25" s="96">
        <v>0</v>
      </c>
    </row>
    <row r="26" spans="2:27" ht="27">
      <c r="B26" s="136" t="s">
        <v>494</v>
      </c>
      <c r="C26" s="21">
        <f xml:space="preserve"> MATCH(B26, 十五音韻母清單!$H$6:$H$105,0)</f>
        <v>67</v>
      </c>
      <c r="D26" s="21" cm="1">
        <f t="array" ref="D26" xml:space="preserve"> INDEX(十五音韻母清單!$B$6:$K$105, $C26, D$1)</f>
        <v>34</v>
      </c>
      <c r="F26" s="21">
        <v>22</v>
      </c>
      <c r="G26" s="23" t="str" cm="1">
        <f t="array" ref="G26" xml:space="preserve"> INDEX(十五音韻母清單!$B$6:$K$105, $C26, G$1)</f>
        <v>inn</v>
      </c>
      <c r="H26" s="23" t="str" cm="1">
        <f t="array" ref="H26" xml:space="preserve"> INDEX(十五音韻母清單!$B$6:$K$105, 韻母碼!$C26,韻母碼!H$1)</f>
        <v>ĩ</v>
      </c>
      <c r="I26" s="23" t="str" cm="1">
        <f t="array" ref="I26" xml:space="preserve"> INDEX(十五音韻母清單!$B$6:$K$105, 韻母碼!$C26,韻母碼!I$1)</f>
        <v>iⁿ</v>
      </c>
      <c r="J26" s="23" t="str" cm="1">
        <f t="array" ref="J26" xml:space="preserve"> INDEX(十五音韻母清單!$B$6:$K$105, 韻母碼!$C26,韻母碼!J$1)</f>
        <v>ni</v>
      </c>
      <c r="K26" s="23" t="str" cm="1">
        <f t="array" ref="K26" xml:space="preserve"> INDEX(十五音韻母清單!$B$6:$K$105, 韻母碼!$C26,韻母碼!K$1)</f>
        <v>inn</v>
      </c>
      <c r="L26" s="23" t="str" cm="1">
        <f t="array" ref="L26" xml:space="preserve"> INDEX(十五音韻母清單!$B$6:$K$105, 韻母碼!$C26,韻母碼!L$1)</f>
        <v>ㆪ</v>
      </c>
      <c r="M26" s="21" t="str" cm="1">
        <f t="array" ref="M26" xml:space="preserve"> INDEX(十五音韻母清單!$B$6:$K$105, $C26, M$1)</f>
        <v>梔</v>
      </c>
      <c r="O26" s="456" t="s">
        <v>657</v>
      </c>
      <c r="Q26" s="21">
        <v>22</v>
      </c>
      <c r="R26" s="96">
        <f t="shared" si="0"/>
        <v>11</v>
      </c>
      <c r="S26" s="96">
        <f t="shared" si="1"/>
        <v>0</v>
      </c>
      <c r="T26" s="96" t="str" cm="1">
        <f t="array" ref="T26">IF(S26=1,  INDEX('十五音-韻母'!$D$5:$E$54, $R26, 1), INDEX('十五音-韻母'!$D$5:$E$54, $R26, 2))</f>
        <v>ooh</v>
      </c>
      <c r="U26" s="96">
        <f t="shared" si="2"/>
        <v>0</v>
      </c>
      <c r="W26" s="21">
        <v>95</v>
      </c>
      <c r="X26" s="96">
        <v>48</v>
      </c>
      <c r="Y26" s="96">
        <v>1</v>
      </c>
      <c r="Z26" s="96" t="s">
        <v>657</v>
      </c>
      <c r="AA26" s="96">
        <v>0</v>
      </c>
    </row>
    <row r="27" spans="2:27" ht="27">
      <c r="B27" s="136" t="s">
        <v>379</v>
      </c>
      <c r="C27" s="21">
        <f xml:space="preserve"> MATCH(B27, 十五音韻母清單!$H$6:$H$105,0)</f>
        <v>47</v>
      </c>
      <c r="D27" s="21" cm="1">
        <f t="array" ref="D27" xml:space="preserve"> INDEX(十五音韻母清單!$B$6:$K$105, $C27, D$1)</f>
        <v>24</v>
      </c>
      <c r="F27" s="21">
        <v>23</v>
      </c>
      <c r="G27" s="23" t="str" cm="1">
        <f t="array" ref="G27" xml:space="preserve"> INDEX(十五音韻母清單!$B$6:$K$105, $C27, G$1)</f>
        <v>ia</v>
      </c>
      <c r="H27" s="23" t="str" cm="1">
        <f t="array" ref="H27" xml:space="preserve"> INDEX(十五音韻母清單!$B$6:$K$105, 韻母碼!$C27,韻母碼!H$1)</f>
        <v>ia</v>
      </c>
      <c r="I27" s="23" t="str" cm="1">
        <f t="array" ref="I27" xml:space="preserve"> INDEX(十五音韻母清單!$B$6:$K$105, 韻母碼!$C27,韻母碼!I$1)</f>
        <v>ia</v>
      </c>
      <c r="J27" s="23" t="str" cm="1">
        <f t="array" ref="J27" xml:space="preserve"> INDEX(十五音韻母清單!$B$6:$K$105, 韻母碼!$C27,韻母碼!J$1)</f>
        <v>ia</v>
      </c>
      <c r="K27" s="23" t="str" cm="1">
        <f t="array" ref="K27" xml:space="preserve"> INDEX(十五音韻母清單!$B$6:$K$105, 韻母碼!$C27,韻母碼!K$1)</f>
        <v>ia</v>
      </c>
      <c r="L27" s="23" t="str" cm="1">
        <f t="array" ref="L27" xml:space="preserve"> INDEX(十五音韻母清單!$B$6:$K$105, 韻母碼!$C27,韻母碼!L$1)</f>
        <v>ㄧㄚ</v>
      </c>
      <c r="M27" s="21" t="str" cm="1">
        <f t="array" ref="M27" xml:space="preserve"> INDEX(十五音韻母清單!$B$6:$K$105, $C27, M$1)</f>
        <v>迦</v>
      </c>
      <c r="O27" s="456" t="s">
        <v>658</v>
      </c>
      <c r="Q27" s="21">
        <v>23</v>
      </c>
      <c r="R27" s="96">
        <f t="shared" si="0"/>
        <v>12</v>
      </c>
      <c r="S27" s="96">
        <f t="shared" si="1"/>
        <v>1</v>
      </c>
      <c r="T27" s="96" t="str" cm="1">
        <f t="array" ref="T27">IF(S27=1,  INDEX('十五音-韻母'!$D$5:$E$54, $R27, 1), INDEX('十五音-韻母'!$D$5:$E$54, $R27, 2))</f>
        <v>iau</v>
      </c>
      <c r="U27" s="96">
        <f t="shared" si="2"/>
        <v>33</v>
      </c>
      <c r="W27" s="21">
        <v>96</v>
      </c>
      <c r="X27" s="96">
        <v>48</v>
      </c>
      <c r="Y27" s="96">
        <v>0</v>
      </c>
      <c r="Z27" s="96" t="s">
        <v>658</v>
      </c>
      <c r="AA27" s="96">
        <v>0</v>
      </c>
    </row>
    <row r="28" spans="2:27" ht="27">
      <c r="B28" s="136" t="s">
        <v>523</v>
      </c>
      <c r="C28" s="21">
        <f xml:space="preserve"> MATCH(B28, 十五音韻母清單!$H$6:$H$105,0)</f>
        <v>71</v>
      </c>
      <c r="D28" s="21" cm="1">
        <f t="array" ref="D28" xml:space="preserve"> INDEX(十五音韻母清單!$B$6:$K$105, $C28, D$1)</f>
        <v>36</v>
      </c>
      <c r="F28" s="21">
        <v>24</v>
      </c>
      <c r="G28" s="23" t="str" cm="1">
        <f t="array" ref="G28" xml:space="preserve"> INDEX(十五音韻母清單!$B$6:$K$105, $C28, G$1)</f>
        <v>iann</v>
      </c>
      <c r="H28" s="23" t="str" cm="1">
        <f t="array" ref="H28" xml:space="preserve"> INDEX(十五音韻母清單!$B$6:$K$105, 韻母碼!$C28,韻母碼!H$1)</f>
        <v>ĩã</v>
      </c>
      <c r="I28" s="23" t="str" cm="1">
        <f t="array" ref="I28" xml:space="preserve"> INDEX(十五音韻母清單!$B$6:$K$105, 韻母碼!$C28,韻母碼!I$1)</f>
        <v>iaⁿ</v>
      </c>
      <c r="J28" s="23" t="str" cm="1">
        <f t="array" ref="J28" xml:space="preserve"> INDEX(十五音韻母清單!$B$6:$K$105, 韻母碼!$C28,韻母碼!J$1)</f>
        <v>nia</v>
      </c>
      <c r="K28" s="23" t="str" cm="1">
        <f t="array" ref="K28" xml:space="preserve"> INDEX(十五音韻母清單!$B$6:$K$105, 韻母碼!$C28,韻母碼!K$1)</f>
        <v>iann</v>
      </c>
      <c r="L28" s="23" t="str" cm="1">
        <f t="array" ref="L28" xml:space="preserve"> INDEX(十五音韻母清單!$B$6:$K$105, 韻母碼!$C28,韻母碼!L$1)</f>
        <v>ㄧㆩ</v>
      </c>
      <c r="M28" s="21" t="str" cm="1">
        <f t="array" ref="M28" xml:space="preserve"> INDEX(十五音韻母清單!$B$6:$K$105, $C28, M$1)</f>
        <v>驚</v>
      </c>
      <c r="O28" s="456" t="s">
        <v>3704</v>
      </c>
      <c r="Q28" s="21">
        <v>24</v>
      </c>
      <c r="R28" s="96">
        <f t="shared" si="0"/>
        <v>12</v>
      </c>
      <c r="S28" s="96">
        <f t="shared" si="1"/>
        <v>0</v>
      </c>
      <c r="T28" s="96" t="str" cm="1">
        <f t="array" ref="T28">IF(S28=1,  INDEX('十五音-韻母'!$D$5:$E$54, $R28, 1), INDEX('十五音-韻母'!$D$5:$E$54, $R28, 2))</f>
        <v>iauh</v>
      </c>
      <c r="U28" s="96">
        <f t="shared" si="2"/>
        <v>35</v>
      </c>
      <c r="W28" s="21">
        <v>97</v>
      </c>
      <c r="X28" s="96">
        <v>49</v>
      </c>
      <c r="Y28" s="96">
        <v>1</v>
      </c>
      <c r="Z28" s="96" t="s">
        <v>3704</v>
      </c>
      <c r="AA28" s="96">
        <v>0</v>
      </c>
    </row>
    <row r="29" spans="2:27" ht="27">
      <c r="B29" s="136" t="s">
        <v>380</v>
      </c>
      <c r="C29" s="21">
        <f xml:space="preserve"> MATCH(B29, 十五音韻母清單!$H$6:$H$105,0)</f>
        <v>48</v>
      </c>
      <c r="D29" s="21" cm="1">
        <f t="array" ref="D29" xml:space="preserve"> INDEX(十五音韻母清單!$B$6:$K$105, $C29, D$1)</f>
        <v>24</v>
      </c>
      <c r="F29" s="21">
        <v>25</v>
      </c>
      <c r="G29" s="23" t="str" cm="1">
        <f t="array" ref="G29" xml:space="preserve"> INDEX(十五音韻母清單!$B$6:$K$105, $C29, G$1)</f>
        <v>iah</v>
      </c>
      <c r="H29" s="23" t="str" cm="1">
        <f t="array" ref="H29" xml:space="preserve"> INDEX(十五音韻母清單!$B$6:$K$105, 韻母碼!$C29,韻母碼!H$1)</f>
        <v>ia?</v>
      </c>
      <c r="I29" s="23" t="str" cm="1">
        <f t="array" ref="I29" xml:space="preserve"> INDEX(十五音韻母清單!$B$6:$K$105, 韻母碼!$C29,韻母碼!I$1)</f>
        <v>iah</v>
      </c>
      <c r="J29" s="23" t="str" cm="1">
        <f t="array" ref="J29" xml:space="preserve"> INDEX(十五音韻母清單!$B$6:$K$105, 韻母碼!$C29,韻母碼!J$1)</f>
        <v>iah</v>
      </c>
      <c r="K29" s="23" t="str" cm="1">
        <f t="array" ref="K29" xml:space="preserve"> INDEX(十五音韻母清單!$B$6:$K$105, 韻母碼!$C29,韻母碼!K$1)</f>
        <v>iah</v>
      </c>
      <c r="L29" s="23" t="str" cm="1">
        <f t="array" ref="L29" xml:space="preserve"> INDEX(十五音韻母清單!$B$6:$K$105, 韻母碼!$C29,韻母碼!L$1)</f>
        <v>ㄧㄚㆷ</v>
      </c>
      <c r="M29" s="21" t="str" cm="1">
        <f t="array" ref="M29" xml:space="preserve"> INDEX(十五音韻母清單!$B$6:$K$105, $C29, M$1)</f>
        <v>迦</v>
      </c>
      <c r="O29" s="456" t="s">
        <v>3707</v>
      </c>
      <c r="Q29" s="21">
        <v>25</v>
      </c>
      <c r="R29" s="96">
        <f t="shared" si="0"/>
        <v>13</v>
      </c>
      <c r="S29" s="96">
        <f t="shared" si="1"/>
        <v>1</v>
      </c>
      <c r="T29" s="96" t="str" cm="1">
        <f t="array" ref="T29">IF(S29=1,  INDEX('十五音-韻母'!$D$5:$E$54, $R29, 1), INDEX('十五音-韻母'!$D$5:$E$54, $R29, 2))</f>
        <v>ei</v>
      </c>
      <c r="U29" s="96">
        <f t="shared" si="2"/>
        <v>0</v>
      </c>
      <c r="W29" s="21">
        <v>98</v>
      </c>
      <c r="X29" s="96">
        <v>49</v>
      </c>
      <c r="Y29" s="96">
        <v>0</v>
      </c>
      <c r="Z29" s="96" t="s">
        <v>3707</v>
      </c>
      <c r="AA29" s="96">
        <v>0</v>
      </c>
    </row>
    <row r="30" spans="2:27" ht="27">
      <c r="B30" s="136" t="s">
        <v>702</v>
      </c>
      <c r="C30" s="21">
        <f xml:space="preserve"> MATCH(B30, 十五音韻母清單!$H$6:$H$105,0)</f>
        <v>72</v>
      </c>
      <c r="D30" s="100" cm="1">
        <f t="array" ref="D30" xml:space="preserve"> INDEX(十五音韻母清單!$B$6:$K$105, $C30, D$1)</f>
        <v>36</v>
      </c>
      <c r="F30" s="21">
        <v>26</v>
      </c>
      <c r="G30" s="101" t="str" cm="1">
        <f t="array" ref="G30" xml:space="preserve"> INDEX(十五音韻母清單!$B$6:$K$105, $C30, G$1)</f>
        <v>iannh</v>
      </c>
      <c r="H30" s="101" t="str" cm="1">
        <f t="array" ref="H30" xml:space="preserve"> INDEX(十五音韻母清單!$B$6:$K$105, 韻母碼!$C30,韻母碼!H$1)</f>
        <v>iãh</v>
      </c>
      <c r="I30" s="101" t="str" cm="1">
        <f t="array" ref="I30" xml:space="preserve"> INDEX(十五音韻母清單!$B$6:$K$105, 韻母碼!$C30,韻母碼!I$1)</f>
        <v>iahⁿ</v>
      </c>
      <c r="J30" s="101" t="str" cm="1">
        <f t="array" ref="J30" xml:space="preserve"> INDEX(十五音韻母清單!$B$6:$K$105, 韻母碼!$C30,韻母碼!J$1)</f>
        <v>niah</v>
      </c>
      <c r="K30" s="101" t="str" cm="1">
        <f t="array" ref="K30" xml:space="preserve"> INDEX(十五音韻母清單!$B$6:$K$105, 韻母碼!$C30,韻母碼!K$1)</f>
        <v>iannh</v>
      </c>
      <c r="L30" s="101" t="str" cm="1">
        <f t="array" ref="L30" xml:space="preserve"> INDEX(十五音韻母清單!$B$6:$K$105, 韻母碼!$C30,韻母碼!L$1)</f>
        <v>ㄧㆩㆷ</v>
      </c>
      <c r="M30" s="100" t="str" cm="1">
        <f t="array" ref="M30" xml:space="preserve"> INDEX(十五音韻母清單!$B$6:$K$105, $C30, M$1)</f>
        <v>驚</v>
      </c>
      <c r="Q30" s="21">
        <v>26</v>
      </c>
      <c r="R30" s="96">
        <f t="shared" si="0"/>
        <v>13</v>
      </c>
      <c r="S30" s="96">
        <f t="shared" si="1"/>
        <v>0</v>
      </c>
      <c r="T30" s="96" t="str" cm="1">
        <f t="array" ref="T30">IF(S30=1,  INDEX('十五音-韻母'!$D$5:$E$54, $R30, 1), INDEX('十五音-韻母'!$D$5:$E$54, $R30, 2))</f>
        <v>eih</v>
      </c>
      <c r="U30" s="96">
        <f t="shared" si="2"/>
        <v>0</v>
      </c>
    </row>
    <row r="31" spans="2:27" ht="27">
      <c r="B31" s="136" t="s">
        <v>325</v>
      </c>
      <c r="C31" s="21">
        <f xml:space="preserve"> MATCH(B31, 十五音韻母清單!$H$6:$H$105,0)</f>
        <v>36</v>
      </c>
      <c r="D31" s="100" cm="1">
        <f t="array" ref="D31" xml:space="preserve"> INDEX(十五音韻母清單!$B$6:$K$105, $C31, D$1)</f>
        <v>18</v>
      </c>
      <c r="F31" s="21">
        <v>27</v>
      </c>
      <c r="G31" s="101" t="str" cm="1">
        <f t="array" ref="G31" xml:space="preserve"> INDEX(十五音韻母清單!$B$6:$K$105, $C31, G$1)</f>
        <v>iak</v>
      </c>
      <c r="H31" s="101" t="str" cm="1">
        <f t="array" ref="H31" xml:space="preserve"> INDEX(十五音韻母清單!$B$6:$K$105, 韻母碼!$C31,韻母碼!H$1)</f>
        <v>iak̚</v>
      </c>
      <c r="I31" s="101" t="str" cm="1">
        <f t="array" ref="I31" xml:space="preserve"> INDEX(十五音韻母清單!$B$6:$K$105, 韻母碼!$C31,韻母碼!I$1)</f>
        <v>iak</v>
      </c>
      <c r="J31" s="101" t="str" cm="1">
        <f t="array" ref="J31" xml:space="preserve"> INDEX(十五音韻母清單!$B$6:$K$105, 韻母碼!$C31,韻母碼!J$1)</f>
        <v>iak</v>
      </c>
      <c r="K31" s="101" t="str" cm="1">
        <f t="array" ref="K31" xml:space="preserve"> INDEX(十五音韻母清單!$B$6:$K$105, 韻母碼!$C31,韻母碼!K$1)</f>
        <v>iak</v>
      </c>
      <c r="L31" s="101" t="str" cm="1">
        <f t="array" ref="L31" xml:space="preserve"> INDEX(十五音韻母清單!$B$6:$K$105, 韻母碼!$C31,韻母碼!L$1)</f>
        <v>ㄧㄚㆻ</v>
      </c>
      <c r="M31" s="100" t="str" cm="1">
        <f t="array" ref="M31" xml:space="preserve"> INDEX(十五音韻母清單!$B$6:$K$105, $C31, M$1)</f>
        <v>姜</v>
      </c>
      <c r="Q31" s="21">
        <v>27</v>
      </c>
      <c r="R31" s="96">
        <f t="shared" si="0"/>
        <v>14</v>
      </c>
      <c r="S31" s="96">
        <f t="shared" si="1"/>
        <v>1</v>
      </c>
      <c r="T31" s="96" t="str" cm="1">
        <f t="array" ref="T31">IF(S31=1,  INDEX('十五音-韻母'!$D$5:$E$54, $R31, 1), INDEX('十五音-韻母'!$D$5:$E$54, $R31, 2))</f>
        <v>iong</v>
      </c>
      <c r="U31" s="96">
        <f t="shared" si="2"/>
        <v>42</v>
      </c>
    </row>
    <row r="32" spans="2:27" ht="27">
      <c r="B32" s="136" t="s">
        <v>359</v>
      </c>
      <c r="C32" s="21">
        <f xml:space="preserve"> MATCH(B32, 十五音韻母清單!$H$6:$H$105,0)</f>
        <v>43</v>
      </c>
      <c r="D32" s="21" cm="1">
        <f t="array" ref="D32" xml:space="preserve"> INDEX(十五音韻母清單!$B$6:$K$105, $C32, D$1)</f>
        <v>22</v>
      </c>
      <c r="F32" s="21">
        <v>28</v>
      </c>
      <c r="G32" s="23" t="str" cm="1">
        <f t="array" ref="G32" xml:space="preserve"> INDEX(十五音韻母清單!$B$6:$K$105, $C32, G$1)</f>
        <v>iam</v>
      </c>
      <c r="H32" s="23" t="str" cm="1">
        <f t="array" ref="H32" xml:space="preserve"> INDEX(十五音韻母清單!$B$6:$K$105, 韻母碼!$C32,韻母碼!H$1)</f>
        <v>iam</v>
      </c>
      <c r="I32" s="23" t="str" cm="1">
        <f t="array" ref="I32" xml:space="preserve"> INDEX(十五音韻母清單!$B$6:$K$105, 韻母碼!$C32,韻母碼!I$1)</f>
        <v>iam</v>
      </c>
      <c r="J32" s="23" t="str" cm="1">
        <f t="array" ref="J32" xml:space="preserve"> INDEX(十五音韻母清單!$B$6:$K$105, 韻母碼!$C32,韻母碼!J$1)</f>
        <v>iam</v>
      </c>
      <c r="K32" s="23" t="str" cm="1">
        <f t="array" ref="K32" xml:space="preserve"> INDEX(十五音韻母清單!$B$6:$K$105, 韻母碼!$C32,韻母碼!K$1)</f>
        <v>iam</v>
      </c>
      <c r="L32" s="23" t="str" cm="1">
        <f t="array" ref="L32" xml:space="preserve"> INDEX(十五音韻母清單!$B$6:$K$105, 韻母碼!$C32,韻母碼!L$1)</f>
        <v>ㄧㆰ</v>
      </c>
      <c r="M32" s="21" t="str" cm="1">
        <f t="array" ref="M32" xml:space="preserve"> INDEX(十五音韻母清單!$B$6:$K$105, $C32, M$1)</f>
        <v>兼</v>
      </c>
      <c r="Q32" s="21">
        <v>28</v>
      </c>
      <c r="R32" s="96">
        <f t="shared" si="0"/>
        <v>14</v>
      </c>
      <c r="S32" s="96">
        <f t="shared" si="1"/>
        <v>0</v>
      </c>
      <c r="T32" s="96" t="str" cm="1">
        <f t="array" ref="T32">IF(S32=1,  INDEX('十五音-韻母'!$D$5:$E$54, $R32, 1), INDEX('十五音-韻母'!$D$5:$E$54, $R32, 2))</f>
        <v>iok</v>
      </c>
      <c r="U32" s="96">
        <f t="shared" si="2"/>
        <v>41</v>
      </c>
    </row>
    <row r="33" spans="2:21" ht="27">
      <c r="B33" s="136" t="s">
        <v>162</v>
      </c>
      <c r="C33" s="21">
        <f xml:space="preserve"> MATCH(B33, 十五音韻母清單!$H$6:$H$105,0)</f>
        <v>3</v>
      </c>
      <c r="D33" s="21" cm="1">
        <f t="array" ref="D33" xml:space="preserve"> INDEX(十五音韻母清單!$B$6:$K$105, $C33, D$1)</f>
        <v>2</v>
      </c>
      <c r="F33" s="21">
        <v>29</v>
      </c>
      <c r="G33" s="23" t="str" cm="1">
        <f t="array" ref="G33" xml:space="preserve"> INDEX(十五音韻母清單!$B$6:$K$105, $C33, G$1)</f>
        <v>ian</v>
      </c>
      <c r="H33" s="23" t="str" cm="1">
        <f t="array" ref="H33" xml:space="preserve"> INDEX(十五音韻母清單!$B$6:$K$105, 韻母碼!$C33,韻母碼!H$1)</f>
        <v>ian</v>
      </c>
      <c r="I33" s="23" t="str" cm="1">
        <f t="array" ref="I33" xml:space="preserve"> INDEX(十五音韻母清單!$B$6:$K$105, 韻母碼!$C33,韻母碼!I$1)</f>
        <v>ian</v>
      </c>
      <c r="J33" s="23" t="str" cm="1">
        <f t="array" ref="J33" xml:space="preserve"> INDEX(十五音韻母清單!$B$6:$K$105, 韻母碼!$C33,韻母碼!J$1)</f>
        <v>ian</v>
      </c>
      <c r="K33" s="23" t="str" cm="1">
        <f t="array" ref="K33" xml:space="preserve"> INDEX(十五音韻母清單!$B$6:$K$105, 韻母碼!$C33,韻母碼!K$1)</f>
        <v>ian</v>
      </c>
      <c r="L33" s="23" t="str" cm="1">
        <f t="array" ref="L33" xml:space="preserve"> INDEX(十五音韻母清單!$B$6:$K$105, 韻母碼!$C33,韻母碼!L$1)</f>
        <v>ㄧㄢ</v>
      </c>
      <c r="M33" s="21" t="str" cm="1">
        <f t="array" ref="M33" xml:space="preserve"> INDEX(十五音韻母清單!$B$6:$K$105, $C33, M$1)</f>
        <v>堅</v>
      </c>
      <c r="Q33" s="21">
        <v>29</v>
      </c>
      <c r="R33" s="96">
        <f t="shared" si="0"/>
        <v>15</v>
      </c>
      <c r="S33" s="96">
        <f t="shared" si="1"/>
        <v>1</v>
      </c>
      <c r="T33" s="96" t="str" cm="1">
        <f t="array" ref="T33">IF(S33=1,  INDEX('十五音-韻母'!$D$5:$E$54, $R33, 1), INDEX('十五音-韻母'!$D$5:$E$54, $R33, 2))</f>
        <v>o</v>
      </c>
      <c r="U33" s="96">
        <f t="shared" si="2"/>
        <v>52</v>
      </c>
    </row>
    <row r="34" spans="2:21" ht="27">
      <c r="B34" s="136" t="s">
        <v>324</v>
      </c>
      <c r="C34" s="21">
        <f xml:space="preserve"> MATCH(B34, 十五音韻母清單!$H$6:$H$105,0)</f>
        <v>35</v>
      </c>
      <c r="D34" s="21" cm="1">
        <f t="array" ref="D34" xml:space="preserve"> INDEX(十五音韻母清單!$B$6:$K$105, $C34, D$1)</f>
        <v>18</v>
      </c>
      <c r="F34" s="21">
        <v>30</v>
      </c>
      <c r="G34" s="23" t="str" cm="1">
        <f t="array" ref="G34" xml:space="preserve"> INDEX(十五音韻母清單!$B$6:$K$105, $C34, G$1)</f>
        <v>iang</v>
      </c>
      <c r="H34" s="23" t="str" cm="1">
        <f t="array" ref="H34" xml:space="preserve"> INDEX(十五音韻母清單!$B$6:$K$105, 韻母碼!$C34,韻母碼!H$1)</f>
        <v>iaŋ</v>
      </c>
      <c r="I34" s="23" t="str" cm="1">
        <f t="array" ref="I34" xml:space="preserve"> INDEX(十五音韻母清單!$B$6:$K$105, 韻母碼!$C34,韻母碼!I$1)</f>
        <v>iang</v>
      </c>
      <c r="J34" s="23" t="str" cm="1">
        <f t="array" ref="J34" xml:space="preserve"> INDEX(十五音韻母清單!$B$6:$K$105, 韻母碼!$C34,韻母碼!J$1)</f>
        <v>iang</v>
      </c>
      <c r="K34" s="23" t="str" cm="1">
        <f t="array" ref="K34" xml:space="preserve"> INDEX(十五音韻母清單!$B$6:$K$105, 韻母碼!$C34,韻母碼!K$1)</f>
        <v>iang</v>
      </c>
      <c r="L34" s="23" t="str" cm="1">
        <f t="array" ref="L34" xml:space="preserve"> INDEX(十五音韻母清單!$B$6:$K$105, 韻母碼!$C34,韻母碼!L$1)</f>
        <v>ㄧㄤ</v>
      </c>
      <c r="M34" s="21" t="str" cm="1">
        <f t="array" ref="M34" xml:space="preserve"> INDEX(十五音韻母清單!$B$6:$K$105, $C34, M$1)</f>
        <v>姜</v>
      </c>
      <c r="Q34" s="21">
        <v>30</v>
      </c>
      <c r="R34" s="96">
        <f t="shared" si="0"/>
        <v>15</v>
      </c>
      <c r="S34" s="96">
        <f t="shared" si="1"/>
        <v>0</v>
      </c>
      <c r="T34" s="96" t="str" cm="1">
        <f t="array" ref="T34">IF(S34=1,  INDEX('十五音-韻母'!$D$5:$E$54, $R34, 1), INDEX('十五音-韻母'!$D$5:$E$54, $R34, 2))</f>
        <v>oh</v>
      </c>
      <c r="U34" s="96">
        <f t="shared" si="2"/>
        <v>65</v>
      </c>
    </row>
    <row r="35" spans="2:21" ht="27">
      <c r="B35" s="136" t="s">
        <v>360</v>
      </c>
      <c r="C35" s="21">
        <f xml:space="preserve"> MATCH(B35, 十五音韻母清單!$H$6:$H$105,0)</f>
        <v>44</v>
      </c>
      <c r="D35" s="21" cm="1">
        <f t="array" ref="D35" xml:space="preserve"> INDEX(十五音韻母清單!$B$6:$K$105, $C35, D$1)</f>
        <v>22</v>
      </c>
      <c r="F35" s="21">
        <v>31</v>
      </c>
      <c r="G35" s="23" t="str" cm="1">
        <f t="array" ref="G35" xml:space="preserve"> INDEX(十五音韻母清單!$B$6:$K$105, $C35, G$1)</f>
        <v>iap</v>
      </c>
      <c r="H35" s="23" t="str" cm="1">
        <f t="array" ref="H35" xml:space="preserve"> INDEX(十五音韻母清單!$B$6:$K$105, 韻母碼!$C35,韻母碼!H$1)</f>
        <v>iap̚</v>
      </c>
      <c r="I35" s="23" t="str" cm="1">
        <f t="array" ref="I35" xml:space="preserve"> INDEX(十五音韻母清單!$B$6:$K$105, 韻母碼!$C35,韻母碼!I$1)</f>
        <v>iap</v>
      </c>
      <c r="J35" s="23" t="str" cm="1">
        <f t="array" ref="J35" xml:space="preserve"> INDEX(十五音韻母清單!$B$6:$K$105, 韻母碼!$C35,韻母碼!J$1)</f>
        <v>iap</v>
      </c>
      <c r="K35" s="23" t="str" cm="1">
        <f t="array" ref="K35" xml:space="preserve"> INDEX(十五音韻母清單!$B$6:$K$105, 韻母碼!$C35,韻母碼!K$1)</f>
        <v>iap</v>
      </c>
      <c r="L35" s="23" t="str" cm="1">
        <f t="array" ref="L35" xml:space="preserve"> INDEX(十五音韻母清單!$B$6:$K$105, 韻母碼!$C35,韻母碼!L$1)</f>
        <v>ㄧㄚㆴ</v>
      </c>
      <c r="M35" s="21" t="str" cm="1">
        <f t="array" ref="M35" xml:space="preserve"> INDEX(十五音韻母清單!$B$6:$K$105, $C35, M$1)</f>
        <v>兼</v>
      </c>
      <c r="Q35" s="21">
        <v>31</v>
      </c>
      <c r="R35" s="96">
        <f t="shared" si="0"/>
        <v>16</v>
      </c>
      <c r="S35" s="96">
        <f t="shared" si="1"/>
        <v>1</v>
      </c>
      <c r="T35" s="96" t="str" cm="1">
        <f t="array" ref="T35">IF(S35=1,  INDEX('十五音-韻母'!$D$5:$E$54, $R35, 1), INDEX('十五音-韻母'!$D$5:$E$54, $R35, 2))</f>
        <v>ai</v>
      </c>
      <c r="U35" s="96">
        <f t="shared" si="2"/>
        <v>5</v>
      </c>
    </row>
    <row r="36" spans="2:21" ht="27">
      <c r="B36" s="136" t="s">
        <v>163</v>
      </c>
      <c r="C36" s="21">
        <f xml:space="preserve"> MATCH(B36, 十五音韻母清單!$H$6:$H$105,0)</f>
        <v>4</v>
      </c>
      <c r="D36" s="21" cm="1">
        <f t="array" ref="D36" xml:space="preserve"> INDEX(十五音韻母清單!$B$6:$K$105, $C36, D$1)</f>
        <v>2</v>
      </c>
      <c r="F36" s="21">
        <v>32</v>
      </c>
      <c r="G36" s="23" t="str" cm="1">
        <f t="array" ref="G36" xml:space="preserve"> INDEX(十五音韻母清單!$B$6:$K$105, $C36, G$1)</f>
        <v>iat</v>
      </c>
      <c r="H36" s="23" t="str" cm="1">
        <f t="array" ref="H36" xml:space="preserve"> INDEX(十五音韻母清單!$B$6:$K$105, 韻母碼!$C36,韻母碼!H$1)</f>
        <v>iat̚</v>
      </c>
      <c r="I36" s="23" t="str" cm="1">
        <f t="array" ref="I36" xml:space="preserve"> INDEX(十五音韻母清單!$B$6:$K$105, 韻母碼!$C36,韻母碼!I$1)</f>
        <v>iat</v>
      </c>
      <c r="J36" s="23" t="str" cm="1">
        <f t="array" ref="J36" xml:space="preserve"> INDEX(十五音韻母清單!$B$6:$K$105, 韻母碼!$C36,韻母碼!J$1)</f>
        <v>iat</v>
      </c>
      <c r="K36" s="23" t="str" cm="1">
        <f t="array" ref="K36" xml:space="preserve"> INDEX(十五音韻母清單!$B$6:$K$105, 韻母碼!$C36,韻母碼!K$1)</f>
        <v>iat</v>
      </c>
      <c r="L36" s="23" t="str" cm="1">
        <f t="array" ref="L36" xml:space="preserve"> INDEX(十五音韻母清單!$B$6:$K$105, 韻母碼!$C36,韻母碼!L$1)</f>
        <v>ㄧㄚㆵ</v>
      </c>
      <c r="M36" s="21" t="str" cm="1">
        <f t="array" ref="M36" xml:space="preserve"> INDEX(十五音韻母清單!$B$6:$K$105, $C36, M$1)</f>
        <v>堅</v>
      </c>
      <c r="Q36" s="21">
        <v>32</v>
      </c>
      <c r="R36" s="96">
        <f t="shared" si="0"/>
        <v>16</v>
      </c>
      <c r="S36" s="96">
        <f t="shared" si="1"/>
        <v>0</v>
      </c>
      <c r="T36" s="96" t="str" cm="1">
        <f t="array" ref="T36">IF(S36=1,  INDEX('十五音-韻母'!$D$5:$E$54, $R36, 1), INDEX('十五音-韻母'!$D$5:$E$54, $R36, 2))</f>
        <v>aih</v>
      </c>
      <c r="U36" s="96">
        <f t="shared" si="2"/>
        <v>0</v>
      </c>
    </row>
    <row r="37" spans="2:21" ht="27">
      <c r="B37" s="136" t="s">
        <v>265</v>
      </c>
      <c r="C37" s="21">
        <f xml:space="preserve"> MATCH(B37, 十五音韻母清單!$H$6:$H$105,0)</f>
        <v>23</v>
      </c>
      <c r="D37" s="21" cm="1">
        <f t="array" ref="D37" xml:space="preserve"> INDEX(十五音韻母清單!$B$6:$K$105, $C37, D$1)</f>
        <v>12</v>
      </c>
      <c r="F37" s="21">
        <v>33</v>
      </c>
      <c r="G37" s="23" t="str" cm="1">
        <f t="array" ref="G37" xml:space="preserve"> INDEX(十五音韻母清單!$B$6:$K$105, $C37, G$1)</f>
        <v>iau</v>
      </c>
      <c r="H37" s="23" t="str" cm="1">
        <f t="array" ref="H37" xml:space="preserve"> INDEX(十五音韻母清單!$B$6:$K$105, 韻母碼!$C37,韻母碼!H$1)</f>
        <v>iaʊ</v>
      </c>
      <c r="I37" s="23" t="str" cm="1">
        <f t="array" ref="I37" xml:space="preserve"> INDEX(十五音韻母清單!$B$6:$K$105, 韻母碼!$C37,韻母碼!I$1)</f>
        <v>iau</v>
      </c>
      <c r="J37" s="23" t="str" cm="1">
        <f t="array" ref="J37" xml:space="preserve"> INDEX(十五音韻母清單!$B$6:$K$105, 韻母碼!$C37,韻母碼!J$1)</f>
        <v>iao</v>
      </c>
      <c r="K37" s="23" t="str" cm="1">
        <f t="array" ref="K37" xml:space="preserve"> INDEX(十五音韻母清單!$B$6:$K$105, 韻母碼!$C37,韻母碼!K$1)</f>
        <v>iau</v>
      </c>
      <c r="L37" s="23" t="str" cm="1">
        <f t="array" ref="L37" xml:space="preserve"> INDEX(十五音韻母清單!$B$6:$K$105, 韻母碼!$C37,韻母碼!L$1)</f>
        <v>ㄧㄠ</v>
      </c>
      <c r="M37" s="21" t="str" cm="1">
        <f t="array" ref="M37" xml:space="preserve"> INDEX(十五音韻母清單!$B$6:$K$105, $C37, M$1)</f>
        <v>嬌</v>
      </c>
      <c r="Q37" s="21">
        <v>33</v>
      </c>
      <c r="R37" s="96">
        <f t="shared" si="0"/>
        <v>17</v>
      </c>
      <c r="S37" s="96">
        <f t="shared" si="1"/>
        <v>1</v>
      </c>
      <c r="T37" s="96" t="str" cm="1">
        <f t="array" ref="T37">IF(S37=1,  INDEX('十五音-韻母'!$D$5:$E$54, $R37, 1), INDEX('十五音-韻母'!$D$5:$E$54, $R37, 2))</f>
        <v>in</v>
      </c>
      <c r="U37" s="96">
        <f t="shared" si="2"/>
        <v>38</v>
      </c>
    </row>
    <row r="38" spans="2:21" ht="27">
      <c r="B38" s="136" t="s">
        <v>641</v>
      </c>
      <c r="C38" s="21">
        <f xml:space="preserve"> MATCH(B38, 十五音韻母清單!$H$6:$H$105,0)</f>
        <v>91</v>
      </c>
      <c r="D38" s="21" cm="1">
        <f t="array" ref="D38" xml:space="preserve"> INDEX(十五音韻母清單!$B$6:$K$105, $C38, D$1)</f>
        <v>46</v>
      </c>
      <c r="F38" s="21">
        <v>34</v>
      </c>
      <c r="G38" s="23" t="str" cm="1">
        <f t="array" ref="G38" xml:space="preserve"> INDEX(十五音韻母清單!$B$6:$K$105, $C38, G$1)</f>
        <v>iaunn</v>
      </c>
      <c r="H38" s="23" t="str" cm="1">
        <f t="array" ref="H38" xml:space="preserve"> INDEX(十五音韻母清單!$B$6:$K$105, 韻母碼!$C38,韻母碼!H$1)</f>
        <v>ĩãũ</v>
      </c>
      <c r="I38" s="23" t="str" cm="1">
        <f t="array" ref="I38" xml:space="preserve"> INDEX(十五音韻母清單!$B$6:$K$105, 韻母碼!$C38,韻母碼!I$1)</f>
        <v>iauⁿ</v>
      </c>
      <c r="J38" s="23" t="str" cm="1">
        <f t="array" ref="J38" xml:space="preserve"> INDEX(十五音韻母清單!$B$6:$K$105, 韻母碼!$C38,韻母碼!J$1)</f>
        <v>niao</v>
      </c>
      <c r="K38" s="23" t="str" cm="1">
        <f t="array" ref="K38" xml:space="preserve"> INDEX(十五音韻母清單!$B$6:$K$105, 韻母碼!$C38,韻母碼!K$1)</f>
        <v>iaunn</v>
      </c>
      <c r="L38" s="23" t="str" cm="1">
        <f t="array" ref="L38" xml:space="preserve"> INDEX(十五音韻母清單!$B$6:$K$105, 韻母碼!$C38,韻母碼!L$1)</f>
        <v>ㄧㆯ</v>
      </c>
      <c r="M38" s="21" t="str" cm="1">
        <f t="array" ref="M38" xml:space="preserve"> INDEX(十五音韻母清單!$B$6:$K$105, $C38, M$1)</f>
        <v>嘄</v>
      </c>
      <c r="Q38" s="21">
        <v>34</v>
      </c>
      <c r="R38" s="96">
        <f t="shared" si="0"/>
        <v>17</v>
      </c>
      <c r="S38" s="96">
        <f t="shared" si="1"/>
        <v>0</v>
      </c>
      <c r="T38" s="96" t="str" cm="1">
        <f t="array" ref="T38">IF(S38=1,  INDEX('十五音-韻母'!$D$5:$E$54, $R38, 1), INDEX('十五音-韻母'!$D$5:$E$54, $R38, 2))</f>
        <v>it</v>
      </c>
      <c r="U38" s="96">
        <f t="shared" si="2"/>
        <v>44</v>
      </c>
    </row>
    <row r="39" spans="2:21" ht="27">
      <c r="B39" s="136" t="s">
        <v>266</v>
      </c>
      <c r="C39" s="21">
        <f xml:space="preserve"> MATCH(B39, 十五音韻母清單!$H$6:$H$105,0)</f>
        <v>24</v>
      </c>
      <c r="D39" s="21" cm="1">
        <f t="array" ref="D39" xml:space="preserve"> INDEX(十五音韻母清單!$B$6:$K$105, $C39, D$1)</f>
        <v>12</v>
      </c>
      <c r="F39" s="21">
        <v>35</v>
      </c>
      <c r="G39" s="23" t="str" cm="1">
        <f t="array" ref="G39" xml:space="preserve"> INDEX(十五音韻母清單!$B$6:$K$105, $C39, G$1)</f>
        <v>iauh</v>
      </c>
      <c r="H39" s="23" t="str" cm="1">
        <f t="array" ref="H39" xml:space="preserve"> INDEX(十五音韻母清單!$B$6:$K$105, 韻母碼!$C39,韻母碼!H$1)</f>
        <v>iau?</v>
      </c>
      <c r="I39" s="23" t="str" cm="1">
        <f t="array" ref="I39" xml:space="preserve"> INDEX(十五音韻母清單!$B$6:$K$105, 韻母碼!$C39,韻母碼!I$1)</f>
        <v>iauh</v>
      </c>
      <c r="J39" s="23" t="str" cm="1">
        <f t="array" ref="J39" xml:space="preserve"> INDEX(十五音韻母清單!$B$6:$K$105, 韻母碼!$C39,韻母碼!J$1)</f>
        <v>iaoh</v>
      </c>
      <c r="K39" s="23" t="str" cm="1">
        <f t="array" ref="K39" xml:space="preserve"> INDEX(十五音韻母清單!$B$6:$K$105, 韻母碼!$C39,韻母碼!K$1)</f>
        <v>iauh</v>
      </c>
      <c r="L39" s="23" t="str" cm="1">
        <f t="array" ref="L39" xml:space="preserve"> INDEX(十五音韻母清單!$B$6:$K$105, 韻母碼!$C39,韻母碼!L$1)</f>
        <v>ㄧㄠㆷ</v>
      </c>
      <c r="M39" s="21" t="str" cm="1">
        <f t="array" ref="M39" xml:space="preserve"> INDEX(十五音韻母清單!$B$6:$K$105, $C39, M$1)</f>
        <v>嬌</v>
      </c>
      <c r="Q39" s="21">
        <v>35</v>
      </c>
      <c r="R39" s="96">
        <f t="shared" si="0"/>
        <v>18</v>
      </c>
      <c r="S39" s="96">
        <f t="shared" si="1"/>
        <v>1</v>
      </c>
      <c r="T39" s="96" t="str" cm="1">
        <f t="array" ref="T39">IF(S39=1,  INDEX('十五音-韻母'!$D$5:$E$54, $R39, 1), INDEX('十五音-韻母'!$D$5:$E$54, $R39, 2))</f>
        <v>iang</v>
      </c>
      <c r="U39" s="96">
        <f t="shared" si="2"/>
        <v>30</v>
      </c>
    </row>
    <row r="40" spans="2:21" ht="27">
      <c r="B40" s="136" t="s">
        <v>433</v>
      </c>
      <c r="C40" s="21">
        <f xml:space="preserve"> MATCH(B40, 十五音韻母清單!$H$6:$H$105,0)</f>
        <v>58</v>
      </c>
      <c r="D40" s="21" cm="1">
        <f t="array" ref="D40" xml:space="preserve"> INDEX(十五音韻母清單!$B$6:$K$105, $C40, D$1)</f>
        <v>29</v>
      </c>
      <c r="F40" s="21">
        <v>36</v>
      </c>
      <c r="G40" s="23" t="str" cm="1">
        <f t="array" ref="G40" xml:space="preserve"> INDEX(十五音韻母清單!$B$6:$K$105, $C40, G$1)</f>
        <v>ih</v>
      </c>
      <c r="H40" s="23" t="str" cm="1">
        <f t="array" ref="H40" xml:space="preserve"> INDEX(十五音韻母清單!$B$6:$K$105, 韻母碼!$C40,韻母碼!H$1)</f>
        <v>i?</v>
      </c>
      <c r="I40" s="23" t="str" cm="1">
        <f t="array" ref="I40" xml:space="preserve"> INDEX(十五音韻母清單!$B$6:$K$105, 韻母碼!$C40,韻母碼!I$1)</f>
        <v>ih</v>
      </c>
      <c r="J40" s="23" t="str" cm="1">
        <f t="array" ref="J40" xml:space="preserve"> INDEX(十五音韻母清單!$B$6:$K$105, 韻母碼!$C40,韻母碼!J$1)</f>
        <v>ih</v>
      </c>
      <c r="K40" s="23" t="str" cm="1">
        <f t="array" ref="K40" xml:space="preserve"> INDEX(十五音韻母清單!$B$6:$K$105, 韻母碼!$C40,韻母碼!K$1)</f>
        <v>ih</v>
      </c>
      <c r="L40" s="23" t="str" cm="1">
        <f t="array" ref="L40" xml:space="preserve"> INDEX(十五音韻母清單!$B$6:$K$105, 韻母碼!$C40,韻母碼!L$1)</f>
        <v>ㄧㆷ</v>
      </c>
      <c r="M40" s="21" t="str" cm="1">
        <f t="array" ref="M40" xml:space="preserve"> INDEX(十五音韻母清單!$B$6:$K$105, $C40, M$1)</f>
        <v>居</v>
      </c>
      <c r="Q40" s="21">
        <v>36</v>
      </c>
      <c r="R40" s="96">
        <f t="shared" si="0"/>
        <v>18</v>
      </c>
      <c r="S40" s="96">
        <f t="shared" si="1"/>
        <v>0</v>
      </c>
      <c r="T40" s="96" t="str" cm="1">
        <f t="array" ref="T40">IF(S40=1,  INDEX('十五音-韻母'!$D$5:$E$54, $R40, 1), INDEX('十五音-韻母'!$D$5:$E$54, $R40, 2))</f>
        <v>iak</v>
      </c>
      <c r="U40" s="96">
        <f t="shared" si="2"/>
        <v>27</v>
      </c>
    </row>
    <row r="41" spans="2:21" ht="27">
      <c r="B41" s="136" t="s">
        <v>171</v>
      </c>
      <c r="C41" s="21">
        <f xml:space="preserve"> MATCH(B41, 十五音韻母清單!$H$6:$H$105,0)</f>
        <v>5</v>
      </c>
      <c r="D41" s="21" cm="1">
        <f t="array" ref="D41" xml:space="preserve"> INDEX(十五音韻母清單!$B$6:$K$105, $C41, D$1)</f>
        <v>3</v>
      </c>
      <c r="F41" s="21">
        <v>37</v>
      </c>
      <c r="G41" s="23" t="str" cm="1">
        <f t="array" ref="G41" xml:space="preserve"> INDEX(十五音韻母清單!$B$6:$K$105, $C41, G$1)</f>
        <v>im</v>
      </c>
      <c r="H41" s="23" t="str" cm="1">
        <f t="array" ref="H41" xml:space="preserve"> INDEX(十五音韻母清單!$B$6:$K$105, 韻母碼!$C41,韻母碼!H$1)</f>
        <v>im</v>
      </c>
      <c r="I41" s="23" t="str" cm="1">
        <f t="array" ref="I41" xml:space="preserve"> INDEX(十五音韻母清單!$B$6:$K$105, 韻母碼!$C41,韻母碼!I$1)</f>
        <v>im</v>
      </c>
      <c r="J41" s="23" t="str" cm="1">
        <f t="array" ref="J41" xml:space="preserve"> INDEX(十五音韻母清單!$B$6:$K$105, 韻母碼!$C41,韻母碼!J$1)</f>
        <v>im</v>
      </c>
      <c r="K41" s="23" t="str" cm="1">
        <f t="array" ref="K41" xml:space="preserve"> INDEX(十五音韻母清單!$B$6:$K$105, 韻母碼!$C41,韻母碼!K$1)</f>
        <v>im</v>
      </c>
      <c r="L41" s="23" t="str" cm="1">
        <f t="array" ref="L41" xml:space="preserve"> INDEX(十五音韻母清單!$B$6:$K$105, 韻母碼!$C41,韻母碼!L$1)</f>
        <v>ㄧㆬ</v>
      </c>
      <c r="M41" s="21" t="str" cm="1">
        <f t="array" ref="M41" xml:space="preserve"> INDEX(十五音韻母清單!$B$6:$K$105, $C41, M$1)</f>
        <v>金</v>
      </c>
      <c r="Q41" s="21">
        <v>37</v>
      </c>
      <c r="R41" s="96">
        <f t="shared" si="0"/>
        <v>19</v>
      </c>
      <c r="S41" s="96">
        <f t="shared" si="1"/>
        <v>1</v>
      </c>
      <c r="T41" s="96" t="str" cm="1">
        <f t="array" ref="T41">IF(S41=1,  INDEX('十五音-韻母'!$D$5:$E$54, $R41, 1), INDEX('十五音-韻母'!$D$5:$E$54, $R41, 2))</f>
        <v>am</v>
      </c>
      <c r="U41" s="96">
        <f t="shared" si="2"/>
        <v>8</v>
      </c>
    </row>
    <row r="42" spans="2:21" ht="27">
      <c r="B42" s="136" t="s">
        <v>317</v>
      </c>
      <c r="C42" s="21">
        <f xml:space="preserve"> MATCH(B42, 十五音韻母清單!$H$6:$H$105,0)</f>
        <v>33</v>
      </c>
      <c r="D42" s="21" cm="1">
        <f t="array" ref="D42" xml:space="preserve"> INDEX(十五音韻母清單!$B$6:$K$105, $C42, D$1)</f>
        <v>17</v>
      </c>
      <c r="F42" s="21">
        <v>38</v>
      </c>
      <c r="G42" s="23" t="str" cm="1">
        <f t="array" ref="G42" xml:space="preserve"> INDEX(十五音韻母清單!$B$6:$K$105, $C42, G$1)</f>
        <v>in</v>
      </c>
      <c r="H42" s="23" t="str" cm="1">
        <f t="array" ref="H42" xml:space="preserve"> INDEX(十五音韻母清單!$B$6:$K$105, 韻母碼!$C42,韻母碼!H$1)</f>
        <v>in</v>
      </c>
      <c r="I42" s="23" t="str" cm="1">
        <f t="array" ref="I42" xml:space="preserve"> INDEX(十五音韻母清單!$B$6:$K$105, 韻母碼!$C42,韻母碼!I$1)</f>
        <v>in</v>
      </c>
      <c r="J42" s="23" t="str" cm="1">
        <f t="array" ref="J42" xml:space="preserve"> INDEX(十五音韻母清單!$B$6:$K$105, 韻母碼!$C42,韻母碼!J$1)</f>
        <v>in</v>
      </c>
      <c r="K42" s="23" t="str" cm="1">
        <f t="array" ref="K42" xml:space="preserve"> INDEX(十五音韻母清單!$B$6:$K$105, 韻母碼!$C42,韻母碼!K$1)</f>
        <v>in</v>
      </c>
      <c r="L42" s="23" t="str" cm="1">
        <f t="array" ref="L42" xml:space="preserve"> INDEX(十五音韻母清單!$B$6:$K$105, 韻母碼!$C42,韻母碼!L$1)</f>
        <v>ㄧㄣ</v>
      </c>
      <c r="M42" s="21" t="str" cm="1">
        <f t="array" ref="M42" xml:space="preserve"> INDEX(十五音韻母清單!$B$6:$K$105, $C42, M$1)</f>
        <v>巾</v>
      </c>
      <c r="Q42" s="21">
        <v>38</v>
      </c>
      <c r="R42" s="96">
        <f t="shared" si="0"/>
        <v>19</v>
      </c>
      <c r="S42" s="96">
        <f t="shared" si="1"/>
        <v>0</v>
      </c>
      <c r="T42" s="96" t="str" cm="1">
        <f t="array" ref="T42">IF(S42=1,  INDEX('十五音-韻母'!$D$5:$E$54, $R42, 1), INDEX('十五音-韻母'!$D$5:$E$54, $R42, 2))</f>
        <v>ap</v>
      </c>
      <c r="U42" s="96">
        <f t="shared" si="2"/>
        <v>11</v>
      </c>
    </row>
    <row r="43" spans="2:21" ht="27">
      <c r="B43" s="136" t="s">
        <v>480</v>
      </c>
      <c r="C43" s="21">
        <f xml:space="preserve"> MATCH(B43, 十五音韻母清單!$H$6:$H$105,0)</f>
        <v>65</v>
      </c>
      <c r="D43" s="21" cm="1">
        <f t="array" ref="D43" xml:space="preserve"> INDEX(十五音韻母清單!$B$6:$K$105, $C43, D$1)</f>
        <v>33</v>
      </c>
      <c r="F43" s="21">
        <v>39</v>
      </c>
      <c r="G43" s="23" t="str" cm="1">
        <f t="array" ref="G43" xml:space="preserve"> INDEX(十五音韻母清單!$B$6:$K$105, $C43, G$1)</f>
        <v>io</v>
      </c>
      <c r="H43" s="23" t="str" cm="1">
        <f t="array" ref="H43" xml:space="preserve"> INDEX(十五音韻母清單!$B$6:$K$105, 韻母碼!$C43,韻母碼!H$1)</f>
        <v>io</v>
      </c>
      <c r="I43" s="23" t="str" cm="1">
        <f t="array" ref="I43" xml:space="preserve"> INDEX(十五音韻母清單!$B$6:$K$105, 韻母碼!$C43,韻母碼!I$1)</f>
        <v>io</v>
      </c>
      <c r="J43" s="23" t="str" cm="1">
        <f t="array" ref="J43" xml:space="preserve"> INDEX(十五音韻母清單!$B$6:$K$105, 韻母碼!$C43,韻母碼!J$1)</f>
        <v>io</v>
      </c>
      <c r="K43" s="23" t="str" cm="1">
        <f t="array" ref="K43" xml:space="preserve"> INDEX(十五音韻母清單!$B$6:$K$105, 韻母碼!$C43,韻母碼!K$1)</f>
        <v>io</v>
      </c>
      <c r="L43" s="23" t="str" cm="1">
        <f t="array" ref="L43" xml:space="preserve"> INDEX(十五音韻母清單!$B$6:$K$105, 韻母碼!$C43,韻母碼!L$1)</f>
        <v>ㄧㄜ</v>
      </c>
      <c r="M43" s="21" t="str" cm="1">
        <f t="array" ref="M43" xml:space="preserve"> INDEX(十五音韻母清單!$B$6:$K$105, $C43, M$1)</f>
        <v>茄</v>
      </c>
      <c r="Q43" s="21">
        <v>39</v>
      </c>
      <c r="R43" s="96">
        <f t="shared" si="0"/>
        <v>20</v>
      </c>
      <c r="S43" s="96">
        <f t="shared" si="1"/>
        <v>1</v>
      </c>
      <c r="T43" s="96" t="str" cm="1">
        <f t="array" ref="T43">IF(S43=1,  INDEX('十五音-韻母'!$D$5:$E$54, $R43, 1), INDEX('十五音-韻母'!$D$5:$E$54, $R43, 2))</f>
        <v>ua</v>
      </c>
      <c r="U43" s="96">
        <f t="shared" si="2"/>
        <v>55</v>
      </c>
    </row>
    <row r="44" spans="2:21" ht="27">
      <c r="B44" s="136" t="s">
        <v>481</v>
      </c>
      <c r="C44" s="21">
        <f xml:space="preserve"> MATCH(B44, 十五音韻母清單!$H$6:$H$105,0)</f>
        <v>66</v>
      </c>
      <c r="D44" s="21" cm="1">
        <f t="array" ref="D44" xml:space="preserve"> INDEX(十五音韻母清單!$B$6:$K$105, $C44, D$1)</f>
        <v>33</v>
      </c>
      <c r="F44" s="21">
        <v>40</v>
      </c>
      <c r="G44" s="23" t="str" cm="1">
        <f t="array" ref="G44" xml:space="preserve"> INDEX(十五音韻母清單!$B$6:$K$105, $C44, G$1)</f>
        <v>ioh</v>
      </c>
      <c r="H44" s="23" t="str" cm="1">
        <f t="array" ref="H44" xml:space="preserve"> INDEX(十五音韻母清單!$B$6:$K$105, 韻母碼!$C44,韻母碼!H$1)</f>
        <v>iə?</v>
      </c>
      <c r="I44" s="23" t="str" cm="1">
        <f t="array" ref="I44" xml:space="preserve"> INDEX(十五音韻母清單!$B$6:$K$105, 韻母碼!$C44,韻母碼!I$1)</f>
        <v>ioh</v>
      </c>
      <c r="J44" s="23" t="str" cm="1">
        <f t="array" ref="J44" xml:space="preserve"> INDEX(十五音韻母清單!$B$6:$K$105, 韻母碼!$C44,韻母碼!J$1)</f>
        <v>ioh</v>
      </c>
      <c r="K44" s="23" t="str" cm="1">
        <f t="array" ref="K44" xml:space="preserve"> INDEX(十五音韻母清單!$B$6:$K$105, 韻母碼!$C44,韻母碼!K$1)</f>
        <v>ioh</v>
      </c>
      <c r="L44" s="23" t="str" cm="1">
        <f t="array" ref="L44" xml:space="preserve"> INDEX(十五音韻母清單!$B$6:$K$105, 韻母碼!$C44,韻母碼!L$1)</f>
        <v>ㄧㄜㆷ</v>
      </c>
      <c r="M44" s="21" t="str" cm="1">
        <f t="array" ref="M44" xml:space="preserve"> INDEX(十五音韻母清單!$B$6:$K$105, $C44, M$1)</f>
        <v>茄</v>
      </c>
      <c r="Q44" s="21">
        <v>40</v>
      </c>
      <c r="R44" s="96">
        <f t="shared" si="0"/>
        <v>20</v>
      </c>
      <c r="S44" s="96">
        <f t="shared" si="1"/>
        <v>0</v>
      </c>
      <c r="T44" s="96" t="str" cm="1">
        <f t="array" ref="T44">IF(S44=1,  INDEX('十五音-韻母'!$D$5:$E$54, $R44, 1), INDEX('十五音-韻母'!$D$5:$E$54, $R44, 2))</f>
        <v>uah</v>
      </c>
      <c r="U44" s="96">
        <f t="shared" si="2"/>
        <v>57</v>
      </c>
    </row>
    <row r="45" spans="2:21" ht="27">
      <c r="B45" s="136" t="s">
        <v>290</v>
      </c>
      <c r="C45" s="21">
        <f xml:space="preserve"> MATCH(B45, 十五音韻母清單!$H$6:$H$105,0)</f>
        <v>28</v>
      </c>
      <c r="D45" s="21" cm="1">
        <f t="array" ref="D45" xml:space="preserve"> INDEX(十五音韻母清單!$B$6:$K$105, $C45, D$1)</f>
        <v>14</v>
      </c>
      <c r="F45" s="21">
        <v>41</v>
      </c>
      <c r="G45" s="23" t="str" cm="1">
        <f t="array" ref="G45" xml:space="preserve"> INDEX(十五音韻母清單!$B$6:$K$105, $C45, G$1)</f>
        <v>iok</v>
      </c>
      <c r="H45" s="23" t="str" cm="1">
        <f t="array" ref="H45" xml:space="preserve"> INDEX(十五音韻母清單!$B$6:$K$105, 韻母碼!$C45,韻母碼!H$1)</f>
        <v>iɔk̚</v>
      </c>
      <c r="I45" s="23" t="str" cm="1">
        <f t="array" ref="I45" xml:space="preserve"> INDEX(十五音韻母清單!$B$6:$K$105, 韻母碼!$C45,韻母碼!I$1)</f>
        <v>iok</v>
      </c>
      <c r="J45" s="23" t="str" cm="1">
        <f t="array" ref="J45" xml:space="preserve"> INDEX(十五音韻母清單!$B$6:$K$105, 韻母碼!$C45,韻母碼!J$1)</f>
        <v>iok</v>
      </c>
      <c r="K45" s="23" t="str" cm="1">
        <f t="array" ref="K45" xml:space="preserve"> INDEX(十五音韻母清單!$B$6:$K$105, 韻母碼!$C45,韻母碼!K$1)</f>
        <v>iok</v>
      </c>
      <c r="L45" s="23" t="str" cm="1">
        <f t="array" ref="L45" xml:space="preserve"> INDEX(十五音韻母清單!$B$6:$K$105, 韻母碼!$C45,韻母碼!L$1)</f>
        <v>ㄧㆦㆻ</v>
      </c>
      <c r="M45" s="21" t="str" cm="1">
        <f t="array" ref="M45" xml:space="preserve"> INDEX(十五音韻母清單!$B$6:$K$105, $C45, M$1)</f>
        <v>恭</v>
      </c>
      <c r="Q45" s="21">
        <v>41</v>
      </c>
      <c r="R45" s="96">
        <f t="shared" si="0"/>
        <v>21</v>
      </c>
      <c r="S45" s="96">
        <f t="shared" si="1"/>
        <v>1</v>
      </c>
      <c r="T45" s="96" t="str" cm="1">
        <f t="array" ref="T45">IF(S45=1,  INDEX('十五音-韻母'!$D$5:$E$54, $R45, 1), INDEX('十五音-韻母'!$D$5:$E$54, $R45, 2))</f>
        <v>ang</v>
      </c>
      <c r="U45" s="96">
        <f t="shared" si="2"/>
        <v>10</v>
      </c>
    </row>
    <row r="46" spans="2:21" ht="27">
      <c r="B46" s="136" t="s">
        <v>289</v>
      </c>
      <c r="C46" s="21">
        <f xml:space="preserve"> MATCH(B46, 十五音韻母清單!$H$6:$H$105,0)</f>
        <v>27</v>
      </c>
      <c r="D46" s="21" cm="1">
        <f t="array" ref="D46" xml:space="preserve"> INDEX(十五音韻母清單!$B$6:$K$105, $C46, D$1)</f>
        <v>14</v>
      </c>
      <c r="F46" s="21">
        <v>42</v>
      </c>
      <c r="G46" s="23" t="str" cm="1">
        <f t="array" ref="G46" xml:space="preserve"> INDEX(十五音韻母清單!$B$6:$K$105, $C46, G$1)</f>
        <v>iong</v>
      </c>
      <c r="H46" s="23" t="str" cm="1">
        <f t="array" ref="H46" xml:space="preserve"> INDEX(十五音韻母清單!$B$6:$K$105, 韻母碼!$C46,韻母碼!H$1)</f>
        <v>iɔŋ</v>
      </c>
      <c r="I46" s="23" t="str" cm="1">
        <f t="array" ref="I46" xml:space="preserve"> INDEX(十五音韻母清單!$B$6:$K$105, 韻母碼!$C46,韻母碼!I$1)</f>
        <v>iong</v>
      </c>
      <c r="J46" s="23" t="str" cm="1">
        <f t="array" ref="J46" xml:space="preserve"> INDEX(十五音韻母清單!$B$6:$K$105, 韻母碼!$C46,韻母碼!J$1)</f>
        <v>iong</v>
      </c>
      <c r="K46" s="23" t="str" cm="1">
        <f t="array" ref="K46" xml:space="preserve"> INDEX(十五音韻母清單!$B$6:$K$105, 韻母碼!$C46,韻母碼!K$1)</f>
        <v>iong</v>
      </c>
      <c r="L46" s="23" t="str" cm="1">
        <f t="array" ref="L46" xml:space="preserve"> INDEX(十五音韻母清單!$B$6:$K$105, 韻母碼!$C46,韻母碼!L$1)</f>
        <v>ㄧㆲ</v>
      </c>
      <c r="M46" s="21" t="str" cm="1">
        <f t="array" ref="M46" xml:space="preserve"> INDEX(十五音韻母清單!$B$6:$K$105, $C46, M$1)</f>
        <v>恭</v>
      </c>
      <c r="Q46" s="21">
        <v>42</v>
      </c>
      <c r="R46" s="96">
        <f t="shared" si="0"/>
        <v>21</v>
      </c>
      <c r="S46" s="96">
        <f t="shared" si="1"/>
        <v>0</v>
      </c>
      <c r="T46" s="96" t="str" cm="1">
        <f t="array" ref="T46">IF(S46=1,  INDEX('十五音-韻母'!$D$5:$E$54, $R46, 1), INDEX('十五音-韻母'!$D$5:$E$54, $R46, 2))</f>
        <v>ak</v>
      </c>
      <c r="U46" s="96">
        <f t="shared" si="2"/>
        <v>7</v>
      </c>
    </row>
    <row r="47" spans="2:21" ht="27">
      <c r="B47" s="136" t="s">
        <v>172</v>
      </c>
      <c r="C47" s="21">
        <f xml:space="preserve"> MATCH(B47, 十五音韻母清單!$H$6:$H$105,0)</f>
        <v>6</v>
      </c>
      <c r="D47" s="21" cm="1">
        <f t="array" ref="D47" xml:space="preserve"> INDEX(十五音韻母清單!$B$6:$K$105, $C47, D$1)</f>
        <v>3</v>
      </c>
      <c r="F47" s="21">
        <v>43</v>
      </c>
      <c r="G47" s="23" t="str" cm="1">
        <f t="array" ref="G47" xml:space="preserve"> INDEX(十五音韻母清單!$B$6:$K$105, $C47, G$1)</f>
        <v>ip</v>
      </c>
      <c r="H47" s="23" t="str" cm="1">
        <f t="array" ref="H47" xml:space="preserve"> INDEX(十五音韻母清單!$B$6:$K$105, 韻母碼!$C47,韻母碼!H$1)</f>
        <v>ip̚</v>
      </c>
      <c r="I47" s="23" t="str" cm="1">
        <f t="array" ref="I47" xml:space="preserve"> INDEX(十五音韻母清單!$B$6:$K$105, 韻母碼!$C47,韻母碼!I$1)</f>
        <v>ip</v>
      </c>
      <c r="J47" s="23" t="str" cm="1">
        <f t="array" ref="J47" xml:space="preserve"> INDEX(十五音韻母清單!$B$6:$K$105, 韻母碼!$C47,韻母碼!J$1)</f>
        <v>ip</v>
      </c>
      <c r="K47" s="23" t="str" cm="1">
        <f t="array" ref="K47" xml:space="preserve"> INDEX(十五音韻母清單!$B$6:$K$105, 韻母碼!$C47,韻母碼!K$1)</f>
        <v>ip</v>
      </c>
      <c r="L47" s="23" t="str" cm="1">
        <f t="array" ref="L47" xml:space="preserve"> INDEX(十五音韻母清單!$B$6:$K$105, 韻母碼!$C47,韻母碼!L$1)</f>
        <v>ㄧㆴ</v>
      </c>
      <c r="M47" s="21" t="str" cm="1">
        <f t="array" ref="M47" xml:space="preserve"> INDEX(十五音韻母清單!$B$6:$K$105, $C47, M$1)</f>
        <v>金</v>
      </c>
      <c r="Q47" s="21">
        <v>43</v>
      </c>
      <c r="R47" s="96">
        <f t="shared" si="0"/>
        <v>22</v>
      </c>
      <c r="S47" s="96">
        <f t="shared" si="1"/>
        <v>1</v>
      </c>
      <c r="T47" s="96" t="str" cm="1">
        <f t="array" ref="T47">IF(S47=1,  INDEX('十五音-韻母'!$D$5:$E$54, $R47, 1), INDEX('十五音-韻母'!$D$5:$E$54, $R47, 2))</f>
        <v>iam</v>
      </c>
      <c r="U47" s="96">
        <f t="shared" si="2"/>
        <v>28</v>
      </c>
    </row>
    <row r="48" spans="2:21" ht="27">
      <c r="B48" s="136" t="s">
        <v>318</v>
      </c>
      <c r="C48" s="21">
        <f xml:space="preserve"> MATCH(B48, 十五音韻母清單!$H$6:$H$105,0)</f>
        <v>34</v>
      </c>
      <c r="D48" s="21" cm="1">
        <f t="array" ref="D48" xml:space="preserve"> INDEX(十五音韻母清單!$B$6:$K$105, $C48, D$1)</f>
        <v>17</v>
      </c>
      <c r="F48" s="21">
        <v>44</v>
      </c>
      <c r="G48" s="23" t="str" cm="1">
        <f t="array" ref="G48" xml:space="preserve"> INDEX(十五音韻母清單!$B$6:$K$105, $C48, G$1)</f>
        <v>it</v>
      </c>
      <c r="H48" s="23" t="str" cm="1">
        <f t="array" ref="H48" xml:space="preserve"> INDEX(十五音韻母清單!$B$6:$K$105, 韻母碼!$C48,韻母碼!H$1)</f>
        <v>it̚</v>
      </c>
      <c r="I48" s="23" t="str" cm="1">
        <f t="array" ref="I48" xml:space="preserve"> INDEX(十五音韻母清單!$B$6:$K$105, 韻母碼!$C48,韻母碼!I$1)</f>
        <v>it</v>
      </c>
      <c r="J48" s="23" t="str" cm="1">
        <f t="array" ref="J48" xml:space="preserve"> INDEX(十五音韻母清單!$B$6:$K$105, 韻母碼!$C48,韻母碼!J$1)</f>
        <v>it</v>
      </c>
      <c r="K48" s="23" t="str" cm="1">
        <f t="array" ref="K48" xml:space="preserve"> INDEX(十五音韻母清單!$B$6:$K$105, 韻母碼!$C48,韻母碼!K$1)</f>
        <v>it</v>
      </c>
      <c r="L48" s="23" t="str" cm="1">
        <f t="array" ref="L48" xml:space="preserve"> INDEX(十五音韻母清單!$B$6:$K$105, 韻母碼!$C48,韻母碼!L$1)</f>
        <v>ㄧㆵ</v>
      </c>
      <c r="M48" s="21" t="str" cm="1">
        <f t="array" ref="M48" xml:space="preserve"> INDEX(十五音韻母清單!$B$6:$K$105, $C48, M$1)</f>
        <v>巾</v>
      </c>
      <c r="Q48" s="21">
        <v>44</v>
      </c>
      <c r="R48" s="96">
        <f t="shared" si="0"/>
        <v>22</v>
      </c>
      <c r="S48" s="96">
        <f t="shared" si="1"/>
        <v>0</v>
      </c>
      <c r="T48" s="96" t="str" cm="1">
        <f t="array" ref="T48">IF(S48=1,  INDEX('十五音-韻母'!$D$5:$E$54, $R48, 1), INDEX('十五音-韻母'!$D$5:$E$54, $R48, 2))</f>
        <v>iap</v>
      </c>
      <c r="U48" s="96">
        <f t="shared" si="2"/>
        <v>31</v>
      </c>
    </row>
    <row r="49" spans="2:21" ht="27">
      <c r="B49" s="136" t="s">
        <v>439</v>
      </c>
      <c r="C49" s="21">
        <f xml:space="preserve"> MATCH(B49, 十五音韻母清單!$H$6:$H$105,0)</f>
        <v>59</v>
      </c>
      <c r="D49" s="21" cm="1">
        <f t="array" ref="D49" xml:space="preserve"> INDEX(十五音韻母清單!$B$6:$K$105, $C49, D$1)</f>
        <v>30</v>
      </c>
      <c r="F49" s="21">
        <v>45</v>
      </c>
      <c r="G49" s="23" t="str" cm="1">
        <f t="array" ref="G49" xml:space="preserve"> INDEX(十五音韻母清單!$B$6:$K$105, $C49, G$1)</f>
        <v>iu</v>
      </c>
      <c r="H49" s="23" t="str" cm="1">
        <f t="array" ref="H49" xml:space="preserve"> INDEX(十五音韻母清單!$B$6:$K$105, 韻母碼!$C49,韻母碼!H$1)</f>
        <v>iu</v>
      </c>
      <c r="I49" s="23" t="str" cm="1">
        <f t="array" ref="I49" xml:space="preserve"> INDEX(十五音韻母清單!$B$6:$K$105, 韻母碼!$C49,韻母碼!I$1)</f>
        <v>iu</v>
      </c>
      <c r="J49" s="23" t="str" cm="1">
        <f t="array" ref="J49" xml:space="preserve"> INDEX(十五音韻母清單!$B$6:$K$105, 韻母碼!$C49,韻母碼!J$1)</f>
        <v>iu</v>
      </c>
      <c r="K49" s="23" t="str" cm="1">
        <f t="array" ref="K49" xml:space="preserve"> INDEX(十五音韻母清單!$B$6:$K$105, 韻母碼!$C49,韻母碼!K$1)</f>
        <v>iu</v>
      </c>
      <c r="L49" s="23" t="str" cm="1">
        <f t="array" ref="L49" xml:space="preserve"> INDEX(十五音韻母清單!$B$6:$K$105, 韻母碼!$C49,韻母碼!L$1)</f>
        <v>ㄧㄨ</v>
      </c>
      <c r="M49" s="21" t="str" cm="1">
        <f t="array" ref="M49" xml:space="preserve"> INDEX(十五音韻母清單!$B$6:$K$105, $C49, M$1)</f>
        <v>丩</v>
      </c>
      <c r="Q49" s="21">
        <v>45</v>
      </c>
      <c r="R49" s="96">
        <f t="shared" si="0"/>
        <v>23</v>
      </c>
      <c r="S49" s="96">
        <f t="shared" si="1"/>
        <v>1</v>
      </c>
      <c r="T49" s="96" t="str" cm="1">
        <f t="array" ref="T49">IF(S49=1,  INDEX('十五音-韻母'!$D$5:$E$54, $R49, 1), INDEX('十五音-韻母'!$D$5:$E$54, $R49, 2))</f>
        <v>au</v>
      </c>
      <c r="U49" s="96">
        <f t="shared" si="2"/>
        <v>13</v>
      </c>
    </row>
    <row r="50" spans="2:21" ht="27">
      <c r="B50" s="136" t="s">
        <v>681</v>
      </c>
      <c r="C50" s="21">
        <f xml:space="preserve"> MATCH(B50, 十五音韻母清單!$H$6:$H$105,0)</f>
        <v>99</v>
      </c>
      <c r="D50" s="21" cm="1">
        <f t="array" ref="D50" xml:space="preserve"> INDEX(十五音韻母清單!$B$6:$K$105, $C50, D$1)</f>
        <v>50</v>
      </c>
      <c r="F50" s="21">
        <v>46</v>
      </c>
      <c r="G50" s="23" t="str" cm="1">
        <f t="array" ref="G50" xml:space="preserve"> INDEX(十五音韻母清單!$B$6:$K$105, $C50, G$1)</f>
        <v>iunn</v>
      </c>
      <c r="H50" s="23" t="str" cm="1">
        <f t="array" ref="H50" xml:space="preserve"> INDEX(十五音韻母清單!$B$6:$K$105, 韻母碼!$C50,韻母碼!H$1)</f>
        <v>ĩũ</v>
      </c>
      <c r="I50" s="23" t="str" cm="1">
        <f t="array" ref="I50" xml:space="preserve"> INDEX(十五音韻母清單!$B$6:$K$105, 韻母碼!$C50,韻母碼!I$1)</f>
        <v>iuⁿ</v>
      </c>
      <c r="J50" s="23" t="str" cm="1">
        <f t="array" ref="J50" xml:space="preserve"> INDEX(十五音韻母清單!$B$6:$K$105, 韻母碼!$C50,韻母碼!J$1)</f>
        <v>niu</v>
      </c>
      <c r="K50" s="23" t="str" cm="1">
        <f t="array" ref="K50" xml:space="preserve"> INDEX(十五音韻母清單!$B$6:$K$105, 韻母碼!$C50,韻母碼!K$1)</f>
        <v>iunn</v>
      </c>
      <c r="L50" s="23" t="str" cm="1">
        <f t="array" ref="L50" xml:space="preserve"> INDEX(十五音韻母清單!$B$6:$K$105, 韻母碼!$C50,韻母碼!L$1)</f>
        <v>ㄧㆫ</v>
      </c>
      <c r="M50" s="21" t="str" cm="1">
        <f t="array" ref="M50" xml:space="preserve"> INDEX(十五音韻母清單!$B$6:$K$105, $C50, M$1)</f>
        <v>牛</v>
      </c>
      <c r="Q50" s="21">
        <v>46</v>
      </c>
      <c r="R50" s="96">
        <f t="shared" si="0"/>
        <v>23</v>
      </c>
      <c r="S50" s="96">
        <f t="shared" si="1"/>
        <v>0</v>
      </c>
      <c r="T50" s="96" t="str" cm="1">
        <f t="array" ref="T50">IF(S50=1,  INDEX('十五音-韻母'!$D$5:$E$54, $R50, 1), INDEX('十五音-韻母'!$D$5:$E$54, $R50, 2))</f>
        <v>auh</v>
      </c>
      <c r="U50" s="96">
        <f t="shared" si="2"/>
        <v>14</v>
      </c>
    </row>
    <row r="51" spans="2:21" ht="27">
      <c r="B51" s="136" t="s">
        <v>703</v>
      </c>
      <c r="C51" s="21">
        <f xml:space="preserve"> MATCH(B51, 十五音韻母清單!$H$6:$H$105,0)</f>
        <v>100</v>
      </c>
      <c r="D51" s="100" cm="1">
        <f t="array" ref="D51" xml:space="preserve"> INDEX(十五音韻母清單!$B$6:$K$105, $C51, D$1)</f>
        <v>50</v>
      </c>
      <c r="F51" s="21">
        <v>47</v>
      </c>
      <c r="G51" s="101" t="str" cm="1">
        <f t="array" ref="G51" xml:space="preserve"> INDEX(十五音韻母清單!$B$6:$K$105, $C51, G$1)</f>
        <v>iunnh</v>
      </c>
      <c r="H51" s="101" t="str" cm="1">
        <f t="array" ref="H51" xml:space="preserve"> INDEX(十五音韻母清單!$B$6:$K$105, 韻母碼!$C51,韻母碼!H$1)</f>
        <v>iũh</v>
      </c>
      <c r="I51" s="101" t="str" cm="1">
        <f t="array" ref="I51" xml:space="preserve"> INDEX(十五音韻母清單!$B$6:$K$105, 韻母碼!$C51,韻母碼!I$1)</f>
        <v>iuhⁿ</v>
      </c>
      <c r="J51" s="101" t="str" cm="1">
        <f t="array" ref="J51" xml:space="preserve"> INDEX(十五音韻母清單!$B$6:$K$105, 韻母碼!$C51,韻母碼!J$1)</f>
        <v>niuh</v>
      </c>
      <c r="K51" s="101" t="str" cm="1">
        <f t="array" ref="K51" xml:space="preserve"> INDEX(十五音韻母清單!$B$6:$K$105, 韻母碼!$C51,韻母碼!K$1)</f>
        <v>iunnh</v>
      </c>
      <c r="L51" s="101" t="str" cm="1">
        <f t="array" ref="L51" xml:space="preserve"> INDEX(十五音韻母清單!$B$6:$K$105, 韻母碼!$C51,韻母碼!L$1)</f>
        <v>ㄧㆫㆷ</v>
      </c>
      <c r="M51" s="100" t="str" cm="1">
        <f t="array" ref="M51" xml:space="preserve"> INDEX(十五音韻母清單!$B$6:$K$105, $C51, M$1)</f>
        <v>牛</v>
      </c>
      <c r="Q51" s="21">
        <v>47</v>
      </c>
      <c r="R51" s="96">
        <f t="shared" si="0"/>
        <v>24</v>
      </c>
      <c r="S51" s="96">
        <f t="shared" si="1"/>
        <v>1</v>
      </c>
      <c r="T51" s="96" t="str" cm="1">
        <f t="array" ref="T51">IF(S51=1,  INDEX('十五音-韻母'!$D$5:$E$54, $R51, 1), INDEX('十五音-韻母'!$D$5:$E$54, $R51, 2))</f>
        <v>ia</v>
      </c>
      <c r="U51" s="96">
        <f t="shared" si="2"/>
        <v>23</v>
      </c>
    </row>
    <row r="52" spans="2:21" ht="27">
      <c r="B52" s="136" t="s">
        <v>64</v>
      </c>
      <c r="C52" s="21">
        <f xml:space="preserve"> MATCH(B52, 十五音韻母清單!$H$6:$H$105,0)</f>
        <v>83</v>
      </c>
      <c r="D52" s="21" cm="1">
        <f t="array" ref="D52" xml:space="preserve"> INDEX(十五音韻母清單!$B$6:$K$105, $C52, D$1)</f>
        <v>42</v>
      </c>
      <c r="F52" s="21">
        <v>48</v>
      </c>
      <c r="G52" s="23" t="str" cm="1">
        <f t="array" ref="G52" xml:space="preserve"> INDEX(十五音韻母清單!$B$6:$K$105, $C52, G$1)</f>
        <v>m</v>
      </c>
      <c r="H52" s="23" t="str" cm="1">
        <f t="array" ref="H52" xml:space="preserve"> INDEX(十五音韻母清單!$B$6:$K$105, 韻母碼!$C52,韻母碼!H$1)</f>
        <v>m̩</v>
      </c>
      <c r="I52" s="23" t="str" cm="1">
        <f t="array" ref="I52" xml:space="preserve"> INDEX(十五音韻母清單!$B$6:$K$105, 韻母碼!$C52,韻母碼!I$1)</f>
        <v>m</v>
      </c>
      <c r="J52" s="23" t="str" cm="1">
        <f t="array" ref="J52" xml:space="preserve"> INDEX(十五音韻母清單!$B$6:$K$105, 韻母碼!$C52,韻母碼!J$1)</f>
        <v>m</v>
      </c>
      <c r="K52" s="23" t="str" cm="1">
        <f t="array" ref="K52" xml:space="preserve"> INDEX(十五音韻母清單!$B$6:$K$105, 韻母碼!$C52,韻母碼!K$1)</f>
        <v>m</v>
      </c>
      <c r="L52" s="23" t="str" cm="1">
        <f t="array" ref="L52" xml:space="preserve"> INDEX(十五音韻母清單!$B$6:$K$105, 韻母碼!$C52,韻母碼!L$1)</f>
        <v>ㆬ</v>
      </c>
      <c r="M52" s="21" t="str" cm="1">
        <f t="array" ref="M52" xml:space="preserve"> INDEX(十五音韻母清單!$B$6:$K$105, $C52, M$1)</f>
        <v>姆</v>
      </c>
      <c r="Q52" s="21">
        <v>48</v>
      </c>
      <c r="R52" s="96">
        <f t="shared" si="0"/>
        <v>24</v>
      </c>
      <c r="S52" s="96">
        <f t="shared" si="1"/>
        <v>0</v>
      </c>
      <c r="T52" s="96" t="str" cm="1">
        <f t="array" ref="T52">IF(S52=1,  INDEX('十五音-韻母'!$D$5:$E$54, $R52, 1), INDEX('十五音-韻母'!$D$5:$E$54, $R52, 2))</f>
        <v>iah</v>
      </c>
      <c r="U52" s="96">
        <f t="shared" si="2"/>
        <v>25</v>
      </c>
    </row>
    <row r="53" spans="2:21" ht="27">
      <c r="B53" s="136" t="s">
        <v>588</v>
      </c>
      <c r="C53" s="21">
        <f xml:space="preserve"> MATCH(B53, 十五音韻母清單!$H$6:$H$105,0)</f>
        <v>84</v>
      </c>
      <c r="D53" s="100" cm="1">
        <f t="array" ref="D53" xml:space="preserve"> INDEX(十五音韻母清單!$B$6:$K$105, $C53, D$1)</f>
        <v>42</v>
      </c>
      <c r="F53" s="21">
        <v>49</v>
      </c>
      <c r="G53" s="101" t="str" cm="1">
        <f t="array" ref="G53" xml:space="preserve"> INDEX(十五音韻母清單!$B$6:$K$105, $C53, G$1)</f>
        <v>mh</v>
      </c>
      <c r="H53" s="101" t="str" cm="1">
        <f t="array" ref="H53" xml:space="preserve"> INDEX(十五音韻母清單!$B$6:$K$105, 韻母碼!$C53,韻母碼!H$1)</f>
        <v>m̩h</v>
      </c>
      <c r="I53" s="101" t="str" cm="1">
        <f t="array" ref="I53" xml:space="preserve"> INDEX(十五音韻母清單!$B$6:$K$105, 韻母碼!$C53,韻母碼!I$1)</f>
        <v>mh</v>
      </c>
      <c r="J53" s="101" t="str" cm="1">
        <f t="array" ref="J53" xml:space="preserve"> INDEX(十五音韻母清單!$B$6:$K$105, 韻母碼!$C53,韻母碼!J$1)</f>
        <v>mh</v>
      </c>
      <c r="K53" s="101" t="str" cm="1">
        <f t="array" ref="K53" xml:space="preserve"> INDEX(十五音韻母清單!$B$6:$K$105, 韻母碼!$C53,韻母碼!K$1)</f>
        <v>mh</v>
      </c>
      <c r="L53" s="101" t="str" cm="1">
        <f t="array" ref="L53" xml:space="preserve"> INDEX(十五音韻母清單!$B$6:$K$105, 韻母碼!$C53,韻母碼!L$1)</f>
        <v>ㆬㆷ</v>
      </c>
      <c r="M53" s="100" t="str" cm="1">
        <f t="array" ref="M53" xml:space="preserve"> INDEX(十五音韻母清單!$B$6:$K$105, $C53, M$1)</f>
        <v>姆</v>
      </c>
      <c r="Q53" s="21">
        <v>49</v>
      </c>
      <c r="R53" s="96">
        <f t="shared" si="0"/>
        <v>25</v>
      </c>
      <c r="S53" s="96">
        <f t="shared" si="1"/>
        <v>1</v>
      </c>
      <c r="T53" s="96" t="str" cm="1">
        <f t="array" ref="T53">IF(S53=1,  INDEX('十五音-韻母'!$D$5:$E$54, $R53, 1), INDEX('十五音-韻母'!$D$5:$E$54, $R53, 2))</f>
        <v>ue</v>
      </c>
      <c r="U53" s="96">
        <f t="shared" si="2"/>
        <v>63</v>
      </c>
    </row>
    <row r="54" spans="2:21" ht="27">
      <c r="B54" s="136" t="s">
        <v>79</v>
      </c>
      <c r="C54" s="21">
        <f xml:space="preserve"> MATCH(B54, 十五音韻母清單!$H$6:$H$105,0)</f>
        <v>75</v>
      </c>
      <c r="D54" s="21" cm="1">
        <f t="array" ref="D54" xml:space="preserve"> INDEX(十五音韻母清單!$B$6:$K$105, $C54, D$1)</f>
        <v>38</v>
      </c>
      <c r="F54" s="21">
        <v>50</v>
      </c>
      <c r="G54" s="23" t="str" cm="1">
        <f t="array" ref="G54" xml:space="preserve"> INDEX(十五音韻母清單!$B$6:$K$105, $C54, G$1)</f>
        <v>ng</v>
      </c>
      <c r="H54" s="23" t="str" cm="1">
        <f t="array" ref="H54" xml:space="preserve"> INDEX(十五音韻母清單!$B$6:$K$105, 韻母碼!$C54,韻母碼!H$1)</f>
        <v>ŋ̍</v>
      </c>
      <c r="I54" s="23" t="str" cm="1">
        <f t="array" ref="I54" xml:space="preserve"> INDEX(十五音韻母清單!$B$6:$K$105, 韻母碼!$C54,韻母碼!I$1)</f>
        <v>ng</v>
      </c>
      <c r="J54" s="23" t="str" cm="1">
        <f t="array" ref="J54" xml:space="preserve"> INDEX(十五音韻母清單!$B$6:$K$105, 韻母碼!$C54,韻母碼!J$1)</f>
        <v>ng</v>
      </c>
      <c r="K54" s="23" t="str" cm="1">
        <f t="array" ref="K54" xml:space="preserve"> INDEX(十五音韻母清單!$B$6:$K$105, 韻母碼!$C54,韻母碼!K$1)</f>
        <v>ng</v>
      </c>
      <c r="L54" s="23" t="str" cm="1">
        <f t="array" ref="L54" xml:space="preserve"> INDEX(十五音韻母清單!$B$6:$K$105, 韻母碼!$C54,韻母碼!L$1)</f>
        <v>ㆭ</v>
      </c>
      <c r="M54" s="21" t="str" cm="1">
        <f t="array" ref="M54" xml:space="preserve"> INDEX(十五音韻母清單!$B$6:$K$105, $C54, M$1)</f>
        <v>鋼</v>
      </c>
      <c r="Q54" s="21">
        <v>50</v>
      </c>
      <c r="R54" s="96">
        <f t="shared" si="0"/>
        <v>25</v>
      </c>
      <c r="S54" s="96">
        <f t="shared" si="1"/>
        <v>0</v>
      </c>
      <c r="T54" s="96" t="str" cm="1">
        <f t="array" ref="T54">IF(S54=1,  INDEX('十五音-韻母'!$D$5:$E$54, $R54, 1), INDEX('十五音-韻母'!$D$5:$E$54, $R54, 2))</f>
        <v>ueh</v>
      </c>
      <c r="U54" s="96">
        <f t="shared" si="2"/>
        <v>64</v>
      </c>
    </row>
    <row r="55" spans="2:21" ht="27">
      <c r="B55" s="136" t="s">
        <v>545</v>
      </c>
      <c r="C55" s="21">
        <f xml:space="preserve"> MATCH(B55, 十五音韻母清單!$H$6:$H$105,0)</f>
        <v>76</v>
      </c>
      <c r="D55" s="100" cm="1">
        <f t="array" ref="D55" xml:space="preserve"> INDEX(十五音韻母清單!$B$6:$K$105, $C55, D$1)</f>
        <v>38</v>
      </c>
      <c r="F55" s="21">
        <v>51</v>
      </c>
      <c r="G55" s="101" t="str" cm="1">
        <f t="array" ref="G55" xml:space="preserve"> INDEX(十五音韻母清單!$B$6:$K$105, $C55, G$1)</f>
        <v>ngh</v>
      </c>
      <c r="H55" s="101" t="str" cm="1">
        <f t="array" ref="H55" xml:space="preserve"> INDEX(十五音韻母清單!$B$6:$K$105, 韻母碼!$C55,韻母碼!H$1)</f>
        <v>ŋ̍h</v>
      </c>
      <c r="I55" s="101" t="str" cm="1">
        <f t="array" ref="I55" xml:space="preserve"> INDEX(十五音韻母清單!$B$6:$K$105, 韻母碼!$C55,韻母碼!I$1)</f>
        <v>ngh</v>
      </c>
      <c r="J55" s="101" t="str" cm="1">
        <f t="array" ref="J55" xml:space="preserve"> INDEX(十五音韻母清單!$B$6:$K$105, 韻母碼!$C55,韻母碼!J$1)</f>
        <v>ngh</v>
      </c>
      <c r="K55" s="101" t="str" cm="1">
        <f t="array" ref="K55" xml:space="preserve"> INDEX(十五音韻母清單!$B$6:$K$105, 韻母碼!$C55,韻母碼!K$1)</f>
        <v>ngh</v>
      </c>
      <c r="L55" s="101" t="str" cm="1">
        <f t="array" ref="L55" xml:space="preserve"> INDEX(十五音韻母清單!$B$6:$K$105, 韻母碼!$C55,韻母碼!L$1)</f>
        <v>ㆭㆷ</v>
      </c>
      <c r="M55" s="100" t="str" cm="1">
        <f t="array" ref="M55" xml:space="preserve"> INDEX(十五音韻母清單!$B$6:$K$105, $C55, M$1)</f>
        <v>鋼</v>
      </c>
      <c r="Q55" s="21">
        <v>51</v>
      </c>
      <c r="R55" s="96">
        <f t="shared" si="0"/>
        <v>26</v>
      </c>
      <c r="S55" s="96">
        <f t="shared" si="1"/>
        <v>1</v>
      </c>
      <c r="T55" s="96" t="str" cm="1">
        <f t="array" ref="T55">IF(S55=1,  INDEX('十五音-韻母'!$D$5:$E$54, $R55, 1), INDEX('十五音-韻母'!$D$5:$E$54, $R55, 2))</f>
        <v>ann</v>
      </c>
      <c r="U55" s="96">
        <f t="shared" si="2"/>
        <v>2</v>
      </c>
    </row>
    <row r="56" spans="2:21" ht="27">
      <c r="B56" s="136" t="s">
        <v>299</v>
      </c>
      <c r="C56" s="21">
        <f xml:space="preserve"> MATCH(B56, 十五音韻母清單!$H$6:$H$105,0)</f>
        <v>29</v>
      </c>
      <c r="D56" s="21" cm="1">
        <f t="array" ref="D56" xml:space="preserve"> INDEX(十五音韻母清單!$B$6:$K$105, $C56, D$1)</f>
        <v>15</v>
      </c>
      <c r="F56" s="21">
        <v>52</v>
      </c>
      <c r="G56" s="23" t="str" cm="1">
        <f t="array" ref="G56" xml:space="preserve"> INDEX(十五音韻母清單!$B$6:$K$105, $C56, G$1)</f>
        <v>o</v>
      </c>
      <c r="H56" s="23" t="str" cm="1">
        <f t="array" ref="H56" xml:space="preserve"> INDEX(十五音韻母清單!$B$6:$K$105, 韻母碼!$C56,韻母碼!H$1)</f>
        <v>o</v>
      </c>
      <c r="I56" s="23" t="str" cm="1">
        <f t="array" ref="I56" xml:space="preserve"> INDEX(十五音韻母清單!$B$6:$K$105, 韻母碼!$C56,韻母碼!I$1)</f>
        <v>o</v>
      </c>
      <c r="J56" s="23" t="str" cm="1">
        <f t="array" ref="J56" xml:space="preserve"> INDEX(十五音韻母清單!$B$6:$K$105, 韻母碼!$C56,韻母碼!J$1)</f>
        <v>o</v>
      </c>
      <c r="K56" s="23" t="str" cm="1">
        <f t="array" ref="K56" xml:space="preserve"> INDEX(十五音韻母清單!$B$6:$K$105, 韻母碼!$C56,韻母碼!K$1)</f>
        <v>o</v>
      </c>
      <c r="L56" s="23" t="str" cm="1">
        <f t="array" ref="L56" xml:space="preserve"> INDEX(十五音韻母清單!$B$6:$K$105, 韻母碼!$C56,韻母碼!L$1)</f>
        <v>ㄜ</v>
      </c>
      <c r="M56" s="21" t="str" cm="1">
        <f t="array" ref="M56" xml:space="preserve"> INDEX(十五音韻母清單!$B$6:$K$105, $C56, M$1)</f>
        <v>高</v>
      </c>
      <c r="Q56" s="21">
        <v>52</v>
      </c>
      <c r="R56" s="96">
        <f t="shared" si="0"/>
        <v>26</v>
      </c>
      <c r="S56" s="96">
        <f t="shared" si="1"/>
        <v>0</v>
      </c>
      <c r="T56" s="96" t="str" cm="1">
        <f t="array" ref="T56">IF(S56=1,  INDEX('十五音-韻母'!$D$5:$E$54, $R56, 1), INDEX('十五音-韻母'!$D$5:$E$54, $R56, 2))</f>
        <v>annh</v>
      </c>
      <c r="U56" s="96">
        <f t="shared" si="2"/>
        <v>4</v>
      </c>
    </row>
    <row r="57" spans="2:21" ht="27">
      <c r="B57" s="136" t="s">
        <v>577</v>
      </c>
      <c r="C57" s="21">
        <f xml:space="preserve"> MATCH(B57, 十五音韻母清單!$H$6:$H$105,0)</f>
        <v>81</v>
      </c>
      <c r="D57" s="21" cm="1">
        <f t="array" ref="D57" xml:space="preserve"> INDEX(十五音韻母清單!$B$6:$K$105, $C57, D$1)</f>
        <v>41</v>
      </c>
      <c r="F57" s="21">
        <v>53</v>
      </c>
      <c r="G57" s="23" t="str" cm="1">
        <f t="array" ref="G57" xml:space="preserve"> INDEX(十五音韻母清單!$B$6:$K$105, $C57, G$1)</f>
        <v>onn</v>
      </c>
      <c r="H57" s="23" t="str" cm="1">
        <f t="array" ref="H57" xml:space="preserve"> INDEX(十五音韻母清單!$B$6:$K$105, 韻母碼!$C57,韻母碼!H$1)</f>
        <v>ɔ̃</v>
      </c>
      <c r="I57" s="23" t="str" cm="1">
        <f t="array" ref="I57" xml:space="preserve"> INDEX(十五音韻母清單!$B$6:$K$105, 韻母碼!$C57,韻母碼!I$1)</f>
        <v>oⁿ</v>
      </c>
      <c r="J57" s="23" t="str" cm="1">
        <f t="array" ref="J57" xml:space="preserve"> INDEX(十五音韻母清單!$B$6:$K$105, 韻母碼!$C57,韻母碼!J$1)</f>
        <v>noo</v>
      </c>
      <c r="K57" s="23" t="str" cm="1">
        <f t="array" ref="K57" xml:space="preserve"> INDEX(十五音韻母清單!$B$6:$K$105, 韻母碼!$C57,韻母碼!K$1)</f>
        <v>onn</v>
      </c>
      <c r="L57" s="23" t="str" cm="1">
        <f t="array" ref="L57" xml:space="preserve"> INDEX(十五音韻母清單!$B$6:$K$105, 韻母碼!$C57,韻母碼!L$1)</f>
        <v>ㆧ</v>
      </c>
      <c r="M57" s="21" t="str" cm="1">
        <f t="array" ref="M57" xml:space="preserve"> INDEX(十五音韻母清單!$B$6:$K$105, $C57, M$1)</f>
        <v>姑</v>
      </c>
      <c r="Q57" s="21">
        <v>53</v>
      </c>
      <c r="R57" s="96">
        <f t="shared" si="0"/>
        <v>27</v>
      </c>
      <c r="S57" s="96">
        <f t="shared" si="1"/>
        <v>1</v>
      </c>
      <c r="T57" s="96" t="str" cm="1">
        <f t="array" ref="T57">IF(S57=1,  INDEX('十五音-韻母'!$D$5:$E$54, $R57, 1), INDEX('十五音-韻母'!$D$5:$E$54, $R57, 2))</f>
        <v>u</v>
      </c>
      <c r="U57" s="96">
        <f t="shared" si="2"/>
        <v>70</v>
      </c>
    </row>
    <row r="58" spans="2:21" ht="27">
      <c r="B58" s="136" t="s">
        <v>256</v>
      </c>
      <c r="C58" s="21">
        <f xml:space="preserve"> MATCH(B58, 十五音韻母清單!$H$6:$H$105,0)</f>
        <v>21</v>
      </c>
      <c r="D58" s="21" cm="1">
        <f t="array" ref="D58" xml:space="preserve"> INDEX(十五音韻母清單!$B$6:$K$105, $C58, D$1)</f>
        <v>11</v>
      </c>
      <c r="F58" s="21">
        <v>54</v>
      </c>
      <c r="G58" s="23" t="str" cm="1">
        <f t="array" ref="G58" xml:space="preserve"> INDEX(十五音韻母清單!$B$6:$K$105, $C58, G$1)</f>
        <v>oo</v>
      </c>
      <c r="H58" s="23" t="str" cm="1">
        <f t="array" ref="H58" xml:space="preserve"> INDEX(十五音韻母清單!$B$6:$K$105, 韻母碼!$C58,韻母碼!H$1)</f>
        <v>ɔ</v>
      </c>
      <c r="I58" s="23" t="str" cm="1">
        <f t="array" ref="I58" xml:space="preserve"> INDEX(十五音韻母清單!$B$6:$K$105, 韻母碼!$C58,韻母碼!I$1)</f>
        <v>o͘</v>
      </c>
      <c r="J58" s="23" t="str" cm="1">
        <f t="array" ref="J58" xml:space="preserve"> INDEX(十五音韻母清單!$B$6:$K$105, 韻母碼!$C58,韻母碼!J$1)</f>
        <v>oo</v>
      </c>
      <c r="K58" s="23" t="str" cm="1">
        <f t="array" ref="K58" xml:space="preserve"> INDEX(十五音韻母清單!$B$6:$K$105, 韻母碼!$C58,韻母碼!K$1)</f>
        <v>oo</v>
      </c>
      <c r="L58" s="23" t="str" cm="1">
        <f t="array" ref="L58" xml:space="preserve"> INDEX(十五音韻母清單!$B$6:$K$105, 韻母碼!$C58,韻母碼!L$1)</f>
        <v>ㆦ</v>
      </c>
      <c r="M58" s="21" t="str" cm="1">
        <f t="array" ref="M58" xml:space="preserve"> INDEX(十五音韻母清單!$B$6:$K$105, $C58, M$1)</f>
        <v>沽</v>
      </c>
      <c r="Q58" s="21">
        <v>54</v>
      </c>
      <c r="R58" s="96">
        <f t="shared" si="0"/>
        <v>27</v>
      </c>
      <c r="S58" s="96">
        <f t="shared" si="1"/>
        <v>0</v>
      </c>
      <c r="T58" s="96" t="str" cm="1">
        <f t="array" ref="T58">IF(S58=1,  INDEX('十五音-韻母'!$D$5:$E$54, $R58, 1), INDEX('十五音-韻母'!$D$5:$E$54, $R58, 2))</f>
        <v>uh</v>
      </c>
      <c r="U58" s="96">
        <f t="shared" si="2"/>
        <v>71</v>
      </c>
    </row>
    <row r="59" spans="2:21" ht="27">
      <c r="B59" s="136" t="s">
        <v>343</v>
      </c>
      <c r="C59" s="21">
        <f xml:space="preserve"> MATCH(B59, 十五音韻母清單!$H$6:$H$105,0)</f>
        <v>39</v>
      </c>
      <c r="D59" s="21" cm="1">
        <f t="array" ref="D59" xml:space="preserve"> INDEX(十五音韻母清單!$B$6:$K$105, $C59, D$1)</f>
        <v>20</v>
      </c>
      <c r="F59" s="21">
        <v>55</v>
      </c>
      <c r="G59" s="23" t="str" cm="1">
        <f t="array" ref="G59" xml:space="preserve"> INDEX(十五音韻母清單!$B$6:$K$105, $C59, G$1)</f>
        <v>ua</v>
      </c>
      <c r="H59" s="23" t="str" cm="1">
        <f t="array" ref="H59" xml:space="preserve"> INDEX(十五音韻母清單!$B$6:$K$105, 韻母碼!$C59,韻母碼!H$1)</f>
        <v>ua</v>
      </c>
      <c r="I59" s="23" t="str" cm="1">
        <f t="array" ref="I59" xml:space="preserve"> INDEX(十五音韻母清單!$B$6:$K$105, 韻母碼!$C59,韻母碼!I$1)</f>
        <v>oa</v>
      </c>
      <c r="J59" s="23" t="str" cm="1">
        <f t="array" ref="J59" xml:space="preserve"> INDEX(十五音韻母清單!$B$6:$K$105, 韻母碼!$C59,韻母碼!J$1)</f>
        <v>ua</v>
      </c>
      <c r="K59" s="23" t="str" cm="1">
        <f t="array" ref="K59" xml:space="preserve"> INDEX(十五音韻母清單!$B$6:$K$105, 韻母碼!$C59,韻母碼!K$1)</f>
        <v>ua</v>
      </c>
      <c r="L59" s="23" t="str" cm="1">
        <f t="array" ref="L59" xml:space="preserve"> INDEX(十五音韻母清單!$B$6:$K$105, 韻母碼!$C59,韻母碼!L$1)</f>
        <v>ㄨㄚ</v>
      </c>
      <c r="M59" s="21" t="str" cm="1">
        <f t="array" ref="M59" xml:space="preserve"> INDEX(十五音韻母清單!$B$6:$K$105, $C59, M$1)</f>
        <v>瓜</v>
      </c>
      <c r="Q59" s="21">
        <v>55</v>
      </c>
      <c r="R59" s="96">
        <f t="shared" si="0"/>
        <v>28</v>
      </c>
      <c r="S59" s="96">
        <f t="shared" si="1"/>
        <v>1</v>
      </c>
      <c r="T59" s="96" t="str" cm="1">
        <f t="array" ref="T59">IF(S59=1,  INDEX('十五音-韻母'!$D$5:$E$54, $R59, 1), INDEX('十五音-韻母'!$D$5:$E$54, $R59, 2))</f>
        <v>a</v>
      </c>
      <c r="U59" s="96">
        <f t="shared" si="2"/>
        <v>1</v>
      </c>
    </row>
    <row r="60" spans="2:21" ht="27">
      <c r="B60" s="136" t="s">
        <v>536</v>
      </c>
      <c r="C60" s="21">
        <f xml:space="preserve"> MATCH(B60, 十五音韻母清單!$H$6:$H$105,0)</f>
        <v>73</v>
      </c>
      <c r="D60" s="21" cm="1">
        <f t="array" ref="D60" xml:space="preserve"> INDEX(十五音韻母清單!$B$6:$K$105, $C60, D$1)</f>
        <v>37</v>
      </c>
      <c r="F60" s="21">
        <v>56</v>
      </c>
      <c r="G60" s="23" t="str" cm="1">
        <f t="array" ref="G60" xml:space="preserve"> INDEX(十五音韻母清單!$B$6:$K$105, $C60, G$1)</f>
        <v>uann</v>
      </c>
      <c r="H60" s="23" t="str" cm="1">
        <f t="array" ref="H60" xml:space="preserve"> INDEX(十五音韻母清單!$B$6:$K$105, 韻母碼!$C60,韻母碼!H$1)</f>
        <v>ũã</v>
      </c>
      <c r="I60" s="23" t="str" cm="1">
        <f t="array" ref="I60" xml:space="preserve"> INDEX(十五音韻母清單!$B$6:$K$105, 韻母碼!$C60,韻母碼!I$1)</f>
        <v>oaⁿ</v>
      </c>
      <c r="J60" s="23" t="str" cm="1">
        <f t="array" ref="J60" xml:space="preserve"> INDEX(十五音韻母清單!$B$6:$K$105, 韻母碼!$C60,韻母碼!J$1)</f>
        <v>nua</v>
      </c>
      <c r="K60" s="23" t="str" cm="1">
        <f t="array" ref="K60" xml:space="preserve"> INDEX(十五音韻母清單!$B$6:$K$105, 韻母碼!$C60,韻母碼!K$1)</f>
        <v>uann</v>
      </c>
      <c r="L60" s="23" t="str" cm="1">
        <f t="array" ref="L60" xml:space="preserve"> INDEX(十五音韻母清單!$B$6:$K$105, 韻母碼!$C60,韻母碼!L$1)</f>
        <v>ㄨㆩ</v>
      </c>
      <c r="M60" s="21" t="str" cm="1">
        <f t="array" ref="M60" xml:space="preserve"> INDEX(十五音韻母清單!$B$6:$K$105, $C60, M$1)</f>
        <v>官</v>
      </c>
      <c r="Q60" s="21">
        <v>56</v>
      </c>
      <c r="R60" s="96">
        <f t="shared" si="0"/>
        <v>28</v>
      </c>
      <c r="S60" s="96">
        <f t="shared" si="1"/>
        <v>0</v>
      </c>
      <c r="T60" s="96" t="str" cm="1">
        <f t="array" ref="T60">IF(S60=1,  INDEX('十五音-韻母'!$D$5:$E$54, $R60, 1), INDEX('十五音-韻母'!$D$5:$E$54, $R60, 2))</f>
        <v>ah</v>
      </c>
      <c r="U60" s="96">
        <f t="shared" si="2"/>
        <v>3</v>
      </c>
    </row>
    <row r="61" spans="2:21" ht="27">
      <c r="B61" s="136" t="s">
        <v>344</v>
      </c>
      <c r="C61" s="21">
        <f xml:space="preserve"> MATCH(B61, 十五音韻母清單!$H$6:$H$105,0)</f>
        <v>40</v>
      </c>
      <c r="D61" s="21" cm="1">
        <f t="array" ref="D61" xml:space="preserve"> INDEX(十五音韻母清單!$B$6:$K$105, $C61, D$1)</f>
        <v>20</v>
      </c>
      <c r="F61" s="21">
        <v>57</v>
      </c>
      <c r="G61" s="23" t="str" cm="1">
        <f t="array" ref="G61" xml:space="preserve"> INDEX(十五音韻母清單!$B$6:$K$105, $C61, G$1)</f>
        <v>uah</v>
      </c>
      <c r="H61" s="23" t="str" cm="1">
        <f t="array" ref="H61" xml:space="preserve"> INDEX(十五音韻母清單!$B$6:$K$105, 韻母碼!$C61,韻母碼!H$1)</f>
        <v>ua?</v>
      </c>
      <c r="I61" s="23" t="str" cm="1">
        <f t="array" ref="I61" xml:space="preserve"> INDEX(十五音韻母清單!$B$6:$K$105, 韻母碼!$C61,韻母碼!I$1)</f>
        <v>oah</v>
      </c>
      <c r="J61" s="23" t="str" cm="1">
        <f t="array" ref="J61" xml:space="preserve"> INDEX(十五音韻母清單!$B$6:$K$105, 韻母碼!$C61,韻母碼!J$1)</f>
        <v>uah</v>
      </c>
      <c r="K61" s="23" t="str" cm="1">
        <f t="array" ref="K61" xml:space="preserve"> INDEX(十五音韻母清單!$B$6:$K$105, 韻母碼!$C61,韻母碼!K$1)</f>
        <v>uah</v>
      </c>
      <c r="L61" s="23" t="str" cm="1">
        <f t="array" ref="L61" xml:space="preserve"> INDEX(十五音韻母清單!$B$6:$K$105, 韻母碼!$C61,韻母碼!L$1)</f>
        <v>ㄨㄚㆷ</v>
      </c>
      <c r="M61" s="21" t="str" cm="1">
        <f t="array" ref="M61" xml:space="preserve"> INDEX(十五音韻母清單!$B$6:$K$105, $C61, M$1)</f>
        <v>瓜</v>
      </c>
      <c r="Q61" s="21">
        <v>57</v>
      </c>
      <c r="R61" s="96">
        <f t="shared" si="0"/>
        <v>29</v>
      </c>
      <c r="S61" s="96">
        <f t="shared" si="1"/>
        <v>1</v>
      </c>
      <c r="T61" s="96" t="str" cm="1">
        <f t="array" ref="T61">IF(S61=1,  INDEX('十五音-韻母'!$D$5:$E$54, $R61, 1), INDEX('十五音-韻母'!$D$5:$E$54, $R61, 2))</f>
        <v>i</v>
      </c>
      <c r="U61" s="96">
        <f t="shared" si="2"/>
        <v>21</v>
      </c>
    </row>
    <row r="62" spans="2:21" ht="27">
      <c r="B62" s="136" t="s">
        <v>223</v>
      </c>
      <c r="C62" s="21">
        <f xml:space="preserve"> MATCH(B62, 十五音韻母清單!$H$6:$H$105,0)</f>
        <v>15</v>
      </c>
      <c r="D62" s="21" cm="1">
        <f t="array" ref="D62" xml:space="preserve"> INDEX(十五音韻母清單!$B$6:$K$105, $C62, D$1)</f>
        <v>8</v>
      </c>
      <c r="F62" s="21">
        <v>58</v>
      </c>
      <c r="G62" s="23" t="str" cm="1">
        <f t="array" ref="G62" xml:space="preserve"> INDEX(十五音韻母清單!$B$6:$K$105, $C62, G$1)</f>
        <v>uai</v>
      </c>
      <c r="H62" s="23" t="str" cm="1">
        <f t="array" ref="H62" xml:space="preserve"> INDEX(十五音韻母清單!$B$6:$K$105, 韻母碼!$C62,韻母碼!H$1)</f>
        <v>uai</v>
      </c>
      <c r="I62" s="23" t="str" cm="1">
        <f t="array" ref="I62" xml:space="preserve"> INDEX(十五音韻母清單!$B$6:$K$105, 韻母碼!$C62,韻母碼!I$1)</f>
        <v>oai</v>
      </c>
      <c r="J62" s="23" t="str" cm="1">
        <f t="array" ref="J62" xml:space="preserve"> INDEX(十五音韻母清單!$B$6:$K$105, 韻母碼!$C62,韻母碼!J$1)</f>
        <v>uai</v>
      </c>
      <c r="K62" s="23" t="str" cm="1">
        <f t="array" ref="K62" xml:space="preserve"> INDEX(十五音韻母清單!$B$6:$K$105, 韻母碼!$C62,韻母碼!K$1)</f>
        <v>uai</v>
      </c>
      <c r="L62" s="23" t="str" cm="1">
        <f t="array" ref="L62" xml:space="preserve"> INDEX(十五音韻母清單!$B$6:$K$105, 韻母碼!$C62,韻母碼!L$1)</f>
        <v>ㄨㄞ</v>
      </c>
      <c r="M62" s="21" t="str" cm="1">
        <f t="array" ref="M62" xml:space="preserve"> INDEX(十五音韻母清單!$B$6:$K$105, $C62, M$1)</f>
        <v>乖</v>
      </c>
      <c r="Q62" s="21">
        <v>58</v>
      </c>
      <c r="R62" s="96">
        <f t="shared" si="0"/>
        <v>29</v>
      </c>
      <c r="S62" s="96">
        <f t="shared" si="1"/>
        <v>0</v>
      </c>
      <c r="T62" s="96" t="str" cm="1">
        <f t="array" ref="T62">IF(S62=1,  INDEX('十五音-韻母'!$D$5:$E$54, $R62, 1), INDEX('十五音-韻母'!$D$5:$E$54, $R62, 2))</f>
        <v>ih</v>
      </c>
      <c r="U62" s="96">
        <f t="shared" si="2"/>
        <v>36</v>
      </c>
    </row>
    <row r="63" spans="2:21" ht="27">
      <c r="B63" s="136" t="s">
        <v>614</v>
      </c>
      <c r="C63" s="21">
        <f xml:space="preserve"> MATCH(B63, 十五音韻母清單!$H$6:$H$105,0)</f>
        <v>87</v>
      </c>
      <c r="D63" s="21" cm="1">
        <f t="array" ref="D63" xml:space="preserve"> INDEX(十五音韻母清單!$B$6:$K$105, $C63, D$1)</f>
        <v>44</v>
      </c>
      <c r="F63" s="21">
        <v>59</v>
      </c>
      <c r="G63" s="23" t="str" cm="1">
        <f t="array" ref="G63" xml:space="preserve"> INDEX(十五音韻母清單!$B$6:$K$105, $C63, G$1)</f>
        <v>uainn</v>
      </c>
      <c r="H63" s="23" t="str" cm="1">
        <f t="array" ref="H63" xml:space="preserve"> INDEX(十五音韻母清單!$B$6:$K$105, 韻母碼!$C63,韻母碼!H$1)</f>
        <v>ũãĩ</v>
      </c>
      <c r="I63" s="23" t="str" cm="1">
        <f t="array" ref="I63" xml:space="preserve"> INDEX(十五音韻母清單!$B$6:$K$105, 韻母碼!$C63,韻母碼!I$1)</f>
        <v>oaiⁿ</v>
      </c>
      <c r="J63" s="23" t="str" cm="1">
        <f t="array" ref="J63" xml:space="preserve"> INDEX(十五音韻母清單!$B$6:$K$105, 韻母碼!$C63,韻母碼!J$1)</f>
        <v>nuai</v>
      </c>
      <c r="K63" s="23" t="str" cm="1">
        <f t="array" ref="K63" xml:space="preserve"> INDEX(十五音韻母清單!$B$6:$K$105, 韻母碼!$C63,韻母碼!K$1)</f>
        <v>uainn</v>
      </c>
      <c r="L63" s="23" t="str" cm="1">
        <f t="array" ref="L63" xml:space="preserve"> INDEX(十五音韻母清單!$B$6:$K$105, 韻母碼!$C63,韻母碼!L$1)</f>
        <v>ㄨㆮ</v>
      </c>
      <c r="M63" s="21" t="str" cm="1">
        <f t="array" ref="M63" xml:space="preserve"> INDEX(十五音韻母清單!$B$6:$K$105, $C63, M$1)</f>
        <v>閂</v>
      </c>
      <c r="Q63" s="21">
        <v>59</v>
      </c>
      <c r="R63" s="96">
        <f t="shared" si="0"/>
        <v>30</v>
      </c>
      <c r="S63" s="96">
        <f t="shared" si="1"/>
        <v>1</v>
      </c>
      <c r="T63" s="96" t="str" cm="1">
        <f t="array" ref="T63">IF(S63=1,  INDEX('十五音-韻母'!$D$5:$E$54, $R63, 1), INDEX('十五音-韻母'!$D$5:$E$54, $R63, 2))</f>
        <v>iu</v>
      </c>
      <c r="U63" s="96">
        <f t="shared" si="2"/>
        <v>45</v>
      </c>
    </row>
    <row r="64" spans="2:21" ht="27">
      <c r="B64" s="136" t="s">
        <v>244</v>
      </c>
      <c r="C64" s="21">
        <f xml:space="preserve"> MATCH(B64, 十五音韻母清單!$H$6:$H$105,0)</f>
        <v>19</v>
      </c>
      <c r="D64" s="100" cm="1">
        <f t="array" ref="D64" xml:space="preserve"> INDEX(十五音韻母清單!$B$6:$K$105, $C64, D$1)</f>
        <v>10</v>
      </c>
      <c r="F64" s="21">
        <v>60</v>
      </c>
      <c r="G64" s="101" t="str" cm="1">
        <f t="array" ref="G64" xml:space="preserve"> INDEX(十五音韻母清單!$B$6:$K$105, $C64, G$1)</f>
        <v>uan</v>
      </c>
      <c r="H64" s="101" t="str" cm="1">
        <f t="array" ref="H64" xml:space="preserve"> INDEX(十五音韻母清單!$B$6:$K$105, 韻母碼!$C64,韻母碼!H$1)</f>
        <v>uan</v>
      </c>
      <c r="I64" s="101" t="str" cm="1">
        <f t="array" ref="I64" xml:space="preserve"> INDEX(十五音韻母清單!$B$6:$K$105, 韻母碼!$C64,韻母碼!I$1)</f>
        <v>oan</v>
      </c>
      <c r="J64" s="101" t="str" cm="1">
        <f t="array" ref="J64" xml:space="preserve"> INDEX(十五音韻母清單!$B$6:$K$105, 韻母碼!$C64,韻母碼!J$1)</f>
        <v>uan</v>
      </c>
      <c r="K64" s="101" t="str" cm="1">
        <f t="array" ref="K64" xml:space="preserve"> INDEX(十五音韻母清單!$B$6:$K$105, 韻母碼!$C64,韻母碼!K$1)</f>
        <v>uan</v>
      </c>
      <c r="L64" s="101" t="str" cm="1">
        <f t="array" ref="L64" xml:space="preserve"> INDEX(十五音韻母清單!$B$6:$K$105, 韻母碼!$C64,韻母碼!L$1)</f>
        <v>ㄨㄢ</v>
      </c>
      <c r="M64" s="100" t="str" cm="1">
        <f t="array" ref="M64" xml:space="preserve"> INDEX(十五音韻母清單!$B$6:$K$105, $C64, M$1)</f>
        <v>觀</v>
      </c>
      <c r="Q64" s="21">
        <v>60</v>
      </c>
      <c r="R64" s="96">
        <f t="shared" si="0"/>
        <v>30</v>
      </c>
      <c r="S64" s="96">
        <f t="shared" si="1"/>
        <v>0</v>
      </c>
      <c r="T64" s="96" t="str" cm="1">
        <f t="array" ref="T64">IF(S64=1,  INDEX('十五音-韻母'!$D$5:$E$54, $R64, 1), INDEX('十五音-韻母'!$D$5:$E$54, $R64, 2))</f>
        <v>iuh</v>
      </c>
      <c r="U64" s="96">
        <f t="shared" si="2"/>
        <v>0</v>
      </c>
    </row>
    <row r="65" spans="2:21" ht="27">
      <c r="B65" s="136" t="s">
        <v>602</v>
      </c>
      <c r="C65" s="21">
        <f xml:space="preserve"> MATCH(B65, 十五音韻母清單!$H$6:$H$105,0)</f>
        <v>85</v>
      </c>
      <c r="D65" s="21" cm="1">
        <f t="array" ref="D65" xml:space="preserve"> INDEX(十五音韻母清單!$B$6:$K$105, $C65, D$1)</f>
        <v>43</v>
      </c>
      <c r="F65" s="21">
        <v>61</v>
      </c>
      <c r="G65" s="23" t="str" cm="1">
        <f t="array" ref="G65" xml:space="preserve"> INDEX(十五音韻母清單!$B$6:$K$105, $C65, G$1)</f>
        <v>uang</v>
      </c>
      <c r="H65" s="23" t="str" cm="1">
        <f t="array" ref="H65" xml:space="preserve"> INDEX(十五音韻母清單!$B$6:$K$105, 韻母碼!$C65,韻母碼!H$1)</f>
        <v>uaŋ</v>
      </c>
      <c r="I65" s="23" t="str" cm="1">
        <f t="array" ref="I65" xml:space="preserve"> INDEX(十五音韻母清單!$B$6:$K$105, 韻母碼!$C65,韻母碼!I$1)</f>
        <v>oang</v>
      </c>
      <c r="J65" s="23" t="str" cm="1">
        <f t="array" ref="J65" xml:space="preserve"> INDEX(十五音韻母清單!$B$6:$K$105, 韻母碼!$C65,韻母碼!J$1)</f>
        <v>uang</v>
      </c>
      <c r="K65" s="23" t="str" cm="1">
        <f t="array" ref="K65" xml:space="preserve"> INDEX(十五音韻母清單!$B$6:$K$105, 韻母碼!$C65,韻母碼!K$1)</f>
        <v>uang</v>
      </c>
      <c r="L65" s="23" t="str" cm="1">
        <f t="array" ref="L65" xml:space="preserve"> INDEX(十五音韻母清單!$B$6:$K$105, 韻母碼!$C65,韻母碼!L$1)</f>
        <v>ㄨㄤ</v>
      </c>
      <c r="M65" s="21" t="str" cm="1">
        <f t="array" ref="M65" xml:space="preserve"> INDEX(十五音韻母清單!$B$6:$K$105, $C65, M$1)</f>
        <v>光</v>
      </c>
      <c r="Q65" s="21">
        <v>61</v>
      </c>
      <c r="R65" s="96">
        <f t="shared" si="0"/>
        <v>31</v>
      </c>
      <c r="S65" s="96">
        <f t="shared" si="1"/>
        <v>1</v>
      </c>
      <c r="T65" s="96" t="str" cm="1">
        <f t="array" ref="T65">IF(S65=1,  INDEX('十五音-韻母'!$D$5:$E$54, $R65, 1), INDEX('十五音-韻母'!$D$5:$E$54, $R65, 2))</f>
        <v>enn</v>
      </c>
      <c r="U65" s="96">
        <f t="shared" si="2"/>
        <v>16</v>
      </c>
    </row>
    <row r="66" spans="2:21" ht="27">
      <c r="B66" s="136" t="s">
        <v>245</v>
      </c>
      <c r="C66" s="21">
        <f xml:space="preserve"> MATCH(B66, 十五音韻母清單!$H$6:$H$105,0)</f>
        <v>20</v>
      </c>
      <c r="D66" s="21" cm="1">
        <f t="array" ref="D66" xml:space="preserve"> INDEX(十五音韻母清單!$B$6:$K$105, $C66, D$1)</f>
        <v>10</v>
      </c>
      <c r="F66" s="21">
        <v>62</v>
      </c>
      <c r="G66" s="23" t="str" cm="1">
        <f t="array" ref="G66" xml:space="preserve"> INDEX(十五音韻母清單!$B$6:$K$105, $C66, G$1)</f>
        <v>uat</v>
      </c>
      <c r="H66" s="23" t="str" cm="1">
        <f t="array" ref="H66" xml:space="preserve"> INDEX(十五音韻母清單!$B$6:$K$105, 韻母碼!$C66,韻母碼!H$1)</f>
        <v>uat̚</v>
      </c>
      <c r="I66" s="23" t="str" cm="1">
        <f t="array" ref="I66" xml:space="preserve"> INDEX(十五音韻母清單!$B$6:$K$105, 韻母碼!$C66,韻母碼!I$1)</f>
        <v>oat</v>
      </c>
      <c r="J66" s="23" t="str" cm="1">
        <f t="array" ref="J66" xml:space="preserve"> INDEX(十五音韻母清單!$B$6:$K$105, 韻母碼!$C66,韻母碼!J$1)</f>
        <v>uat</v>
      </c>
      <c r="K66" s="23" t="str" cm="1">
        <f t="array" ref="K66" xml:space="preserve"> INDEX(十五音韻母清單!$B$6:$K$105, 韻母碼!$C66,韻母碼!K$1)</f>
        <v>uat</v>
      </c>
      <c r="L66" s="23" t="str" cm="1">
        <f t="array" ref="L66" xml:space="preserve"> INDEX(十五音韻母清單!$B$6:$K$105, 韻母碼!$C66,韻母碼!L$1)</f>
        <v>ㄨㄚㆵ</v>
      </c>
      <c r="M66" s="21" t="str" cm="1">
        <f t="array" ref="M66" xml:space="preserve"> INDEX(十五音韻母清單!$B$6:$K$105, $C66, M$1)</f>
        <v>觀</v>
      </c>
      <c r="Q66" s="21">
        <v>62</v>
      </c>
      <c r="R66" s="96">
        <f t="shared" si="0"/>
        <v>31</v>
      </c>
      <c r="S66" s="96">
        <f t="shared" si="1"/>
        <v>0</v>
      </c>
      <c r="T66" s="96" t="str" cm="1">
        <f t="array" ref="T66">IF(S66=1,  INDEX('十五音-韻母'!$D$5:$E$54, $R66, 1), INDEX('十五音-韻母'!$D$5:$E$54, $R66, 2))</f>
        <v>ennh</v>
      </c>
      <c r="U66" s="96">
        <f t="shared" si="2"/>
        <v>18</v>
      </c>
    </row>
    <row r="67" spans="2:21" ht="27">
      <c r="B67" s="136" t="s">
        <v>261</v>
      </c>
      <c r="C67" s="21">
        <f xml:space="preserve"> MATCH(B67, 十五音韻母清單!$H$6:$H$105,0)</f>
        <v>49</v>
      </c>
      <c r="D67" s="21" cm="1">
        <f t="array" ref="D67" xml:space="preserve"> INDEX(十五音韻母清單!$B$6:$K$105, $C67, D$1)</f>
        <v>25</v>
      </c>
      <c r="F67" s="21">
        <v>63</v>
      </c>
      <c r="G67" s="23" t="str" cm="1">
        <f t="array" ref="G67" xml:space="preserve"> INDEX(十五音韻母清單!$B$6:$K$105, $C67, G$1)</f>
        <v>ue</v>
      </c>
      <c r="H67" s="23" t="str" cm="1">
        <f t="array" ref="H67" xml:space="preserve"> INDEX(十五音韻母清單!$B$6:$K$105, 韻母碼!$C67,韻母碼!H$1)</f>
        <v>ue</v>
      </c>
      <c r="I67" s="23" t="str" cm="1">
        <f t="array" ref="I67" xml:space="preserve"> INDEX(十五音韻母清單!$B$6:$K$105, 韻母碼!$C67,韻母碼!I$1)</f>
        <v>oe</v>
      </c>
      <c r="J67" s="23" t="str" cm="1">
        <f t="array" ref="J67" xml:space="preserve"> INDEX(十五音韻母清單!$B$6:$K$105, 韻母碼!$C67,韻母碼!J$1)</f>
        <v>ue</v>
      </c>
      <c r="K67" s="23" t="str" cm="1">
        <f t="array" ref="K67" xml:space="preserve"> INDEX(十五音韻母清單!$B$6:$K$105, 韻母碼!$C67,韻母碼!K$1)</f>
        <v>ue</v>
      </c>
      <c r="L67" s="23" t="str" cm="1">
        <f t="array" ref="L67" xml:space="preserve"> INDEX(十五音韻母清單!$B$6:$K$105, 韻母碼!$C67,韻母碼!L$1)</f>
        <v>ㄨㆤ</v>
      </c>
      <c r="M67" s="21" t="str" cm="1">
        <f t="array" ref="M67" xml:space="preserve"> INDEX(十五音韻母清單!$B$6:$K$105, $C67, M$1)</f>
        <v>檜</v>
      </c>
      <c r="Q67" s="21">
        <v>63</v>
      </c>
      <c r="R67" s="96">
        <f t="shared" si="0"/>
        <v>32</v>
      </c>
      <c r="S67" s="96">
        <f t="shared" si="1"/>
        <v>1</v>
      </c>
      <c r="T67" s="96" t="str" cm="1">
        <f t="array" ref="T67">IF(S67=1,  INDEX('十五音-韻母'!$D$5:$E$54, $R67, 1), INDEX('十五音-韻母'!$D$5:$E$54, $R67, 2))</f>
        <v>uinn</v>
      </c>
      <c r="U67" s="96">
        <f t="shared" si="2"/>
        <v>0</v>
      </c>
    </row>
    <row r="68" spans="2:21" ht="27">
      <c r="B68" s="136" t="s">
        <v>392</v>
      </c>
      <c r="C68" s="21">
        <f xml:space="preserve"> MATCH(B68, 十五音韻母清單!$H$6:$H$105,0)</f>
        <v>50</v>
      </c>
      <c r="D68" s="21" cm="1">
        <f t="array" ref="D68" xml:space="preserve"> INDEX(十五音韻母清單!$B$6:$K$105, $C68, D$1)</f>
        <v>25</v>
      </c>
      <c r="F68" s="21">
        <v>64</v>
      </c>
      <c r="G68" s="23" t="str" cm="1">
        <f t="array" ref="G68" xml:space="preserve"> INDEX(十五音韻母清單!$B$6:$K$105, $C68, G$1)</f>
        <v>ueh</v>
      </c>
      <c r="H68" s="23" t="str" cm="1">
        <f t="array" ref="H68" xml:space="preserve"> INDEX(十五音韻母清單!$B$6:$K$105, 韻母碼!$C68,韻母碼!H$1)</f>
        <v>ue?</v>
      </c>
      <c r="I68" s="23" t="str" cm="1">
        <f t="array" ref="I68" xml:space="preserve"> INDEX(十五音韻母清單!$B$6:$K$105, 韻母碼!$C68,韻母碼!I$1)</f>
        <v>oeh</v>
      </c>
      <c r="J68" s="23" t="str" cm="1">
        <f t="array" ref="J68" xml:space="preserve"> INDEX(十五音韻母清單!$B$6:$K$105, 韻母碼!$C68,韻母碼!J$1)</f>
        <v>ueh</v>
      </c>
      <c r="K68" s="23" t="str" cm="1">
        <f t="array" ref="K68" xml:space="preserve"> INDEX(十五音韻母清單!$B$6:$K$105, 韻母碼!$C68,韻母碼!K$1)</f>
        <v>ueh</v>
      </c>
      <c r="L68" s="23" t="str" cm="1">
        <f t="array" ref="L68" xml:space="preserve"> INDEX(十五音韻母清單!$B$6:$K$105, 韻母碼!$C68,韻母碼!L$1)</f>
        <v>ㄨㆤㆷ</v>
      </c>
      <c r="M68" s="21" t="str" cm="1">
        <f t="array" ref="M68" xml:space="preserve"> INDEX(十五音韻母清單!$B$6:$K$105, $C68, M$1)</f>
        <v>檜</v>
      </c>
      <c r="Q68" s="21">
        <v>64</v>
      </c>
      <c r="R68" s="96">
        <f t="shared" si="0"/>
        <v>32</v>
      </c>
      <c r="S68" s="96">
        <f t="shared" si="1"/>
        <v>0</v>
      </c>
      <c r="T68" s="96" t="str" cm="1">
        <f t="array" ref="T68">IF(S68=1,  INDEX('十五音-韻母'!$D$5:$E$54, $R68, 1), INDEX('十五音-韻母'!$D$5:$E$54, $R68, 2))</f>
        <v>uinnh</v>
      </c>
      <c r="U68" s="96">
        <f t="shared" si="2"/>
        <v>0</v>
      </c>
    </row>
    <row r="69" spans="2:21" ht="27">
      <c r="B69" s="136" t="s">
        <v>300</v>
      </c>
      <c r="C69" s="21">
        <f xml:space="preserve"> MATCH(B69, 十五音韻母清單!$H$6:$H$105,0)</f>
        <v>30</v>
      </c>
      <c r="D69" s="21" cm="1">
        <f t="array" ref="D69" xml:space="preserve"> INDEX(十五音韻母清單!$B$6:$K$105, $C69, D$1)</f>
        <v>15</v>
      </c>
      <c r="F69" s="21">
        <v>65</v>
      </c>
      <c r="G69" s="23" t="str" cm="1">
        <f t="array" ref="G69" xml:space="preserve"> INDEX(十五音韻母清單!$B$6:$K$105, $C69, G$1)</f>
        <v>oh</v>
      </c>
      <c r="H69" s="23" t="str" cm="1">
        <f t="array" ref="H69" xml:space="preserve"> INDEX(十五音韻母清單!$B$6:$K$105, 韻母碼!$C69,韻母碼!H$1)</f>
        <v>ə?</v>
      </c>
      <c r="I69" s="23" t="str" cm="1">
        <f t="array" ref="I69" xml:space="preserve"> INDEX(十五音韻母清單!$B$6:$K$105, 韻母碼!$C69,韻母碼!I$1)</f>
        <v>oh</v>
      </c>
      <c r="J69" s="23" t="str" cm="1">
        <f t="array" ref="J69" xml:space="preserve"> INDEX(十五音韻母清單!$B$6:$K$105, 韻母碼!$C69,韻母碼!J$1)</f>
        <v>oh</v>
      </c>
      <c r="K69" s="23" t="str" cm="1">
        <f t="array" ref="K69" xml:space="preserve"> INDEX(十五音韻母清單!$B$6:$K$105, 韻母碼!$C69,韻母碼!K$1)</f>
        <v>oh</v>
      </c>
      <c r="L69" s="23" t="str" cm="1">
        <f t="array" ref="L69" xml:space="preserve"> INDEX(十五音韻母清單!$B$6:$K$105, 韻母碼!$C69,韻母碼!L$1)</f>
        <v>ㄜㆷ</v>
      </c>
      <c r="M69" s="21" t="str" cm="1">
        <f t="array" ref="M69" xml:space="preserve"> INDEX(十五音韻母清單!$B$6:$K$105, $C69, M$1)</f>
        <v>高</v>
      </c>
      <c r="Q69" s="21">
        <v>65</v>
      </c>
      <c r="R69" s="96">
        <f t="shared" si="0"/>
        <v>33</v>
      </c>
      <c r="S69" s="96">
        <f t="shared" si="1"/>
        <v>1</v>
      </c>
      <c r="T69" s="96" t="str" cm="1">
        <f t="array" ref="T69">IF(S69=1,  INDEX('十五音-韻母'!$D$5:$E$54, $R69, 1), INDEX('十五音-韻母'!$D$5:$E$54, $R69, 2))</f>
        <v>io</v>
      </c>
      <c r="U69" s="96">
        <f t="shared" si="2"/>
        <v>39</v>
      </c>
    </row>
    <row r="70" spans="2:21" ht="27">
      <c r="B70" s="136" t="s">
        <v>704</v>
      </c>
      <c r="C70" s="21">
        <f xml:space="preserve"> MATCH(B70, 十五音韻母清單!$H$6:$H$105,0)</f>
        <v>82</v>
      </c>
      <c r="D70" s="21" cm="1">
        <f t="array" ref="D70" xml:space="preserve"> INDEX(十五音韻母清單!$B$6:$K$105, $C70, D$1)</f>
        <v>41</v>
      </c>
      <c r="F70" s="21">
        <v>67</v>
      </c>
      <c r="G70" s="23" t="str" cm="1">
        <f t="array" ref="G70" xml:space="preserve"> INDEX(十五音韻母清單!$B$6:$K$105, $C70, G$1)</f>
        <v>onnh</v>
      </c>
      <c r="H70" s="23" t="str" cm="1">
        <f t="array" ref="H70" xml:space="preserve"> INDEX(十五音韻母清單!$B$6:$K$105, 韻母碼!$C70,韻母碼!H$1)</f>
        <v>ɔ̃?</v>
      </c>
      <c r="I70" s="23" t="str" cm="1">
        <f t="array" ref="I70" xml:space="preserve"> INDEX(十五音韻母清單!$B$6:$K$105, 韻母碼!$C70,韻母碼!I$1)</f>
        <v>ohⁿ</v>
      </c>
      <c r="J70" s="23" t="str" cm="1">
        <f t="array" ref="J70" xml:space="preserve"> INDEX(十五音韻母清單!$B$6:$K$105, 韻母碼!$C70,韻母碼!J$1)</f>
        <v>nooh</v>
      </c>
      <c r="K70" s="23" t="str" cm="1">
        <f t="array" ref="K70" xml:space="preserve"> INDEX(十五音韻母清單!$B$6:$K$105, 韻母碼!$C70,韻母碼!K$1)</f>
        <v>onnh</v>
      </c>
      <c r="L70" s="23" t="str" cm="1">
        <f t="array" ref="L70" xml:space="preserve"> INDEX(十五音韻母清單!$B$6:$K$105, 韻母碼!$C70,韻母碼!L$1)</f>
        <v>ㆧㆷ</v>
      </c>
      <c r="M70" s="21" t="str" cm="1">
        <f t="array" ref="M70" xml:space="preserve"> INDEX(十五音韻母清單!$B$6:$K$105, $C70, M$1)</f>
        <v>姑</v>
      </c>
      <c r="Q70" s="21">
        <v>67</v>
      </c>
      <c r="R70" s="96">
        <f t="shared" ref="R70:R103" si="3">ROUND($Q70/2, 0)</f>
        <v>34</v>
      </c>
      <c r="S70" s="96">
        <f t="shared" ref="S70:S103" si="4" xml:space="preserve"> MOD($Q70, 2)</f>
        <v>1</v>
      </c>
      <c r="T70" s="96" t="str" cm="1">
        <f t="array" ref="T70">IF(S70=1,  INDEX('十五音-韻母'!$D$5:$E$54, $R70, 1), INDEX('十五音-韻母'!$D$5:$E$54, $R70, 2))</f>
        <v>inn</v>
      </c>
      <c r="U70" s="96">
        <f t="shared" ref="U70:U103" si="5" xml:space="preserve"> IFERROR( MATCH(T70, $G$5:$G$78, 0), 0)</f>
        <v>22</v>
      </c>
    </row>
    <row r="71" spans="2:21" ht="27">
      <c r="B71" s="136" t="s">
        <v>212</v>
      </c>
      <c r="C71" s="21">
        <f xml:space="preserve"> MATCH(B71, 十五音韻母清單!$H$6:$H$105,0)</f>
        <v>14</v>
      </c>
      <c r="D71" s="21" cm="1">
        <f t="array" ref="D71" xml:space="preserve"> INDEX(十五音韻母清單!$B$6:$K$105, $C71, D$1)</f>
        <v>7</v>
      </c>
      <c r="F71" s="21">
        <v>68</v>
      </c>
      <c r="G71" s="23" t="str" cm="1">
        <f t="array" ref="G71" xml:space="preserve"> INDEX(十五音韻母清單!$B$6:$K$105, $C71, G$1)</f>
        <v>ok</v>
      </c>
      <c r="H71" s="23" t="str" cm="1">
        <f t="array" ref="H71" xml:space="preserve"> INDEX(十五音韻母清單!$B$6:$K$105, 韻母碼!$C71,韻母碼!H$1)</f>
        <v>ɔk̚</v>
      </c>
      <c r="I71" s="23" t="str" cm="1">
        <f t="array" ref="I71" xml:space="preserve"> INDEX(十五音韻母清單!$B$6:$K$105, 韻母碼!$C71,韻母碼!I$1)</f>
        <v>ok</v>
      </c>
      <c r="J71" s="23" t="str" cm="1">
        <f t="array" ref="J71" xml:space="preserve"> INDEX(十五音韻母清單!$B$6:$K$105, 韻母碼!$C71,韻母碼!J$1)</f>
        <v>ok</v>
      </c>
      <c r="K71" s="23" t="str" cm="1">
        <f t="array" ref="K71" xml:space="preserve"> INDEX(十五音韻母清單!$B$6:$K$105, 韻母碼!$C71,韻母碼!K$1)</f>
        <v>ok</v>
      </c>
      <c r="L71" s="23" t="str" cm="1">
        <f t="array" ref="L71" xml:space="preserve"> INDEX(十五音韻母清單!$B$6:$K$105, 韻母碼!$C71,韻母碼!L$1)</f>
        <v>ㆦㆻ</v>
      </c>
      <c r="M71" s="21" t="str" cm="1">
        <f t="array" ref="M71" xml:space="preserve"> INDEX(十五音韻母清單!$B$6:$K$105, $C71, M$1)</f>
        <v>公</v>
      </c>
      <c r="Q71" s="21">
        <v>68</v>
      </c>
      <c r="R71" s="96">
        <f t="shared" si="3"/>
        <v>34</v>
      </c>
      <c r="S71" s="96">
        <f t="shared" si="4"/>
        <v>0</v>
      </c>
      <c r="T71" s="96" t="str" cm="1">
        <f t="array" ref="T71">IF(S71=1,  INDEX('十五音-韻母'!$D$5:$E$54, $R71, 1), INDEX('十五音-韻母'!$D$5:$E$54, $R71, 2))</f>
        <v>innh</v>
      </c>
      <c r="U71" s="96">
        <f t="shared" si="5"/>
        <v>0</v>
      </c>
    </row>
    <row r="72" spans="2:21" ht="27">
      <c r="B72" s="136" t="s">
        <v>649</v>
      </c>
      <c r="C72" s="21">
        <f xml:space="preserve"> MATCH(B72, 十五音韻母清單!$H$6:$H$105,0)</f>
        <v>93</v>
      </c>
      <c r="D72" s="21" cm="1">
        <f t="array" ref="D72" xml:space="preserve"> INDEX(十五音韻母清單!$B$6:$K$105, $C72, D$1)</f>
        <v>47</v>
      </c>
      <c r="F72" s="21">
        <v>69</v>
      </c>
      <c r="G72" s="23" t="str" cm="1">
        <f t="array" ref="G72" xml:space="preserve"> INDEX(十五音韻母清單!$B$6:$K$105, $C72, G$1)</f>
        <v>om</v>
      </c>
      <c r="H72" s="23" t="str" cm="1">
        <f t="array" ref="H72" xml:space="preserve"> INDEX(十五音韻母清單!$B$6:$K$105, 韻母碼!$C72,韻母碼!H$1)</f>
        <v>ɔm</v>
      </c>
      <c r="I72" s="23" t="str" cm="1">
        <f t="array" ref="I72" xml:space="preserve"> INDEX(十五音韻母清單!$B$6:$K$105, 韻母碼!$C72,韻母碼!I$1)</f>
        <v>om</v>
      </c>
      <c r="J72" s="23" t="str" cm="1">
        <f t="array" ref="J72" xml:space="preserve"> INDEX(十五音韻母清單!$B$6:$K$105, 韻母碼!$C72,韻母碼!J$1)</f>
        <v>om</v>
      </c>
      <c r="K72" s="23" t="str" cm="1">
        <f t="array" ref="K72" xml:space="preserve"> INDEX(十五音韻母清單!$B$6:$K$105, 韻母碼!$C72,韻母碼!K$1)</f>
        <v>om</v>
      </c>
      <c r="L72" s="23" t="str" cm="1">
        <f t="array" ref="L72" xml:space="preserve"> INDEX(十五音韻母清單!$B$6:$K$105, 韻母碼!$C72,韻母碼!L$1)</f>
        <v>ㆱ</v>
      </c>
      <c r="M72" s="21" t="str" cm="1">
        <f t="array" ref="M72" xml:space="preserve"> INDEX(十五音韻母清單!$B$6:$K$105, $C72, M$1)</f>
        <v>箴</v>
      </c>
      <c r="Q72" s="21">
        <v>69</v>
      </c>
      <c r="R72" s="96">
        <f t="shared" si="3"/>
        <v>35</v>
      </c>
      <c r="S72" s="96">
        <f t="shared" si="4"/>
        <v>1</v>
      </c>
      <c r="T72" s="96" t="str" cm="1">
        <f t="array" ref="T72">IF(S72=1,  INDEX('十五音-韻母'!$D$5:$E$54, $R72, 1), INDEX('十五音-韻母'!$D$5:$E$54, $R72, 2))</f>
        <v>ionn</v>
      </c>
      <c r="U72" s="96">
        <f t="shared" si="5"/>
        <v>0</v>
      </c>
    </row>
    <row r="73" spans="2:21" ht="27">
      <c r="B73" s="136" t="s">
        <v>211</v>
      </c>
      <c r="C73" s="21">
        <f xml:space="preserve"> MATCH(B73, 十五音韻母清單!$H$6:$H$105,0)</f>
        <v>13</v>
      </c>
      <c r="D73" s="21" cm="1">
        <f t="array" ref="D73" xml:space="preserve"> INDEX(十五音韻母清單!$B$6:$K$105, $C73, D$1)</f>
        <v>7</v>
      </c>
      <c r="F73" s="21">
        <v>70</v>
      </c>
      <c r="G73" s="23" t="str" cm="1">
        <f t="array" ref="G73" xml:space="preserve"> INDEX(十五音韻母清單!$B$6:$K$105, $C73, G$1)</f>
        <v>ong</v>
      </c>
      <c r="H73" s="23" t="str" cm="1">
        <f t="array" ref="H73" xml:space="preserve"> INDEX(十五音韻母清單!$B$6:$K$105, 韻母碼!$C73,韻母碼!H$1)</f>
        <v>ɔŋ</v>
      </c>
      <c r="I73" s="23" t="str" cm="1">
        <f t="array" ref="I73" xml:space="preserve"> INDEX(十五音韻母清單!$B$6:$K$105, 韻母碼!$C73,韻母碼!I$1)</f>
        <v>ong</v>
      </c>
      <c r="J73" s="23" t="str" cm="1">
        <f t="array" ref="J73" xml:space="preserve"> INDEX(十五音韻母清單!$B$6:$K$105, 韻母碼!$C73,韻母碼!J$1)</f>
        <v>ong</v>
      </c>
      <c r="K73" s="23" t="str" cm="1">
        <f t="array" ref="K73" xml:space="preserve"> INDEX(十五音韻母清單!$B$6:$K$105, 韻母碼!$C73,韻母碼!K$1)</f>
        <v>ong</v>
      </c>
      <c r="L73" s="23" t="str" cm="1">
        <f t="array" ref="L73" xml:space="preserve"> INDEX(十五音韻母清單!$B$6:$K$105, 韻母碼!$C73,韻母碼!L$1)</f>
        <v>ㆲ</v>
      </c>
      <c r="M73" s="21" t="str" cm="1">
        <f t="array" ref="M73" xml:space="preserve"> INDEX(十五音韻母清單!$B$6:$K$105, $C73, M$1)</f>
        <v>公</v>
      </c>
      <c r="Q73" s="21">
        <v>70</v>
      </c>
      <c r="R73" s="96">
        <f t="shared" si="3"/>
        <v>35</v>
      </c>
      <c r="S73" s="96">
        <f t="shared" si="4"/>
        <v>0</v>
      </c>
      <c r="T73" s="96" t="str" cm="1">
        <f t="array" ref="T73">IF(S73=1,  INDEX('十五音-韻母'!$D$5:$E$54, $R73, 1), INDEX('十五音-韻母'!$D$5:$E$54, $R73, 2))</f>
        <v>ionnh</v>
      </c>
      <c r="U73" s="96">
        <f t="shared" si="5"/>
        <v>0</v>
      </c>
    </row>
    <row r="74" spans="2:21" ht="27">
      <c r="B74" s="136" t="s">
        <v>415</v>
      </c>
      <c r="C74" s="21">
        <f xml:space="preserve"> MATCH(B74, 十五音韻母清單!$H$6:$H$105,0)</f>
        <v>53</v>
      </c>
      <c r="D74" s="21" cm="1">
        <f t="array" ref="D74" xml:space="preserve"> INDEX(十五音韻母清單!$B$6:$K$105, $C74, D$1)</f>
        <v>27</v>
      </c>
      <c r="F74" s="21">
        <v>71</v>
      </c>
      <c r="G74" s="23" t="str" cm="1">
        <f t="array" ref="G74" xml:space="preserve"> INDEX(十五音韻母清單!$B$6:$K$105, $C74, G$1)</f>
        <v>u</v>
      </c>
      <c r="H74" s="23" t="str" cm="1">
        <f t="array" ref="H74" xml:space="preserve"> INDEX(十五音韻母清單!$B$6:$K$105, 韻母碼!$C74,韻母碼!H$1)</f>
        <v>u</v>
      </c>
      <c r="I74" s="23" t="str" cm="1">
        <f t="array" ref="I74" xml:space="preserve"> INDEX(十五音韻母清單!$B$6:$K$105, 韻母碼!$C74,韻母碼!I$1)</f>
        <v>u</v>
      </c>
      <c r="J74" s="23" t="str" cm="1">
        <f t="array" ref="J74" xml:space="preserve"> INDEX(十五音韻母清單!$B$6:$K$105, 韻母碼!$C74,韻母碼!J$1)</f>
        <v>u</v>
      </c>
      <c r="K74" s="23" t="str" cm="1">
        <f t="array" ref="K74" xml:space="preserve"> INDEX(十五音韻母清單!$B$6:$K$105, 韻母碼!$C74,韻母碼!K$1)</f>
        <v>u</v>
      </c>
      <c r="L74" s="23" t="str" cm="1">
        <f t="array" ref="L74" xml:space="preserve"> INDEX(十五音韻母清單!$B$6:$K$105, 韻母碼!$C74,韻母碼!L$1)</f>
        <v>ㄨ</v>
      </c>
      <c r="M74" s="21" t="str" cm="1">
        <f t="array" ref="M74" xml:space="preserve"> INDEX(十五音韻母清單!$B$6:$K$105, $C74, M$1)</f>
        <v>艍</v>
      </c>
      <c r="Q74" s="21">
        <v>71</v>
      </c>
      <c r="R74" s="96">
        <f t="shared" si="3"/>
        <v>36</v>
      </c>
      <c r="S74" s="96">
        <f t="shared" si="4"/>
        <v>1</v>
      </c>
      <c r="T74" s="96" t="str" cm="1">
        <f t="array" ref="T74">IF(S74=1,  INDEX('十五音-韻母'!$D$5:$E$54, $R74, 1), INDEX('十五音-韻母'!$D$5:$E$54, $R74, 2))</f>
        <v>iann</v>
      </c>
      <c r="U74" s="96">
        <f t="shared" si="5"/>
        <v>24</v>
      </c>
    </row>
    <row r="75" spans="2:21" ht="27">
      <c r="B75" s="136" t="s">
        <v>416</v>
      </c>
      <c r="C75" s="21">
        <f xml:space="preserve"> MATCH(B75, 十五音韻母清單!$H$6:$H$105,0)</f>
        <v>54</v>
      </c>
      <c r="D75" s="21" cm="1">
        <f t="array" ref="D75" xml:space="preserve"> INDEX(十五音韻母清單!$B$6:$K$105, $C75, D$1)</f>
        <v>27</v>
      </c>
      <c r="F75" s="21">
        <v>72</v>
      </c>
      <c r="G75" s="23" t="str" cm="1">
        <f t="array" ref="G75" xml:space="preserve"> INDEX(十五音韻母清單!$B$6:$K$105, $C75, G$1)</f>
        <v>uh</v>
      </c>
      <c r="H75" s="23" t="str" cm="1">
        <f t="array" ref="H75" xml:space="preserve"> INDEX(十五音韻母清單!$B$6:$K$105, 韻母碼!$C75,韻母碼!H$1)</f>
        <v>u?</v>
      </c>
      <c r="I75" s="23" t="str" cm="1">
        <f t="array" ref="I75" xml:space="preserve"> INDEX(十五音韻母清單!$B$6:$K$105, 韻母碼!$C75,韻母碼!I$1)</f>
        <v>uh</v>
      </c>
      <c r="J75" s="23" t="str" cm="1">
        <f t="array" ref="J75" xml:space="preserve"> INDEX(十五音韻母清單!$B$6:$K$105, 韻母碼!$C75,韻母碼!J$1)</f>
        <v>uh</v>
      </c>
      <c r="K75" s="23" t="str" cm="1">
        <f t="array" ref="K75" xml:space="preserve"> INDEX(十五音韻母清單!$B$6:$K$105, 韻母碼!$C75,韻母碼!K$1)</f>
        <v>uh</v>
      </c>
      <c r="L75" s="23" t="str" cm="1">
        <f t="array" ref="L75" xml:space="preserve"> INDEX(十五音韻母清單!$B$6:$K$105, 韻母碼!$C75,韻母碼!L$1)</f>
        <v>ㄨㆷ</v>
      </c>
      <c r="M75" s="21" t="str" cm="1">
        <f t="array" ref="M75" xml:space="preserve"> INDEX(十五音韻母清單!$B$6:$K$105, $C75, M$1)</f>
        <v>艍</v>
      </c>
      <c r="Q75" s="21">
        <v>72</v>
      </c>
      <c r="R75" s="96">
        <f t="shared" si="3"/>
        <v>36</v>
      </c>
      <c r="S75" s="96">
        <f t="shared" si="4"/>
        <v>0</v>
      </c>
      <c r="T75" s="96" t="str" cm="1">
        <f t="array" ref="T75">IF(S75=1,  INDEX('十五音-韻母'!$D$5:$E$54, $R75, 1), INDEX('十五音-韻母'!$D$5:$E$54, $R75, 2))</f>
        <v>iannh</v>
      </c>
      <c r="U75" s="96">
        <f t="shared" si="5"/>
        <v>26</v>
      </c>
    </row>
    <row r="76" spans="2:21" ht="27">
      <c r="B76" s="136" t="s">
        <v>178</v>
      </c>
      <c r="C76" s="21">
        <f xml:space="preserve"> MATCH(B76, 十五音韻母清單!$H$6:$H$105,0)</f>
        <v>7</v>
      </c>
      <c r="D76" s="21" cm="1">
        <f t="array" ref="D76" xml:space="preserve"> INDEX(十五音韻母清單!$B$6:$K$105, $C76, D$1)</f>
        <v>4</v>
      </c>
      <c r="F76" s="21">
        <v>73</v>
      </c>
      <c r="G76" s="23" t="str" cm="1">
        <f t="array" ref="G76" xml:space="preserve"> INDEX(十五音韻母清單!$B$6:$K$105, $C76, G$1)</f>
        <v>ui</v>
      </c>
      <c r="H76" s="23" t="str" cm="1">
        <f t="array" ref="H76" xml:space="preserve"> INDEX(十五音韻母清單!$B$6:$K$105, 韻母碼!$C76,韻母碼!H$1)</f>
        <v>ui</v>
      </c>
      <c r="I76" s="23" t="str" cm="1">
        <f t="array" ref="I76" xml:space="preserve"> INDEX(十五音韻母清單!$B$6:$K$105, 韻母碼!$C76,韻母碼!I$1)</f>
        <v>ui</v>
      </c>
      <c r="J76" s="23" t="str" cm="1">
        <f t="array" ref="J76" xml:space="preserve"> INDEX(十五音韻母清單!$B$6:$K$105, 韻母碼!$C76,韻母碼!J$1)</f>
        <v>ui</v>
      </c>
      <c r="K76" s="23" t="str" cm="1">
        <f t="array" ref="K76" xml:space="preserve"> INDEX(十五音韻母清單!$B$6:$K$105, 韻母碼!$C76,韻母碼!K$1)</f>
        <v>ui</v>
      </c>
      <c r="L76" s="23" t="str" cm="1">
        <f t="array" ref="L76" xml:space="preserve"> INDEX(十五音韻母清單!$B$6:$K$105, 韻母碼!$C76,韻母碼!L$1)</f>
        <v>ㄨㄧ</v>
      </c>
      <c r="M76" s="21" t="str" cm="1">
        <f t="array" ref="M76" xml:space="preserve"> INDEX(十五音韻母清單!$B$6:$K$105, $C76, M$1)</f>
        <v>規</v>
      </c>
      <c r="Q76" s="21">
        <v>73</v>
      </c>
      <c r="R76" s="96">
        <f t="shared" si="3"/>
        <v>37</v>
      </c>
      <c r="S76" s="96">
        <f t="shared" si="4"/>
        <v>1</v>
      </c>
      <c r="T76" s="96" t="str" cm="1">
        <f t="array" ref="T76">IF(S76=1,  INDEX('十五音-韻母'!$D$5:$E$54, $R76, 1), INDEX('十五音-韻母'!$D$5:$E$54, $R76, 2))</f>
        <v>uann</v>
      </c>
      <c r="U76" s="96">
        <f t="shared" si="5"/>
        <v>56</v>
      </c>
    </row>
    <row r="77" spans="2:21" ht="27">
      <c r="B77" s="136" t="s">
        <v>153</v>
      </c>
      <c r="C77" s="21">
        <f xml:space="preserve"> MATCH(B77, 十五音韻母清單!$H$6:$H$105,0)</f>
        <v>1</v>
      </c>
      <c r="D77" s="21" cm="1">
        <f t="array" ref="D77" xml:space="preserve"> INDEX(十五音韻母清單!$B$6:$K$105, $C77, D$1)</f>
        <v>1</v>
      </c>
      <c r="F77" s="21">
        <v>74</v>
      </c>
      <c r="G77" s="23" t="str" cm="1">
        <f t="array" ref="G77" xml:space="preserve"> INDEX(十五音韻母清單!$B$6:$K$105, $C77, G$1)</f>
        <v>un</v>
      </c>
      <c r="H77" s="23" t="str" cm="1">
        <f t="array" ref="H77" xml:space="preserve"> INDEX(十五音韻母清單!$B$6:$K$105, 韻母碼!$C77,韻母碼!H$1)</f>
        <v>un</v>
      </c>
      <c r="I77" s="23" t="str" cm="1">
        <f t="array" ref="I77" xml:space="preserve"> INDEX(十五音韻母清單!$B$6:$K$105, 韻母碼!$C77,韻母碼!I$1)</f>
        <v>un</v>
      </c>
      <c r="J77" s="23" t="str" cm="1">
        <f t="array" ref="J77" xml:space="preserve"> INDEX(十五音韻母清單!$B$6:$K$105, 韻母碼!$C77,韻母碼!J$1)</f>
        <v>un</v>
      </c>
      <c r="K77" s="23" t="str" cm="1">
        <f t="array" ref="K77" xml:space="preserve"> INDEX(十五音韻母清單!$B$6:$K$105, 韻母碼!$C77,韻母碼!K$1)</f>
        <v>un</v>
      </c>
      <c r="L77" s="23" t="str" cm="1">
        <f t="array" ref="L77" xml:space="preserve"> INDEX(十五音韻母清單!$B$6:$K$105, 韻母碼!$C77,韻母碼!L$1)</f>
        <v>ㄨㄣ</v>
      </c>
      <c r="M77" s="21" t="str" cm="1">
        <f t="array" ref="M77" xml:space="preserve"> INDEX(十五音韻母清單!$B$6:$K$105, $C77, M$1)</f>
        <v>君</v>
      </c>
      <c r="Q77" s="21">
        <v>74</v>
      </c>
      <c r="R77" s="96">
        <f t="shared" si="3"/>
        <v>37</v>
      </c>
      <c r="S77" s="96">
        <f t="shared" si="4"/>
        <v>0</v>
      </c>
      <c r="T77" s="96" t="str" cm="1">
        <f t="array" ref="T77">IF(S77=1,  INDEX('十五音-韻母'!$D$5:$E$54, $R77, 1), INDEX('十五音-韻母'!$D$5:$E$54, $R77, 2))</f>
        <v>uannh</v>
      </c>
      <c r="U77" s="96">
        <f t="shared" si="5"/>
        <v>0</v>
      </c>
    </row>
    <row r="78" spans="2:21" ht="27">
      <c r="B78" s="136" t="s">
        <v>154</v>
      </c>
      <c r="C78" s="21">
        <f xml:space="preserve"> MATCH(B78, 十五音韻母清單!$H$6:$H$105,0)</f>
        <v>2</v>
      </c>
      <c r="D78" s="21" cm="1">
        <f t="array" ref="D78" xml:space="preserve"> INDEX(十五音韻母清單!$B$6:$K$105, $C78, D$1)</f>
        <v>1</v>
      </c>
      <c r="F78" s="21">
        <v>75</v>
      </c>
      <c r="G78" s="23" t="str" cm="1">
        <f t="array" ref="G78" xml:space="preserve"> INDEX(十五音韻母清單!$B$6:$K$105, $C78, G$1)</f>
        <v>ut</v>
      </c>
      <c r="H78" s="23" t="str" cm="1">
        <f t="array" ref="H78" xml:space="preserve"> INDEX(十五音韻母清單!$B$6:$K$105, 韻母碼!$C78,韻母碼!H$1)</f>
        <v>ut̚</v>
      </c>
      <c r="I78" s="23" t="str" cm="1">
        <f t="array" ref="I78" xml:space="preserve"> INDEX(十五音韻母清單!$B$6:$K$105, 韻母碼!$C78,韻母碼!I$1)</f>
        <v>ut</v>
      </c>
      <c r="J78" s="23" t="str" cm="1">
        <f t="array" ref="J78" xml:space="preserve"> INDEX(十五音韻母清單!$B$6:$K$105, 韻母碼!$C78,韻母碼!J$1)</f>
        <v>ut</v>
      </c>
      <c r="K78" s="23" t="str" cm="1">
        <f t="array" ref="K78" xml:space="preserve"> INDEX(十五音韻母清單!$B$6:$K$105, 韻母碼!$C78,韻母碼!K$1)</f>
        <v>ut</v>
      </c>
      <c r="L78" s="23" t="str" cm="1">
        <f t="array" ref="L78" xml:space="preserve"> INDEX(十五音韻母清單!$B$6:$K$105, 韻母碼!$C78,韻母碼!L$1)</f>
        <v>ㄨㆵ</v>
      </c>
      <c r="M78" s="21" t="str" cm="1">
        <f t="array" ref="M78" xml:space="preserve"> INDEX(十五音韻母清單!$B$6:$K$105, $C78, M$1)</f>
        <v>君</v>
      </c>
      <c r="Q78" s="21">
        <v>75</v>
      </c>
      <c r="R78" s="96">
        <f t="shared" si="3"/>
        <v>38</v>
      </c>
      <c r="S78" s="96">
        <f t="shared" si="4"/>
        <v>1</v>
      </c>
      <c r="T78" s="96" t="str" cm="1">
        <f t="array" ref="T78">IF(S78=1,  INDEX('十五音-韻母'!$D$5:$E$54, $R78, 1), INDEX('十五音-韻母'!$D$5:$E$54, $R78, 2))</f>
        <v>ng</v>
      </c>
      <c r="U78" s="96">
        <f t="shared" si="5"/>
        <v>50</v>
      </c>
    </row>
    <row r="79" spans="2:21" ht="27">
      <c r="Q79" s="21">
        <v>76</v>
      </c>
      <c r="R79" s="96">
        <f t="shared" si="3"/>
        <v>38</v>
      </c>
      <c r="S79" s="96">
        <f t="shared" si="4"/>
        <v>0</v>
      </c>
      <c r="T79" s="96" t="str" cm="1">
        <f t="array" ref="T79">IF(S79=1,  INDEX('十五音-韻母'!$D$5:$E$54, $R79, 1), INDEX('十五音-韻母'!$D$5:$E$54, $R79, 2))</f>
        <v>ngh</v>
      </c>
      <c r="U79" s="96">
        <f t="shared" si="5"/>
        <v>51</v>
      </c>
    </row>
    <row r="80" spans="2:21" ht="27">
      <c r="Q80" s="21">
        <v>77</v>
      </c>
      <c r="R80" s="96">
        <f t="shared" si="3"/>
        <v>39</v>
      </c>
      <c r="S80" s="96">
        <f t="shared" si="4"/>
        <v>1</v>
      </c>
      <c r="T80" s="96" t="str" cm="1">
        <f t="array" ref="T80">IF(S80=1,  INDEX('十五音-韻母'!$D$5:$E$54, $R80, 1), INDEX('十五音-韻母'!$D$5:$E$54, $R80, 2))</f>
        <v>e</v>
      </c>
      <c r="U80" s="96">
        <f t="shared" si="5"/>
        <v>15</v>
      </c>
    </row>
    <row r="81" spans="17:21" ht="27">
      <c r="Q81" s="21">
        <v>78</v>
      </c>
      <c r="R81" s="96">
        <f t="shared" si="3"/>
        <v>39</v>
      </c>
      <c r="S81" s="96">
        <f t="shared" si="4"/>
        <v>0</v>
      </c>
      <c r="T81" s="96" t="str" cm="1">
        <f t="array" ref="T81">IF(S81=1,  INDEX('十五音-韻母'!$D$5:$E$54, $R81, 1), INDEX('十五音-韻母'!$D$5:$E$54, $R81, 2))</f>
        <v>eh</v>
      </c>
      <c r="U81" s="96">
        <f t="shared" si="5"/>
        <v>17</v>
      </c>
    </row>
    <row r="82" spans="17:21" ht="27">
      <c r="Q82" s="21">
        <v>79</v>
      </c>
      <c r="R82" s="96">
        <f t="shared" si="3"/>
        <v>40</v>
      </c>
      <c r="S82" s="96">
        <f t="shared" si="4"/>
        <v>1</v>
      </c>
      <c r="T82" s="96" t="str" cm="1">
        <f t="array" ref="T82">IF(S82=1,  INDEX('十五音-韻母'!$D$5:$E$54, $R82, 1), INDEX('十五音-韻母'!$D$5:$E$54, $R82, 2))</f>
        <v>ainn</v>
      </c>
      <c r="U82" s="96">
        <f t="shared" si="5"/>
        <v>6</v>
      </c>
    </row>
    <row r="83" spans="17:21" ht="27">
      <c r="Q83" s="21">
        <v>80</v>
      </c>
      <c r="R83" s="96">
        <f t="shared" si="3"/>
        <v>40</v>
      </c>
      <c r="S83" s="96">
        <f t="shared" si="4"/>
        <v>0</v>
      </c>
      <c r="T83" s="96" t="str" cm="1">
        <f t="array" ref="T83">IF(S83=1,  INDEX('十五音-韻母'!$D$5:$E$54, $R83, 1), INDEX('十五音-韻母'!$D$5:$E$54, $R83, 2))</f>
        <v>ainnh</v>
      </c>
      <c r="U83" s="96">
        <f t="shared" si="5"/>
        <v>0</v>
      </c>
    </row>
    <row r="84" spans="17:21" ht="27">
      <c r="Q84" s="21">
        <v>81</v>
      </c>
      <c r="R84" s="96">
        <f t="shared" si="3"/>
        <v>41</v>
      </c>
      <c r="S84" s="96">
        <f t="shared" si="4"/>
        <v>1</v>
      </c>
      <c r="T84" s="96" t="str" cm="1">
        <f t="array" ref="T84">IF(S84=1,  INDEX('十五音-韻母'!$D$5:$E$54, $R84, 1), INDEX('十五音-韻母'!$D$5:$E$54, $R84, 2))</f>
        <v>onn</v>
      </c>
      <c r="U84" s="96">
        <f t="shared" si="5"/>
        <v>53</v>
      </c>
    </row>
    <row r="85" spans="17:21" ht="27">
      <c r="Q85" s="21">
        <v>82</v>
      </c>
      <c r="R85" s="96">
        <f t="shared" si="3"/>
        <v>41</v>
      </c>
      <c r="S85" s="96">
        <f t="shared" si="4"/>
        <v>0</v>
      </c>
      <c r="T85" s="96" t="str" cm="1">
        <f t="array" ref="T85">IF(S85=1,  INDEX('十五音-韻母'!$D$5:$E$54, $R85, 1), INDEX('十五音-韻母'!$D$5:$E$54, $R85, 2))</f>
        <v>onnh</v>
      </c>
      <c r="U85" s="96">
        <f t="shared" si="5"/>
        <v>66</v>
      </c>
    </row>
    <row r="86" spans="17:21" ht="27">
      <c r="Q86" s="21">
        <v>83</v>
      </c>
      <c r="R86" s="96">
        <f t="shared" si="3"/>
        <v>42</v>
      </c>
      <c r="S86" s="96">
        <f t="shared" si="4"/>
        <v>1</v>
      </c>
      <c r="T86" s="96" t="str" cm="1">
        <f t="array" ref="T86">IF(S86=1,  INDEX('十五音-韻母'!$D$5:$E$54, $R86, 1), INDEX('十五音-韻母'!$D$5:$E$54, $R86, 2))</f>
        <v>m</v>
      </c>
      <c r="U86" s="96">
        <f t="shared" si="5"/>
        <v>48</v>
      </c>
    </row>
    <row r="87" spans="17:21" ht="27">
      <c r="Q87" s="21">
        <v>84</v>
      </c>
      <c r="R87" s="96">
        <f t="shared" si="3"/>
        <v>42</v>
      </c>
      <c r="S87" s="96">
        <f t="shared" si="4"/>
        <v>0</v>
      </c>
      <c r="T87" s="96" t="str" cm="1">
        <f t="array" ref="T87">IF(S87=1,  INDEX('十五音-韻母'!$D$5:$E$54, $R87, 1), INDEX('十五音-韻母'!$D$5:$E$54, $R87, 2))</f>
        <v>mh</v>
      </c>
      <c r="U87" s="96">
        <f t="shared" si="5"/>
        <v>49</v>
      </c>
    </row>
    <row r="88" spans="17:21" ht="27">
      <c r="Q88" s="21">
        <v>85</v>
      </c>
      <c r="R88" s="96">
        <f t="shared" si="3"/>
        <v>43</v>
      </c>
      <c r="S88" s="96">
        <f t="shared" si="4"/>
        <v>1</v>
      </c>
      <c r="T88" s="96" t="str" cm="1">
        <f t="array" ref="T88">IF(S88=1,  INDEX('十五音-韻母'!$D$5:$E$54, $R88, 1), INDEX('十五音-韻母'!$D$5:$E$54, $R88, 2))</f>
        <v>uang</v>
      </c>
      <c r="U88" s="96">
        <f t="shared" si="5"/>
        <v>61</v>
      </c>
    </row>
    <row r="89" spans="17:21" ht="27">
      <c r="Q89" s="21">
        <v>86</v>
      </c>
      <c r="R89" s="96">
        <f t="shared" si="3"/>
        <v>43</v>
      </c>
      <c r="S89" s="96">
        <f t="shared" si="4"/>
        <v>0</v>
      </c>
      <c r="T89" s="96" t="str" cm="1">
        <f t="array" ref="T89">IF(S89=1,  INDEX('十五音-韻母'!$D$5:$E$54, $R89, 1), INDEX('十五音-韻母'!$D$5:$E$54, $R89, 2))</f>
        <v>uak</v>
      </c>
      <c r="U89" s="96">
        <f t="shared" si="5"/>
        <v>0</v>
      </c>
    </row>
    <row r="90" spans="17:21" ht="27">
      <c r="Q90" s="21">
        <v>87</v>
      </c>
      <c r="R90" s="96">
        <f t="shared" si="3"/>
        <v>44</v>
      </c>
      <c r="S90" s="96">
        <f t="shared" si="4"/>
        <v>1</v>
      </c>
      <c r="T90" s="96" t="str" cm="1">
        <f t="array" ref="T90">IF(S90=1,  INDEX('十五音-韻母'!$D$5:$E$54, $R90, 1), INDEX('十五音-韻母'!$D$5:$E$54, $R90, 2))</f>
        <v>uainn</v>
      </c>
      <c r="U90" s="96">
        <f t="shared" si="5"/>
        <v>59</v>
      </c>
    </row>
    <row r="91" spans="17:21" ht="27">
      <c r="Q91" s="21">
        <v>88</v>
      </c>
      <c r="R91" s="96">
        <f t="shared" si="3"/>
        <v>44</v>
      </c>
      <c r="S91" s="96">
        <f t="shared" si="4"/>
        <v>0</v>
      </c>
      <c r="T91" s="96" t="str" cm="1">
        <f t="array" ref="T91">IF(S91=1,  INDEX('十五音-韻母'!$D$5:$E$54, $R91, 1), INDEX('十五音-韻母'!$D$5:$E$54, $R91, 2))</f>
        <v>uainnh</v>
      </c>
      <c r="U91" s="96">
        <f t="shared" si="5"/>
        <v>0</v>
      </c>
    </row>
    <row r="92" spans="17:21" ht="27">
      <c r="Q92" s="21">
        <v>89</v>
      </c>
      <c r="R92" s="96">
        <f t="shared" si="3"/>
        <v>45</v>
      </c>
      <c r="S92" s="96">
        <f t="shared" si="4"/>
        <v>1</v>
      </c>
      <c r="T92" s="96" t="str" cm="1">
        <f t="array" ref="T92">IF(S92=1,  INDEX('十五音-韻母'!$D$5:$E$54, $R92, 1), INDEX('十五音-韻母'!$D$5:$E$54, $R92, 2))</f>
        <v>uenn</v>
      </c>
      <c r="U92" s="96">
        <f t="shared" si="5"/>
        <v>0</v>
      </c>
    </row>
    <row r="93" spans="17:21" ht="27">
      <c r="Q93" s="21">
        <v>90</v>
      </c>
      <c r="R93" s="96">
        <f t="shared" si="3"/>
        <v>45</v>
      </c>
      <c r="S93" s="96">
        <f t="shared" si="4"/>
        <v>0</v>
      </c>
      <c r="T93" s="96" t="str" cm="1">
        <f t="array" ref="T93">IF(S93=1,  INDEX('十五音-韻母'!$D$5:$E$54, $R93, 1), INDEX('十五音-韻母'!$D$5:$E$54, $R93, 2))</f>
        <v>uennh</v>
      </c>
      <c r="U93" s="96">
        <f t="shared" si="5"/>
        <v>0</v>
      </c>
    </row>
    <row r="94" spans="17:21" ht="27">
      <c r="Q94" s="21">
        <v>91</v>
      </c>
      <c r="R94" s="96">
        <f t="shared" si="3"/>
        <v>46</v>
      </c>
      <c r="S94" s="96">
        <f t="shared" si="4"/>
        <v>1</v>
      </c>
      <c r="T94" s="96" t="str" cm="1">
        <f t="array" ref="T94">IF(S94=1,  INDEX('十五音-韻母'!$D$5:$E$54, $R94, 1), INDEX('十五音-韻母'!$D$5:$E$54, $R94, 2))</f>
        <v>iaunn</v>
      </c>
      <c r="U94" s="96">
        <f t="shared" si="5"/>
        <v>34</v>
      </c>
    </row>
    <row r="95" spans="17:21" ht="27">
      <c r="Q95" s="21">
        <v>92</v>
      </c>
      <c r="R95" s="96">
        <f t="shared" si="3"/>
        <v>46</v>
      </c>
      <c r="S95" s="96">
        <f t="shared" si="4"/>
        <v>0</v>
      </c>
      <c r="T95" s="96" t="str" cm="1">
        <f t="array" ref="T95">IF(S95=1,  INDEX('十五音-韻母'!$D$5:$E$54, $R95, 1), INDEX('十五音-韻母'!$D$5:$E$54, $R95, 2))</f>
        <v>iaunnh</v>
      </c>
      <c r="U95" s="96">
        <f t="shared" si="5"/>
        <v>0</v>
      </c>
    </row>
    <row r="96" spans="17:21" ht="27">
      <c r="Q96" s="21">
        <v>93</v>
      </c>
      <c r="R96" s="96">
        <f t="shared" si="3"/>
        <v>47</v>
      </c>
      <c r="S96" s="96">
        <f t="shared" si="4"/>
        <v>1</v>
      </c>
      <c r="T96" s="96" t="str" cm="1">
        <f t="array" ref="T96">IF(S96=1,  INDEX('十五音-韻母'!$D$5:$E$54, $R96, 1), INDEX('十五音-韻母'!$D$5:$E$54, $R96, 2))</f>
        <v>om</v>
      </c>
      <c r="U96" s="96">
        <f t="shared" si="5"/>
        <v>68</v>
      </c>
    </row>
    <row r="97" spans="17:21" ht="27">
      <c r="Q97" s="21">
        <v>94</v>
      </c>
      <c r="R97" s="96">
        <f t="shared" si="3"/>
        <v>47</v>
      </c>
      <c r="S97" s="96">
        <f t="shared" si="4"/>
        <v>0</v>
      </c>
      <c r="T97" s="96" t="str" cm="1">
        <f t="array" ref="T97">IF(S97=1,  INDEX('十五音-韻母'!$D$5:$E$54, $R97, 1), INDEX('十五音-韻母'!$D$5:$E$54, $R97, 2))</f>
        <v>op</v>
      </c>
      <c r="U97" s="96">
        <f t="shared" si="5"/>
        <v>0</v>
      </c>
    </row>
    <row r="98" spans="17:21" ht="27">
      <c r="Q98" s="21">
        <v>95</v>
      </c>
      <c r="R98" s="96">
        <f t="shared" si="3"/>
        <v>48</v>
      </c>
      <c r="S98" s="96">
        <f t="shared" si="4"/>
        <v>1</v>
      </c>
      <c r="T98" s="96" t="str" cm="1">
        <f t="array" ref="T98">IF(S98=1,  INDEX('十五音-韻母'!$D$5:$E$54, $R98, 1), INDEX('十五音-韻母'!$D$5:$E$54, $R98, 2))</f>
        <v>aunn</v>
      </c>
      <c r="U98" s="96">
        <f t="shared" si="5"/>
        <v>0</v>
      </c>
    </row>
    <row r="99" spans="17:21" ht="27">
      <c r="Q99" s="21">
        <v>96</v>
      </c>
      <c r="R99" s="96">
        <f t="shared" si="3"/>
        <v>48</v>
      </c>
      <c r="S99" s="96">
        <f t="shared" si="4"/>
        <v>0</v>
      </c>
      <c r="T99" s="96" t="str" cm="1">
        <f t="array" ref="T99">IF(S99=1,  INDEX('十五音-韻母'!$D$5:$E$54, $R99, 1), INDEX('十五音-韻母'!$D$5:$E$54, $R99, 2))</f>
        <v>aunnh</v>
      </c>
      <c r="U99" s="96">
        <f t="shared" si="5"/>
        <v>0</v>
      </c>
    </row>
    <row r="100" spans="17:21" ht="27">
      <c r="Q100" s="21">
        <v>97</v>
      </c>
      <c r="R100" s="96">
        <f t="shared" si="3"/>
        <v>49</v>
      </c>
      <c r="S100" s="96">
        <f t="shared" si="4"/>
        <v>1</v>
      </c>
      <c r="T100" s="96" t="str" cm="1">
        <f t="array" ref="T100">IF(S100=1,  INDEX('十五音-韻母'!$D$5:$E$54, $R100, 1), INDEX('十五音-韻母'!$D$5:$E$54, $R100, 2))</f>
        <v>oonn</v>
      </c>
      <c r="U100" s="96">
        <f t="shared" si="5"/>
        <v>0</v>
      </c>
    </row>
    <row r="101" spans="17:21" ht="27">
      <c r="Q101" s="21">
        <v>98</v>
      </c>
      <c r="R101" s="96">
        <f t="shared" si="3"/>
        <v>49</v>
      </c>
      <c r="S101" s="96">
        <f t="shared" si="4"/>
        <v>0</v>
      </c>
      <c r="T101" s="96" t="str" cm="1">
        <f t="array" ref="T101">IF(S101=1,  INDEX('十五音-韻母'!$D$5:$E$54, $R101, 1), INDEX('十五音-韻母'!$D$5:$E$54, $R101, 2))</f>
        <v>oonnh</v>
      </c>
      <c r="U101" s="96">
        <f t="shared" si="5"/>
        <v>0</v>
      </c>
    </row>
    <row r="102" spans="17:21" ht="27">
      <c r="Q102" s="21">
        <v>99</v>
      </c>
      <c r="R102" s="96">
        <f t="shared" si="3"/>
        <v>50</v>
      </c>
      <c r="S102" s="96">
        <f t="shared" si="4"/>
        <v>1</v>
      </c>
      <c r="T102" s="96" t="str" cm="1">
        <f t="array" ref="T102">IF(S102=1,  INDEX('十五音-韻母'!$D$5:$E$54, $R102, 1), INDEX('十五音-韻母'!$D$5:$E$54, $R102, 2))</f>
        <v>iunn</v>
      </c>
      <c r="U102" s="96">
        <f t="shared" si="5"/>
        <v>46</v>
      </c>
    </row>
    <row r="103" spans="17:21" ht="27">
      <c r="Q103" s="21">
        <v>100</v>
      </c>
      <c r="R103" s="96">
        <f t="shared" si="3"/>
        <v>50</v>
      </c>
      <c r="S103" s="96">
        <f t="shared" si="4"/>
        <v>0</v>
      </c>
      <c r="T103" s="96" t="str" cm="1">
        <f t="array" ref="T103">IF(S103=1,  INDEX('十五音-韻母'!$D$5:$E$54, $R103, 1), INDEX('十五音-韻母'!$D$5:$E$54, $R103, 2))</f>
        <v>iunnh</v>
      </c>
      <c r="U103" s="96">
        <f t="shared" si="5"/>
        <v>47</v>
      </c>
    </row>
  </sheetData>
  <sortState xmlns:xlrd2="http://schemas.microsoft.com/office/spreadsheetml/2017/richdata2" ref="F5:L78">
    <sortCondition ref="F5:F78"/>
  </sortState>
  <phoneticPr fontId="42" type="noConversion"/>
  <conditionalFormatting sqref="Q5:U103">
    <cfRule type="expression" dxfId="25" priority="1">
      <formula>$U5=""</formula>
    </cfRule>
    <cfRule type="expression" dxfId="24" priority="2">
      <formula>$U5=0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6E08-F577-474C-A835-0327776D125D}">
  <sheetPr codeName="工作表9">
    <tabColor rgb="FF7030A0"/>
  </sheetPr>
  <dimension ref="B4:AJ16"/>
  <sheetViews>
    <sheetView workbookViewId="0"/>
  </sheetViews>
  <sheetFormatPr baseColWidth="10" defaultColWidth="10.69921875" defaultRowHeight="27" outlineLevelCol="1"/>
  <cols>
    <col min="1" max="1" width="1.8984375" style="113" customWidth="1"/>
    <col min="2" max="2" width="14.59765625" style="113" bestFit="1" customWidth="1"/>
    <col min="3" max="4" width="21.19921875" style="113" customWidth="1"/>
    <col min="5" max="5" width="30" style="113" customWidth="1"/>
    <col min="6" max="6" width="21.19921875" style="113" customWidth="1"/>
    <col min="7" max="33" width="21.19921875" style="113" hidden="1" customWidth="1" outlineLevel="1"/>
    <col min="34" max="34" width="21.19921875" style="113" customWidth="1" collapsed="1"/>
    <col min="35" max="35" width="21.19921875" style="113" customWidth="1"/>
    <col min="36" max="16384" width="10.69921875" style="113"/>
  </cols>
  <sheetData>
    <row r="4" spans="2:36" ht="34" customHeight="1">
      <c r="B4" s="112" t="s">
        <v>1658</v>
      </c>
      <c r="C4" s="112" t="s">
        <v>1659</v>
      </c>
      <c r="D4" s="112" t="s">
        <v>1660</v>
      </c>
      <c r="E4" s="112" t="s">
        <v>1661</v>
      </c>
      <c r="F4" s="112" t="s">
        <v>1662</v>
      </c>
      <c r="G4" s="112" t="s">
        <v>1663</v>
      </c>
      <c r="H4" s="112" t="s">
        <v>1664</v>
      </c>
      <c r="I4" s="112" t="s">
        <v>1665</v>
      </c>
      <c r="J4" s="112" t="s">
        <v>1666</v>
      </c>
      <c r="K4" s="112" t="s">
        <v>1667</v>
      </c>
      <c r="L4" s="112" t="s">
        <v>1668</v>
      </c>
      <c r="M4" s="112" t="s">
        <v>1669</v>
      </c>
      <c r="N4" s="112" t="s">
        <v>1670</v>
      </c>
      <c r="O4" s="112" t="s">
        <v>1671</v>
      </c>
      <c r="P4" s="112" t="s">
        <v>1672</v>
      </c>
      <c r="Q4" s="112" t="s">
        <v>1673</v>
      </c>
      <c r="R4" s="112" t="s">
        <v>1674</v>
      </c>
      <c r="S4" s="112" t="s">
        <v>1675</v>
      </c>
      <c r="T4" s="112" t="s">
        <v>1676</v>
      </c>
      <c r="U4" s="112" t="s">
        <v>1677</v>
      </c>
      <c r="V4" s="112" t="s">
        <v>1678</v>
      </c>
      <c r="W4" s="112" t="s">
        <v>1679</v>
      </c>
      <c r="X4" s="112" t="s">
        <v>1680</v>
      </c>
      <c r="Y4" s="112" t="s">
        <v>1681</v>
      </c>
      <c r="Z4" s="112" t="s">
        <v>1682</v>
      </c>
      <c r="AA4" s="112" t="s">
        <v>1683</v>
      </c>
      <c r="AB4" s="112" t="s">
        <v>1684</v>
      </c>
      <c r="AC4" s="112" t="s">
        <v>1685</v>
      </c>
      <c r="AD4" s="112" t="s">
        <v>1686</v>
      </c>
      <c r="AE4" s="112" t="s">
        <v>1687</v>
      </c>
      <c r="AF4" s="112" t="s">
        <v>1688</v>
      </c>
      <c r="AG4" s="112" t="s">
        <v>1689</v>
      </c>
      <c r="AH4" s="112" t="s">
        <v>1690</v>
      </c>
      <c r="AI4" s="112" t="s">
        <v>1691</v>
      </c>
      <c r="AJ4" s="255" t="s">
        <v>9</v>
      </c>
    </row>
    <row r="5" spans="2:36" ht="44" customHeight="1">
      <c r="B5" s="114" t="s">
        <v>1692</v>
      </c>
      <c r="C5" s="120" t="s">
        <v>1693</v>
      </c>
      <c r="D5" s="120" t="s">
        <v>424</v>
      </c>
      <c r="E5" s="120" t="s">
        <v>1694</v>
      </c>
      <c r="F5" s="120" t="s">
        <v>424</v>
      </c>
      <c r="G5" s="120" t="s">
        <v>1695</v>
      </c>
      <c r="H5" s="120" t="s">
        <v>424</v>
      </c>
      <c r="I5" s="115" t="s">
        <v>1696</v>
      </c>
      <c r="J5" s="115" t="s">
        <v>424</v>
      </c>
      <c r="K5" s="115" t="s">
        <v>1697</v>
      </c>
      <c r="L5" s="115" t="s">
        <v>1697</v>
      </c>
      <c r="M5" s="115" t="s">
        <v>1697</v>
      </c>
      <c r="N5" s="115" t="s">
        <v>1698</v>
      </c>
      <c r="O5" s="115" t="s">
        <v>424</v>
      </c>
      <c r="P5" s="115"/>
      <c r="Q5" s="115" t="s">
        <v>424</v>
      </c>
      <c r="R5" s="115" t="s">
        <v>1699</v>
      </c>
      <c r="S5" s="115" t="s">
        <v>1700</v>
      </c>
      <c r="T5" s="115" t="s">
        <v>424</v>
      </c>
      <c r="U5" s="115" t="s">
        <v>424</v>
      </c>
      <c r="V5" s="115" t="s">
        <v>424</v>
      </c>
      <c r="W5" s="115">
        <f>-(1)</f>
        <v>-1</v>
      </c>
      <c r="X5" s="115" t="s">
        <v>424</v>
      </c>
      <c r="Y5" s="115" t="s">
        <v>1701</v>
      </c>
      <c r="Z5" s="115" t="s">
        <v>1694</v>
      </c>
      <c r="AA5" s="115">
        <v>44</v>
      </c>
      <c r="AB5" s="116" t="s">
        <v>152</v>
      </c>
      <c r="AC5" s="115" t="s">
        <v>1702</v>
      </c>
      <c r="AD5" s="115" t="s">
        <v>1703</v>
      </c>
      <c r="AE5" s="115" t="s">
        <v>1704</v>
      </c>
      <c r="AF5" s="115" t="s">
        <v>1705</v>
      </c>
      <c r="AG5" s="115" t="s">
        <v>1706</v>
      </c>
      <c r="AH5" s="115" t="s">
        <v>1707</v>
      </c>
      <c r="AI5" s="115" t="s">
        <v>1708</v>
      </c>
      <c r="AJ5" s="120"/>
    </row>
    <row r="6" spans="2:36" ht="44" customHeight="1">
      <c r="B6" s="114" t="s">
        <v>1709</v>
      </c>
      <c r="C6" s="120" t="s">
        <v>1710</v>
      </c>
      <c r="D6" s="120" t="s">
        <v>1711</v>
      </c>
      <c r="E6" s="120" t="s">
        <v>1712</v>
      </c>
      <c r="F6" s="120" t="s">
        <v>1713</v>
      </c>
      <c r="G6" s="120" t="s">
        <v>1714</v>
      </c>
      <c r="H6" s="120" t="s">
        <v>1715</v>
      </c>
      <c r="I6" s="115" t="s">
        <v>1716</v>
      </c>
      <c r="J6" s="115" t="s">
        <v>1715</v>
      </c>
      <c r="K6" s="115" t="s">
        <v>1717</v>
      </c>
      <c r="L6" s="115" t="s">
        <v>1717</v>
      </c>
      <c r="M6" s="115" t="s">
        <v>1717</v>
      </c>
      <c r="N6" s="115" t="s">
        <v>1717</v>
      </c>
      <c r="O6" s="115" t="s">
        <v>1717</v>
      </c>
      <c r="P6" s="115" t="s">
        <v>1718</v>
      </c>
      <c r="Q6" s="115" t="s">
        <v>1711</v>
      </c>
      <c r="R6" s="115" t="s">
        <v>1719</v>
      </c>
      <c r="S6" s="115" t="s">
        <v>1720</v>
      </c>
      <c r="T6" s="115" t="s">
        <v>1628</v>
      </c>
      <c r="U6" s="115" t="s">
        <v>1711</v>
      </c>
      <c r="V6" s="115" t="s">
        <v>1711</v>
      </c>
      <c r="W6" s="115" t="s">
        <v>1721</v>
      </c>
      <c r="X6" s="115" t="s">
        <v>1722</v>
      </c>
      <c r="Y6" s="115" t="s">
        <v>1723</v>
      </c>
      <c r="Z6" s="117"/>
      <c r="AA6" s="115">
        <v>53</v>
      </c>
      <c r="AB6" s="116" t="s">
        <v>1724</v>
      </c>
      <c r="AC6" s="115" t="s">
        <v>1725</v>
      </c>
      <c r="AD6" s="115" t="s">
        <v>1726</v>
      </c>
      <c r="AE6" s="115" t="s">
        <v>1727</v>
      </c>
      <c r="AF6" s="115" t="s">
        <v>1705</v>
      </c>
      <c r="AG6" s="115" t="s">
        <v>1728</v>
      </c>
      <c r="AH6" s="115" t="s">
        <v>1729</v>
      </c>
      <c r="AI6" s="115">
        <v>53</v>
      </c>
      <c r="AJ6" s="256" t="s">
        <v>1730</v>
      </c>
    </row>
    <row r="7" spans="2:36" ht="44" customHeight="1">
      <c r="B7" s="114" t="s">
        <v>1731</v>
      </c>
      <c r="C7" s="120" t="s">
        <v>1732</v>
      </c>
      <c r="D7" s="120" t="s">
        <v>1733</v>
      </c>
      <c r="E7" s="120" t="s">
        <v>1734</v>
      </c>
      <c r="F7" s="120" t="s">
        <v>1715</v>
      </c>
      <c r="G7" s="120" t="s">
        <v>1735</v>
      </c>
      <c r="H7" s="120" t="s">
        <v>1736</v>
      </c>
      <c r="I7" s="115" t="s">
        <v>1737</v>
      </c>
      <c r="J7" s="115" t="s">
        <v>1738</v>
      </c>
      <c r="K7" s="115" t="s">
        <v>1698</v>
      </c>
      <c r="L7" s="115" t="s">
        <v>1698</v>
      </c>
      <c r="M7" s="115" t="s">
        <v>1698</v>
      </c>
      <c r="N7" s="115" t="s">
        <v>1739</v>
      </c>
      <c r="O7" s="115" t="s">
        <v>1697</v>
      </c>
      <c r="P7" s="115" t="s">
        <v>1740</v>
      </c>
      <c r="Q7" s="115" t="s">
        <v>1733</v>
      </c>
      <c r="R7" s="115" t="s">
        <v>1741</v>
      </c>
      <c r="S7" s="115" t="s">
        <v>1742</v>
      </c>
      <c r="T7" s="115" t="s">
        <v>425</v>
      </c>
      <c r="U7" s="115" t="s">
        <v>1733</v>
      </c>
      <c r="V7" s="115" t="s">
        <v>1733</v>
      </c>
      <c r="W7" s="115" t="s">
        <v>1743</v>
      </c>
      <c r="X7" s="115" t="s">
        <v>1744</v>
      </c>
      <c r="Y7" s="115" t="s">
        <v>1745</v>
      </c>
      <c r="Z7" s="117"/>
      <c r="AA7" s="115">
        <v>21</v>
      </c>
      <c r="AB7" s="116" t="s">
        <v>1746</v>
      </c>
      <c r="AC7" s="115" t="s">
        <v>1747</v>
      </c>
      <c r="AD7" s="115" t="s">
        <v>1748</v>
      </c>
      <c r="AE7" s="115" t="s">
        <v>1749</v>
      </c>
      <c r="AF7" s="115" t="s">
        <v>1750</v>
      </c>
      <c r="AG7" s="115" t="s">
        <v>1728</v>
      </c>
      <c r="AH7" s="115" t="s">
        <v>1751</v>
      </c>
      <c r="AI7" s="115">
        <v>21</v>
      </c>
      <c r="AJ7" s="256" t="s">
        <v>1752</v>
      </c>
    </row>
    <row r="8" spans="2:36" ht="44" customHeight="1">
      <c r="B8" s="114" t="s">
        <v>1753</v>
      </c>
      <c r="C8" s="120" t="s">
        <v>1754</v>
      </c>
      <c r="D8" s="120" t="s">
        <v>1755</v>
      </c>
      <c r="E8" s="120" t="s">
        <v>1756</v>
      </c>
      <c r="F8" s="120" t="s">
        <v>1755</v>
      </c>
      <c r="G8" s="120" t="s">
        <v>1757</v>
      </c>
      <c r="H8" s="120" t="s">
        <v>1758</v>
      </c>
      <c r="I8" s="115" t="s">
        <v>1759</v>
      </c>
      <c r="J8" s="115" t="s">
        <v>1760</v>
      </c>
      <c r="K8" s="115" t="s">
        <v>1761</v>
      </c>
      <c r="L8" s="115" t="s">
        <v>1761</v>
      </c>
      <c r="M8" s="115" t="s">
        <v>1761</v>
      </c>
      <c r="N8" s="115" t="s">
        <v>1762</v>
      </c>
      <c r="O8" s="115" t="s">
        <v>1763</v>
      </c>
      <c r="P8" s="115"/>
      <c r="Q8" s="115" t="s">
        <v>1755</v>
      </c>
      <c r="R8" s="115" t="s">
        <v>1764</v>
      </c>
      <c r="S8" s="115" t="s">
        <v>1765</v>
      </c>
      <c r="T8" s="115" t="s">
        <v>1766</v>
      </c>
      <c r="U8" s="115" t="s">
        <v>1763</v>
      </c>
      <c r="V8" s="115" t="s">
        <v>1755</v>
      </c>
      <c r="W8" s="115" t="s">
        <v>1767</v>
      </c>
      <c r="X8" s="115" t="s">
        <v>1768</v>
      </c>
      <c r="Y8" s="115" t="s">
        <v>1701</v>
      </c>
      <c r="Z8" s="115" t="s">
        <v>1769</v>
      </c>
      <c r="AA8" s="115">
        <v>2</v>
      </c>
      <c r="AB8" s="116" t="s">
        <v>1770</v>
      </c>
      <c r="AC8" s="115" t="s">
        <v>1771</v>
      </c>
      <c r="AD8" s="115" t="s">
        <v>1772</v>
      </c>
      <c r="AE8" s="115" t="s">
        <v>1773</v>
      </c>
      <c r="AF8" s="115" t="s">
        <v>1750</v>
      </c>
      <c r="AG8" s="115" t="s">
        <v>1774</v>
      </c>
      <c r="AH8" s="115" t="s">
        <v>1775</v>
      </c>
      <c r="AI8" s="115">
        <v>2</v>
      </c>
      <c r="AJ8" s="120"/>
    </row>
    <row r="9" spans="2:36" ht="44" customHeight="1">
      <c r="B9" s="114" t="s">
        <v>1776</v>
      </c>
      <c r="C9" s="120" t="s">
        <v>1777</v>
      </c>
      <c r="D9" s="120" t="s">
        <v>1778</v>
      </c>
      <c r="E9" s="120" t="s">
        <v>1779</v>
      </c>
      <c r="F9" s="120" t="s">
        <v>1738</v>
      </c>
      <c r="G9" s="120" t="s">
        <v>1780</v>
      </c>
      <c r="H9" s="120" t="s">
        <v>1781</v>
      </c>
      <c r="I9" s="115" t="s">
        <v>1782</v>
      </c>
      <c r="J9" s="115" t="s">
        <v>1783</v>
      </c>
      <c r="K9" s="115" t="s">
        <v>1628</v>
      </c>
      <c r="L9" s="115" t="s">
        <v>1628</v>
      </c>
      <c r="M9" s="115" t="s">
        <v>1628</v>
      </c>
      <c r="N9" s="115" t="s">
        <v>1628</v>
      </c>
      <c r="O9" s="115" t="s">
        <v>1628</v>
      </c>
      <c r="P9" s="115" t="s">
        <v>1784</v>
      </c>
      <c r="Q9" s="115" t="s">
        <v>1778</v>
      </c>
      <c r="R9" s="115" t="s">
        <v>1700</v>
      </c>
      <c r="S9" s="115" t="s">
        <v>1719</v>
      </c>
      <c r="T9" s="115" t="s">
        <v>1717</v>
      </c>
      <c r="U9" s="115" t="s">
        <v>1778</v>
      </c>
      <c r="V9" s="115" t="s">
        <v>1778</v>
      </c>
      <c r="W9" s="115" t="s">
        <v>1785</v>
      </c>
      <c r="X9" s="115" t="s">
        <v>1786</v>
      </c>
      <c r="Y9" s="115" t="s">
        <v>1787</v>
      </c>
      <c r="Z9" s="117"/>
      <c r="AA9" s="115">
        <v>24</v>
      </c>
      <c r="AB9" s="116" t="s">
        <v>1788</v>
      </c>
      <c r="AC9" s="115" t="s">
        <v>1789</v>
      </c>
      <c r="AD9" s="115" t="s">
        <v>1790</v>
      </c>
      <c r="AE9" s="115" t="s">
        <v>1791</v>
      </c>
      <c r="AF9" s="115" t="s">
        <v>1750</v>
      </c>
      <c r="AG9" s="115" t="s">
        <v>1792</v>
      </c>
      <c r="AH9" s="115" t="s">
        <v>1793</v>
      </c>
      <c r="AI9" s="115">
        <v>24</v>
      </c>
      <c r="AJ9" s="256" t="s">
        <v>1794</v>
      </c>
    </row>
    <row r="10" spans="2:36" ht="44" customHeight="1">
      <c r="B10" s="114" t="s">
        <v>1795</v>
      </c>
      <c r="C10" s="120" t="s">
        <v>1796</v>
      </c>
      <c r="D10" s="120" t="s">
        <v>1797</v>
      </c>
      <c r="E10" s="120"/>
      <c r="F10" s="120"/>
      <c r="G10" s="120" t="s">
        <v>1798</v>
      </c>
      <c r="H10" s="120"/>
      <c r="I10" s="115"/>
      <c r="J10" s="115"/>
      <c r="K10" s="115" t="s">
        <v>1799</v>
      </c>
      <c r="L10" s="115" t="s">
        <v>1799</v>
      </c>
      <c r="M10" s="115" t="s">
        <v>1799</v>
      </c>
      <c r="N10" s="115" t="s">
        <v>1799</v>
      </c>
      <c r="O10" s="115" t="s">
        <v>1717</v>
      </c>
      <c r="P10" s="115"/>
      <c r="Q10" s="115" t="s">
        <v>1797</v>
      </c>
      <c r="R10" s="115"/>
      <c r="S10" s="115"/>
      <c r="T10" s="115"/>
      <c r="U10" s="115"/>
      <c r="V10" s="115"/>
      <c r="W10" s="115" t="s">
        <v>1800</v>
      </c>
      <c r="X10" s="115"/>
      <c r="Y10" s="115" t="s">
        <v>1723</v>
      </c>
      <c r="Z10" s="115" t="s">
        <v>1801</v>
      </c>
      <c r="AA10" s="115">
        <v>22</v>
      </c>
      <c r="AB10" s="115"/>
      <c r="AC10" s="115"/>
      <c r="AD10" s="115"/>
      <c r="AE10" s="115" t="s">
        <v>1802</v>
      </c>
      <c r="AF10" s="115" t="s">
        <v>1750</v>
      </c>
      <c r="AG10" s="115" t="s">
        <v>1706</v>
      </c>
      <c r="AH10" s="115" t="s">
        <v>1803</v>
      </c>
      <c r="AI10" s="115">
        <v>22</v>
      </c>
      <c r="AJ10" s="120"/>
    </row>
    <row r="11" spans="2:36" ht="44" customHeight="1">
      <c r="B11" s="114" t="s">
        <v>1804</v>
      </c>
      <c r="C11" s="120" t="s">
        <v>1805</v>
      </c>
      <c r="D11" s="120" t="s">
        <v>1806</v>
      </c>
      <c r="E11" s="120" t="s">
        <v>1807</v>
      </c>
      <c r="F11" s="120" t="s">
        <v>1808</v>
      </c>
      <c r="G11" s="120" t="s">
        <v>1809</v>
      </c>
      <c r="H11" s="120" t="s">
        <v>1806</v>
      </c>
      <c r="I11" s="115" t="s">
        <v>1694</v>
      </c>
      <c r="J11" s="115" t="s">
        <v>1810</v>
      </c>
      <c r="K11" s="115" t="s">
        <v>424</v>
      </c>
      <c r="L11" s="115" t="s">
        <v>424</v>
      </c>
      <c r="M11" s="115" t="s">
        <v>424</v>
      </c>
      <c r="N11" s="115" t="s">
        <v>424</v>
      </c>
      <c r="O11" s="115" t="s">
        <v>1811</v>
      </c>
      <c r="P11" s="115" t="s">
        <v>1812</v>
      </c>
      <c r="Q11" s="115" t="s">
        <v>1806</v>
      </c>
      <c r="R11" s="115" t="s">
        <v>1813</v>
      </c>
      <c r="S11" s="115" t="s">
        <v>1814</v>
      </c>
      <c r="T11" s="115" t="s">
        <v>1815</v>
      </c>
      <c r="U11" s="115" t="s">
        <v>1806</v>
      </c>
      <c r="V11" s="115" t="s">
        <v>1806</v>
      </c>
      <c r="W11" s="115" t="s">
        <v>1816</v>
      </c>
      <c r="X11" s="115" t="s">
        <v>1817</v>
      </c>
      <c r="Y11" s="115" t="s">
        <v>1818</v>
      </c>
      <c r="Z11" s="117"/>
      <c r="AA11" s="115">
        <v>33</v>
      </c>
      <c r="AB11" s="116" t="s">
        <v>1819</v>
      </c>
      <c r="AC11" s="115" t="s">
        <v>1820</v>
      </c>
      <c r="AD11" s="115" t="s">
        <v>1821</v>
      </c>
      <c r="AE11" s="115" t="s">
        <v>1822</v>
      </c>
      <c r="AF11" s="115" t="s">
        <v>1823</v>
      </c>
      <c r="AG11" s="115" t="s">
        <v>1706</v>
      </c>
      <c r="AH11" s="115" t="s">
        <v>1824</v>
      </c>
      <c r="AI11" s="115">
        <v>33</v>
      </c>
      <c r="AJ11" s="256" t="s">
        <v>1825</v>
      </c>
    </row>
    <row r="12" spans="2:36" ht="44" customHeight="1">
      <c r="B12" s="114" t="s">
        <v>1826</v>
      </c>
      <c r="C12" s="120" t="s">
        <v>1827</v>
      </c>
      <c r="D12" s="120" t="s">
        <v>1828</v>
      </c>
      <c r="E12" s="257" t="s">
        <v>1829</v>
      </c>
      <c r="F12" s="120" t="s">
        <v>1828</v>
      </c>
      <c r="G12" s="120" t="s">
        <v>1830</v>
      </c>
      <c r="H12" s="120" t="s">
        <v>1755</v>
      </c>
      <c r="I12" s="115" t="s">
        <v>1831</v>
      </c>
      <c r="J12" s="115" t="s">
        <v>1832</v>
      </c>
      <c r="K12" s="115" t="s">
        <v>1755</v>
      </c>
      <c r="L12" s="115" t="s">
        <v>1755</v>
      </c>
      <c r="M12" s="115" t="s">
        <v>1755</v>
      </c>
      <c r="N12" s="115" t="s">
        <v>1833</v>
      </c>
      <c r="O12" s="115" t="s">
        <v>1834</v>
      </c>
      <c r="P12" s="115" t="s">
        <v>1835</v>
      </c>
      <c r="Q12" s="115" t="s">
        <v>1836</v>
      </c>
      <c r="R12" s="115" t="s">
        <v>1837</v>
      </c>
      <c r="S12" s="115" t="s">
        <v>1838</v>
      </c>
      <c r="T12" s="115" t="s">
        <v>1839</v>
      </c>
      <c r="U12" s="115" t="s">
        <v>1834</v>
      </c>
      <c r="V12" s="115" t="s">
        <v>1828</v>
      </c>
      <c r="W12" s="115" t="s">
        <v>1812</v>
      </c>
      <c r="X12" s="115" t="s">
        <v>1768</v>
      </c>
      <c r="Y12" s="115" t="s">
        <v>1840</v>
      </c>
      <c r="Z12" s="116" t="s">
        <v>1841</v>
      </c>
      <c r="AA12" s="115">
        <v>4</v>
      </c>
      <c r="AB12" s="116" t="s">
        <v>1842</v>
      </c>
      <c r="AC12" s="115" t="s">
        <v>1843</v>
      </c>
      <c r="AD12" s="115" t="s">
        <v>1844</v>
      </c>
      <c r="AE12" s="115" t="s">
        <v>1845</v>
      </c>
      <c r="AF12" s="115" t="s">
        <v>1705</v>
      </c>
      <c r="AG12" s="115" t="s">
        <v>1774</v>
      </c>
      <c r="AH12" s="115" t="s">
        <v>1846</v>
      </c>
      <c r="AI12" s="115">
        <v>4</v>
      </c>
      <c r="AJ12" s="120" t="s">
        <v>1847</v>
      </c>
    </row>
    <row r="13" spans="2:36" ht="44" customHeight="1">
      <c r="B13" s="114" t="s">
        <v>1848</v>
      </c>
      <c r="C13" s="120"/>
      <c r="D13" s="120" t="s">
        <v>1849</v>
      </c>
      <c r="E13" s="120"/>
      <c r="F13" s="120"/>
      <c r="G13" s="120" t="s">
        <v>1850</v>
      </c>
      <c r="H13" s="120" t="s">
        <v>1713</v>
      </c>
      <c r="I13" s="115"/>
      <c r="J13" s="115" t="s">
        <v>1713</v>
      </c>
      <c r="K13" s="115"/>
      <c r="L13" s="115"/>
      <c r="M13" s="115"/>
      <c r="N13" s="115"/>
      <c r="O13" s="115"/>
      <c r="P13" s="115"/>
      <c r="Q13" s="115" t="s">
        <v>1849</v>
      </c>
      <c r="R13" s="115" t="s">
        <v>1851</v>
      </c>
      <c r="S13" s="115"/>
      <c r="T13" s="115"/>
      <c r="U13" s="115"/>
      <c r="V13" s="115"/>
      <c r="W13" s="115" t="s">
        <v>1718</v>
      </c>
      <c r="X13" s="115"/>
      <c r="Y13" s="115"/>
      <c r="Z13" s="117"/>
      <c r="AA13" s="115">
        <v>45</v>
      </c>
      <c r="AB13" s="115" t="s">
        <v>1852</v>
      </c>
      <c r="AC13" s="115" t="s">
        <v>1853</v>
      </c>
      <c r="AD13" s="115" t="s">
        <v>1853</v>
      </c>
      <c r="AE13" s="115" t="s">
        <v>1854</v>
      </c>
      <c r="AF13" s="115" t="s">
        <v>1705</v>
      </c>
      <c r="AG13" s="115" t="s">
        <v>1792</v>
      </c>
      <c r="AH13" s="115" t="s">
        <v>1855</v>
      </c>
      <c r="AI13" s="115">
        <v>45</v>
      </c>
    </row>
    <row r="14" spans="2:36" ht="44" customHeight="1">
      <c r="B14" s="114" t="s">
        <v>1856</v>
      </c>
      <c r="C14" s="120"/>
      <c r="D14" s="120" t="s">
        <v>1857</v>
      </c>
      <c r="E14" s="120"/>
      <c r="F14" s="120" t="s">
        <v>1857</v>
      </c>
      <c r="G14" s="120" t="s">
        <v>1858</v>
      </c>
      <c r="H14" s="120" t="s">
        <v>1859</v>
      </c>
      <c r="I14" s="115" t="s">
        <v>1860</v>
      </c>
      <c r="J14" s="115"/>
      <c r="K14" s="118" t="s">
        <v>1861</v>
      </c>
      <c r="L14" s="118" t="s">
        <v>1861</v>
      </c>
      <c r="M14" s="118" t="s">
        <v>1861</v>
      </c>
      <c r="N14" s="115"/>
      <c r="O14" s="115" t="s">
        <v>1862</v>
      </c>
      <c r="P14" s="115"/>
      <c r="Q14" s="115" t="s">
        <v>1863</v>
      </c>
      <c r="R14" s="115" t="s">
        <v>1864</v>
      </c>
      <c r="S14" s="115" t="s">
        <v>1767</v>
      </c>
      <c r="T14" s="119" t="s">
        <v>1865</v>
      </c>
      <c r="U14" s="115" t="s">
        <v>1866</v>
      </c>
      <c r="V14" s="115" t="s">
        <v>1857</v>
      </c>
      <c r="W14" s="115" t="s">
        <v>1867</v>
      </c>
      <c r="X14" s="115"/>
      <c r="Y14" s="115"/>
      <c r="Z14" s="117"/>
      <c r="AA14" s="115">
        <v>2</v>
      </c>
      <c r="AB14" s="115" t="s">
        <v>1856</v>
      </c>
      <c r="AC14" s="116" t="s">
        <v>1856</v>
      </c>
      <c r="AD14" s="115" t="s">
        <v>1856</v>
      </c>
      <c r="AE14" s="115" t="s">
        <v>1856</v>
      </c>
      <c r="AF14" s="115" t="s">
        <v>1868</v>
      </c>
      <c r="AG14" s="115" t="s">
        <v>1869</v>
      </c>
      <c r="AH14" s="115" t="s">
        <v>1870</v>
      </c>
      <c r="AI14" s="115" t="s">
        <v>1870</v>
      </c>
    </row>
    <row r="15" spans="2:36" ht="44" customHeight="1">
      <c r="B15" s="114" t="s">
        <v>1871</v>
      </c>
      <c r="C15" s="120" t="s">
        <v>406</v>
      </c>
      <c r="D15" s="120" t="s">
        <v>400</v>
      </c>
      <c r="E15" s="120" t="s">
        <v>1872</v>
      </c>
      <c r="F15" s="120" t="s">
        <v>1873</v>
      </c>
      <c r="G15" s="120" t="s">
        <v>1874</v>
      </c>
      <c r="H15" s="120" t="s">
        <v>1873</v>
      </c>
      <c r="I15" s="115" t="s">
        <v>1875</v>
      </c>
      <c r="J15" s="115"/>
      <c r="K15" s="115" t="s">
        <v>1876</v>
      </c>
      <c r="L15" s="115" t="s">
        <v>1876</v>
      </c>
      <c r="M15" s="115" t="s">
        <v>1876</v>
      </c>
      <c r="N15" s="115" t="s">
        <v>1877</v>
      </c>
      <c r="O15" s="115" t="s">
        <v>1873</v>
      </c>
      <c r="P15" s="115"/>
      <c r="Q15" s="115" t="s">
        <v>1878</v>
      </c>
      <c r="R15" s="115" t="s">
        <v>1879</v>
      </c>
      <c r="S15" s="115" t="s">
        <v>62</v>
      </c>
      <c r="T15" s="115" t="s">
        <v>1878</v>
      </c>
      <c r="U15" s="115" t="s">
        <v>1873</v>
      </c>
      <c r="V15" s="115"/>
      <c r="W15" s="115" t="s">
        <v>406</v>
      </c>
      <c r="X15" s="115" t="s">
        <v>1880</v>
      </c>
      <c r="Y15" s="115" t="s">
        <v>1787</v>
      </c>
      <c r="Z15" s="115" t="s">
        <v>1881</v>
      </c>
      <c r="AA15" s="115">
        <v>0</v>
      </c>
      <c r="AB15" s="115" t="s">
        <v>1882</v>
      </c>
      <c r="AC15" s="116" t="s">
        <v>1871</v>
      </c>
      <c r="AD15" s="115" t="s">
        <v>1883</v>
      </c>
      <c r="AE15" s="115" t="s">
        <v>1871</v>
      </c>
      <c r="AF15" s="115" t="s">
        <v>1884</v>
      </c>
      <c r="AG15" s="115" t="s">
        <v>1885</v>
      </c>
      <c r="AH15" s="115" t="s">
        <v>1886</v>
      </c>
      <c r="AI15" s="115" t="s">
        <v>1886</v>
      </c>
    </row>
    <row r="16" spans="2:36" ht="44" customHeight="1">
      <c r="B16" s="114" t="s">
        <v>1887</v>
      </c>
      <c r="C16" s="120" t="s">
        <v>1888</v>
      </c>
      <c r="D16" s="120" t="s">
        <v>1767</v>
      </c>
      <c r="E16" s="120" t="s">
        <v>1767</v>
      </c>
      <c r="F16" s="120" t="s">
        <v>1767</v>
      </c>
      <c r="G16" s="120" t="s">
        <v>1767</v>
      </c>
      <c r="H16" s="120" t="s">
        <v>1767</v>
      </c>
      <c r="I16" s="115" t="s">
        <v>1888</v>
      </c>
      <c r="J16" s="115" t="s">
        <v>1767</v>
      </c>
      <c r="K16" s="115" t="s">
        <v>1888</v>
      </c>
      <c r="L16" s="115" t="s">
        <v>1888</v>
      </c>
      <c r="M16" s="115" t="s">
        <v>1888</v>
      </c>
      <c r="N16" s="115" t="s">
        <v>1767</v>
      </c>
      <c r="O16" s="115" t="s">
        <v>1888</v>
      </c>
      <c r="P16" s="115" t="s">
        <v>1767</v>
      </c>
      <c r="Q16" s="115" t="s">
        <v>1767</v>
      </c>
      <c r="R16" s="115" t="s">
        <v>1767</v>
      </c>
      <c r="S16" s="115" t="s">
        <v>1767</v>
      </c>
      <c r="T16" s="115" t="s">
        <v>1767</v>
      </c>
      <c r="U16" s="115" t="s">
        <v>1767</v>
      </c>
      <c r="V16" s="115" t="s">
        <v>1767</v>
      </c>
      <c r="W16" s="115" t="s">
        <v>1767</v>
      </c>
      <c r="X16" s="115" t="s">
        <v>1767</v>
      </c>
      <c r="Y16" s="115" t="s">
        <v>1767</v>
      </c>
      <c r="Z16" s="115" t="s">
        <v>1767</v>
      </c>
      <c r="AA16" s="115">
        <v>32</v>
      </c>
      <c r="AB16" s="115" t="s">
        <v>82</v>
      </c>
      <c r="AC16" s="116" t="s">
        <v>1887</v>
      </c>
      <c r="AD16" s="115" t="s">
        <v>1887</v>
      </c>
      <c r="AE16" s="115" t="s">
        <v>1887</v>
      </c>
      <c r="AF16" s="115" t="s">
        <v>1889</v>
      </c>
      <c r="AG16" s="115" t="s">
        <v>1890</v>
      </c>
      <c r="AH16" s="115" t="s">
        <v>1891</v>
      </c>
      <c r="AI16" s="115" t="s">
        <v>1891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0F18-67D1-9D45-8A8D-7D17350CFF61}">
  <sheetPr codeName="工作表13">
    <tabColor rgb="FFFF0000"/>
  </sheetPr>
  <dimension ref="B1:I18"/>
  <sheetViews>
    <sheetView workbookViewId="0">
      <pane xSplit="4" ySplit="2" topLeftCell="E4" activePane="bottomRight" state="frozen"/>
      <selection pane="topRight" activeCell="E1" sqref="E1"/>
      <selection pane="bottomLeft" activeCell="A3" sqref="A3"/>
      <selection pane="bottomRight" activeCell="N14" sqref="N14"/>
    </sheetView>
  </sheetViews>
  <sheetFormatPr baseColWidth="10" defaultColWidth="10.8984375" defaultRowHeight="22"/>
  <cols>
    <col min="1" max="1" width="3.19921875" customWidth="1"/>
    <col min="2" max="2" width="5" bestFit="1" customWidth="1"/>
  </cols>
  <sheetData>
    <row r="1" spans="2:9" ht="10" customHeight="1"/>
    <row r="2" spans="2:9" ht="28">
      <c r="B2" s="19" t="s">
        <v>0</v>
      </c>
      <c r="C2" s="49" t="s">
        <v>723</v>
      </c>
      <c r="D2" s="19" t="s">
        <v>1947</v>
      </c>
      <c r="E2" s="19" t="s">
        <v>2217</v>
      </c>
      <c r="F2" s="19" t="s">
        <v>9</v>
      </c>
      <c r="G2" s="49" t="s">
        <v>3672</v>
      </c>
      <c r="H2" s="49" t="s">
        <v>3630</v>
      </c>
      <c r="I2" s="327" t="s">
        <v>8</v>
      </c>
    </row>
    <row r="3" spans="2:9" ht="51" customHeight="1">
      <c r="B3" s="2">
        <v>1</v>
      </c>
      <c r="C3" s="410" t="s">
        <v>12</v>
      </c>
      <c r="D3" s="411" t="s">
        <v>1950</v>
      </c>
      <c r="E3" s="4" t="s">
        <v>1951</v>
      </c>
      <c r="F3" s="3" t="s">
        <v>1949</v>
      </c>
      <c r="G3" s="411" t="s">
        <v>1950</v>
      </c>
      <c r="H3" s="411" t="s">
        <v>1950</v>
      </c>
      <c r="I3" s="4" t="s">
        <v>1952</v>
      </c>
    </row>
    <row r="4" spans="2:9" ht="51" customHeight="1">
      <c r="B4" s="2">
        <v>2</v>
      </c>
      <c r="C4" s="410" t="s">
        <v>23</v>
      </c>
      <c r="D4" s="411" t="s">
        <v>24</v>
      </c>
      <c r="E4" s="4" t="s">
        <v>25</v>
      </c>
      <c r="F4" s="3" t="s">
        <v>26</v>
      </c>
      <c r="G4" s="411" t="s">
        <v>24</v>
      </c>
      <c r="H4" s="411" t="s">
        <v>24</v>
      </c>
      <c r="I4" s="4" t="s">
        <v>21</v>
      </c>
    </row>
    <row r="5" spans="2:9" ht="51" customHeight="1">
      <c r="B5" s="2">
        <v>3</v>
      </c>
      <c r="C5" s="410" t="s">
        <v>29</v>
      </c>
      <c r="D5" s="411" t="s">
        <v>30</v>
      </c>
      <c r="E5" s="4" t="s">
        <v>31</v>
      </c>
      <c r="F5" s="3" t="s">
        <v>32</v>
      </c>
      <c r="G5" s="411" t="s">
        <v>30</v>
      </c>
      <c r="H5" s="411" t="s">
        <v>30</v>
      </c>
      <c r="I5" s="4" t="s">
        <v>27</v>
      </c>
    </row>
    <row r="6" spans="2:9" ht="51" customHeight="1">
      <c r="B6" s="2">
        <v>4</v>
      </c>
      <c r="C6" s="410" t="s">
        <v>35</v>
      </c>
      <c r="D6" s="411" t="s">
        <v>36</v>
      </c>
      <c r="E6" s="4" t="s">
        <v>37</v>
      </c>
      <c r="F6" s="3" t="s">
        <v>38</v>
      </c>
      <c r="G6" s="411" t="s">
        <v>36</v>
      </c>
      <c r="H6" s="411" t="s">
        <v>36</v>
      </c>
      <c r="I6" s="4" t="s">
        <v>30</v>
      </c>
    </row>
    <row r="7" spans="2:9" ht="51" customHeight="1">
      <c r="B7" s="2">
        <v>5</v>
      </c>
      <c r="C7" s="410" t="s">
        <v>41</v>
      </c>
      <c r="D7" s="411" t="s">
        <v>42</v>
      </c>
      <c r="E7" s="4" t="s">
        <v>43</v>
      </c>
      <c r="F7" s="3" t="s">
        <v>45</v>
      </c>
      <c r="G7" s="411" t="s">
        <v>42</v>
      </c>
      <c r="H7" s="411" t="s">
        <v>42</v>
      </c>
      <c r="I7" s="4" t="s">
        <v>44</v>
      </c>
    </row>
    <row r="8" spans="2:9" ht="51" customHeight="1">
      <c r="B8" s="2">
        <v>6</v>
      </c>
      <c r="C8" s="410" t="s">
        <v>47</v>
      </c>
      <c r="D8" s="411" t="s">
        <v>48</v>
      </c>
      <c r="E8" s="4" t="s">
        <v>49</v>
      </c>
      <c r="F8" s="3" t="s">
        <v>50</v>
      </c>
      <c r="G8" s="411" t="s">
        <v>48</v>
      </c>
      <c r="H8" s="411" t="s">
        <v>48</v>
      </c>
      <c r="I8" s="4" t="s">
        <v>24</v>
      </c>
    </row>
    <row r="9" spans="2:9" ht="51" customHeight="1">
      <c r="B9" s="2">
        <v>7</v>
      </c>
      <c r="C9" s="410" t="s">
        <v>52</v>
      </c>
      <c r="D9" s="411" t="s">
        <v>53</v>
      </c>
      <c r="E9" s="4" t="s">
        <v>54</v>
      </c>
      <c r="F9" s="3" t="s">
        <v>55</v>
      </c>
      <c r="G9" s="411" t="s">
        <v>53</v>
      </c>
      <c r="H9" s="411" t="s">
        <v>53</v>
      </c>
      <c r="I9" s="4" t="s">
        <v>42</v>
      </c>
    </row>
    <row r="10" spans="2:9" ht="51" customHeight="1">
      <c r="B10" s="2">
        <v>8</v>
      </c>
      <c r="C10" s="410" t="s">
        <v>57</v>
      </c>
      <c r="D10" s="411" t="s">
        <v>103</v>
      </c>
      <c r="E10" s="4" t="s">
        <v>1954</v>
      </c>
      <c r="F10" s="3" t="s">
        <v>1953</v>
      </c>
      <c r="G10" s="411" t="s">
        <v>3673</v>
      </c>
      <c r="H10" s="411" t="s">
        <v>3668</v>
      </c>
      <c r="I10" s="4" t="s">
        <v>62</v>
      </c>
    </row>
    <row r="11" spans="2:9" ht="51" customHeight="1">
      <c r="B11" s="2">
        <v>9</v>
      </c>
      <c r="C11" s="410" t="s">
        <v>66</v>
      </c>
      <c r="D11" s="411" t="s">
        <v>39</v>
      </c>
      <c r="E11" s="4" t="s">
        <v>1956</v>
      </c>
      <c r="F11" s="3" t="s">
        <v>1955</v>
      </c>
      <c r="G11" s="411" t="s">
        <v>39</v>
      </c>
      <c r="H11" s="411" t="s">
        <v>39</v>
      </c>
      <c r="I11" s="4" t="s">
        <v>70</v>
      </c>
    </row>
    <row r="12" spans="2:9" ht="51" customHeight="1">
      <c r="B12" s="2">
        <v>10</v>
      </c>
      <c r="C12" s="410" t="s">
        <v>74</v>
      </c>
      <c r="D12" s="411" t="s">
        <v>76</v>
      </c>
      <c r="E12" s="4" t="s">
        <v>1958</v>
      </c>
      <c r="F12" s="3" t="s">
        <v>1957</v>
      </c>
      <c r="G12" s="411" t="s">
        <v>3669</v>
      </c>
      <c r="H12" s="411" t="s">
        <v>3669</v>
      </c>
      <c r="I12" s="4" t="s">
        <v>76</v>
      </c>
    </row>
    <row r="13" spans="2:9" ht="51" customHeight="1">
      <c r="B13" s="2">
        <v>11</v>
      </c>
      <c r="C13" s="410" t="s">
        <v>82</v>
      </c>
      <c r="D13" s="412" t="s">
        <v>16</v>
      </c>
      <c r="E13" s="4" t="s">
        <v>85</v>
      </c>
      <c r="F13" s="3" t="s">
        <v>16</v>
      </c>
      <c r="G13" s="412" t="s">
        <v>22</v>
      </c>
      <c r="H13" s="412" t="s">
        <v>22</v>
      </c>
      <c r="I13" s="3" t="s">
        <v>48</v>
      </c>
    </row>
    <row r="14" spans="2:9" ht="51" customHeight="1">
      <c r="B14" s="2">
        <v>12</v>
      </c>
      <c r="C14" s="410" t="s">
        <v>88</v>
      </c>
      <c r="D14" s="411" t="s">
        <v>1960</v>
      </c>
      <c r="E14" s="4" t="s">
        <v>1961</v>
      </c>
      <c r="F14" s="3" t="s">
        <v>1959</v>
      </c>
      <c r="G14" s="411" t="s">
        <v>1960</v>
      </c>
      <c r="H14" s="411" t="s">
        <v>1960</v>
      </c>
      <c r="I14" s="4" t="s">
        <v>1962</v>
      </c>
    </row>
    <row r="15" spans="2:9" ht="51" customHeight="1">
      <c r="B15" s="2">
        <v>13</v>
      </c>
      <c r="C15" s="410" t="s">
        <v>99</v>
      </c>
      <c r="D15" s="411" t="s">
        <v>1964</v>
      </c>
      <c r="E15" s="4" t="s">
        <v>1965</v>
      </c>
      <c r="F15" s="3" t="s">
        <v>1963</v>
      </c>
      <c r="G15" s="411" t="s">
        <v>1964</v>
      </c>
      <c r="H15" s="411" t="s">
        <v>1964</v>
      </c>
      <c r="I15" s="4" t="s">
        <v>1966</v>
      </c>
    </row>
    <row r="16" spans="2:9" ht="51" customHeight="1">
      <c r="B16" s="2">
        <v>14</v>
      </c>
      <c r="C16" s="410" t="s">
        <v>110</v>
      </c>
      <c r="D16" s="411" t="s">
        <v>108</v>
      </c>
      <c r="E16" s="4" t="s">
        <v>1968</v>
      </c>
      <c r="F16" s="3" t="s">
        <v>1967</v>
      </c>
      <c r="G16" s="411" t="s">
        <v>3674</v>
      </c>
      <c r="H16" s="411" t="s">
        <v>3670</v>
      </c>
      <c r="I16" s="4" t="s">
        <v>115</v>
      </c>
    </row>
    <row r="17" spans="2:9" ht="51" customHeight="1">
      <c r="B17" s="2">
        <v>15</v>
      </c>
      <c r="C17" s="410" t="s">
        <v>119</v>
      </c>
      <c r="D17" s="411" t="s">
        <v>33</v>
      </c>
      <c r="E17" s="4" t="s">
        <v>120</v>
      </c>
      <c r="F17" s="3" t="s">
        <v>1969</v>
      </c>
      <c r="G17" s="411" t="s">
        <v>33</v>
      </c>
      <c r="H17" s="411" t="s">
        <v>33</v>
      </c>
      <c r="I17" s="4" t="s">
        <v>33</v>
      </c>
    </row>
    <row r="18" spans="2:9" ht="35">
      <c r="B18" s="432">
        <v>7</v>
      </c>
      <c r="C18" s="434" t="s">
        <v>16</v>
      </c>
      <c r="D18" s="434" t="s">
        <v>3647</v>
      </c>
      <c r="E18" s="433" t="s">
        <v>16</v>
      </c>
      <c r="F18" s="434" t="s">
        <v>16</v>
      </c>
      <c r="G18" s="435" t="s">
        <v>16</v>
      </c>
      <c r="H18" s="436" t="s">
        <v>16</v>
      </c>
      <c r="I18" s="437" t="s">
        <v>3646</v>
      </c>
    </row>
  </sheetData>
  <phoneticPr fontId="1" type="noConversion"/>
  <hyperlinks>
    <hyperlink ref="E4" r:id="rId1" xr:uid="{04DE0791-F9DD-9E41-BAC6-7B2D71B0D449}"/>
    <hyperlink ref="E5" r:id="rId2" xr:uid="{62A85B8E-0240-AF48-A0A5-C7F6A2CFFBB7}"/>
    <hyperlink ref="E6" r:id="rId3" xr:uid="{899F6AA6-3AA7-D248-B16C-635AAA4FDEE9}"/>
    <hyperlink ref="E7" r:id="rId4" xr:uid="{B2A1D59A-30CB-9743-8B72-024DA8F1D7C1}"/>
    <hyperlink ref="E8" r:id="rId5" xr:uid="{F12761DB-9B44-B349-B21D-1994AF61C29B}"/>
    <hyperlink ref="E9" r:id="rId6" xr:uid="{9765E1A3-895B-0942-8FA6-374B0B63F1C4}"/>
    <hyperlink ref="E13" r:id="rId7" xr:uid="{94230CA1-5F8E-2B4F-9564-A3CBA6B40A95}"/>
    <hyperlink ref="E17" r:id="rId8" xr:uid="{03FDD90D-5F97-FD48-A1E5-0F0B04BD2D3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FC37-3934-FE44-AE32-8B0B36FA4B37}">
  <sheetPr codeName="工作表16">
    <tabColor rgb="FF00B0F0"/>
  </sheetPr>
  <dimension ref="B1:AE56"/>
  <sheetViews>
    <sheetView workbookViewId="0">
      <pane xSplit="5" ySplit="4" topLeftCell="N36" activePane="bottomRight" state="frozen"/>
      <selection pane="topRight" activeCell="F1" sqref="F1"/>
      <selection pane="bottomLeft" activeCell="A5" sqref="A5"/>
      <selection pane="bottomRight" activeCell="D54" sqref="D54"/>
    </sheetView>
  </sheetViews>
  <sheetFormatPr baseColWidth="10" defaultColWidth="10.8984375" defaultRowHeight="22" outlineLevelRow="1" outlineLevelCol="1"/>
  <cols>
    <col min="1" max="1" width="2.69921875" customWidth="1"/>
    <col min="2" max="2" width="5" style="6" customWidth="1"/>
    <col min="3" max="3" width="10.59765625" style="6" customWidth="1"/>
    <col min="4" max="5" width="12.59765625" style="6" customWidth="1" outlineLevel="1"/>
    <col min="6" max="7" width="13.69921875" style="6" customWidth="1" outlineLevel="1"/>
    <col min="8" max="9" width="12.59765625" style="6" customWidth="1" outlineLevel="1"/>
    <col min="10" max="11" width="12.59765625" customWidth="1"/>
    <col min="12" max="13" width="12.59765625" customWidth="1" outlineLevel="1"/>
    <col min="14" max="15" width="12.59765625" customWidth="1"/>
    <col min="16" max="16" width="10.69921875" style="6" hidden="1" customWidth="1" outlineLevel="1"/>
    <col min="17" max="17" width="10.69921875" hidden="1" customWidth="1" outlineLevel="1"/>
    <col min="18" max="18" width="53" hidden="1" customWidth="1" outlineLevel="1" collapsed="1"/>
    <col min="19" max="19" width="4.296875" customWidth="1" collapsed="1"/>
    <col min="22" max="23" width="10.8984375" customWidth="1" outlineLevel="1"/>
    <col min="27" max="27" width="4.5" customWidth="1"/>
    <col min="28" max="28" width="5" style="6" customWidth="1"/>
    <col min="29" max="29" width="10.59765625" style="6" customWidth="1"/>
    <col min="30" max="30" width="5.59765625" hidden="1" customWidth="1" outlineLevel="1"/>
    <col min="31" max="31" width="12.59765625" bestFit="1" customWidth="1" collapsed="1"/>
  </cols>
  <sheetData>
    <row r="1" spans="2:31" outlineLevel="1">
      <c r="X1">
        <v>2</v>
      </c>
      <c r="Y1">
        <v>3</v>
      </c>
      <c r="Z1">
        <v>4</v>
      </c>
      <c r="AE1">
        <v>3</v>
      </c>
    </row>
    <row r="2" spans="2:31" s="51" customFormat="1" outlineLevel="1">
      <c r="B2" s="102" cm="1">
        <f t="array" ref="B2">COLUMN()-COLUMN(($A:$A))</f>
        <v>1</v>
      </c>
      <c r="C2" s="102" cm="1">
        <f t="array" ref="C2">COLUMN()-COLUMN(($A:$A))</f>
        <v>2</v>
      </c>
      <c r="D2" s="102" cm="1">
        <f t="array" ref="D2">COLUMN()-COLUMN(($A:$A))</f>
        <v>3</v>
      </c>
      <c r="E2" s="102" cm="1">
        <f t="array" ref="E2">COLUMN()-COLUMN(($A:$A))</f>
        <v>4</v>
      </c>
      <c r="F2" s="102" cm="1">
        <f t="array" ref="F2">COLUMN()-COLUMN(($A:$A))</f>
        <v>5</v>
      </c>
      <c r="G2" s="102" cm="1">
        <f t="array" ref="G2">COLUMN()-COLUMN(($A:$A))</f>
        <v>6</v>
      </c>
      <c r="H2" s="102" cm="1">
        <f t="array" ref="H2">COLUMN()-COLUMN(($A:$A))</f>
        <v>7</v>
      </c>
      <c r="I2" s="102" cm="1">
        <f t="array" ref="I2">COLUMN()-COLUMN(($A:$A))</f>
        <v>8</v>
      </c>
      <c r="J2" s="102" cm="1">
        <f t="array" ref="J2">COLUMN()-COLUMN(($A:$A))</f>
        <v>9</v>
      </c>
      <c r="K2" s="102" cm="1">
        <f t="array" ref="K2">COLUMN()-COLUMN(($A:$A))</f>
        <v>10</v>
      </c>
      <c r="L2" s="102" cm="1">
        <f t="array" ref="L2">COLUMN()-COLUMN(($A:$A))</f>
        <v>11</v>
      </c>
      <c r="M2" s="102" cm="1">
        <f t="array" ref="M2">COLUMN()-COLUMN(($A:$A))</f>
        <v>12</v>
      </c>
      <c r="N2" s="102" cm="1">
        <f t="array" ref="N2">COLUMN()-COLUMN(($A:$A))</f>
        <v>13</v>
      </c>
      <c r="O2" s="102" cm="1">
        <f t="array" ref="O2">COLUMN()-COLUMN(($A:$A))</f>
        <v>14</v>
      </c>
      <c r="P2" s="102" cm="1">
        <f t="array" ref="P2">COLUMN()-COLUMN(($A:$A))</f>
        <v>15</v>
      </c>
      <c r="Q2" s="102" cm="1">
        <f t="array" ref="Q2">COLUMN()-COLUMN(($A:$A))</f>
        <v>16</v>
      </c>
      <c r="R2" s="102" cm="1">
        <f t="array" ref="R2">COLUMN()-COLUMN(($A:$A))</f>
        <v>17</v>
      </c>
      <c r="AB2" s="6"/>
      <c r="AC2" s="6"/>
    </row>
    <row r="3" spans="2:31" ht="11" customHeight="1"/>
    <row r="4" spans="2:31" s="133" customFormat="1" ht="24">
      <c r="B4" s="48" t="s">
        <v>123</v>
      </c>
      <c r="C4" s="48" t="s">
        <v>135</v>
      </c>
      <c r="D4" s="130" t="s">
        <v>136</v>
      </c>
      <c r="E4" s="130" t="s">
        <v>137</v>
      </c>
      <c r="F4" s="413" t="s">
        <v>3675</v>
      </c>
      <c r="G4" s="413" t="s">
        <v>3676</v>
      </c>
      <c r="H4" s="130" t="s">
        <v>3650</v>
      </c>
      <c r="I4" s="130" t="s">
        <v>3651</v>
      </c>
      <c r="J4" s="131" t="s">
        <v>3652</v>
      </c>
      <c r="K4" s="131" t="s">
        <v>3653</v>
      </c>
      <c r="L4" s="130" t="s">
        <v>3654</v>
      </c>
      <c r="M4" s="130" t="s">
        <v>3655</v>
      </c>
      <c r="N4" s="131" t="s">
        <v>3656</v>
      </c>
      <c r="O4" s="131" t="s">
        <v>3657</v>
      </c>
      <c r="P4" s="130" t="s">
        <v>3658</v>
      </c>
      <c r="Q4" s="130" t="s">
        <v>3659</v>
      </c>
      <c r="R4" s="132" t="s">
        <v>150</v>
      </c>
      <c r="T4" s="48" t="s">
        <v>123</v>
      </c>
      <c r="U4" s="48" t="s">
        <v>3679</v>
      </c>
      <c r="V4" s="48" t="s">
        <v>1642</v>
      </c>
      <c r="W4" s="48"/>
      <c r="X4" s="48" t="s">
        <v>3705</v>
      </c>
      <c r="Y4" s="130" t="s">
        <v>136</v>
      </c>
      <c r="Z4" s="130" t="s">
        <v>137</v>
      </c>
      <c r="AB4" s="48" t="s">
        <v>123</v>
      </c>
      <c r="AC4" s="48" t="s">
        <v>3705</v>
      </c>
      <c r="AE4" s="130" t="s">
        <v>136</v>
      </c>
    </row>
    <row r="5" spans="2:31" ht="31">
      <c r="B5" s="47">
        <v>1</v>
      </c>
      <c r="C5" s="25" t="s">
        <v>152</v>
      </c>
      <c r="D5" s="26" t="s">
        <v>153</v>
      </c>
      <c r="E5" s="27" t="s">
        <v>154</v>
      </c>
      <c r="F5" s="26" t="s">
        <v>153</v>
      </c>
      <c r="G5" s="27" t="s">
        <v>155</v>
      </c>
      <c r="H5" s="150" t="s">
        <v>153</v>
      </c>
      <c r="I5" s="27" t="s">
        <v>154</v>
      </c>
      <c r="J5" s="26" t="s">
        <v>153</v>
      </c>
      <c r="K5" s="27" t="s">
        <v>154</v>
      </c>
      <c r="L5" s="26" t="s">
        <v>153</v>
      </c>
      <c r="M5" s="27" t="s">
        <v>154</v>
      </c>
      <c r="N5" s="26" t="s">
        <v>156</v>
      </c>
      <c r="O5" s="27" t="s">
        <v>157</v>
      </c>
      <c r="P5" s="26" t="s">
        <v>158</v>
      </c>
      <c r="Q5" s="44" t="s">
        <v>159</v>
      </c>
      <c r="R5" s="28"/>
      <c r="T5" s="47">
        <v>1</v>
      </c>
      <c r="U5" s="439" t="s">
        <v>3680</v>
      </c>
      <c r="V5" s="350" t="s">
        <v>1615</v>
      </c>
      <c r="W5" s="350">
        <f xml:space="preserve"> MATCH($V5, 韻母舒聲碼, 0)</f>
        <v>28</v>
      </c>
      <c r="X5" s="448" t="str" cm="1">
        <f t="array" ref="X5" xml:space="preserve"> INDEX(十五音韻母對照表, $W5, X$1)</f>
        <v>膠</v>
      </c>
      <c r="Y5" s="26" t="str" cm="1">
        <f t="array" ref="Y5" xml:space="preserve"> INDEX(十五音韻母對照表, $W5, Y$1)</f>
        <v>a</v>
      </c>
      <c r="Z5" s="26" t="str" cm="1">
        <f t="array" ref="Z5" xml:space="preserve"> INDEX(十五音韻母對照表, $W5, Z$1)</f>
        <v>ah</v>
      </c>
      <c r="AB5" s="451">
        <v>1</v>
      </c>
      <c r="AC5" s="450" t="s">
        <v>152</v>
      </c>
      <c r="AD5" s="447">
        <f xml:space="preserve"> IFERROR( MATCH(AC5, $X$5:$X$49, 0), "")</f>
        <v>45</v>
      </c>
      <c r="AE5" s="447" t="str" cm="1">
        <f t="array" ref="AE5" xml:space="preserve"> IF($AD5="", INDEX(十五音韻母對照表, $B5, AE$1), "")</f>
        <v/>
      </c>
    </row>
    <row r="6" spans="2:31" ht="31">
      <c r="B6" s="47">
        <v>2</v>
      </c>
      <c r="C6" s="25" t="s">
        <v>161</v>
      </c>
      <c r="D6" s="26" t="s">
        <v>162</v>
      </c>
      <c r="E6" s="27" t="s">
        <v>163</v>
      </c>
      <c r="F6" s="26" t="s">
        <v>162</v>
      </c>
      <c r="G6" s="27" t="s">
        <v>164</v>
      </c>
      <c r="H6" s="150" t="s">
        <v>162</v>
      </c>
      <c r="I6" s="27" t="s">
        <v>163</v>
      </c>
      <c r="J6" s="26" t="s">
        <v>162</v>
      </c>
      <c r="K6" s="27" t="s">
        <v>163</v>
      </c>
      <c r="L6" s="26" t="s">
        <v>162</v>
      </c>
      <c r="M6" s="27" t="s">
        <v>163</v>
      </c>
      <c r="N6" s="26" t="s">
        <v>165</v>
      </c>
      <c r="O6" s="27" t="s">
        <v>166</v>
      </c>
      <c r="P6" s="26" t="s">
        <v>167</v>
      </c>
      <c r="Q6" s="44" t="s">
        <v>168</v>
      </c>
      <c r="R6" s="28"/>
      <c r="T6" s="47">
        <v>2</v>
      </c>
      <c r="U6" s="439" t="s">
        <v>3681</v>
      </c>
      <c r="V6" s="350" t="s">
        <v>1629</v>
      </c>
      <c r="W6" s="350">
        <f xml:space="preserve"> MATCH($V6, 韻母舒聲碼, 0)</f>
        <v>26</v>
      </c>
      <c r="X6" s="448" t="str" cm="1">
        <f t="array" ref="X6" xml:space="preserve"> INDEX(十五音韻母對照表, $W6, X$1)</f>
        <v>監</v>
      </c>
      <c r="Y6" s="26" t="str" cm="1">
        <f t="array" ref="Y6" xml:space="preserve"> INDEX(十五音韻母對照表, $W6, Y$1)</f>
        <v>ann</v>
      </c>
      <c r="Z6" s="26" t="str" cm="1">
        <f t="array" ref="Z6" xml:space="preserve"> INDEX(十五音韻母對照表, $W6, Z$1)</f>
        <v>annh</v>
      </c>
      <c r="AB6" s="451">
        <v>2</v>
      </c>
      <c r="AC6" s="450" t="s">
        <v>161</v>
      </c>
      <c r="AD6" s="447">
        <f t="shared" ref="AD6:AD54" si="0" xml:space="preserve"> IFERROR( MATCH(AC6, $X$5:$X$49, 0), "")</f>
        <v>17</v>
      </c>
      <c r="AE6" s="447" t="str" cm="1">
        <f t="array" ref="AE6" xml:space="preserve"> IF($AD6="", INDEX(十五音韻母對照表, $B6, AE$1), "")</f>
        <v/>
      </c>
    </row>
    <row r="7" spans="2:31" ht="31">
      <c r="B7" s="47">
        <v>3</v>
      </c>
      <c r="C7" s="25" t="s">
        <v>170</v>
      </c>
      <c r="D7" s="26" t="s">
        <v>171</v>
      </c>
      <c r="E7" s="27" t="s">
        <v>172</v>
      </c>
      <c r="F7" s="26" t="s">
        <v>171</v>
      </c>
      <c r="G7" s="27" t="s">
        <v>173</v>
      </c>
      <c r="H7" s="150" t="s">
        <v>171</v>
      </c>
      <c r="I7" s="27" t="s">
        <v>172</v>
      </c>
      <c r="J7" s="26" t="s">
        <v>171</v>
      </c>
      <c r="K7" s="27" t="s">
        <v>172</v>
      </c>
      <c r="L7" s="26" t="s">
        <v>171</v>
      </c>
      <c r="M7" s="27" t="s">
        <v>172</v>
      </c>
      <c r="N7" s="26" t="s">
        <v>174</v>
      </c>
      <c r="O7" s="27" t="s">
        <v>175</v>
      </c>
      <c r="P7" s="26" t="s">
        <v>171</v>
      </c>
      <c r="Q7" s="44" t="s">
        <v>172</v>
      </c>
      <c r="R7" s="28"/>
      <c r="T7" s="47">
        <v>3</v>
      </c>
      <c r="U7" s="439" t="s">
        <v>305</v>
      </c>
      <c r="V7" s="350" t="s">
        <v>309</v>
      </c>
      <c r="W7" s="350">
        <f xml:space="preserve"> MATCH($V7, 韻母舒聲碼, 0)</f>
        <v>16</v>
      </c>
      <c r="X7" s="448" t="str" cm="1">
        <f t="array" ref="X7" xml:space="preserve"> INDEX(十五音韻母對照表, $W7, X$1)</f>
        <v>皆</v>
      </c>
      <c r="Y7" s="26" t="str" cm="1">
        <f t="array" ref="Y7" xml:space="preserve"> INDEX(十五音韻母對照表, $W7, Y$1)</f>
        <v>ai</v>
      </c>
      <c r="Z7" s="26" t="str" cm="1">
        <f t="array" ref="Z7" xml:space="preserve"> INDEX(十五音韻母對照表, $W7, Z$1)</f>
        <v>aih</v>
      </c>
      <c r="AB7" s="451">
        <v>3</v>
      </c>
      <c r="AC7" s="450" t="s">
        <v>170</v>
      </c>
      <c r="AD7" s="447">
        <f t="shared" si="0"/>
        <v>21</v>
      </c>
      <c r="AE7" s="447" t="str" cm="1">
        <f t="array" ref="AE7" xml:space="preserve"> IF($AD7="", INDEX(十五音韻母對照表, $B7, AE$1), "")</f>
        <v/>
      </c>
    </row>
    <row r="8" spans="2:31" ht="31">
      <c r="B8" s="47">
        <v>4</v>
      </c>
      <c r="C8" s="29" t="s">
        <v>177</v>
      </c>
      <c r="D8" s="26" t="s">
        <v>178</v>
      </c>
      <c r="E8" s="30" t="s">
        <v>179</v>
      </c>
      <c r="F8" s="31" t="s">
        <v>178</v>
      </c>
      <c r="G8" s="30" t="s">
        <v>180</v>
      </c>
      <c r="H8" s="150" t="s">
        <v>181</v>
      </c>
      <c r="I8" s="30" t="s">
        <v>182</v>
      </c>
      <c r="J8" s="31" t="s">
        <v>178</v>
      </c>
      <c r="K8" s="30" t="s">
        <v>179</v>
      </c>
      <c r="L8" s="31" t="s">
        <v>178</v>
      </c>
      <c r="M8" s="30" t="s">
        <v>182</v>
      </c>
      <c r="N8" s="31" t="s">
        <v>183</v>
      </c>
      <c r="O8" s="30" t="s">
        <v>184</v>
      </c>
      <c r="P8" s="31" t="s">
        <v>185</v>
      </c>
      <c r="Q8" s="30"/>
      <c r="R8" s="28"/>
      <c r="T8" s="47">
        <v>4</v>
      </c>
      <c r="U8" s="445" t="s">
        <v>502</v>
      </c>
      <c r="V8" s="440" t="s">
        <v>2031</v>
      </c>
      <c r="W8" s="350">
        <f xml:space="preserve"> MATCH($V8, 韻母舒聲碼, 0)</f>
        <v>40</v>
      </c>
      <c r="X8" s="448" t="str" cm="1">
        <f t="array" ref="X8" xml:space="preserve"> INDEX(十五音韻母對照表, $W8, X$1)</f>
        <v>閒</v>
      </c>
      <c r="Y8" s="26" t="str" cm="1">
        <f t="array" ref="Y8" xml:space="preserve"> INDEX(十五音韻母對照表, $W8, Y$1)</f>
        <v>ainn</v>
      </c>
      <c r="Z8" s="26" t="str" cm="1">
        <f t="array" ref="Z8" xml:space="preserve"> INDEX(十五音韻母對照表, $W8, Z$1)</f>
        <v>ainnh</v>
      </c>
      <c r="AB8" s="451">
        <v>4</v>
      </c>
      <c r="AC8" s="450" t="s">
        <v>177</v>
      </c>
      <c r="AD8" s="447">
        <f t="shared" si="0"/>
        <v>43</v>
      </c>
      <c r="AE8" s="447" t="str" cm="1">
        <f t="array" ref="AE8" xml:space="preserve"> IF($AD8="", INDEX(十五音韻母對照表, $B8, AE$1), "")</f>
        <v/>
      </c>
    </row>
    <row r="9" spans="2:31" ht="31">
      <c r="B9" s="47">
        <v>5</v>
      </c>
      <c r="C9" s="32" t="s">
        <v>187</v>
      </c>
      <c r="D9" s="26" t="s">
        <v>188</v>
      </c>
      <c r="E9" s="27" t="s">
        <v>189</v>
      </c>
      <c r="F9" s="26" t="s">
        <v>190</v>
      </c>
      <c r="G9" s="27" t="s">
        <v>191</v>
      </c>
      <c r="H9" s="150" t="s">
        <v>188</v>
      </c>
      <c r="I9" s="27" t="s">
        <v>192</v>
      </c>
      <c r="J9" s="26" t="s">
        <v>188</v>
      </c>
      <c r="K9" s="27" t="s">
        <v>189</v>
      </c>
      <c r="L9" s="320" t="s">
        <v>193</v>
      </c>
      <c r="M9" s="320" t="s">
        <v>194</v>
      </c>
      <c r="N9" s="26" t="s">
        <v>195</v>
      </c>
      <c r="O9" s="27" t="s">
        <v>196</v>
      </c>
      <c r="P9" s="26" t="s">
        <v>197</v>
      </c>
      <c r="Q9" s="44" t="s">
        <v>198</v>
      </c>
      <c r="R9" s="33" t="s">
        <v>199</v>
      </c>
      <c r="T9" s="47">
        <v>5</v>
      </c>
      <c r="U9" s="446" t="s">
        <v>332</v>
      </c>
      <c r="V9" s="441" t="s">
        <v>2334</v>
      </c>
      <c r="W9" s="350">
        <f xml:space="preserve"> MATCH($V9, 韻母舒聲碼, 0)</f>
        <v>19</v>
      </c>
      <c r="X9" s="448" t="str" cm="1">
        <f t="array" ref="X9" xml:space="preserve"> INDEX(十五音韻母對照表, $W9, X$1)</f>
        <v>甘</v>
      </c>
      <c r="Y9" s="26" t="str" cm="1">
        <f t="array" ref="Y9" xml:space="preserve"> INDEX(十五音韻母對照表, $W9, Y$1)</f>
        <v>am</v>
      </c>
      <c r="Z9" s="26" t="str" cm="1">
        <f t="array" ref="Z9" xml:space="preserve"> INDEX(十五音韻母對照表, $W9, Z$1)</f>
        <v>ap</v>
      </c>
      <c r="AB9" s="451">
        <v>5</v>
      </c>
      <c r="AC9" s="450" t="s">
        <v>187</v>
      </c>
      <c r="AD9" s="447" t="str">
        <f t="shared" si="0"/>
        <v/>
      </c>
      <c r="AE9" s="447" t="str" cm="1">
        <f t="array" ref="AE9" xml:space="preserve"> IF($AD9="", INDEX(十五音韻母對照表, $B9, AE$1), "")</f>
        <v>ee</v>
      </c>
    </row>
    <row r="10" spans="2:31" ht="31">
      <c r="B10" s="47">
        <v>6</v>
      </c>
      <c r="C10" s="25" t="s">
        <v>201</v>
      </c>
      <c r="D10" s="26" t="s">
        <v>202</v>
      </c>
      <c r="E10" s="27" t="s">
        <v>203</v>
      </c>
      <c r="F10" s="26" t="s">
        <v>202</v>
      </c>
      <c r="G10" s="27" t="s">
        <v>204</v>
      </c>
      <c r="H10" s="150" t="s">
        <v>202</v>
      </c>
      <c r="I10" s="27" t="s">
        <v>205</v>
      </c>
      <c r="J10" s="26" t="s">
        <v>202</v>
      </c>
      <c r="K10" s="27" t="s">
        <v>206</v>
      </c>
      <c r="L10" s="26" t="s">
        <v>202</v>
      </c>
      <c r="M10" s="27" t="s">
        <v>205</v>
      </c>
      <c r="N10" s="34" t="s">
        <v>207</v>
      </c>
      <c r="O10" s="27" t="s">
        <v>208</v>
      </c>
      <c r="P10" s="26" t="s">
        <v>202</v>
      </c>
      <c r="Q10" s="44" t="s">
        <v>205</v>
      </c>
      <c r="R10" s="28"/>
      <c r="T10" s="47">
        <v>6</v>
      </c>
      <c r="U10" s="444" t="s">
        <v>200</v>
      </c>
      <c r="V10" s="350" t="s">
        <v>1649</v>
      </c>
      <c r="W10" s="350">
        <f xml:space="preserve"> MATCH($V10, 韻母舒聲碼, 0)</f>
        <v>6</v>
      </c>
      <c r="X10" s="448" t="str" cm="1">
        <f t="array" ref="X10" xml:space="preserve"> INDEX(十五音韻母對照表, $W10, X$1)</f>
        <v>干</v>
      </c>
      <c r="Y10" s="26" t="str" cm="1">
        <f t="array" ref="Y10" xml:space="preserve"> INDEX(十五音韻母對照表, $W10, Y$1)</f>
        <v>an</v>
      </c>
      <c r="Z10" s="26" t="str" cm="1">
        <f t="array" ref="Z10" xml:space="preserve"> INDEX(十五音韻母對照表, $W10, Z$1)</f>
        <v>ap</v>
      </c>
      <c r="AB10" s="451">
        <v>6</v>
      </c>
      <c r="AC10" s="450" t="s">
        <v>201</v>
      </c>
      <c r="AD10" s="447">
        <f t="shared" si="0"/>
        <v>6</v>
      </c>
      <c r="AE10" s="447" t="str" cm="1">
        <f t="array" ref="AE10" xml:space="preserve"> IF($AD10="", INDEX(十五音韻母對照表, $B10, AE$1), "")</f>
        <v/>
      </c>
    </row>
    <row r="11" spans="2:31" ht="31">
      <c r="B11" s="47">
        <v>7</v>
      </c>
      <c r="C11" s="25" t="s">
        <v>210</v>
      </c>
      <c r="D11" s="26" t="s">
        <v>211</v>
      </c>
      <c r="E11" s="27" t="s">
        <v>212</v>
      </c>
      <c r="F11" s="26" t="s">
        <v>213</v>
      </c>
      <c r="G11" s="27" t="s">
        <v>214</v>
      </c>
      <c r="H11" s="150" t="s">
        <v>211</v>
      </c>
      <c r="I11" s="27" t="s">
        <v>212</v>
      </c>
      <c r="J11" s="26" t="s">
        <v>211</v>
      </c>
      <c r="K11" s="27" t="s">
        <v>212</v>
      </c>
      <c r="L11" s="26" t="s">
        <v>211</v>
      </c>
      <c r="M11" s="27" t="s">
        <v>212</v>
      </c>
      <c r="N11" s="26" t="s">
        <v>215</v>
      </c>
      <c r="O11" s="27" t="s">
        <v>216</v>
      </c>
      <c r="P11" s="26" t="s">
        <v>211</v>
      </c>
      <c r="Q11" s="44" t="s">
        <v>212</v>
      </c>
      <c r="R11" s="28"/>
      <c r="T11" s="47">
        <v>7</v>
      </c>
      <c r="U11" s="439" t="s">
        <v>349</v>
      </c>
      <c r="V11" s="350" t="s">
        <v>2336</v>
      </c>
      <c r="W11" s="350">
        <f xml:space="preserve"> MATCH($V11, 韻母舒聲碼, 0)</f>
        <v>21</v>
      </c>
      <c r="X11" s="448" t="str" cm="1">
        <f t="array" ref="X11" xml:space="preserve"> INDEX(十五音韻母對照表, $W11, X$1)</f>
        <v>江</v>
      </c>
      <c r="Y11" s="26" t="str" cm="1">
        <f t="array" ref="Y11" xml:space="preserve"> INDEX(十五音韻母對照表, $W11, Y$1)</f>
        <v>ang</v>
      </c>
      <c r="Z11" s="26" t="str" cm="1">
        <f t="array" ref="Z11" xml:space="preserve"> INDEX(十五音韻母對照表, $W11, Z$1)</f>
        <v>ak</v>
      </c>
      <c r="AB11" s="451">
        <v>7</v>
      </c>
      <c r="AC11" s="450" t="s">
        <v>210</v>
      </c>
      <c r="AD11" s="447">
        <f t="shared" si="0"/>
        <v>35</v>
      </c>
      <c r="AE11" s="447" t="str" cm="1">
        <f t="array" ref="AE11" xml:space="preserve"> IF($AD11="", INDEX(十五音韻母對照表, $B11, AE$1), "")</f>
        <v/>
      </c>
    </row>
    <row r="12" spans="2:31" ht="31">
      <c r="B12" s="47">
        <v>8</v>
      </c>
      <c r="C12" s="25" t="s">
        <v>219</v>
      </c>
      <c r="D12" s="26" t="s">
        <v>220</v>
      </c>
      <c r="E12" s="27" t="s">
        <v>221</v>
      </c>
      <c r="F12" s="26" t="s">
        <v>220</v>
      </c>
      <c r="G12" s="40" t="s">
        <v>222</v>
      </c>
      <c r="H12" s="151" t="s">
        <v>223</v>
      </c>
      <c r="I12" s="40" t="s">
        <v>224</v>
      </c>
      <c r="J12" s="26" t="s">
        <v>220</v>
      </c>
      <c r="K12" s="27" t="s">
        <v>221</v>
      </c>
      <c r="L12" s="26" t="s">
        <v>220</v>
      </c>
      <c r="M12" s="27" t="s">
        <v>221</v>
      </c>
      <c r="N12" s="26" t="s">
        <v>716</v>
      </c>
      <c r="O12" s="27" t="s">
        <v>226</v>
      </c>
      <c r="P12" s="26" t="s">
        <v>227</v>
      </c>
      <c r="Q12" s="44" t="s">
        <v>228</v>
      </c>
      <c r="R12" s="28"/>
      <c r="T12" s="47">
        <v>8</v>
      </c>
      <c r="U12" s="439" t="s">
        <v>366</v>
      </c>
      <c r="V12" s="350" t="s">
        <v>3614</v>
      </c>
      <c r="W12" s="350">
        <f xml:space="preserve"> MATCH($V12, 韻母舒聲碼, 0)</f>
        <v>23</v>
      </c>
      <c r="X12" s="448" t="str" cm="1">
        <f t="array" ref="X12" xml:space="preserve"> INDEX(十五音韻母對照表, $W12, X$1)</f>
        <v>交</v>
      </c>
      <c r="Y12" s="26" t="str" cm="1">
        <f t="array" ref="Y12" xml:space="preserve"> INDEX(十五音韻母對照表, $W12, Y$1)</f>
        <v>au</v>
      </c>
      <c r="Z12" s="26" t="str" cm="1">
        <f t="array" ref="Z12" xml:space="preserve"> INDEX(十五音韻母對照表, $W12, Z$1)</f>
        <v>auh</v>
      </c>
      <c r="AB12" s="451">
        <v>8</v>
      </c>
      <c r="AC12" s="450" t="s">
        <v>219</v>
      </c>
      <c r="AD12" s="447">
        <f t="shared" si="0"/>
        <v>39</v>
      </c>
      <c r="AE12" s="447" t="str" cm="1">
        <f t="array" ref="AE12" xml:space="preserve"> IF($AD12="", INDEX(十五音韻母對照表, $B12, AE$1), "")</f>
        <v/>
      </c>
    </row>
    <row r="13" spans="2:31" ht="34">
      <c r="B13" s="47">
        <v>9</v>
      </c>
      <c r="C13" s="25" t="s">
        <v>230</v>
      </c>
      <c r="D13" s="26" t="s">
        <v>231</v>
      </c>
      <c r="E13" s="27" t="s">
        <v>232</v>
      </c>
      <c r="F13" s="26" t="s">
        <v>233</v>
      </c>
      <c r="G13" s="27" t="s">
        <v>234</v>
      </c>
      <c r="H13" s="150" t="s">
        <v>235</v>
      </c>
      <c r="I13" s="27" t="s">
        <v>236</v>
      </c>
      <c r="J13" s="26" t="s">
        <v>231</v>
      </c>
      <c r="K13" s="27" t="s">
        <v>232</v>
      </c>
      <c r="L13" s="26" t="s">
        <v>231</v>
      </c>
      <c r="M13" s="27" t="s">
        <v>232</v>
      </c>
      <c r="N13" s="26" t="s">
        <v>708</v>
      </c>
      <c r="O13" s="251" t="s">
        <v>238</v>
      </c>
      <c r="P13" s="26" t="s">
        <v>235</v>
      </c>
      <c r="Q13" s="44" t="s">
        <v>236</v>
      </c>
      <c r="R13" s="28"/>
      <c r="T13" s="47">
        <v>9</v>
      </c>
      <c r="U13" s="446" t="s">
        <v>596</v>
      </c>
      <c r="V13" s="447" t="s">
        <v>2054</v>
      </c>
      <c r="W13" s="350">
        <f xml:space="preserve"> MATCH($V13, 韻母舒聲碼, 0)</f>
        <v>48</v>
      </c>
      <c r="X13" s="448" t="str" cm="1">
        <f t="array" ref="X13" xml:space="preserve"> INDEX(十五音韻母對照表, $W13, X$1)</f>
        <v>爻</v>
      </c>
      <c r="Y13" s="26" t="str" cm="1">
        <f t="array" ref="Y13" xml:space="preserve"> INDEX(十五音韻母對照表, $W13, Y$1)</f>
        <v>aunn</v>
      </c>
      <c r="Z13" s="26" t="str" cm="1">
        <f t="array" ref="Z13" xml:space="preserve"> INDEX(十五音韻母對照表, $W13, Z$1)</f>
        <v>aunnh</v>
      </c>
      <c r="AB13" s="451">
        <v>9</v>
      </c>
      <c r="AC13" s="450" t="s">
        <v>230</v>
      </c>
      <c r="AD13" s="447">
        <f t="shared" si="0"/>
        <v>23</v>
      </c>
      <c r="AE13" s="447" t="str" cm="1">
        <f t="array" ref="AE13" xml:space="preserve"> IF($AD13="", INDEX(十五音韻母對照表, $B13, AE$1), "")</f>
        <v/>
      </c>
    </row>
    <row r="14" spans="2:31" ht="31">
      <c r="B14" s="47">
        <v>10</v>
      </c>
      <c r="C14" s="25" t="s">
        <v>240</v>
      </c>
      <c r="D14" s="26" t="s">
        <v>241</v>
      </c>
      <c r="E14" s="27" t="s">
        <v>242</v>
      </c>
      <c r="F14" s="26" t="s">
        <v>241</v>
      </c>
      <c r="G14" s="40" t="s">
        <v>243</v>
      </c>
      <c r="H14" s="151" t="s">
        <v>244</v>
      </c>
      <c r="I14" s="40" t="s">
        <v>245</v>
      </c>
      <c r="J14" s="26" t="s">
        <v>241</v>
      </c>
      <c r="K14" s="27" t="s">
        <v>242</v>
      </c>
      <c r="L14" s="26" t="s">
        <v>241</v>
      </c>
      <c r="M14" s="27" t="s">
        <v>242</v>
      </c>
      <c r="N14" s="26" t="s">
        <v>246</v>
      </c>
      <c r="O14" s="27" t="s">
        <v>247</v>
      </c>
      <c r="P14" s="26" t="s">
        <v>248</v>
      </c>
      <c r="Q14" s="44" t="s">
        <v>249</v>
      </c>
      <c r="R14" s="28"/>
      <c r="T14" s="47">
        <v>10</v>
      </c>
      <c r="U14" s="446" t="s">
        <v>3682</v>
      </c>
      <c r="V14" s="447" t="s">
        <v>193</v>
      </c>
      <c r="W14" s="350">
        <f xml:space="preserve"> MATCH($V14, 韻母舒聲碼, 0)</f>
        <v>39</v>
      </c>
      <c r="X14" s="448" t="str" cm="1">
        <f t="array" ref="X14" xml:space="preserve"> INDEX(十五音韻母對照表, $W14, X$1)</f>
        <v>伽</v>
      </c>
      <c r="Y14" s="26" t="str" cm="1">
        <f t="array" ref="Y14" xml:space="preserve"> INDEX(十五音韻母對照表, $W14, Y$1)</f>
        <v>e</v>
      </c>
      <c r="Z14" s="26" t="str" cm="1">
        <f t="array" ref="Z14" xml:space="preserve"> INDEX(十五音韻母對照表, $W14, Z$1)</f>
        <v>eh</v>
      </c>
      <c r="AB14" s="451">
        <v>10</v>
      </c>
      <c r="AC14" s="450" t="s">
        <v>240</v>
      </c>
      <c r="AD14" s="447">
        <f t="shared" si="0"/>
        <v>41</v>
      </c>
      <c r="AE14" s="447" t="str" cm="1">
        <f t="array" ref="AE14" xml:space="preserve"> IF($AD14="", INDEX(十五音韻母對照表, $B14, AE$1), "")</f>
        <v/>
      </c>
    </row>
    <row r="15" spans="2:31" ht="31">
      <c r="B15" s="47">
        <v>11</v>
      </c>
      <c r="C15" s="25" t="s">
        <v>251</v>
      </c>
      <c r="D15" s="26" t="s">
        <v>252</v>
      </c>
      <c r="E15" s="26" t="s">
        <v>253</v>
      </c>
      <c r="F15" s="26" t="s">
        <v>254</v>
      </c>
      <c r="G15" s="26" t="s">
        <v>255</v>
      </c>
      <c r="H15" s="150" t="s">
        <v>256</v>
      </c>
      <c r="I15" s="26" t="s">
        <v>257</v>
      </c>
      <c r="J15" s="26" t="s">
        <v>252</v>
      </c>
      <c r="K15" s="26" t="s">
        <v>253</v>
      </c>
      <c r="L15" s="26" t="s">
        <v>252</v>
      </c>
      <c r="M15" s="26" t="s">
        <v>258</v>
      </c>
      <c r="N15" s="26" t="s">
        <v>259</v>
      </c>
      <c r="O15" s="26" t="s">
        <v>260</v>
      </c>
      <c r="P15" s="26" t="s">
        <v>261</v>
      </c>
      <c r="Q15" s="35"/>
      <c r="R15" s="33" t="s">
        <v>262</v>
      </c>
      <c r="T15" s="47">
        <v>11</v>
      </c>
      <c r="U15" s="446" t="s">
        <v>3683</v>
      </c>
      <c r="V15" s="447" t="s">
        <v>1635</v>
      </c>
      <c r="W15" s="350">
        <f xml:space="preserve"> MATCH($V15, 韻母舒聲碼, 0)</f>
        <v>31</v>
      </c>
      <c r="X15" s="448" t="str" cm="1">
        <f t="array" ref="X15" xml:space="preserve"> INDEX(十五音韻母對照表, $W15, X$1)</f>
        <v>更</v>
      </c>
      <c r="Y15" s="26" t="str" cm="1">
        <f t="array" ref="Y15" xml:space="preserve"> INDEX(十五音韻母對照表, $W15, Y$1)</f>
        <v>enn</v>
      </c>
      <c r="Z15" s="26" t="str" cm="1">
        <f t="array" ref="Z15" xml:space="preserve"> INDEX(十五音韻母對照表, $W15, Z$1)</f>
        <v>ennh</v>
      </c>
      <c r="AB15" s="451">
        <v>11</v>
      </c>
      <c r="AC15" s="450" t="s">
        <v>251</v>
      </c>
      <c r="AD15" s="447">
        <f t="shared" si="0"/>
        <v>32</v>
      </c>
      <c r="AE15" s="447" t="str" cm="1">
        <f t="array" ref="AE15" xml:space="preserve"> IF($AD15="", INDEX(十五音韻母對照表, $B15, AE$1), "")</f>
        <v/>
      </c>
    </row>
    <row r="16" spans="2:31" ht="31">
      <c r="B16" s="47">
        <v>12</v>
      </c>
      <c r="C16" s="25" t="s">
        <v>264</v>
      </c>
      <c r="D16" s="26" t="s">
        <v>265</v>
      </c>
      <c r="E16" s="27" t="s">
        <v>266</v>
      </c>
      <c r="F16" s="26" t="s">
        <v>267</v>
      </c>
      <c r="G16" s="40" t="s">
        <v>268</v>
      </c>
      <c r="H16" s="151" t="s">
        <v>265</v>
      </c>
      <c r="I16" s="40" t="s">
        <v>266</v>
      </c>
      <c r="J16" s="26" t="s">
        <v>265</v>
      </c>
      <c r="K16" s="27" t="s">
        <v>266</v>
      </c>
      <c r="L16" s="26" t="s">
        <v>269</v>
      </c>
      <c r="M16" s="27" t="s">
        <v>270</v>
      </c>
      <c r="N16" s="26" t="s">
        <v>271</v>
      </c>
      <c r="O16" s="27" t="s">
        <v>272</v>
      </c>
      <c r="P16" s="26" t="s">
        <v>273</v>
      </c>
      <c r="Q16" s="44" t="s">
        <v>274</v>
      </c>
      <c r="R16" s="28"/>
      <c r="T16" s="47">
        <v>12</v>
      </c>
      <c r="U16" s="446" t="s">
        <v>3684</v>
      </c>
      <c r="V16" s="447" t="s">
        <v>1617</v>
      </c>
      <c r="W16" s="350">
        <f xml:space="preserve"> MATCH($V16, 韻母舒聲碼, 0)</f>
        <v>29</v>
      </c>
      <c r="X16" s="448" t="str" cm="1">
        <f t="array" ref="X16" xml:space="preserve"> INDEX(十五音韻母對照表, $W16, X$1)</f>
        <v>居</v>
      </c>
      <c r="Y16" s="26" t="str" cm="1">
        <f t="array" ref="Y16" xml:space="preserve"> INDEX(十五音韻母對照表, $W16, Y$1)</f>
        <v>i</v>
      </c>
      <c r="Z16" s="26" t="str" cm="1">
        <f t="array" ref="Z16" xml:space="preserve"> INDEX(十五音韻母對照表, $W16, Z$1)</f>
        <v>ih</v>
      </c>
      <c r="AB16" s="451">
        <v>12</v>
      </c>
      <c r="AC16" s="450" t="s">
        <v>264</v>
      </c>
      <c r="AD16" s="447">
        <f t="shared" si="0"/>
        <v>19</v>
      </c>
      <c r="AE16" s="447" t="str" cm="1">
        <f t="array" ref="AE16" xml:space="preserve"> IF($AD16="", INDEX(十五音韻母對照表, $B16, AE$1), "")</f>
        <v/>
      </c>
    </row>
    <row r="17" spans="2:31" ht="31">
      <c r="B17" s="47">
        <v>13</v>
      </c>
      <c r="C17" s="32" t="s">
        <v>277</v>
      </c>
      <c r="D17" s="26" t="s">
        <v>282</v>
      </c>
      <c r="E17" s="30" t="s">
        <v>281</v>
      </c>
      <c r="F17" s="26" t="s">
        <v>279</v>
      </c>
      <c r="G17" s="30" t="s">
        <v>280</v>
      </c>
      <c r="H17" s="151" t="s">
        <v>279</v>
      </c>
      <c r="I17" s="129" t="s">
        <v>281</v>
      </c>
      <c r="J17" s="36" t="s">
        <v>278</v>
      </c>
      <c r="K17" s="30" t="s">
        <v>189</v>
      </c>
      <c r="L17" s="320" t="s">
        <v>193</v>
      </c>
      <c r="M17" s="320" t="s">
        <v>194</v>
      </c>
      <c r="N17" s="36" t="s">
        <v>283</v>
      </c>
      <c r="O17" s="30" t="s">
        <v>284</v>
      </c>
      <c r="P17" s="26" t="s">
        <v>285</v>
      </c>
      <c r="Q17" s="30"/>
      <c r="R17" s="33" t="s">
        <v>286</v>
      </c>
      <c r="T17" s="47">
        <v>13</v>
      </c>
      <c r="U17" s="446" t="s">
        <v>478</v>
      </c>
      <c r="V17" s="447" t="s">
        <v>1631</v>
      </c>
      <c r="W17" s="350">
        <f xml:space="preserve"> MATCH($V17, 韻母舒聲碼, 0)</f>
        <v>34</v>
      </c>
      <c r="X17" s="448" t="str" cm="1">
        <f t="array" ref="X17" xml:space="preserve"> INDEX(十五音韻母對照表, $W17, X$1)</f>
        <v>梔</v>
      </c>
      <c r="Y17" s="26" t="str" cm="1">
        <f t="array" ref="Y17" xml:space="preserve"> INDEX(十五音韻母對照表, $W17, Y$1)</f>
        <v>inn</v>
      </c>
      <c r="Z17" s="26" t="str" cm="1">
        <f t="array" ref="Z17" xml:space="preserve"> INDEX(十五音韻母對照表, $W17, Z$1)</f>
        <v>innh</v>
      </c>
      <c r="AB17" s="451">
        <v>13</v>
      </c>
      <c r="AC17" s="450" t="s">
        <v>277</v>
      </c>
      <c r="AD17" s="447" t="str">
        <f t="shared" si="0"/>
        <v/>
      </c>
      <c r="AE17" s="447" t="str" cm="1">
        <f t="array" ref="AE17" xml:space="preserve"> IF($AD17="", INDEX(十五音韻母對照表, $B17, AE$1), "")</f>
        <v>ei</v>
      </c>
    </row>
    <row r="18" spans="2:31" ht="31">
      <c r="B18" s="47">
        <v>14</v>
      </c>
      <c r="C18" s="25" t="s">
        <v>288</v>
      </c>
      <c r="D18" s="26" t="s">
        <v>289</v>
      </c>
      <c r="E18" s="27" t="s">
        <v>290</v>
      </c>
      <c r="F18" s="26" t="s">
        <v>291</v>
      </c>
      <c r="G18" s="27" t="s">
        <v>292</v>
      </c>
      <c r="H18" s="152" t="s">
        <v>289</v>
      </c>
      <c r="I18" s="38" t="s">
        <v>290</v>
      </c>
      <c r="J18" s="37" t="s">
        <v>289</v>
      </c>
      <c r="K18" s="38" t="s">
        <v>290</v>
      </c>
      <c r="L18" s="26" t="s">
        <v>289</v>
      </c>
      <c r="M18" s="27" t="s">
        <v>290</v>
      </c>
      <c r="N18" s="37" t="s">
        <v>293</v>
      </c>
      <c r="O18" s="252" t="s">
        <v>294</v>
      </c>
      <c r="P18" s="26" t="s">
        <v>295</v>
      </c>
      <c r="Q18" s="44" t="s">
        <v>296</v>
      </c>
      <c r="R18" s="28"/>
      <c r="T18" s="47">
        <v>14</v>
      </c>
      <c r="U18" s="446" t="s">
        <v>3685</v>
      </c>
      <c r="V18" s="447" t="s">
        <v>2342</v>
      </c>
      <c r="W18" s="350">
        <f xml:space="preserve"> MATCH($V18, 韻母舒聲碼, 0)</f>
        <v>24</v>
      </c>
      <c r="X18" s="448" t="str" cm="1">
        <f t="array" ref="X18" xml:space="preserve"> INDEX(十五音韻母對照表, $W18, X$1)</f>
        <v>迦</v>
      </c>
      <c r="Y18" s="26" t="str" cm="1">
        <f t="array" ref="Y18" xml:space="preserve"> INDEX(十五音韻母對照表, $W18, Y$1)</f>
        <v>ia</v>
      </c>
      <c r="Z18" s="26" t="str" cm="1">
        <f t="array" ref="Z18" xml:space="preserve"> INDEX(十五音韻母對照表, $W18, Z$1)</f>
        <v>iah</v>
      </c>
      <c r="AB18" s="451">
        <v>14</v>
      </c>
      <c r="AC18" s="450" t="s">
        <v>288</v>
      </c>
      <c r="AD18" s="447">
        <f t="shared" si="0"/>
        <v>26</v>
      </c>
      <c r="AE18" s="447" t="str" cm="1">
        <f t="array" ref="AE18" xml:space="preserve"> IF($AD18="", INDEX(十五音韻母對照表, $B18, AE$1), "")</f>
        <v/>
      </c>
    </row>
    <row r="19" spans="2:31" ht="31">
      <c r="B19" s="47">
        <v>15</v>
      </c>
      <c r="C19" s="25" t="s">
        <v>298</v>
      </c>
      <c r="D19" s="26" t="s">
        <v>299</v>
      </c>
      <c r="E19" s="27" t="s">
        <v>300</v>
      </c>
      <c r="F19" s="26" t="s">
        <v>299</v>
      </c>
      <c r="G19" s="40" t="s">
        <v>301</v>
      </c>
      <c r="H19" s="151" t="s">
        <v>299</v>
      </c>
      <c r="I19" s="40" t="s">
        <v>300</v>
      </c>
      <c r="J19" s="26" t="s">
        <v>299</v>
      </c>
      <c r="K19" s="27" t="s">
        <v>300</v>
      </c>
      <c r="L19" s="26" t="s">
        <v>299</v>
      </c>
      <c r="M19" s="27" t="s">
        <v>300</v>
      </c>
      <c r="N19" s="26" t="s">
        <v>302</v>
      </c>
      <c r="O19" s="27" t="s">
        <v>303</v>
      </c>
      <c r="P19" s="26" t="s">
        <v>299</v>
      </c>
      <c r="Q19" s="44" t="s">
        <v>304</v>
      </c>
      <c r="R19" s="28"/>
      <c r="T19" s="47">
        <v>15</v>
      </c>
      <c r="U19" s="446" t="s">
        <v>447</v>
      </c>
      <c r="V19" s="447" t="s">
        <v>2015</v>
      </c>
      <c r="W19" s="350">
        <f xml:space="preserve"> MATCH($V19, 韻母舒聲碼, 0)</f>
        <v>36</v>
      </c>
      <c r="X19" s="448" t="str" cm="1">
        <f t="array" ref="X19" xml:space="preserve"> INDEX(十五音韻母對照表, $W19, X$1)</f>
        <v>驚</v>
      </c>
      <c r="Y19" s="26" t="str" cm="1">
        <f t="array" ref="Y19" xml:space="preserve"> INDEX(十五音韻母對照表, $W19, Y$1)</f>
        <v>iann</v>
      </c>
      <c r="Z19" s="26" t="str" cm="1">
        <f t="array" ref="Z19" xml:space="preserve"> INDEX(十五音韻母對照表, $W19, Z$1)</f>
        <v>iannh</v>
      </c>
      <c r="AB19" s="451">
        <v>15</v>
      </c>
      <c r="AC19" s="450" t="s">
        <v>298</v>
      </c>
      <c r="AD19" s="447">
        <f t="shared" si="0"/>
        <v>31</v>
      </c>
      <c r="AE19" s="447" t="str" cm="1">
        <f t="array" ref="AE19" xml:space="preserve"> IF($AD19="", INDEX(十五音韻母對照表, $B19, AE$1), "")</f>
        <v/>
      </c>
    </row>
    <row r="20" spans="2:31" ht="31">
      <c r="B20" s="47">
        <v>16</v>
      </c>
      <c r="C20" s="25" t="s">
        <v>306</v>
      </c>
      <c r="D20" s="26" t="s">
        <v>307</v>
      </c>
      <c r="E20" s="30" t="s">
        <v>308</v>
      </c>
      <c r="F20" s="26" t="s">
        <v>309</v>
      </c>
      <c r="G20" s="30" t="s">
        <v>310</v>
      </c>
      <c r="H20" s="151" t="s">
        <v>307</v>
      </c>
      <c r="I20" s="30" t="s">
        <v>311</v>
      </c>
      <c r="J20" s="26" t="s">
        <v>307</v>
      </c>
      <c r="K20" s="30" t="s">
        <v>308</v>
      </c>
      <c r="L20" s="26" t="s">
        <v>307</v>
      </c>
      <c r="M20" s="30" t="s">
        <v>311</v>
      </c>
      <c r="N20" s="26" t="s">
        <v>312</v>
      </c>
      <c r="O20" s="30" t="s">
        <v>313</v>
      </c>
      <c r="P20" s="26" t="s">
        <v>314</v>
      </c>
      <c r="Q20" s="30"/>
      <c r="R20" s="28"/>
      <c r="T20" s="47">
        <v>16</v>
      </c>
      <c r="U20" s="446" t="s">
        <v>357</v>
      </c>
      <c r="V20" s="447" t="s">
        <v>2352</v>
      </c>
      <c r="W20" s="350">
        <f xml:space="preserve"> MATCH($V20, 韻母舒聲碼, 0)</f>
        <v>22</v>
      </c>
      <c r="X20" s="448" t="str" cm="1">
        <f t="array" ref="X20" xml:space="preserve"> INDEX(十五音韻母對照表, $W20, X$1)</f>
        <v>兼</v>
      </c>
      <c r="Y20" s="26" t="str" cm="1">
        <f t="array" ref="Y20" xml:space="preserve"> INDEX(十五音韻母對照表, $W20, Y$1)</f>
        <v>iam</v>
      </c>
      <c r="Z20" s="26" t="str" cm="1">
        <f t="array" ref="Z20" xml:space="preserve"> INDEX(十五音韻母對照表, $W20, Z$1)</f>
        <v>iap</v>
      </c>
      <c r="AB20" s="451">
        <v>16</v>
      </c>
      <c r="AC20" s="450" t="s">
        <v>306</v>
      </c>
      <c r="AD20" s="447">
        <f t="shared" si="0"/>
        <v>3</v>
      </c>
      <c r="AE20" s="447" t="str" cm="1">
        <f t="array" ref="AE20" xml:space="preserve"> IF($AD20="", INDEX(十五音韻母對照表, $B20, AE$1), "")</f>
        <v/>
      </c>
    </row>
    <row r="21" spans="2:31" ht="31">
      <c r="B21" s="47">
        <v>17</v>
      </c>
      <c r="C21" s="25" t="s">
        <v>316</v>
      </c>
      <c r="D21" s="26" t="s">
        <v>317</v>
      </c>
      <c r="E21" s="27" t="s">
        <v>318</v>
      </c>
      <c r="F21" s="26" t="s">
        <v>317</v>
      </c>
      <c r="G21" s="27" t="s">
        <v>319</v>
      </c>
      <c r="H21" s="150" t="s">
        <v>317</v>
      </c>
      <c r="I21" s="27" t="s">
        <v>318</v>
      </c>
      <c r="J21" s="26" t="s">
        <v>317</v>
      </c>
      <c r="K21" s="27" t="s">
        <v>318</v>
      </c>
      <c r="L21" s="26" t="s">
        <v>317</v>
      </c>
      <c r="M21" s="27" t="s">
        <v>318</v>
      </c>
      <c r="N21" s="26" t="s">
        <v>320</v>
      </c>
      <c r="O21" s="27" t="s">
        <v>321</v>
      </c>
      <c r="P21" s="26" t="s">
        <v>317</v>
      </c>
      <c r="Q21" s="44" t="s">
        <v>318</v>
      </c>
      <c r="R21" s="28"/>
      <c r="T21" s="47">
        <v>17</v>
      </c>
      <c r="U21" s="446" t="s">
        <v>160</v>
      </c>
      <c r="V21" s="447" t="s">
        <v>2358</v>
      </c>
      <c r="W21" s="350">
        <f xml:space="preserve"> MATCH($V21, 韻母舒聲碼, 0)</f>
        <v>2</v>
      </c>
      <c r="X21" s="448" t="str" cm="1">
        <f t="array" ref="X21" xml:space="preserve"> INDEX(十五音韻母對照表, $W21, X$1)</f>
        <v>堅</v>
      </c>
      <c r="Y21" s="26" t="str" cm="1">
        <f t="array" ref="Y21" xml:space="preserve"> INDEX(十五音韻母對照表, $W21, Y$1)</f>
        <v>ian</v>
      </c>
      <c r="Z21" s="26" t="str" cm="1">
        <f t="array" ref="Z21" xml:space="preserve"> INDEX(十五音韻母對照表, $W21, Z$1)</f>
        <v>iat</v>
      </c>
      <c r="AB21" s="451">
        <v>17</v>
      </c>
      <c r="AC21" s="450" t="s">
        <v>316</v>
      </c>
      <c r="AD21" s="447">
        <f t="shared" si="0"/>
        <v>22</v>
      </c>
      <c r="AE21" s="447" t="str" cm="1">
        <f t="array" ref="AE21" xml:space="preserve"> IF($AD21="", INDEX(十五音韻母對照表, $B21, AE$1), "")</f>
        <v/>
      </c>
    </row>
    <row r="22" spans="2:31" ht="31">
      <c r="B22" s="47">
        <v>18</v>
      </c>
      <c r="C22" s="25" t="s">
        <v>323</v>
      </c>
      <c r="D22" s="26" t="s">
        <v>324</v>
      </c>
      <c r="E22" s="27" t="s">
        <v>325</v>
      </c>
      <c r="F22" s="26" t="s">
        <v>326</v>
      </c>
      <c r="G22" s="40" t="s">
        <v>327</v>
      </c>
      <c r="H22" s="151" t="s">
        <v>324</v>
      </c>
      <c r="I22" s="40" t="s">
        <v>325</v>
      </c>
      <c r="J22" s="26" t="s">
        <v>324</v>
      </c>
      <c r="K22" s="27" t="s">
        <v>325</v>
      </c>
      <c r="L22" s="26" t="s">
        <v>324</v>
      </c>
      <c r="M22" s="27" t="s">
        <v>325</v>
      </c>
      <c r="N22" s="26" t="s">
        <v>328</v>
      </c>
      <c r="O22" s="27" t="s">
        <v>329</v>
      </c>
      <c r="P22" s="26" t="s">
        <v>330</v>
      </c>
      <c r="Q22" s="44" t="s">
        <v>331</v>
      </c>
      <c r="R22" s="28"/>
      <c r="T22" s="47">
        <v>18</v>
      </c>
      <c r="U22" s="446" t="s">
        <v>323</v>
      </c>
      <c r="V22" s="447" t="s">
        <v>2362</v>
      </c>
      <c r="W22" s="350">
        <f xml:space="preserve"> MATCH($V22, 韻母舒聲碼, 0)</f>
        <v>18</v>
      </c>
      <c r="X22" s="448" t="str" cm="1">
        <f t="array" ref="X22" xml:space="preserve"> INDEX(十五音韻母對照表, $W22, X$1)</f>
        <v>姜</v>
      </c>
      <c r="Y22" s="26" t="str" cm="1">
        <f t="array" ref="Y22" xml:space="preserve"> INDEX(十五音韻母對照表, $W22, Y$1)</f>
        <v>iang</v>
      </c>
      <c r="Z22" s="26" t="str" cm="1">
        <f t="array" ref="Z22" xml:space="preserve"> INDEX(十五音韻母對照表, $W22, Z$1)</f>
        <v>iak</v>
      </c>
      <c r="AB22" s="451">
        <v>18</v>
      </c>
      <c r="AC22" s="450" t="s">
        <v>323</v>
      </c>
      <c r="AD22" s="447">
        <f t="shared" si="0"/>
        <v>18</v>
      </c>
      <c r="AE22" s="447" t="str" cm="1">
        <f t="array" ref="AE22" xml:space="preserve"> IF($AD22="", INDEX(十五音韻母對照表, $B22, AE$1), "")</f>
        <v/>
      </c>
    </row>
    <row r="23" spans="2:31" ht="31">
      <c r="B23" s="47">
        <v>19</v>
      </c>
      <c r="C23" s="25" t="s">
        <v>333</v>
      </c>
      <c r="D23" s="26" t="s">
        <v>334</v>
      </c>
      <c r="E23" s="27" t="s">
        <v>203</v>
      </c>
      <c r="F23" s="26" t="s">
        <v>334</v>
      </c>
      <c r="G23" s="27" t="s">
        <v>335</v>
      </c>
      <c r="H23" s="150" t="s">
        <v>334</v>
      </c>
      <c r="I23" s="27" t="s">
        <v>203</v>
      </c>
      <c r="J23" s="26" t="s">
        <v>334</v>
      </c>
      <c r="K23" s="27" t="s">
        <v>203</v>
      </c>
      <c r="L23" s="26" t="s">
        <v>334</v>
      </c>
      <c r="M23" s="27" t="s">
        <v>203</v>
      </c>
      <c r="N23" s="26" t="s">
        <v>336</v>
      </c>
      <c r="O23" s="27" t="s">
        <v>337</v>
      </c>
      <c r="P23" s="26" t="s">
        <v>334</v>
      </c>
      <c r="Q23" s="44" t="s">
        <v>203</v>
      </c>
      <c r="R23" s="28"/>
      <c r="T23" s="47">
        <v>19</v>
      </c>
      <c r="U23" s="446" t="s">
        <v>263</v>
      </c>
      <c r="V23" s="447" t="s">
        <v>3612</v>
      </c>
      <c r="W23" s="350">
        <f xml:space="preserve"> MATCH($V23, 韻母舒聲碼, 0)</f>
        <v>12</v>
      </c>
      <c r="X23" s="448" t="str" cm="1">
        <f t="array" ref="X23" xml:space="preserve"> INDEX(十五音韻母對照表, $W23, X$1)</f>
        <v>嬌</v>
      </c>
      <c r="Y23" s="26" t="str" cm="1">
        <f t="array" ref="Y23" xml:space="preserve"> INDEX(十五音韻母對照表, $W23, Y$1)</f>
        <v>iau</v>
      </c>
      <c r="Z23" s="26" t="str" cm="1">
        <f t="array" ref="Z23" xml:space="preserve"> INDEX(十五音韻母對照表, $W23, Z$1)</f>
        <v>iauh</v>
      </c>
      <c r="AB23" s="451">
        <v>19</v>
      </c>
      <c r="AC23" s="450" t="s">
        <v>333</v>
      </c>
      <c r="AD23" s="447">
        <f t="shared" si="0"/>
        <v>5</v>
      </c>
      <c r="AE23" s="447" t="str" cm="1">
        <f t="array" ref="AE23" xml:space="preserve"> IF($AD23="", INDEX(十五音韻母對照表, $B23, AE$1), "")</f>
        <v/>
      </c>
    </row>
    <row r="24" spans="2:31" ht="31">
      <c r="B24" s="47">
        <v>20</v>
      </c>
      <c r="C24" s="25" t="s">
        <v>339</v>
      </c>
      <c r="D24" s="26" t="s">
        <v>340</v>
      </c>
      <c r="E24" s="27" t="s">
        <v>341</v>
      </c>
      <c r="F24" s="26" t="s">
        <v>340</v>
      </c>
      <c r="G24" s="40" t="s">
        <v>342</v>
      </c>
      <c r="H24" s="151" t="s">
        <v>343</v>
      </c>
      <c r="I24" s="40" t="s">
        <v>344</v>
      </c>
      <c r="J24" s="26" t="s">
        <v>340</v>
      </c>
      <c r="K24" s="27" t="s">
        <v>341</v>
      </c>
      <c r="L24" s="26" t="s">
        <v>340</v>
      </c>
      <c r="M24" s="27" t="s">
        <v>341</v>
      </c>
      <c r="N24" s="26" t="s">
        <v>345</v>
      </c>
      <c r="O24" s="27" t="s">
        <v>346</v>
      </c>
      <c r="P24" s="26" t="s">
        <v>347</v>
      </c>
      <c r="Q24" s="44" t="s">
        <v>348</v>
      </c>
      <c r="R24" s="28"/>
      <c r="T24" s="47">
        <v>20</v>
      </c>
      <c r="U24" s="446" t="s">
        <v>3686</v>
      </c>
      <c r="V24" s="447" t="s">
        <v>2048</v>
      </c>
      <c r="W24" s="350">
        <f xml:space="preserve"> MATCH($V24, 韻母舒聲碼, 0)</f>
        <v>46</v>
      </c>
      <c r="X24" s="448" t="str" cm="1">
        <f t="array" ref="X24" xml:space="preserve"> INDEX(十五音韻母對照表, $W24, X$1)</f>
        <v>嘄</v>
      </c>
      <c r="Y24" s="26" t="str" cm="1">
        <f t="array" ref="Y24" xml:space="preserve"> INDEX(十五音韻母對照表, $W24, Y$1)</f>
        <v>iaunn</v>
      </c>
      <c r="Z24" s="26" t="str" cm="1">
        <f t="array" ref="Z24" xml:space="preserve"> INDEX(十五音韻母對照表, $W24, Z$1)</f>
        <v>iaunnh</v>
      </c>
      <c r="AB24" s="451">
        <v>20</v>
      </c>
      <c r="AC24" s="450" t="s">
        <v>339</v>
      </c>
      <c r="AD24" s="447">
        <f t="shared" si="0"/>
        <v>37</v>
      </c>
      <c r="AE24" s="447" t="str" cm="1">
        <f t="array" ref="AE24" xml:space="preserve"> IF($AD24="", INDEX(十五音韻母對照表, $B24, AE$1), "")</f>
        <v/>
      </c>
    </row>
    <row r="25" spans="2:31" ht="34">
      <c r="B25" s="47">
        <v>21</v>
      </c>
      <c r="C25" s="25" t="s">
        <v>350</v>
      </c>
      <c r="D25" s="26" t="s">
        <v>351</v>
      </c>
      <c r="E25" s="27" t="s">
        <v>352</v>
      </c>
      <c r="F25" s="26" t="s">
        <v>353</v>
      </c>
      <c r="G25" s="27" t="s">
        <v>354</v>
      </c>
      <c r="H25" s="150" t="s">
        <v>351</v>
      </c>
      <c r="I25" s="27" t="s">
        <v>352</v>
      </c>
      <c r="J25" s="26" t="s">
        <v>351</v>
      </c>
      <c r="K25" s="27" t="s">
        <v>352</v>
      </c>
      <c r="L25" s="26" t="s">
        <v>351</v>
      </c>
      <c r="M25" s="27" t="s">
        <v>352</v>
      </c>
      <c r="N25" s="26" t="s">
        <v>355</v>
      </c>
      <c r="O25" s="250" t="s">
        <v>356</v>
      </c>
      <c r="P25" s="26" t="s">
        <v>351</v>
      </c>
      <c r="Q25" s="44" t="s">
        <v>352</v>
      </c>
      <c r="R25" s="28"/>
      <c r="T25" s="47">
        <v>21</v>
      </c>
      <c r="U25" s="446" t="s">
        <v>169</v>
      </c>
      <c r="V25" s="447" t="s">
        <v>2354</v>
      </c>
      <c r="W25" s="350">
        <f xml:space="preserve"> MATCH($V25, 韻母舒聲碼, 0)</f>
        <v>3</v>
      </c>
      <c r="X25" s="448" t="str" cm="1">
        <f t="array" ref="X25" xml:space="preserve"> INDEX(十五音韻母對照表, $W25, X$1)</f>
        <v>金</v>
      </c>
      <c r="Y25" s="26" t="str" cm="1">
        <f t="array" ref="Y25" xml:space="preserve"> INDEX(十五音韻母對照表, $W25, Y$1)</f>
        <v>im</v>
      </c>
      <c r="Z25" s="26" t="str" cm="1">
        <f t="array" ref="Z25" xml:space="preserve"> INDEX(十五音韻母對照表, $W25, Z$1)</f>
        <v>ip</v>
      </c>
      <c r="AB25" s="451">
        <v>21</v>
      </c>
      <c r="AC25" s="450" t="s">
        <v>350</v>
      </c>
      <c r="AD25" s="447">
        <f t="shared" si="0"/>
        <v>7</v>
      </c>
      <c r="AE25" s="447" t="str" cm="1">
        <f t="array" ref="AE25" xml:space="preserve"> IF($AD25="", INDEX(十五音韻母對照表, $B25, AE$1), "")</f>
        <v/>
      </c>
    </row>
    <row r="26" spans="2:31" ht="31">
      <c r="B26" s="47">
        <v>22</v>
      </c>
      <c r="C26" s="25" t="s">
        <v>358</v>
      </c>
      <c r="D26" s="26" t="s">
        <v>359</v>
      </c>
      <c r="E26" s="27" t="s">
        <v>360</v>
      </c>
      <c r="F26" s="26" t="s">
        <v>359</v>
      </c>
      <c r="G26" s="27" t="s">
        <v>361</v>
      </c>
      <c r="H26" s="150" t="s">
        <v>359</v>
      </c>
      <c r="I26" s="27" t="s">
        <v>360</v>
      </c>
      <c r="J26" s="26" t="s">
        <v>359</v>
      </c>
      <c r="K26" s="27" t="s">
        <v>360</v>
      </c>
      <c r="L26" s="26" t="s">
        <v>359</v>
      </c>
      <c r="M26" s="27" t="s">
        <v>360</v>
      </c>
      <c r="N26" s="26" t="s">
        <v>362</v>
      </c>
      <c r="O26" s="27" t="s">
        <v>363</v>
      </c>
      <c r="P26" s="26" t="s">
        <v>364</v>
      </c>
      <c r="Q26" s="44" t="s">
        <v>365</v>
      </c>
      <c r="R26" s="28"/>
      <c r="T26" s="47">
        <v>22</v>
      </c>
      <c r="U26" s="446" t="s">
        <v>3687</v>
      </c>
      <c r="V26" s="447" t="s">
        <v>2356</v>
      </c>
      <c r="W26" s="350">
        <f xml:space="preserve"> MATCH($V26, 韻母舒聲碼, 0)</f>
        <v>17</v>
      </c>
      <c r="X26" s="448" t="str" cm="1">
        <f t="array" ref="X26" xml:space="preserve"> INDEX(十五音韻母對照表, $W26, X$1)</f>
        <v>巾</v>
      </c>
      <c r="Y26" s="26" t="str" cm="1">
        <f t="array" ref="Y26" xml:space="preserve"> INDEX(十五音韻母對照表, $W26, Y$1)</f>
        <v>in</v>
      </c>
      <c r="Z26" s="26" t="str" cm="1">
        <f t="array" ref="Z26" xml:space="preserve"> INDEX(十五音韻母對照表, $W26, Z$1)</f>
        <v>it</v>
      </c>
      <c r="AB26" s="451">
        <v>22</v>
      </c>
      <c r="AC26" s="450" t="s">
        <v>358</v>
      </c>
      <c r="AD26" s="447">
        <f t="shared" si="0"/>
        <v>16</v>
      </c>
      <c r="AE26" s="447" t="str" cm="1">
        <f t="array" ref="AE26" xml:space="preserve"> IF($AD26="", INDEX(十五音韻母對照表, $B26, AE$1), "")</f>
        <v/>
      </c>
    </row>
    <row r="27" spans="2:31" ht="31">
      <c r="B27" s="47">
        <v>23</v>
      </c>
      <c r="C27" s="25" t="s">
        <v>367</v>
      </c>
      <c r="D27" s="26" t="s">
        <v>368</v>
      </c>
      <c r="E27" s="27" t="s">
        <v>369</v>
      </c>
      <c r="F27" s="26" t="s">
        <v>370</v>
      </c>
      <c r="G27" s="27" t="s">
        <v>371</v>
      </c>
      <c r="H27" s="150" t="s">
        <v>368</v>
      </c>
      <c r="I27" s="27" t="s">
        <v>369</v>
      </c>
      <c r="J27" s="26" t="s">
        <v>368</v>
      </c>
      <c r="K27" s="27" t="s">
        <v>369</v>
      </c>
      <c r="L27" s="26" t="s">
        <v>372</v>
      </c>
      <c r="M27" s="27" t="s">
        <v>373</v>
      </c>
      <c r="N27" s="26" t="s">
        <v>374</v>
      </c>
      <c r="O27" s="27" t="s">
        <v>375</v>
      </c>
      <c r="P27" s="26" t="s">
        <v>376</v>
      </c>
      <c r="Q27" s="44" t="s">
        <v>377</v>
      </c>
      <c r="R27" s="39" t="s">
        <v>370</v>
      </c>
      <c r="T27" s="47">
        <v>23</v>
      </c>
      <c r="U27" s="446" t="s">
        <v>3688</v>
      </c>
      <c r="V27" s="447" t="s">
        <v>2360</v>
      </c>
      <c r="W27" s="350">
        <f xml:space="preserve"> MATCH($V27, 韻母舒聲碼, 0)</f>
        <v>9</v>
      </c>
      <c r="X27" s="448" t="str" cm="1">
        <f t="array" ref="X27" xml:space="preserve"> INDEX(十五音韻母對照表, $W27, X$1)</f>
        <v>經</v>
      </c>
      <c r="Y27" s="26" t="str" cm="1">
        <f t="array" ref="Y27" xml:space="preserve"> INDEX(十五音韻母對照表, $W27, Y$1)</f>
        <v>ing</v>
      </c>
      <c r="Z27" s="26" t="str" cm="1">
        <f t="array" ref="Z27" xml:space="preserve"> INDEX(十五音韻母對照表, $W27, Z$1)</f>
        <v>ik</v>
      </c>
      <c r="AB27" s="451">
        <v>23</v>
      </c>
      <c r="AC27" s="450" t="s">
        <v>367</v>
      </c>
      <c r="AD27" s="447">
        <f t="shared" si="0"/>
        <v>8</v>
      </c>
      <c r="AE27" s="447" t="str" cm="1">
        <f t="array" ref="AE27" xml:space="preserve"> IF($AD27="", INDEX(十五音韻母對照表, $B27, AE$1), "")</f>
        <v/>
      </c>
    </row>
    <row r="28" spans="2:31" ht="31">
      <c r="B28" s="47">
        <v>24</v>
      </c>
      <c r="C28" s="25" t="s">
        <v>378</v>
      </c>
      <c r="D28" s="26" t="s">
        <v>379</v>
      </c>
      <c r="E28" s="27" t="s">
        <v>380</v>
      </c>
      <c r="F28" s="26" t="s">
        <v>379</v>
      </c>
      <c r="G28" s="27" t="s">
        <v>381</v>
      </c>
      <c r="H28" s="150" t="s">
        <v>379</v>
      </c>
      <c r="I28" s="27" t="s">
        <v>380</v>
      </c>
      <c r="J28" s="26" t="s">
        <v>379</v>
      </c>
      <c r="K28" s="27" t="s">
        <v>380</v>
      </c>
      <c r="L28" s="26" t="s">
        <v>379</v>
      </c>
      <c r="M28" s="27" t="s">
        <v>380</v>
      </c>
      <c r="N28" s="26" t="s">
        <v>382</v>
      </c>
      <c r="O28" s="27" t="s">
        <v>383</v>
      </c>
      <c r="P28" s="26" t="s">
        <v>384</v>
      </c>
      <c r="Q28" s="44" t="s">
        <v>385</v>
      </c>
      <c r="R28" s="33" t="s">
        <v>386</v>
      </c>
      <c r="T28" s="47">
        <v>24</v>
      </c>
      <c r="U28" s="446" t="s">
        <v>3689</v>
      </c>
      <c r="V28" s="447" t="s">
        <v>2037</v>
      </c>
      <c r="W28" s="350">
        <f xml:space="preserve"> MATCH($V28, 韻母舒聲碼, 0)</f>
        <v>33</v>
      </c>
      <c r="X28" s="448" t="str" cm="1">
        <f t="array" ref="X28" xml:space="preserve"> INDEX(十五音韻母對照表, $W28, X$1)</f>
        <v>茄</v>
      </c>
      <c r="Y28" s="26" t="str" cm="1">
        <f t="array" ref="Y28" xml:space="preserve"> INDEX(十五音韻母對照表, $W28, Y$1)</f>
        <v>io</v>
      </c>
      <c r="Z28" s="26" t="str" cm="1">
        <f t="array" ref="Z28" xml:space="preserve"> INDEX(十五音韻母對照表, $W28, Z$1)</f>
        <v>ioh</v>
      </c>
      <c r="AB28" s="451">
        <v>24</v>
      </c>
      <c r="AC28" s="450" t="s">
        <v>378</v>
      </c>
      <c r="AD28" s="447">
        <f t="shared" si="0"/>
        <v>14</v>
      </c>
      <c r="AE28" s="447" t="str" cm="1">
        <f t="array" ref="AE28" xml:space="preserve"> IF($AD28="", INDEX(十五音韻母對照表, $B28, AE$1), "")</f>
        <v/>
      </c>
    </row>
    <row r="29" spans="2:31" ht="34">
      <c r="B29" s="47">
        <v>25</v>
      </c>
      <c r="C29" s="25" t="s">
        <v>388</v>
      </c>
      <c r="D29" s="26" t="s">
        <v>389</v>
      </c>
      <c r="E29" s="40" t="s">
        <v>390</v>
      </c>
      <c r="F29" s="31" t="s">
        <v>389</v>
      </c>
      <c r="G29" s="40" t="s">
        <v>391</v>
      </c>
      <c r="H29" s="151" t="s">
        <v>261</v>
      </c>
      <c r="I29" s="40" t="s">
        <v>392</v>
      </c>
      <c r="J29" s="31" t="s">
        <v>389</v>
      </c>
      <c r="K29" s="40" t="s">
        <v>390</v>
      </c>
      <c r="L29" s="31" t="s">
        <v>389</v>
      </c>
      <c r="M29" s="40" t="s">
        <v>390</v>
      </c>
      <c r="N29" s="247" t="s">
        <v>393</v>
      </c>
      <c r="O29" s="248" t="s">
        <v>394</v>
      </c>
      <c r="P29" s="31" t="s">
        <v>395</v>
      </c>
      <c r="Q29" s="45" t="s">
        <v>396</v>
      </c>
      <c r="R29" s="28"/>
      <c r="T29" s="47">
        <v>25</v>
      </c>
      <c r="U29" s="446" t="s">
        <v>3690</v>
      </c>
      <c r="V29" s="447" t="s">
        <v>3703</v>
      </c>
      <c r="W29" s="350">
        <f xml:space="preserve"> MATCH($V29, 韻母舒聲碼, 0)</f>
        <v>35</v>
      </c>
      <c r="X29" s="448" t="str" cm="1">
        <f t="array" ref="X29" xml:space="preserve"> INDEX(十五音韻母對照表, $W29, X$1)</f>
        <v>薑</v>
      </c>
      <c r="Y29" s="26" t="str" cm="1">
        <f t="array" ref="Y29" xml:space="preserve"> INDEX(十五音韻母對照表, $W29, Y$1)</f>
        <v>ionn</v>
      </c>
      <c r="Z29" s="26" t="str" cm="1">
        <f t="array" ref="Z29" xml:space="preserve"> INDEX(十五音韻母對照表, $W29, Z$1)</f>
        <v>ionnh</v>
      </c>
      <c r="AB29" s="451">
        <v>25</v>
      </c>
      <c r="AC29" s="450" t="s">
        <v>388</v>
      </c>
      <c r="AD29" s="447">
        <f t="shared" si="0"/>
        <v>42</v>
      </c>
      <c r="AE29" s="447" t="str" cm="1">
        <f t="array" ref="AE29" xml:space="preserve"> IF($AD29="", INDEX(十五音韻母對照表, $B29, AE$1), "")</f>
        <v/>
      </c>
    </row>
    <row r="30" spans="2:31" ht="31">
      <c r="B30" s="47">
        <v>26</v>
      </c>
      <c r="C30" s="25" t="s">
        <v>399</v>
      </c>
      <c r="D30" s="26" t="s">
        <v>400</v>
      </c>
      <c r="E30" s="40" t="s">
        <v>401</v>
      </c>
      <c r="F30" s="26" t="s">
        <v>402</v>
      </c>
      <c r="G30" s="27" t="s">
        <v>403</v>
      </c>
      <c r="H30" s="150" t="s">
        <v>404</v>
      </c>
      <c r="I30" s="27" t="s">
        <v>405</v>
      </c>
      <c r="J30" s="26" t="s">
        <v>400</v>
      </c>
      <c r="K30" s="27" t="s">
        <v>401</v>
      </c>
      <c r="L30" s="26" t="s">
        <v>406</v>
      </c>
      <c r="M30" s="27" t="s">
        <v>407</v>
      </c>
      <c r="N30" s="26" t="s">
        <v>408</v>
      </c>
      <c r="O30" s="27" t="s">
        <v>409</v>
      </c>
      <c r="P30" s="26" t="s">
        <v>410</v>
      </c>
      <c r="Q30" s="44" t="s">
        <v>411</v>
      </c>
      <c r="R30" s="28" t="s">
        <v>412</v>
      </c>
      <c r="T30" s="47">
        <v>26</v>
      </c>
      <c r="U30" s="446" t="s">
        <v>3613</v>
      </c>
      <c r="V30" s="447" t="s">
        <v>2364</v>
      </c>
      <c r="W30" s="350">
        <f xml:space="preserve"> MATCH($V30, 韻母舒聲碼, 0)</f>
        <v>14</v>
      </c>
      <c r="X30" s="448" t="str" cm="1">
        <f t="array" ref="X30" xml:space="preserve"> INDEX(十五音韻母對照表, $W30, X$1)</f>
        <v>恭</v>
      </c>
      <c r="Y30" s="26" t="str" cm="1">
        <f t="array" ref="Y30" xml:space="preserve"> INDEX(十五音韻母對照表, $W30, Y$1)</f>
        <v>iong</v>
      </c>
      <c r="Z30" s="26" t="str" cm="1">
        <f t="array" ref="Z30" xml:space="preserve"> INDEX(十五音韻母對照表, $W30, Z$1)</f>
        <v>iok</v>
      </c>
      <c r="AB30" s="451">
        <v>26</v>
      </c>
      <c r="AC30" s="450" t="s">
        <v>399</v>
      </c>
      <c r="AD30" s="447">
        <f t="shared" si="0"/>
        <v>2</v>
      </c>
      <c r="AE30" s="447" t="str" cm="1">
        <f t="array" ref="AE30" xml:space="preserve"> IF($AD30="", INDEX(十五音韻母對照表, $B30, AE$1), "")</f>
        <v/>
      </c>
    </row>
    <row r="31" spans="2:31" ht="31">
      <c r="B31" s="47">
        <v>27</v>
      </c>
      <c r="C31" s="25" t="s">
        <v>414</v>
      </c>
      <c r="D31" s="26" t="s">
        <v>415</v>
      </c>
      <c r="E31" s="27" t="s">
        <v>416</v>
      </c>
      <c r="F31" s="26" t="s">
        <v>415</v>
      </c>
      <c r="G31" s="27" t="s">
        <v>417</v>
      </c>
      <c r="H31" s="150" t="s">
        <v>415</v>
      </c>
      <c r="I31" s="27" t="s">
        <v>416</v>
      </c>
      <c r="J31" s="26" t="s">
        <v>415</v>
      </c>
      <c r="K31" s="27" t="s">
        <v>416</v>
      </c>
      <c r="L31" s="26" t="s">
        <v>415</v>
      </c>
      <c r="M31" s="27" t="s">
        <v>416</v>
      </c>
      <c r="N31" s="26" t="s">
        <v>418</v>
      </c>
      <c r="O31" s="27" t="s">
        <v>419</v>
      </c>
      <c r="P31" s="26" t="s">
        <v>252</v>
      </c>
      <c r="Q31" s="44" t="s">
        <v>420</v>
      </c>
      <c r="R31" s="33" t="s">
        <v>421</v>
      </c>
      <c r="T31" s="47">
        <v>27</v>
      </c>
      <c r="U31" s="446" t="s">
        <v>3691</v>
      </c>
      <c r="V31" s="447" t="s">
        <v>2347</v>
      </c>
      <c r="W31" s="350">
        <f xml:space="preserve"> MATCH($V31, 韻母舒聲碼, 0)</f>
        <v>30</v>
      </c>
      <c r="X31" s="448" t="str" cm="1">
        <f t="array" ref="X31" xml:space="preserve"> INDEX(十五音韻母對照表, $W31, X$1)</f>
        <v>丩</v>
      </c>
      <c r="Y31" s="26" t="str" cm="1">
        <f t="array" ref="Y31" xml:space="preserve"> INDEX(十五音韻母對照表, $W31, Y$1)</f>
        <v>iu</v>
      </c>
      <c r="Z31" s="26" t="str" cm="1">
        <f t="array" ref="Z31" xml:space="preserve"> INDEX(十五音韻母對照表, $W31, Z$1)</f>
        <v>iuh</v>
      </c>
      <c r="AB31" s="451">
        <v>27</v>
      </c>
      <c r="AC31" s="450" t="s">
        <v>414</v>
      </c>
      <c r="AD31" s="447">
        <f t="shared" si="0"/>
        <v>36</v>
      </c>
      <c r="AE31" s="447" t="str" cm="1">
        <f t="array" ref="AE31" xml:space="preserve"> IF($AD31="", INDEX(十五音韻母對照表, $B31, AE$1), "")</f>
        <v/>
      </c>
    </row>
    <row r="32" spans="2:31" ht="31">
      <c r="B32" s="47">
        <v>28</v>
      </c>
      <c r="C32" s="25" t="s">
        <v>398</v>
      </c>
      <c r="D32" s="26" t="s">
        <v>424</v>
      </c>
      <c r="E32" s="27" t="s">
        <v>425</v>
      </c>
      <c r="F32" s="26" t="s">
        <v>424</v>
      </c>
      <c r="G32" s="27" t="s">
        <v>426</v>
      </c>
      <c r="H32" s="150" t="s">
        <v>424</v>
      </c>
      <c r="I32" s="27" t="s">
        <v>425</v>
      </c>
      <c r="J32" s="26" t="s">
        <v>424</v>
      </c>
      <c r="K32" s="27" t="s">
        <v>425</v>
      </c>
      <c r="L32" s="26" t="s">
        <v>424</v>
      </c>
      <c r="M32" s="27" t="s">
        <v>425</v>
      </c>
      <c r="N32" s="26" t="s">
        <v>427</v>
      </c>
      <c r="O32" s="27" t="s">
        <v>428</v>
      </c>
      <c r="P32" s="26" t="s">
        <v>424</v>
      </c>
      <c r="Q32" s="44" t="s">
        <v>429</v>
      </c>
      <c r="R32" s="28"/>
      <c r="T32" s="47">
        <v>28</v>
      </c>
      <c r="U32" s="446" t="s">
        <v>503</v>
      </c>
      <c r="V32" s="447" t="s">
        <v>2024</v>
      </c>
      <c r="W32" s="350">
        <f xml:space="preserve"> MATCH($V32, 韻母舒聲碼, 0)</f>
        <v>50</v>
      </c>
      <c r="X32" s="448" t="str" cm="1">
        <f t="array" ref="X32" xml:space="preserve"> INDEX(十五音韻母對照表, $W32, X$1)</f>
        <v>牛</v>
      </c>
      <c r="Y32" s="26" t="str" cm="1">
        <f t="array" ref="Y32" xml:space="preserve"> INDEX(十五音韻母對照表, $W32, Y$1)</f>
        <v>iunn</v>
      </c>
      <c r="Z32" s="26" t="str" cm="1">
        <f t="array" ref="Z32" xml:space="preserve"> INDEX(十五音韻母對照表, $W32, Z$1)</f>
        <v>iunnh</v>
      </c>
      <c r="AB32" s="451">
        <v>28</v>
      </c>
      <c r="AC32" s="450" t="s">
        <v>398</v>
      </c>
      <c r="AD32" s="447">
        <f t="shared" si="0"/>
        <v>1</v>
      </c>
      <c r="AE32" s="447" t="str" cm="1">
        <f t="array" ref="AE32" xml:space="preserve"> IF($AD32="", INDEX(十五音韻母對照表, $B32, AE$1), "")</f>
        <v/>
      </c>
    </row>
    <row r="33" spans="2:31" ht="31">
      <c r="B33" s="47">
        <v>29</v>
      </c>
      <c r="C33" s="25" t="s">
        <v>431</v>
      </c>
      <c r="D33" s="26" t="s">
        <v>432</v>
      </c>
      <c r="E33" s="27" t="s">
        <v>433</v>
      </c>
      <c r="F33" s="26" t="s">
        <v>432</v>
      </c>
      <c r="G33" s="27" t="s">
        <v>434</v>
      </c>
      <c r="H33" s="150" t="s">
        <v>432</v>
      </c>
      <c r="I33" s="27" t="s">
        <v>433</v>
      </c>
      <c r="J33" s="26" t="s">
        <v>432</v>
      </c>
      <c r="K33" s="27" t="s">
        <v>433</v>
      </c>
      <c r="L33" s="26" t="s">
        <v>432</v>
      </c>
      <c r="M33" s="27" t="s">
        <v>433</v>
      </c>
      <c r="N33" s="26" t="s">
        <v>435</v>
      </c>
      <c r="O33" s="27" t="s">
        <v>436</v>
      </c>
      <c r="P33" s="26" t="s">
        <v>278</v>
      </c>
      <c r="Q33" s="44" t="s">
        <v>437</v>
      </c>
      <c r="R33" s="28"/>
      <c r="T33" s="47">
        <v>29</v>
      </c>
      <c r="U33" s="446" t="s">
        <v>3692</v>
      </c>
      <c r="V33" s="447" t="s">
        <v>40</v>
      </c>
      <c r="W33" s="350">
        <f xml:space="preserve"> MATCH($V33, 韻母舒聲碼, 0)</f>
        <v>42</v>
      </c>
      <c r="X33" s="448" t="str" cm="1">
        <f t="array" ref="X33" xml:space="preserve"> INDEX(十五音韻母對照表, $W33, X$1)</f>
        <v>姆</v>
      </c>
      <c r="Y33" s="26" t="str" cm="1">
        <f t="array" ref="Y33" xml:space="preserve"> INDEX(十五音韻母對照表, $W33, Y$1)</f>
        <v>m</v>
      </c>
      <c r="Z33" s="26" t="str" cm="1">
        <f t="array" ref="Z33" xml:space="preserve"> INDEX(十五音韻母對照表, $W33, Z$1)</f>
        <v>mh</v>
      </c>
      <c r="AB33" s="451">
        <v>29</v>
      </c>
      <c r="AC33" s="450" t="s">
        <v>431</v>
      </c>
      <c r="AD33" s="447">
        <f t="shared" si="0"/>
        <v>12</v>
      </c>
      <c r="AE33" s="447" t="str" cm="1">
        <f t="array" ref="AE33" xml:space="preserve"> IF($AD33="", INDEX(十五音韻母對照表, $B33, AE$1), "")</f>
        <v/>
      </c>
    </row>
    <row r="34" spans="2:31" ht="31">
      <c r="B34" s="47">
        <v>30</v>
      </c>
      <c r="C34" s="25" t="s">
        <v>438</v>
      </c>
      <c r="D34" s="26" t="s">
        <v>439</v>
      </c>
      <c r="E34" s="30" t="s">
        <v>440</v>
      </c>
      <c r="F34" s="26" t="s">
        <v>439</v>
      </c>
      <c r="G34" s="30" t="s">
        <v>441</v>
      </c>
      <c r="H34" s="153" t="s">
        <v>439</v>
      </c>
      <c r="I34" s="30" t="s">
        <v>442</v>
      </c>
      <c r="J34" s="26" t="s">
        <v>439</v>
      </c>
      <c r="K34" s="30" t="s">
        <v>440</v>
      </c>
      <c r="L34" s="26" t="s">
        <v>439</v>
      </c>
      <c r="M34" s="30" t="s">
        <v>442</v>
      </c>
      <c r="N34" s="26" t="s">
        <v>443</v>
      </c>
      <c r="O34" s="30" t="s">
        <v>444</v>
      </c>
      <c r="P34" s="26" t="s">
        <v>445</v>
      </c>
      <c r="Q34" s="30"/>
      <c r="R34" s="28"/>
      <c r="T34" s="47">
        <v>30</v>
      </c>
      <c r="U34" s="446" t="s">
        <v>3693</v>
      </c>
      <c r="V34" s="447" t="s">
        <v>92</v>
      </c>
      <c r="W34" s="350">
        <f xml:space="preserve"> MATCH($V34, 韻母舒聲碼, 0)</f>
        <v>38</v>
      </c>
      <c r="X34" s="448" t="str" cm="1">
        <f t="array" ref="X34" xml:space="preserve"> INDEX(十五音韻母對照表, $W34, X$1)</f>
        <v>鋼</v>
      </c>
      <c r="Y34" s="26" t="str" cm="1">
        <f t="array" ref="Y34" xml:space="preserve"> INDEX(十五音韻母對照表, $W34, Y$1)</f>
        <v>ng</v>
      </c>
      <c r="Z34" s="26" t="str" cm="1">
        <f t="array" ref="Z34" xml:space="preserve"> INDEX(十五音韻母對照表, $W34, Z$1)</f>
        <v>ngh</v>
      </c>
      <c r="AB34" s="451">
        <v>30</v>
      </c>
      <c r="AC34" s="450" t="s">
        <v>438</v>
      </c>
      <c r="AD34" s="447">
        <f t="shared" si="0"/>
        <v>27</v>
      </c>
      <c r="AE34" s="447" t="str" cm="1">
        <f t="array" ref="AE34" xml:space="preserve"> IF($AD34="", INDEX(十五音韻母對照表, $B34, AE$1), "")</f>
        <v/>
      </c>
    </row>
    <row r="35" spans="2:31" ht="31">
      <c r="B35" s="47">
        <v>31</v>
      </c>
      <c r="C35" s="25" t="s">
        <v>448</v>
      </c>
      <c r="D35" s="26" t="s">
        <v>449</v>
      </c>
      <c r="E35" s="40" t="s">
        <v>450</v>
      </c>
      <c r="F35" s="26" t="s">
        <v>451</v>
      </c>
      <c r="G35" s="27" t="s">
        <v>452</v>
      </c>
      <c r="H35" s="150" t="s">
        <v>453</v>
      </c>
      <c r="I35" s="27" t="s">
        <v>454</v>
      </c>
      <c r="J35" s="26" t="s">
        <v>449</v>
      </c>
      <c r="K35" s="27" t="s">
        <v>450</v>
      </c>
      <c r="L35" s="26" t="s">
        <v>455</v>
      </c>
      <c r="M35" s="27" t="s">
        <v>456</v>
      </c>
      <c r="N35" s="26" t="s">
        <v>457</v>
      </c>
      <c r="O35" s="27" t="s">
        <v>458</v>
      </c>
      <c r="P35" s="26" t="s">
        <v>459</v>
      </c>
      <c r="Q35" s="44" t="s">
        <v>460</v>
      </c>
      <c r="R35" s="33" t="s">
        <v>461</v>
      </c>
      <c r="T35" s="47">
        <v>31</v>
      </c>
      <c r="U35" s="446" t="s">
        <v>297</v>
      </c>
      <c r="V35" s="447" t="s">
        <v>1625</v>
      </c>
      <c r="W35" s="350">
        <f xml:space="preserve"> MATCH($V35, 韻母舒聲碼, 0)</f>
        <v>15</v>
      </c>
      <c r="X35" s="448" t="str" cm="1">
        <f t="array" ref="X35" xml:space="preserve"> INDEX(十五音韻母對照表, $W35, X$1)</f>
        <v>高</v>
      </c>
      <c r="Y35" s="26" t="str" cm="1">
        <f t="array" ref="Y35" xml:space="preserve"> INDEX(十五音韻母對照表, $W35, Y$1)</f>
        <v>o</v>
      </c>
      <c r="Z35" s="26" t="str" cm="1">
        <f t="array" ref="Z35" xml:space="preserve"> INDEX(十五音韻母對照表, $W35, Z$1)</f>
        <v>oh</v>
      </c>
      <c r="AB35" s="451">
        <v>31</v>
      </c>
      <c r="AC35" s="450" t="s">
        <v>448</v>
      </c>
      <c r="AD35" s="447">
        <f t="shared" si="0"/>
        <v>11</v>
      </c>
      <c r="AE35" s="447" t="str" cm="1">
        <f t="array" ref="AE35" xml:space="preserve"> IF($AD35="", INDEX(十五音韻母對照表, $B35, AE$1), "")</f>
        <v/>
      </c>
    </row>
    <row r="36" spans="2:31" ht="31">
      <c r="B36" s="47">
        <v>32</v>
      </c>
      <c r="C36" s="29" t="s">
        <v>464</v>
      </c>
      <c r="D36" s="26" t="s">
        <v>465</v>
      </c>
      <c r="E36" s="30" t="s">
        <v>466</v>
      </c>
      <c r="F36" s="31" t="s">
        <v>467</v>
      </c>
      <c r="G36" s="30" t="s">
        <v>468</v>
      </c>
      <c r="H36" s="153" t="s">
        <v>469</v>
      </c>
      <c r="I36" s="30" t="s">
        <v>470</v>
      </c>
      <c r="J36" s="31" t="s">
        <v>465</v>
      </c>
      <c r="K36" s="30" t="s">
        <v>466</v>
      </c>
      <c r="L36" s="31" t="s">
        <v>471</v>
      </c>
      <c r="M36" s="30" t="s">
        <v>472</v>
      </c>
      <c r="N36" s="31" t="s">
        <v>473</v>
      </c>
      <c r="O36" s="30" t="s">
        <v>474</v>
      </c>
      <c r="P36" s="31" t="s">
        <v>475</v>
      </c>
      <c r="Q36" s="30"/>
      <c r="R36" s="33" t="s">
        <v>476</v>
      </c>
      <c r="T36" s="47">
        <v>32</v>
      </c>
      <c r="U36" s="446" t="s">
        <v>3694</v>
      </c>
      <c r="V36" s="447" t="s">
        <v>1622</v>
      </c>
      <c r="W36" s="350">
        <f xml:space="preserve"> MATCH($V36, 韻母舒聲碼, 0)</f>
        <v>11</v>
      </c>
      <c r="X36" s="448" t="str" cm="1">
        <f t="array" ref="X36" xml:space="preserve"> INDEX(十五音韻母對照表, $W36, X$1)</f>
        <v>沽</v>
      </c>
      <c r="Y36" s="26" t="str" cm="1">
        <f t="array" ref="Y36" xml:space="preserve"> INDEX(十五音韻母對照表, $W36, Y$1)</f>
        <v>oo</v>
      </c>
      <c r="Z36" s="26" t="str" cm="1">
        <f t="array" ref="Z36" xml:space="preserve"> INDEX(十五音韻母對照表, $W36, Z$1)</f>
        <v>ooh</v>
      </c>
      <c r="AB36" s="451">
        <v>32</v>
      </c>
      <c r="AC36" s="450" t="s">
        <v>464</v>
      </c>
      <c r="AD36" s="447">
        <f t="shared" si="0"/>
        <v>44</v>
      </c>
      <c r="AE36" s="447" t="str" cm="1">
        <f t="array" ref="AE36" xml:space="preserve"> IF($AD36="", INDEX(十五音韻母對照表, $B36, AE$1), "")</f>
        <v/>
      </c>
    </row>
    <row r="37" spans="2:31" ht="31">
      <c r="B37" s="47">
        <v>33</v>
      </c>
      <c r="C37" s="25" t="s">
        <v>479</v>
      </c>
      <c r="D37" s="26" t="s">
        <v>480</v>
      </c>
      <c r="E37" s="27" t="s">
        <v>481</v>
      </c>
      <c r="F37" s="31" t="s">
        <v>480</v>
      </c>
      <c r="G37" s="27" t="s">
        <v>482</v>
      </c>
      <c r="H37" s="150" t="s">
        <v>480</v>
      </c>
      <c r="I37" s="27" t="s">
        <v>481</v>
      </c>
      <c r="J37" s="26" t="s">
        <v>480</v>
      </c>
      <c r="K37" s="27" t="s">
        <v>481</v>
      </c>
      <c r="L37" s="26" t="s">
        <v>480</v>
      </c>
      <c r="M37" s="27" t="s">
        <v>481</v>
      </c>
      <c r="N37" s="26" t="s">
        <v>483</v>
      </c>
      <c r="O37" s="27" t="s">
        <v>484</v>
      </c>
      <c r="P37" s="26" t="s">
        <v>485</v>
      </c>
      <c r="Q37" s="44" t="s">
        <v>486</v>
      </c>
      <c r="R37" s="28"/>
      <c r="T37" s="47">
        <v>33</v>
      </c>
      <c r="U37" s="442" t="s">
        <v>3695</v>
      </c>
      <c r="V37" s="443" t="s">
        <v>1636</v>
      </c>
      <c r="W37" s="350">
        <f xml:space="preserve"> MATCH($V37, 韻母舒聲碼, 0)</f>
        <v>49</v>
      </c>
      <c r="X37" s="448" t="str" cm="1">
        <f t="array" ref="X37" xml:space="preserve"> INDEX(十五音韻母對照表, $W37, X$1)</f>
        <v>扛</v>
      </c>
      <c r="Y37" s="26" t="str" cm="1">
        <f t="array" ref="Y37" xml:space="preserve"> INDEX(十五音韻母對照表, $W37, Y$1)</f>
        <v>oonn</v>
      </c>
      <c r="Z37" s="26" t="str" cm="1">
        <f t="array" ref="Z37" xml:space="preserve"> INDEX(十五音韻母對照表, $W37, Z$1)</f>
        <v>oonnh</v>
      </c>
      <c r="AB37" s="451">
        <v>33</v>
      </c>
      <c r="AC37" s="450" t="s">
        <v>479</v>
      </c>
      <c r="AD37" s="447">
        <f t="shared" si="0"/>
        <v>24</v>
      </c>
      <c r="AE37" s="447" t="str" cm="1">
        <f t="array" ref="AE37" xml:space="preserve"> IF($AD37="", INDEX(十五音韻母對照表, $B37, AE$1), "")</f>
        <v/>
      </c>
    </row>
    <row r="38" spans="2:31" ht="31">
      <c r="B38" s="47">
        <v>34</v>
      </c>
      <c r="C38" s="25" t="s">
        <v>489</v>
      </c>
      <c r="D38" s="26" t="s">
        <v>490</v>
      </c>
      <c r="E38" s="27" t="s">
        <v>491</v>
      </c>
      <c r="F38" s="26" t="s">
        <v>492</v>
      </c>
      <c r="G38" s="27" t="s">
        <v>493</v>
      </c>
      <c r="H38" s="150" t="s">
        <v>494</v>
      </c>
      <c r="I38" s="27" t="s">
        <v>495</v>
      </c>
      <c r="J38" s="26" t="s">
        <v>490</v>
      </c>
      <c r="K38" s="27" t="s">
        <v>491</v>
      </c>
      <c r="L38" s="26" t="s">
        <v>496</v>
      </c>
      <c r="M38" s="27" t="s">
        <v>497</v>
      </c>
      <c r="N38" s="26" t="s">
        <v>498</v>
      </c>
      <c r="O38" s="27" t="s">
        <v>498</v>
      </c>
      <c r="P38" s="26" t="s">
        <v>499</v>
      </c>
      <c r="Q38" s="44" t="s">
        <v>500</v>
      </c>
      <c r="R38" s="28"/>
      <c r="T38" s="47">
        <v>34</v>
      </c>
      <c r="U38" s="439" t="s">
        <v>3696</v>
      </c>
      <c r="V38" s="350" t="s">
        <v>2051</v>
      </c>
      <c r="W38" s="350">
        <f xml:space="preserve"> MATCH($V38, 韻母舒聲碼, 0)</f>
        <v>47</v>
      </c>
      <c r="X38" s="448" t="str" cm="1">
        <f t="array" ref="X38" xml:space="preserve"> INDEX(十五音韻母對照表, $W38, X$1)</f>
        <v>箴</v>
      </c>
      <c r="Y38" s="26" t="str" cm="1">
        <f t="array" ref="Y38" xml:space="preserve"> INDEX(十五音韻母對照表, $W38, Y$1)</f>
        <v>om</v>
      </c>
      <c r="Z38" s="26" t="str" cm="1">
        <f t="array" ref="Z38" xml:space="preserve"> INDEX(十五音韻母對照表, $W38, Z$1)</f>
        <v>op</v>
      </c>
      <c r="AB38" s="451">
        <v>34</v>
      </c>
      <c r="AC38" s="450" t="s">
        <v>489</v>
      </c>
      <c r="AD38" s="447">
        <f t="shared" si="0"/>
        <v>13</v>
      </c>
      <c r="AE38" s="447" t="str" cm="1">
        <f t="array" ref="AE38" xml:space="preserve"> IF($AD38="", INDEX(十五音韻母對照表, $B38, AE$1), "")</f>
        <v/>
      </c>
    </row>
    <row r="39" spans="2:31" ht="31">
      <c r="B39" s="47">
        <v>35</v>
      </c>
      <c r="C39" s="32" t="s">
        <v>1991</v>
      </c>
      <c r="D39" s="26" t="s">
        <v>504</v>
      </c>
      <c r="E39" s="30" t="s">
        <v>505</v>
      </c>
      <c r="F39" s="43" t="s">
        <v>506</v>
      </c>
      <c r="G39" s="30" t="s">
        <v>507</v>
      </c>
      <c r="H39" s="153" t="s">
        <v>508</v>
      </c>
      <c r="I39" s="30" t="s">
        <v>509</v>
      </c>
      <c r="J39" s="26" t="s">
        <v>504</v>
      </c>
      <c r="K39" s="30" t="s">
        <v>505</v>
      </c>
      <c r="L39" s="26" t="s">
        <v>510</v>
      </c>
      <c r="M39" s="30" t="s">
        <v>511</v>
      </c>
      <c r="N39" s="26" t="s">
        <v>512</v>
      </c>
      <c r="O39" s="30" t="s">
        <v>513</v>
      </c>
      <c r="P39" s="26" t="s">
        <v>514</v>
      </c>
      <c r="Q39" s="30"/>
      <c r="R39" s="33" t="s">
        <v>515</v>
      </c>
      <c r="T39" s="47">
        <v>35</v>
      </c>
      <c r="U39" s="446" t="s">
        <v>3697</v>
      </c>
      <c r="V39" s="447" t="s">
        <v>1647</v>
      </c>
      <c r="W39" s="350">
        <f xml:space="preserve"> MATCH($V39, 韻母舒聲碼, 0)</f>
        <v>7</v>
      </c>
      <c r="X39" s="448" t="str" cm="1">
        <f t="array" ref="X39" xml:space="preserve"> INDEX(十五音韻母對照表, $W39, X$1)</f>
        <v>公</v>
      </c>
      <c r="Y39" s="26" t="str" cm="1">
        <f t="array" ref="Y39" xml:space="preserve"> INDEX(十五音韻母對照表, $W39, Y$1)</f>
        <v>ong</v>
      </c>
      <c r="Z39" s="26" t="str" cm="1">
        <f t="array" ref="Z39" xml:space="preserve"> INDEX(十五音韻母對照表, $W39, Z$1)</f>
        <v>ok</v>
      </c>
      <c r="AB39" s="451">
        <v>35</v>
      </c>
      <c r="AC39" s="450" t="s">
        <v>1991</v>
      </c>
      <c r="AD39" s="447">
        <f t="shared" si="0"/>
        <v>25</v>
      </c>
      <c r="AE39" s="447" t="str" cm="1">
        <f t="array" ref="AE39" xml:space="preserve"> IF($AD39="", INDEX(十五音韻母對照表, $B39, AE$1), "")</f>
        <v/>
      </c>
    </row>
    <row r="40" spans="2:31" ht="31">
      <c r="B40" s="47">
        <v>36</v>
      </c>
      <c r="C40" s="25" t="s">
        <v>518</v>
      </c>
      <c r="D40" s="26" t="s">
        <v>519</v>
      </c>
      <c r="E40" s="111" t="s">
        <v>520</v>
      </c>
      <c r="F40" s="26" t="s">
        <v>521</v>
      </c>
      <c r="G40" s="111" t="s">
        <v>522</v>
      </c>
      <c r="H40" s="150" t="s">
        <v>523</v>
      </c>
      <c r="I40" s="111" t="s">
        <v>524</v>
      </c>
      <c r="J40" s="26" t="s">
        <v>519</v>
      </c>
      <c r="K40" s="111" t="s">
        <v>520</v>
      </c>
      <c r="L40" s="26" t="s">
        <v>525</v>
      </c>
      <c r="M40" s="111" t="s">
        <v>526</v>
      </c>
      <c r="N40" s="26" t="s">
        <v>527</v>
      </c>
      <c r="O40" s="111" t="s">
        <v>528</v>
      </c>
      <c r="P40" s="26" t="s">
        <v>529</v>
      </c>
      <c r="Q40" s="111"/>
      <c r="R40" s="33" t="s">
        <v>530</v>
      </c>
      <c r="T40" s="47">
        <v>36</v>
      </c>
      <c r="U40" s="446" t="s">
        <v>3698</v>
      </c>
      <c r="V40" s="447" t="s">
        <v>1619</v>
      </c>
      <c r="W40" s="350">
        <f xml:space="preserve"> MATCH($V40, 韻母舒聲碼, 0)</f>
        <v>27</v>
      </c>
      <c r="X40" s="448" t="str" cm="1">
        <f t="array" ref="X40" xml:space="preserve"> INDEX(十五音韻母對照表, $W40, X$1)</f>
        <v>艍</v>
      </c>
      <c r="Y40" s="26" t="str" cm="1">
        <f t="array" ref="Y40" xml:space="preserve"> INDEX(十五音韻母對照表, $W40, Y$1)</f>
        <v>u</v>
      </c>
      <c r="Z40" s="26" t="str" cm="1">
        <f t="array" ref="Z40" xml:space="preserve"> INDEX(十五音韻母對照表, $W40, Z$1)</f>
        <v>uh</v>
      </c>
      <c r="AB40" s="451">
        <v>36</v>
      </c>
      <c r="AC40" s="450" t="s">
        <v>518</v>
      </c>
      <c r="AD40" s="447">
        <f t="shared" si="0"/>
        <v>15</v>
      </c>
      <c r="AE40" s="447" t="str" cm="1">
        <f t="array" ref="AE40" xml:space="preserve"> IF($AD40="", INDEX(十五音韻母對照表, $B40, AE$1), "")</f>
        <v/>
      </c>
    </row>
    <row r="41" spans="2:31" ht="31">
      <c r="B41" s="47">
        <v>37</v>
      </c>
      <c r="C41" s="25" t="s">
        <v>463</v>
      </c>
      <c r="D41" s="26" t="s">
        <v>532</v>
      </c>
      <c r="E41" s="30" t="s">
        <v>533</v>
      </c>
      <c r="F41" s="26" t="s">
        <v>534</v>
      </c>
      <c r="G41" s="30" t="s">
        <v>535</v>
      </c>
      <c r="H41" s="153" t="s">
        <v>536</v>
      </c>
      <c r="I41" s="30" t="s">
        <v>537</v>
      </c>
      <c r="J41" s="26" t="s">
        <v>532</v>
      </c>
      <c r="K41" s="30" t="s">
        <v>533</v>
      </c>
      <c r="L41" s="26" t="s">
        <v>538</v>
      </c>
      <c r="M41" s="30" t="s">
        <v>539</v>
      </c>
      <c r="N41" s="26" t="s">
        <v>540</v>
      </c>
      <c r="O41" s="30" t="s">
        <v>541</v>
      </c>
      <c r="P41" s="26" t="s">
        <v>542</v>
      </c>
      <c r="Q41" s="30"/>
      <c r="R41" s="28"/>
      <c r="T41" s="47">
        <v>37</v>
      </c>
      <c r="U41" s="446" t="s">
        <v>338</v>
      </c>
      <c r="V41" s="447" t="s">
        <v>2368</v>
      </c>
      <c r="W41" s="350">
        <f xml:space="preserve"> MATCH($V41, 韻母舒聲碼, 0)</f>
        <v>20</v>
      </c>
      <c r="X41" s="448" t="str" cm="1">
        <f t="array" ref="X41" xml:space="preserve"> INDEX(十五音韻母對照表, $W41, X$1)</f>
        <v>瓜</v>
      </c>
      <c r="Y41" s="26" t="str" cm="1">
        <f t="array" ref="Y41" xml:space="preserve"> INDEX(十五音韻母對照表, $W41, Y$1)</f>
        <v>ua</v>
      </c>
      <c r="Z41" s="26" t="str" cm="1">
        <f t="array" ref="Z41" xml:space="preserve"> INDEX(十五音韻母對照表, $W41, Z$1)</f>
        <v>uah</v>
      </c>
      <c r="AB41" s="451">
        <v>37</v>
      </c>
      <c r="AC41" s="450" t="s">
        <v>463</v>
      </c>
      <c r="AD41" s="447">
        <f t="shared" si="0"/>
        <v>38</v>
      </c>
      <c r="AE41" s="447" t="str" cm="1">
        <f t="array" ref="AE41" xml:space="preserve"> IF($AD41="", INDEX(十五音韻母對照表, $B41, AE$1), "")</f>
        <v/>
      </c>
    </row>
    <row r="42" spans="2:31" ht="31">
      <c r="B42" s="47">
        <v>38</v>
      </c>
      <c r="C42" s="29" t="s">
        <v>488</v>
      </c>
      <c r="D42" s="26" t="s">
        <v>79</v>
      </c>
      <c r="E42" s="111" t="s">
        <v>545</v>
      </c>
      <c r="F42" s="26" t="s">
        <v>546</v>
      </c>
      <c r="G42" s="111" t="s">
        <v>547</v>
      </c>
      <c r="H42" s="150" t="s">
        <v>79</v>
      </c>
      <c r="I42" s="111" t="s">
        <v>548</v>
      </c>
      <c r="J42" s="26" t="s">
        <v>79</v>
      </c>
      <c r="K42" s="111" t="s">
        <v>545</v>
      </c>
      <c r="L42" s="26" t="s">
        <v>79</v>
      </c>
      <c r="M42" s="111" t="s">
        <v>548</v>
      </c>
      <c r="N42" s="26" t="s">
        <v>549</v>
      </c>
      <c r="O42" s="111" t="s">
        <v>550</v>
      </c>
      <c r="P42" s="26" t="s">
        <v>551</v>
      </c>
      <c r="Q42" s="30"/>
      <c r="R42" s="28"/>
      <c r="T42" s="47">
        <v>38</v>
      </c>
      <c r="U42" s="446" t="s">
        <v>239</v>
      </c>
      <c r="V42" s="447" t="s">
        <v>3615</v>
      </c>
      <c r="W42" s="350">
        <f xml:space="preserve"> MATCH($V42, 韻母舒聲碼, 0)</f>
        <v>37</v>
      </c>
      <c r="X42" s="448" t="str" cm="1">
        <f t="array" ref="X42" xml:space="preserve"> INDEX(十五音韻母對照表, $W42, X$1)</f>
        <v>官</v>
      </c>
      <c r="Y42" s="26" t="str" cm="1">
        <f t="array" ref="Y42" xml:space="preserve"> INDEX(十五音韻母對照表, $W42, Y$1)</f>
        <v>uann</v>
      </c>
      <c r="Z42" s="26" t="str" cm="1">
        <f t="array" ref="Z42" xml:space="preserve"> INDEX(十五音韻母對照表, $W42, Z$1)</f>
        <v>uannh</v>
      </c>
      <c r="AB42" s="451">
        <v>38</v>
      </c>
      <c r="AC42" s="450" t="s">
        <v>488</v>
      </c>
      <c r="AD42" s="447">
        <f t="shared" si="0"/>
        <v>30</v>
      </c>
      <c r="AE42" s="447" t="str" cm="1">
        <f t="array" ref="AE42" xml:space="preserve"> IF($AD42="", INDEX(十五音韻母對照表, $B42, AE$1), "")</f>
        <v/>
      </c>
    </row>
    <row r="43" spans="2:31" ht="31">
      <c r="B43" s="47">
        <v>39</v>
      </c>
      <c r="C43" s="32" t="s">
        <v>553</v>
      </c>
      <c r="D43" s="26" t="s">
        <v>278</v>
      </c>
      <c r="E43" s="27" t="s">
        <v>189</v>
      </c>
      <c r="F43" s="26" t="s">
        <v>278</v>
      </c>
      <c r="G43" s="27" t="s">
        <v>554</v>
      </c>
      <c r="H43" s="150" t="s">
        <v>278</v>
      </c>
      <c r="I43" s="27" t="s">
        <v>189</v>
      </c>
      <c r="J43" s="26" t="s">
        <v>278</v>
      </c>
      <c r="K43" s="27" t="s">
        <v>189</v>
      </c>
      <c r="L43" s="26" t="s">
        <v>278</v>
      </c>
      <c r="M43" s="27" t="s">
        <v>189</v>
      </c>
      <c r="N43" s="26" t="s">
        <v>555</v>
      </c>
      <c r="O43" s="27" t="s">
        <v>556</v>
      </c>
      <c r="P43" s="26" t="s">
        <v>197</v>
      </c>
      <c r="Q43" s="44" t="s">
        <v>198</v>
      </c>
      <c r="R43" s="28"/>
      <c r="T43" s="47">
        <v>39</v>
      </c>
      <c r="U43" s="446" t="s">
        <v>218</v>
      </c>
      <c r="V43" s="447" t="s">
        <v>2375</v>
      </c>
      <c r="W43" s="350">
        <f xml:space="preserve"> MATCH($V43, 韻母舒聲碼, 0)</f>
        <v>8</v>
      </c>
      <c r="X43" s="448" t="str" cm="1">
        <f t="array" ref="X43" xml:space="preserve"> INDEX(十五音韻母對照表, $W43, X$1)</f>
        <v>乖</v>
      </c>
      <c r="Y43" s="26" t="str" cm="1">
        <f t="array" ref="Y43" xml:space="preserve"> INDEX(十五音韻母對照表, $W43, Y$1)</f>
        <v>uai</v>
      </c>
      <c r="Z43" s="26" t="str" cm="1">
        <f t="array" ref="Z43" xml:space="preserve"> INDEX(十五音韻母對照表, $W43, Z$1)</f>
        <v>uaih</v>
      </c>
      <c r="AB43" s="451">
        <v>39</v>
      </c>
      <c r="AC43" s="450" t="s">
        <v>553</v>
      </c>
      <c r="AD43" s="447">
        <f t="shared" si="0"/>
        <v>10</v>
      </c>
      <c r="AE43" s="447" t="str" cm="1">
        <f t="array" ref="AE43" xml:space="preserve"> IF($AD43="", INDEX(十五音韻母對照表, $B43, AE$1), "")</f>
        <v/>
      </c>
    </row>
    <row r="44" spans="2:31" ht="31">
      <c r="B44" s="47">
        <v>40</v>
      </c>
      <c r="C44" s="25" t="s">
        <v>705</v>
      </c>
      <c r="D44" s="26" t="s">
        <v>559</v>
      </c>
      <c r="E44" s="30" t="s">
        <v>560</v>
      </c>
      <c r="F44" s="26" t="s">
        <v>561</v>
      </c>
      <c r="G44" s="30" t="s">
        <v>562</v>
      </c>
      <c r="H44" s="153" t="s">
        <v>563</v>
      </c>
      <c r="I44" s="30" t="s">
        <v>564</v>
      </c>
      <c r="J44" s="26" t="s">
        <v>559</v>
      </c>
      <c r="K44" s="30" t="s">
        <v>560</v>
      </c>
      <c r="L44" s="26" t="s">
        <v>565</v>
      </c>
      <c r="M44" s="30" t="s">
        <v>566</v>
      </c>
      <c r="N44" s="26" t="s">
        <v>567</v>
      </c>
      <c r="O44" s="30" t="s">
        <v>568</v>
      </c>
      <c r="P44" s="26" t="s">
        <v>569</v>
      </c>
      <c r="Q44" s="30"/>
      <c r="R44" s="33" t="s">
        <v>570</v>
      </c>
      <c r="T44" s="47">
        <v>40</v>
      </c>
      <c r="U44" s="446" t="s">
        <v>3699</v>
      </c>
      <c r="V44" s="447" t="s">
        <v>3616</v>
      </c>
      <c r="W44" s="350">
        <f xml:space="preserve"> MATCH($V44, 韻母舒聲碼, 0)</f>
        <v>44</v>
      </c>
      <c r="X44" s="448" t="str" cm="1">
        <f t="array" ref="X44" xml:space="preserve"> INDEX(十五音韻母對照表, $W44, X$1)</f>
        <v>閂</v>
      </c>
      <c r="Y44" s="26" t="str" cm="1">
        <f t="array" ref="Y44" xml:space="preserve"> INDEX(十五音韻母對照表, $W44, Y$1)</f>
        <v>uainn</v>
      </c>
      <c r="Z44" s="26" t="str" cm="1">
        <f t="array" ref="Z44" xml:space="preserve"> INDEX(十五音韻母對照表, $W44, Z$1)</f>
        <v>uainnh</v>
      </c>
      <c r="AB44" s="451">
        <v>40</v>
      </c>
      <c r="AC44" s="450" t="s">
        <v>705</v>
      </c>
      <c r="AD44" s="447">
        <f t="shared" si="0"/>
        <v>4</v>
      </c>
      <c r="AE44" s="447" t="str" cm="1">
        <f t="array" ref="AE44" xml:space="preserve"> IF($AD44="", INDEX(十五音韻母對照表, $B44, AE$1), "")</f>
        <v/>
      </c>
    </row>
    <row r="45" spans="2:31" ht="31">
      <c r="B45" s="47">
        <v>41</v>
      </c>
      <c r="C45" s="32" t="s">
        <v>572</v>
      </c>
      <c r="D45" s="26" t="s">
        <v>573</v>
      </c>
      <c r="E45" s="30" t="s">
        <v>574</v>
      </c>
      <c r="F45" s="26" t="s">
        <v>575</v>
      </c>
      <c r="G45" s="30" t="s">
        <v>576</v>
      </c>
      <c r="H45" s="153" t="s">
        <v>577</v>
      </c>
      <c r="I45" s="30" t="s">
        <v>578</v>
      </c>
      <c r="J45" s="26" t="s">
        <v>579</v>
      </c>
      <c r="K45" s="30" t="s">
        <v>580</v>
      </c>
      <c r="L45" s="26" t="s">
        <v>581</v>
      </c>
      <c r="M45" s="30" t="s">
        <v>582</v>
      </c>
      <c r="N45" s="26" t="s">
        <v>583</v>
      </c>
      <c r="O45" s="30" t="s">
        <v>584</v>
      </c>
      <c r="P45" s="26" t="s">
        <v>585</v>
      </c>
      <c r="Q45" s="30"/>
      <c r="R45" s="33" t="s">
        <v>586</v>
      </c>
      <c r="T45" s="47">
        <v>41</v>
      </c>
      <c r="U45" s="446" t="s">
        <v>3700</v>
      </c>
      <c r="V45" s="447" t="s">
        <v>2379</v>
      </c>
      <c r="W45" s="350">
        <f xml:space="preserve"> MATCH($V45, 韻母舒聲碼, 0)</f>
        <v>10</v>
      </c>
      <c r="X45" s="448" t="str" cm="1">
        <f t="array" ref="X45" xml:space="preserve"> INDEX(十五音韻母對照表, $W45, X$1)</f>
        <v>觀</v>
      </c>
      <c r="Y45" s="26" t="str" cm="1">
        <f t="array" ref="Y45" xml:space="preserve"> INDEX(十五音韻母對照表, $W45, Y$1)</f>
        <v>uan</v>
      </c>
      <c r="Z45" s="26" t="str" cm="1">
        <f t="array" ref="Z45" xml:space="preserve"> INDEX(十五音韻母對照表, $W45, Z$1)</f>
        <v>uat</v>
      </c>
      <c r="AB45" s="451">
        <v>41</v>
      </c>
      <c r="AC45" s="450" t="s">
        <v>572</v>
      </c>
      <c r="AD45" s="447" t="str">
        <f t="shared" si="0"/>
        <v/>
      </c>
      <c r="AE45" s="447" t="str" cm="1">
        <f t="array" ref="AE45" xml:space="preserve"> IF($AD45="", INDEX(十五音韻母對照表, $B45, AE$1), "")</f>
        <v>onn</v>
      </c>
    </row>
    <row r="46" spans="2:31" ht="31">
      <c r="B46" s="47">
        <v>42</v>
      </c>
      <c r="C46" s="29" t="s">
        <v>544</v>
      </c>
      <c r="D46" s="26" t="s">
        <v>64</v>
      </c>
      <c r="E46" s="111" t="s">
        <v>588</v>
      </c>
      <c r="F46" s="26" t="s">
        <v>589</v>
      </c>
      <c r="G46" s="111" t="s">
        <v>590</v>
      </c>
      <c r="H46" s="150" t="s">
        <v>64</v>
      </c>
      <c r="I46" s="111" t="s">
        <v>591</v>
      </c>
      <c r="J46" s="26" t="s">
        <v>64</v>
      </c>
      <c r="K46" s="111" t="s">
        <v>588</v>
      </c>
      <c r="L46" s="26" t="s">
        <v>64</v>
      </c>
      <c r="M46" s="111" t="s">
        <v>591</v>
      </c>
      <c r="N46" s="26" t="s">
        <v>592</v>
      </c>
      <c r="O46" s="111" t="s">
        <v>593</v>
      </c>
      <c r="P46" s="31" t="s">
        <v>594</v>
      </c>
      <c r="Q46" s="30"/>
      <c r="R46" s="28"/>
      <c r="T46" s="47">
        <v>42</v>
      </c>
      <c r="U46" s="446" t="s">
        <v>3701</v>
      </c>
      <c r="V46" s="447" t="s">
        <v>2371</v>
      </c>
      <c r="W46" s="350">
        <f xml:space="preserve"> MATCH($V46, 韻母舒聲碼, 0)</f>
        <v>25</v>
      </c>
      <c r="X46" s="448" t="str" cm="1">
        <f t="array" ref="X46" xml:space="preserve"> INDEX(十五音韻母對照表, $W46, X$1)</f>
        <v>檜</v>
      </c>
      <c r="Y46" s="26" t="str" cm="1">
        <f t="array" ref="Y46" xml:space="preserve"> INDEX(十五音韻母對照表, $W46, Y$1)</f>
        <v>ue</v>
      </c>
      <c r="Z46" s="26" t="str" cm="1">
        <f t="array" ref="Z46" xml:space="preserve"> INDEX(十五音韻母對照表, $W46, Z$1)</f>
        <v>ueh</v>
      </c>
      <c r="AB46" s="451">
        <v>42</v>
      </c>
      <c r="AC46" s="450" t="s">
        <v>544</v>
      </c>
      <c r="AD46" s="447">
        <f t="shared" si="0"/>
        <v>29</v>
      </c>
      <c r="AE46" s="447" t="str" cm="1">
        <f t="array" ref="AE46" xml:space="preserve"> IF($AD46="", INDEX(十五音韻母對照表, $B46, AE$1), "")</f>
        <v/>
      </c>
    </row>
    <row r="47" spans="2:31" ht="31">
      <c r="B47" s="47">
        <v>43</v>
      </c>
      <c r="C47" s="25" t="s">
        <v>597</v>
      </c>
      <c r="D47" s="26" t="s">
        <v>598</v>
      </c>
      <c r="E47" s="41" t="s">
        <v>599</v>
      </c>
      <c r="F47" s="31" t="s">
        <v>600</v>
      </c>
      <c r="G47" s="40" t="s">
        <v>601</v>
      </c>
      <c r="H47" s="151" t="s">
        <v>602</v>
      </c>
      <c r="I47" s="40" t="s">
        <v>603</v>
      </c>
      <c r="J47" s="26" t="s">
        <v>598</v>
      </c>
      <c r="K47" s="27" t="s">
        <v>599</v>
      </c>
      <c r="L47" s="26" t="s">
        <v>598</v>
      </c>
      <c r="M47" s="27" t="s">
        <v>599</v>
      </c>
      <c r="N47" s="26" t="s">
        <v>604</v>
      </c>
      <c r="O47" s="27" t="s">
        <v>605</v>
      </c>
      <c r="P47" s="26" t="s">
        <v>606</v>
      </c>
      <c r="Q47" s="44" t="s">
        <v>607</v>
      </c>
      <c r="R47" s="28"/>
      <c r="T47" s="47">
        <v>43</v>
      </c>
      <c r="U47" s="446" t="s">
        <v>3702</v>
      </c>
      <c r="V47" s="447" t="s">
        <v>181</v>
      </c>
      <c r="W47" s="350">
        <f xml:space="preserve"> MATCH($V47, 韻母舒聲碼, 0)</f>
        <v>4</v>
      </c>
      <c r="X47" s="448" t="str" cm="1">
        <f t="array" ref="X47" xml:space="preserve"> INDEX(十五音韻母對照表, $W47, X$1)</f>
        <v>規</v>
      </c>
      <c r="Y47" s="26" t="str" cm="1">
        <f t="array" ref="Y47" xml:space="preserve"> INDEX(十五音韻母對照表, $W47, Y$1)</f>
        <v>ui</v>
      </c>
      <c r="Z47" s="26" t="str" cm="1">
        <f t="array" ref="Z47" xml:space="preserve"> INDEX(十五音韻母對照表, $W47, Z$1)</f>
        <v>uih</v>
      </c>
      <c r="AB47" s="451">
        <v>43</v>
      </c>
      <c r="AC47" s="450" t="s">
        <v>597</v>
      </c>
      <c r="AD47" s="447" t="str">
        <f t="shared" si="0"/>
        <v/>
      </c>
      <c r="AE47" s="447" t="str" cm="1">
        <f t="array" ref="AE47" xml:space="preserve"> IF($AD47="", INDEX(十五音韻母對照表, $B47, AE$1), "")</f>
        <v>uang</v>
      </c>
    </row>
    <row r="48" spans="2:31" ht="31">
      <c r="B48" s="47">
        <v>44</v>
      </c>
      <c r="C48" s="29" t="s">
        <v>558</v>
      </c>
      <c r="D48" s="26" t="s">
        <v>610</v>
      </c>
      <c r="E48" s="41" t="s">
        <v>611</v>
      </c>
      <c r="F48" s="31" t="s">
        <v>612</v>
      </c>
      <c r="G48" s="40" t="s">
        <v>613</v>
      </c>
      <c r="H48" s="151" t="s">
        <v>614</v>
      </c>
      <c r="I48" s="40" t="s">
        <v>615</v>
      </c>
      <c r="J48" s="31" t="s">
        <v>610</v>
      </c>
      <c r="K48" s="27" t="s">
        <v>611</v>
      </c>
      <c r="L48" s="26" t="s">
        <v>616</v>
      </c>
      <c r="M48" s="27" t="s">
        <v>617</v>
      </c>
      <c r="N48" s="31" t="s">
        <v>618</v>
      </c>
      <c r="O48" s="40" t="s">
        <v>619</v>
      </c>
      <c r="P48" s="31" t="s">
        <v>620</v>
      </c>
      <c r="Q48" s="45" t="s">
        <v>621</v>
      </c>
      <c r="R48" s="33" t="s">
        <v>622</v>
      </c>
      <c r="T48" s="47">
        <v>44</v>
      </c>
      <c r="U48" s="446" t="s">
        <v>2018</v>
      </c>
      <c r="V48" s="447" t="s">
        <v>2059</v>
      </c>
      <c r="W48" s="350">
        <f xml:space="preserve"> MATCH($V48, 韻母舒聲碼, 0)</f>
        <v>32</v>
      </c>
      <c r="X48" s="448" t="str" cm="1">
        <f t="array" ref="X48" xml:space="preserve"> INDEX(十五音韻母對照表, $W48, X$1)</f>
        <v>褌</v>
      </c>
      <c r="Y48" s="26" t="str" cm="1">
        <f t="array" ref="Y48" xml:space="preserve"> INDEX(十五音韻母對照表, $W48, Y$1)</f>
        <v>uinn</v>
      </c>
      <c r="Z48" s="26" t="str" cm="1">
        <f t="array" ref="Z48" xml:space="preserve"> INDEX(十五音韻母對照表, $W48, Z$1)</f>
        <v>uinnh</v>
      </c>
      <c r="AB48" s="451">
        <v>44</v>
      </c>
      <c r="AC48" s="450" t="s">
        <v>558</v>
      </c>
      <c r="AD48" s="447">
        <f t="shared" si="0"/>
        <v>40</v>
      </c>
      <c r="AE48" s="447" t="str" cm="1">
        <f t="array" ref="AE48" xml:space="preserve"> IF($AD48="", INDEX(十五音韻母對照表, $B48, AE$1), "")</f>
        <v/>
      </c>
    </row>
    <row r="49" spans="2:31" ht="31">
      <c r="B49" s="47">
        <v>45</v>
      </c>
      <c r="C49" s="29" t="s">
        <v>623</v>
      </c>
      <c r="D49" s="26" t="s">
        <v>624</v>
      </c>
      <c r="E49" s="30" t="s">
        <v>625</v>
      </c>
      <c r="F49" s="31" t="s">
        <v>626</v>
      </c>
      <c r="G49" s="30" t="s">
        <v>627</v>
      </c>
      <c r="H49" s="153" t="s">
        <v>628</v>
      </c>
      <c r="I49" s="30" t="s">
        <v>629</v>
      </c>
      <c r="J49" s="31" t="s">
        <v>624</v>
      </c>
      <c r="K49" s="30" t="s">
        <v>625</v>
      </c>
      <c r="L49" s="31" t="s">
        <v>630</v>
      </c>
      <c r="M49" s="30" t="s">
        <v>631</v>
      </c>
      <c r="N49" s="31" t="s">
        <v>632</v>
      </c>
      <c r="O49" s="30" t="s">
        <v>633</v>
      </c>
      <c r="P49" s="31" t="s">
        <v>634</v>
      </c>
      <c r="Q49" s="30"/>
      <c r="R49" s="42" t="s">
        <v>635</v>
      </c>
      <c r="T49" s="47">
        <v>45</v>
      </c>
      <c r="U49" s="446" t="s">
        <v>151</v>
      </c>
      <c r="V49" s="447" t="s">
        <v>2377</v>
      </c>
      <c r="W49" s="350">
        <f xml:space="preserve"> MATCH($V49, 韻母舒聲碼, 0)</f>
        <v>1</v>
      </c>
      <c r="X49" s="448" t="str" cm="1">
        <f t="array" ref="X49" xml:space="preserve"> INDEX(十五音韻母對照表, $W49, X$1)</f>
        <v>君</v>
      </c>
      <c r="Y49" s="26" t="str" cm="1">
        <f t="array" ref="Y49" xml:space="preserve"> INDEX(十五音韻母對照表, $W49, Y$1)</f>
        <v>un</v>
      </c>
      <c r="Z49" s="26" t="str" cm="1">
        <f t="array" ref="Z49" xml:space="preserve"> INDEX(十五音韻母對照表, $W49, Z$1)</f>
        <v>ut</v>
      </c>
      <c r="AB49" s="451">
        <v>45</v>
      </c>
      <c r="AC49" s="450" t="s">
        <v>623</v>
      </c>
      <c r="AD49" s="447" t="str">
        <f t="shared" si="0"/>
        <v/>
      </c>
      <c r="AE49" s="447" t="str" cm="1">
        <f t="array" ref="AE49" xml:space="preserve"> IF($AD49="", INDEX(十五音韻母對照表, $B49, AE$1), "")</f>
        <v>uenn</v>
      </c>
    </row>
    <row r="50" spans="2:31" ht="30">
      <c r="B50" s="47">
        <v>46</v>
      </c>
      <c r="C50" s="25" t="s">
        <v>636</v>
      </c>
      <c r="D50" s="26" t="s">
        <v>637</v>
      </c>
      <c r="E50" s="41" t="s">
        <v>638</v>
      </c>
      <c r="F50" s="26" t="s">
        <v>639</v>
      </c>
      <c r="G50" s="27" t="s">
        <v>640</v>
      </c>
      <c r="H50" s="150" t="s">
        <v>641</v>
      </c>
      <c r="I50" s="27" t="s">
        <v>642</v>
      </c>
      <c r="J50" s="26" t="s">
        <v>637</v>
      </c>
      <c r="K50" s="27" t="s">
        <v>638</v>
      </c>
      <c r="L50" s="26" t="s">
        <v>643</v>
      </c>
      <c r="M50" s="27" t="s">
        <v>644</v>
      </c>
      <c r="N50" s="26" t="s">
        <v>645</v>
      </c>
      <c r="O50" s="27" t="s">
        <v>646</v>
      </c>
      <c r="P50" s="26" t="s">
        <v>647</v>
      </c>
      <c r="Q50" s="44" t="s">
        <v>648</v>
      </c>
      <c r="R50" s="28"/>
      <c r="AB50" s="451">
        <v>46</v>
      </c>
      <c r="AC50" s="450" t="s">
        <v>636</v>
      </c>
      <c r="AD50" s="447">
        <f t="shared" si="0"/>
        <v>20</v>
      </c>
      <c r="AE50" s="447" t="str" cm="1">
        <f t="array" ref="AE50" xml:space="preserve"> IF($AD50="", INDEX(十五音韻母對照表, $B50, AE$1), "")</f>
        <v/>
      </c>
    </row>
    <row r="51" spans="2:31" ht="30">
      <c r="B51" s="47">
        <v>47</v>
      </c>
      <c r="C51" s="25" t="s">
        <v>721</v>
      </c>
      <c r="D51" s="26" t="s">
        <v>649</v>
      </c>
      <c r="E51" s="41" t="s">
        <v>650</v>
      </c>
      <c r="F51" s="31" t="s">
        <v>651</v>
      </c>
      <c r="G51" s="27" t="s">
        <v>652</v>
      </c>
      <c r="H51" s="150" t="s">
        <v>649</v>
      </c>
      <c r="I51" s="27" t="s">
        <v>650</v>
      </c>
      <c r="J51" s="26" t="s">
        <v>649</v>
      </c>
      <c r="K51" s="27" t="s">
        <v>650</v>
      </c>
      <c r="L51" s="26" t="s">
        <v>649</v>
      </c>
      <c r="M51" s="27" t="s">
        <v>650</v>
      </c>
      <c r="N51" s="26" t="s">
        <v>653</v>
      </c>
      <c r="O51" s="27" t="s">
        <v>654</v>
      </c>
      <c r="P51" s="26" t="s">
        <v>649</v>
      </c>
      <c r="Q51" s="44" t="s">
        <v>655</v>
      </c>
      <c r="R51" s="28"/>
      <c r="AB51" s="451">
        <v>47</v>
      </c>
      <c r="AC51" s="450" t="s">
        <v>721</v>
      </c>
      <c r="AD51" s="447">
        <f t="shared" si="0"/>
        <v>34</v>
      </c>
      <c r="AE51" s="447" t="str" cm="1">
        <f t="array" ref="AE51" xml:space="preserve"> IF($AD51="", INDEX(十五音韻母對照表, $B51, AE$1), "")</f>
        <v/>
      </c>
    </row>
    <row r="52" spans="2:31" ht="30">
      <c r="B52" s="47">
        <v>48</v>
      </c>
      <c r="C52" s="25" t="s">
        <v>656</v>
      </c>
      <c r="D52" s="26" t="s">
        <v>657</v>
      </c>
      <c r="E52" s="30" t="s">
        <v>658</v>
      </c>
      <c r="F52" s="26" t="s">
        <v>659</v>
      </c>
      <c r="G52" s="30" t="s">
        <v>660</v>
      </c>
      <c r="H52" s="150" t="s">
        <v>661</v>
      </c>
      <c r="I52" s="30" t="s">
        <v>662</v>
      </c>
      <c r="J52" s="150" t="s">
        <v>657</v>
      </c>
      <c r="K52" s="30" t="s">
        <v>658</v>
      </c>
      <c r="L52" s="26" t="s">
        <v>663</v>
      </c>
      <c r="M52" s="30" t="s">
        <v>664</v>
      </c>
      <c r="N52" s="26" t="s">
        <v>665</v>
      </c>
      <c r="O52" s="30" t="s">
        <v>666</v>
      </c>
      <c r="P52" s="26" t="s">
        <v>667</v>
      </c>
      <c r="Q52" s="30"/>
      <c r="R52" s="28"/>
      <c r="AB52" s="451">
        <v>48</v>
      </c>
      <c r="AC52" s="450" t="s">
        <v>656</v>
      </c>
      <c r="AD52" s="447">
        <f t="shared" si="0"/>
        <v>9</v>
      </c>
      <c r="AE52" s="447" t="str" cm="1">
        <f t="array" ref="AE52" xml:space="preserve"> IF($AD52="", INDEX(十五音韻母對照表, $B52, AE$1), "")</f>
        <v/>
      </c>
    </row>
    <row r="53" spans="2:31" ht="30">
      <c r="B53" s="47">
        <v>49</v>
      </c>
      <c r="C53" s="32" t="s">
        <v>668</v>
      </c>
      <c r="D53" s="26" t="s">
        <v>1636</v>
      </c>
      <c r="E53" s="41" t="s">
        <v>3708</v>
      </c>
      <c r="F53" s="26" t="s">
        <v>669</v>
      </c>
      <c r="G53" s="27" t="s">
        <v>670</v>
      </c>
      <c r="H53" s="150" t="s">
        <v>577</v>
      </c>
      <c r="I53" s="27" t="s">
        <v>578</v>
      </c>
      <c r="J53" s="265" t="s">
        <v>579</v>
      </c>
      <c r="K53" s="265" t="s">
        <v>580</v>
      </c>
      <c r="L53" s="26" t="s">
        <v>671</v>
      </c>
      <c r="M53" s="27" t="s">
        <v>672</v>
      </c>
      <c r="N53" s="26" t="s">
        <v>583</v>
      </c>
      <c r="O53" s="27" t="s">
        <v>584</v>
      </c>
      <c r="P53" s="26" t="s">
        <v>673</v>
      </c>
      <c r="Q53" s="44" t="s">
        <v>674</v>
      </c>
      <c r="R53" s="33" t="s">
        <v>675</v>
      </c>
      <c r="AB53" s="451">
        <v>49</v>
      </c>
      <c r="AC53" s="450" t="s">
        <v>668</v>
      </c>
      <c r="AD53" s="447">
        <f t="shared" si="0"/>
        <v>33</v>
      </c>
      <c r="AE53" s="447" t="str" cm="1">
        <f t="array" ref="AE53" xml:space="preserve"> IF($AD53="", INDEX(十五音韻母對照表, $B53, AE$1), "")</f>
        <v/>
      </c>
    </row>
    <row r="54" spans="2:31" ht="30">
      <c r="B54" s="47">
        <v>50</v>
      </c>
      <c r="C54" s="449" t="s">
        <v>676</v>
      </c>
      <c r="D54" s="26" t="s">
        <v>677</v>
      </c>
      <c r="E54" s="111" t="s">
        <v>678</v>
      </c>
      <c r="F54" s="26" t="s">
        <v>679</v>
      </c>
      <c r="G54" s="111" t="s">
        <v>680</v>
      </c>
      <c r="H54" s="150" t="s">
        <v>681</v>
      </c>
      <c r="I54" s="111" t="s">
        <v>682</v>
      </c>
      <c r="J54" s="26" t="s">
        <v>677</v>
      </c>
      <c r="K54" s="111" t="s">
        <v>678</v>
      </c>
      <c r="L54" s="26" t="s">
        <v>683</v>
      </c>
      <c r="M54" s="111" t="s">
        <v>684</v>
      </c>
      <c r="N54" s="26" t="s">
        <v>685</v>
      </c>
      <c r="O54" s="111" t="s">
        <v>686</v>
      </c>
      <c r="P54" s="26" t="s">
        <v>687</v>
      </c>
      <c r="Q54" s="46"/>
      <c r="R54" s="28"/>
      <c r="AB54" s="451">
        <v>50</v>
      </c>
      <c r="AC54" s="450" t="s">
        <v>676</v>
      </c>
      <c r="AD54" s="447">
        <f t="shared" si="0"/>
        <v>28</v>
      </c>
      <c r="AE54" s="447" t="str" cm="1">
        <f t="array" ref="AE54" xml:space="preserve"> IF($AD54="", INDEX(十五音韻母對照表, $B54, AE$1), "")</f>
        <v/>
      </c>
    </row>
    <row r="56" spans="2:31" ht="30">
      <c r="AC56" s="453">
        <f xml:space="preserve"> COUNTA(AC5:AC54)</f>
        <v>50</v>
      </c>
      <c r="AD56" s="452">
        <f xml:space="preserve"> COUNT(AD5:AD54)</f>
        <v>45</v>
      </c>
      <c r="AE56" s="453">
        <f>AC56 - AD56</f>
        <v>5</v>
      </c>
    </row>
  </sheetData>
  <autoFilter ref="B4:R54" xr:uid="{6786FC37-3934-FE44-AE32-8B0B36FA4B37}"/>
  <dataConsolidate/>
  <phoneticPr fontId="1" type="noConversion"/>
  <conditionalFormatting sqref="AB5:AE54">
    <cfRule type="expression" dxfId="23" priority="1" stopIfTrue="1">
      <formula>$AD5=""</formula>
    </cfRule>
  </conditionalFormatting>
  <conditionalFormatting sqref="AC56:AD56">
    <cfRule type="expression" dxfId="22" priority="12">
      <formula>#REF!=0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855DC-9A1E-8C40-8C2D-A17B69C9D967}">
  <sheetPr codeName="工作表18">
    <tabColor rgb="FF00B0F0"/>
  </sheetPr>
  <dimension ref="B2:K55"/>
  <sheetViews>
    <sheetView workbookViewId="0"/>
  </sheetViews>
  <sheetFormatPr baseColWidth="10" defaultColWidth="10.8984375" defaultRowHeight="22"/>
  <cols>
    <col min="1" max="1" width="3.296875" customWidth="1"/>
    <col min="2" max="11" width="5.8984375" customWidth="1"/>
  </cols>
  <sheetData>
    <row r="2" spans="2:11" s="300" customFormat="1" ht="20">
      <c r="B2" s="299">
        <v>1</v>
      </c>
      <c r="C2" s="299">
        <v>2</v>
      </c>
      <c r="D2" s="299">
        <v>3</v>
      </c>
      <c r="E2" s="299">
        <v>4</v>
      </c>
      <c r="F2" s="299">
        <v>5</v>
      </c>
      <c r="G2" s="299">
        <v>6</v>
      </c>
      <c r="H2" s="299">
        <v>7</v>
      </c>
      <c r="I2" s="299">
        <v>8</v>
      </c>
      <c r="J2" s="299">
        <v>9</v>
      </c>
      <c r="K2" s="299">
        <v>10</v>
      </c>
    </row>
    <row r="3" spans="2:11">
      <c r="B3" s="298"/>
      <c r="C3" s="286"/>
      <c r="D3" s="286"/>
      <c r="E3" s="286"/>
      <c r="F3" s="286"/>
      <c r="G3" s="286"/>
      <c r="H3" s="286"/>
      <c r="I3" s="286"/>
      <c r="J3" s="286"/>
      <c r="K3" s="286"/>
    </row>
    <row r="4" spans="2:11">
      <c r="B4" s="414" t="s">
        <v>123</v>
      </c>
      <c r="C4" s="416" t="s">
        <v>2</v>
      </c>
      <c r="D4" s="288" t="s">
        <v>2063</v>
      </c>
      <c r="E4" s="288" t="s">
        <v>2064</v>
      </c>
      <c r="F4" s="288" t="s">
        <v>2065</v>
      </c>
      <c r="G4" s="288" t="s">
        <v>2066</v>
      </c>
      <c r="H4" s="288" t="s">
        <v>2067</v>
      </c>
      <c r="I4" s="288" t="s">
        <v>2064</v>
      </c>
      <c r="J4" s="288" t="s">
        <v>2068</v>
      </c>
      <c r="K4" s="288" t="s">
        <v>2069</v>
      </c>
    </row>
    <row r="5" spans="2:11">
      <c r="B5" s="415"/>
      <c r="C5" s="417"/>
      <c r="D5" s="289">
        <v>1</v>
      </c>
      <c r="E5" s="290">
        <v>2</v>
      </c>
      <c r="F5" s="290">
        <v>3</v>
      </c>
      <c r="G5" s="290">
        <v>4</v>
      </c>
      <c r="H5" s="290">
        <v>5</v>
      </c>
      <c r="I5" s="290">
        <v>6</v>
      </c>
      <c r="J5" s="290">
        <v>7</v>
      </c>
      <c r="K5" s="290">
        <v>8</v>
      </c>
    </row>
    <row r="6" spans="2:11" ht="34">
      <c r="B6" s="291">
        <v>1</v>
      </c>
      <c r="C6" s="292" t="s">
        <v>152</v>
      </c>
      <c r="D6" s="293" t="s">
        <v>152</v>
      </c>
      <c r="E6" s="294" t="s">
        <v>1724</v>
      </c>
      <c r="F6" s="294" t="s">
        <v>1746</v>
      </c>
      <c r="G6" s="294" t="s">
        <v>1770</v>
      </c>
      <c r="H6" s="294" t="s">
        <v>1788</v>
      </c>
      <c r="I6" s="294" t="s">
        <v>1724</v>
      </c>
      <c r="J6" s="294" t="s">
        <v>1819</v>
      </c>
      <c r="K6" s="294" t="s">
        <v>1842</v>
      </c>
    </row>
    <row r="7" spans="2:11" ht="34">
      <c r="B7" s="291">
        <v>2</v>
      </c>
      <c r="C7" s="292" t="s">
        <v>161</v>
      </c>
      <c r="D7" s="293" t="s">
        <v>161</v>
      </c>
      <c r="E7" s="294" t="s">
        <v>2070</v>
      </c>
      <c r="F7" s="294" t="s">
        <v>2071</v>
      </c>
      <c r="G7" s="294" t="s">
        <v>2072</v>
      </c>
      <c r="H7" s="295" t="s">
        <v>2073</v>
      </c>
      <c r="I7" s="294" t="s">
        <v>2070</v>
      </c>
      <c r="J7" s="294" t="s">
        <v>2074</v>
      </c>
      <c r="K7" s="294" t="s">
        <v>2075</v>
      </c>
    </row>
    <row r="8" spans="2:11" ht="34">
      <c r="B8" s="291">
        <v>3</v>
      </c>
      <c r="C8" s="292" t="s">
        <v>170</v>
      </c>
      <c r="D8" s="293" t="s">
        <v>170</v>
      </c>
      <c r="E8" s="294" t="s">
        <v>2076</v>
      </c>
      <c r="F8" s="294" t="s">
        <v>2077</v>
      </c>
      <c r="G8" s="294" t="s">
        <v>2078</v>
      </c>
      <c r="H8" s="295" t="s">
        <v>2073</v>
      </c>
      <c r="I8" s="294" t="s">
        <v>2076</v>
      </c>
      <c r="J8" s="294" t="s">
        <v>2079</v>
      </c>
      <c r="K8" s="294" t="s">
        <v>2080</v>
      </c>
    </row>
    <row r="9" spans="2:11" ht="34">
      <c r="B9" s="291">
        <v>4</v>
      </c>
      <c r="C9" s="292" t="s">
        <v>177</v>
      </c>
      <c r="D9" s="293" t="s">
        <v>177</v>
      </c>
      <c r="E9" s="294" t="s">
        <v>2081</v>
      </c>
      <c r="F9" s="294" t="s">
        <v>2082</v>
      </c>
      <c r="G9" s="295" t="s">
        <v>2073</v>
      </c>
      <c r="H9" s="294" t="s">
        <v>2083</v>
      </c>
      <c r="I9" s="294" t="s">
        <v>2081</v>
      </c>
      <c r="J9" s="294" t="s">
        <v>2084</v>
      </c>
      <c r="K9" s="295" t="s">
        <v>2073</v>
      </c>
    </row>
    <row r="10" spans="2:11" ht="34">
      <c r="B10" s="291">
        <v>5</v>
      </c>
      <c r="C10" s="292" t="s">
        <v>187</v>
      </c>
      <c r="D10" s="293" t="s">
        <v>187</v>
      </c>
      <c r="E10" s="294" t="s">
        <v>2085</v>
      </c>
      <c r="F10" s="294" t="s">
        <v>2086</v>
      </c>
      <c r="G10" s="294" t="s">
        <v>2087</v>
      </c>
      <c r="H10" s="294" t="s">
        <v>2088</v>
      </c>
      <c r="I10" s="294" t="s">
        <v>2085</v>
      </c>
      <c r="J10" s="294" t="s">
        <v>2089</v>
      </c>
      <c r="K10" s="294" t="s">
        <v>2090</v>
      </c>
    </row>
    <row r="11" spans="2:11" ht="34">
      <c r="B11" s="291">
        <v>6</v>
      </c>
      <c r="C11" s="292" t="s">
        <v>201</v>
      </c>
      <c r="D11" s="293" t="s">
        <v>201</v>
      </c>
      <c r="E11" s="294" t="s">
        <v>2091</v>
      </c>
      <c r="F11" s="294" t="s">
        <v>2092</v>
      </c>
      <c r="G11" s="294" t="s">
        <v>2093</v>
      </c>
      <c r="H11" s="295" t="s">
        <v>2073</v>
      </c>
      <c r="I11" s="294" t="s">
        <v>2091</v>
      </c>
      <c r="J11" s="295" t="s">
        <v>2073</v>
      </c>
      <c r="K11" s="295" t="s">
        <v>2073</v>
      </c>
    </row>
    <row r="12" spans="2:11" ht="34">
      <c r="B12" s="291">
        <v>7</v>
      </c>
      <c r="C12" s="292" t="s">
        <v>210</v>
      </c>
      <c r="D12" s="293" t="s">
        <v>210</v>
      </c>
      <c r="E12" s="294" t="s">
        <v>2094</v>
      </c>
      <c r="F12" s="294" t="s">
        <v>2095</v>
      </c>
      <c r="G12" s="294" t="s">
        <v>2096</v>
      </c>
      <c r="H12" s="294" t="s">
        <v>2097</v>
      </c>
      <c r="I12" s="294" t="s">
        <v>2094</v>
      </c>
      <c r="J12" s="294" t="s">
        <v>2097</v>
      </c>
      <c r="K12" s="294" t="s">
        <v>2098</v>
      </c>
    </row>
    <row r="13" spans="2:11" ht="34">
      <c r="B13" s="291">
        <v>8</v>
      </c>
      <c r="C13" s="292" t="s">
        <v>219</v>
      </c>
      <c r="D13" s="293" t="s">
        <v>219</v>
      </c>
      <c r="E13" s="294" t="s">
        <v>2099</v>
      </c>
      <c r="F13" s="294" t="s">
        <v>2100</v>
      </c>
      <c r="G13" s="295" t="s">
        <v>2073</v>
      </c>
      <c r="H13" s="295" t="s">
        <v>2073</v>
      </c>
      <c r="I13" s="294" t="s">
        <v>2099</v>
      </c>
      <c r="J13" s="295" t="s">
        <v>2073</v>
      </c>
      <c r="K13" s="295" t="s">
        <v>2073</v>
      </c>
    </row>
    <row r="14" spans="2:11" ht="34">
      <c r="B14" s="291">
        <v>9</v>
      </c>
      <c r="C14" s="292" t="s">
        <v>230</v>
      </c>
      <c r="D14" s="293" t="s">
        <v>230</v>
      </c>
      <c r="E14" s="294" t="s">
        <v>2101</v>
      </c>
      <c r="F14" s="294" t="s">
        <v>2102</v>
      </c>
      <c r="G14" s="294" t="s">
        <v>2103</v>
      </c>
      <c r="H14" s="294" t="s">
        <v>2104</v>
      </c>
      <c r="I14" s="294" t="s">
        <v>2101</v>
      </c>
      <c r="J14" s="294" t="s">
        <v>2105</v>
      </c>
      <c r="K14" s="294" t="s">
        <v>2106</v>
      </c>
    </row>
    <row r="15" spans="2:11" ht="34">
      <c r="B15" s="291">
        <v>10</v>
      </c>
      <c r="C15" s="292" t="s">
        <v>240</v>
      </c>
      <c r="D15" s="293" t="s">
        <v>240</v>
      </c>
      <c r="E15" s="294" t="s">
        <v>2107</v>
      </c>
      <c r="F15" s="294" t="s">
        <v>2108</v>
      </c>
      <c r="G15" s="294" t="s">
        <v>2109</v>
      </c>
      <c r="H15" s="294" t="s">
        <v>2110</v>
      </c>
      <c r="I15" s="294" t="s">
        <v>2107</v>
      </c>
      <c r="J15" s="294" t="s">
        <v>2111</v>
      </c>
      <c r="K15" s="294" t="s">
        <v>2112</v>
      </c>
    </row>
    <row r="16" spans="2:11" ht="34">
      <c r="B16" s="291">
        <v>11</v>
      </c>
      <c r="C16" s="292" t="s">
        <v>251</v>
      </c>
      <c r="D16" s="293" t="s">
        <v>251</v>
      </c>
      <c r="E16" s="294" t="s">
        <v>2113</v>
      </c>
      <c r="F16" s="294" t="s">
        <v>2114</v>
      </c>
      <c r="G16" s="295" t="s">
        <v>2073</v>
      </c>
      <c r="H16" s="294" t="s">
        <v>2115</v>
      </c>
      <c r="I16" s="294" t="s">
        <v>2113</v>
      </c>
      <c r="J16" s="294" t="s">
        <v>2116</v>
      </c>
      <c r="K16" s="295" t="s">
        <v>2073</v>
      </c>
    </row>
    <row r="17" spans="2:11" ht="34">
      <c r="B17" s="291">
        <v>12</v>
      </c>
      <c r="C17" s="292" t="s">
        <v>264</v>
      </c>
      <c r="D17" s="293" t="s">
        <v>264</v>
      </c>
      <c r="E17" s="294" t="s">
        <v>2117</v>
      </c>
      <c r="F17" s="294" t="s">
        <v>2118</v>
      </c>
      <c r="G17" s="294" t="s">
        <v>2119</v>
      </c>
      <c r="H17" s="294" t="s">
        <v>2120</v>
      </c>
      <c r="I17" s="294" t="s">
        <v>2117</v>
      </c>
      <c r="J17" s="294" t="s">
        <v>2121</v>
      </c>
      <c r="K17" s="294" t="s">
        <v>2122</v>
      </c>
    </row>
    <row r="18" spans="2:11" ht="34">
      <c r="B18" s="291">
        <v>13</v>
      </c>
      <c r="C18" s="292" t="s">
        <v>277</v>
      </c>
      <c r="D18" s="293" t="s">
        <v>277</v>
      </c>
      <c r="E18" s="294" t="s">
        <v>2123</v>
      </c>
      <c r="F18" s="294" t="s">
        <v>2124</v>
      </c>
      <c r="G18" s="294" t="s">
        <v>2125</v>
      </c>
      <c r="H18" s="294" t="s">
        <v>2126</v>
      </c>
      <c r="I18" s="294" t="s">
        <v>2123</v>
      </c>
      <c r="J18" s="294" t="s">
        <v>2127</v>
      </c>
      <c r="K18" s="295"/>
    </row>
    <row r="19" spans="2:11" ht="34">
      <c r="B19" s="291">
        <v>14</v>
      </c>
      <c r="C19" s="292" t="s">
        <v>288</v>
      </c>
      <c r="D19" s="293" t="s">
        <v>288</v>
      </c>
      <c r="E19" s="294" t="s">
        <v>2128</v>
      </c>
      <c r="F19" s="294" t="s">
        <v>2129</v>
      </c>
      <c r="G19" s="294" t="s">
        <v>2130</v>
      </c>
      <c r="H19" s="294" t="s">
        <v>2131</v>
      </c>
      <c r="I19" s="294" t="s">
        <v>2128</v>
      </c>
      <c r="J19" s="294" t="s">
        <v>2132</v>
      </c>
      <c r="K19" s="294" t="s">
        <v>2133</v>
      </c>
    </row>
    <row r="20" spans="2:11" ht="34">
      <c r="B20" s="291">
        <v>15</v>
      </c>
      <c r="C20" s="292" t="s">
        <v>298</v>
      </c>
      <c r="D20" s="293" t="s">
        <v>298</v>
      </c>
      <c r="E20" s="294" t="s">
        <v>2134</v>
      </c>
      <c r="F20" s="294" t="s">
        <v>2135</v>
      </c>
      <c r="G20" s="294" t="s">
        <v>2136</v>
      </c>
      <c r="H20" s="294" t="s">
        <v>2137</v>
      </c>
      <c r="I20" s="294" t="s">
        <v>2134</v>
      </c>
      <c r="J20" s="294" t="s">
        <v>2138</v>
      </c>
      <c r="K20" s="295" t="s">
        <v>2073</v>
      </c>
    </row>
    <row r="21" spans="2:11" ht="34">
      <c r="B21" s="291">
        <v>16</v>
      </c>
      <c r="C21" s="292" t="s">
        <v>306</v>
      </c>
      <c r="D21" s="293" t="s">
        <v>306</v>
      </c>
      <c r="E21" s="294" t="s">
        <v>2123</v>
      </c>
      <c r="F21" s="294" t="s">
        <v>2139</v>
      </c>
      <c r="G21" s="295" t="s">
        <v>2073</v>
      </c>
      <c r="H21" s="295"/>
      <c r="I21" s="294" t="s">
        <v>2123</v>
      </c>
      <c r="J21" s="295"/>
      <c r="K21" s="295" t="s">
        <v>2073</v>
      </c>
    </row>
    <row r="22" spans="2:11" ht="34">
      <c r="B22" s="291">
        <v>17</v>
      </c>
      <c r="C22" s="292" t="s">
        <v>316</v>
      </c>
      <c r="D22" s="293" t="s">
        <v>316</v>
      </c>
      <c r="E22" s="294" t="s">
        <v>2140</v>
      </c>
      <c r="F22" s="294" t="s">
        <v>2141</v>
      </c>
      <c r="G22" s="294" t="s">
        <v>2142</v>
      </c>
      <c r="H22" s="295"/>
      <c r="I22" s="294" t="s">
        <v>2140</v>
      </c>
      <c r="J22" s="294" t="s">
        <v>2143</v>
      </c>
      <c r="K22" s="294" t="s">
        <v>2144</v>
      </c>
    </row>
    <row r="23" spans="2:11" ht="34">
      <c r="B23" s="291">
        <v>18</v>
      </c>
      <c r="C23" s="292" t="s">
        <v>323</v>
      </c>
      <c r="D23" s="293" t="s">
        <v>323</v>
      </c>
      <c r="E23" s="294" t="s">
        <v>2145</v>
      </c>
      <c r="F23" s="295"/>
      <c r="G23" s="294" t="s">
        <v>2146</v>
      </c>
      <c r="H23" s="294" t="s">
        <v>2147</v>
      </c>
      <c r="I23" s="294" t="s">
        <v>2145</v>
      </c>
      <c r="J23" s="294" t="s">
        <v>2148</v>
      </c>
      <c r="K23" s="294" t="s">
        <v>2149</v>
      </c>
    </row>
    <row r="24" spans="2:11" ht="34">
      <c r="B24" s="291">
        <v>19</v>
      </c>
      <c r="C24" s="292" t="s">
        <v>333</v>
      </c>
      <c r="D24" s="293" t="s">
        <v>333</v>
      </c>
      <c r="E24" s="294" t="s">
        <v>2150</v>
      </c>
      <c r="F24" s="294" t="s">
        <v>2151</v>
      </c>
      <c r="G24" s="294" t="s">
        <v>2152</v>
      </c>
      <c r="H24" s="294" t="s">
        <v>2153</v>
      </c>
      <c r="I24" s="294" t="s">
        <v>2150</v>
      </c>
      <c r="J24" s="294" t="s">
        <v>2154</v>
      </c>
      <c r="K24" s="295"/>
    </row>
    <row r="25" spans="2:11" ht="34">
      <c r="B25" s="291">
        <v>20</v>
      </c>
      <c r="C25" s="292" t="s">
        <v>339</v>
      </c>
      <c r="D25" s="293" t="s">
        <v>339</v>
      </c>
      <c r="E25" s="295"/>
      <c r="F25" s="294" t="s">
        <v>2155</v>
      </c>
      <c r="G25" s="294" t="s">
        <v>2156</v>
      </c>
      <c r="H25" s="295"/>
      <c r="I25" s="295"/>
      <c r="J25" s="295"/>
      <c r="K25" s="295"/>
    </row>
    <row r="26" spans="2:11" ht="34">
      <c r="B26" s="291">
        <v>21</v>
      </c>
      <c r="C26" s="292" t="s">
        <v>350</v>
      </c>
      <c r="D26" s="293" t="s">
        <v>350</v>
      </c>
      <c r="E26" s="294" t="s">
        <v>2157</v>
      </c>
      <c r="F26" s="294" t="s">
        <v>2158</v>
      </c>
      <c r="G26" s="294" t="s">
        <v>2159</v>
      </c>
      <c r="H26" s="295"/>
      <c r="I26" s="294" t="s">
        <v>2157</v>
      </c>
      <c r="J26" s="294" t="s">
        <v>2132</v>
      </c>
      <c r="K26" s="294" t="s">
        <v>2160</v>
      </c>
    </row>
    <row r="27" spans="2:11" ht="34">
      <c r="B27" s="291">
        <v>22</v>
      </c>
      <c r="C27" s="292" t="s">
        <v>358</v>
      </c>
      <c r="D27" s="293" t="s">
        <v>358</v>
      </c>
      <c r="E27" s="294" t="s">
        <v>2161</v>
      </c>
      <c r="F27" s="294" t="s">
        <v>2162</v>
      </c>
      <c r="G27" s="294" t="s">
        <v>2163</v>
      </c>
      <c r="H27" s="294" t="s">
        <v>2164</v>
      </c>
      <c r="I27" s="294" t="s">
        <v>2161</v>
      </c>
      <c r="J27" s="294" t="s">
        <v>2165</v>
      </c>
      <c r="K27" s="295"/>
    </row>
    <row r="28" spans="2:11" ht="34">
      <c r="B28" s="291">
        <v>23</v>
      </c>
      <c r="C28" s="292" t="s">
        <v>367</v>
      </c>
      <c r="D28" s="293" t="s">
        <v>367</v>
      </c>
      <c r="E28" s="294" t="s">
        <v>2166</v>
      </c>
      <c r="F28" s="294" t="s">
        <v>2167</v>
      </c>
      <c r="G28" s="296" t="s">
        <v>2168</v>
      </c>
      <c r="H28" s="294" t="s">
        <v>2169</v>
      </c>
      <c r="I28" s="294" t="s">
        <v>2166</v>
      </c>
      <c r="J28" s="294" t="s">
        <v>2170</v>
      </c>
      <c r="K28" s="295"/>
    </row>
    <row r="29" spans="2:11" ht="34">
      <c r="B29" s="291">
        <v>24</v>
      </c>
      <c r="C29" s="292" t="s">
        <v>378</v>
      </c>
      <c r="D29" s="293" t="s">
        <v>378</v>
      </c>
      <c r="E29" s="295"/>
      <c r="F29" s="294" t="s">
        <v>2171</v>
      </c>
      <c r="G29" s="295"/>
      <c r="H29" s="294" t="s">
        <v>553</v>
      </c>
      <c r="I29" s="295"/>
      <c r="J29" s="294" t="s">
        <v>2172</v>
      </c>
      <c r="K29" s="294" t="s">
        <v>2173</v>
      </c>
    </row>
    <row r="30" spans="2:11" ht="34">
      <c r="B30" s="291">
        <v>25</v>
      </c>
      <c r="C30" s="292" t="s">
        <v>388</v>
      </c>
      <c r="D30" s="293" t="s">
        <v>388</v>
      </c>
      <c r="E30" s="294" t="s">
        <v>2174</v>
      </c>
      <c r="F30" s="294" t="s">
        <v>388</v>
      </c>
      <c r="G30" s="294" t="s">
        <v>2175</v>
      </c>
      <c r="H30" s="294" t="s">
        <v>2083</v>
      </c>
      <c r="I30" s="294" t="s">
        <v>2174</v>
      </c>
      <c r="J30" s="294" t="s">
        <v>2176</v>
      </c>
      <c r="K30" s="294" t="s">
        <v>2177</v>
      </c>
    </row>
    <row r="31" spans="2:11" ht="34">
      <c r="B31" s="291">
        <v>26</v>
      </c>
      <c r="C31" s="292" t="s">
        <v>399</v>
      </c>
      <c r="D31" s="293" t="s">
        <v>399</v>
      </c>
      <c r="E31" s="294" t="s">
        <v>2150</v>
      </c>
      <c r="F31" s="294" t="s">
        <v>2178</v>
      </c>
      <c r="G31" s="295" t="s">
        <v>2073</v>
      </c>
      <c r="H31" s="294" t="s">
        <v>2179</v>
      </c>
      <c r="I31" s="294" t="s">
        <v>2150</v>
      </c>
      <c r="J31" s="295" t="s">
        <v>2073</v>
      </c>
      <c r="K31" s="295"/>
    </row>
    <row r="32" spans="2:11" ht="34">
      <c r="B32" s="291">
        <v>27</v>
      </c>
      <c r="C32" s="292" t="s">
        <v>414</v>
      </c>
      <c r="D32" s="297" t="s">
        <v>414</v>
      </c>
      <c r="E32" s="294" t="s">
        <v>2180</v>
      </c>
      <c r="F32" s="294" t="s">
        <v>2181</v>
      </c>
      <c r="G32" s="296" t="s">
        <v>2182</v>
      </c>
      <c r="H32" s="296" t="s">
        <v>2183</v>
      </c>
      <c r="I32" s="294" t="s">
        <v>2180</v>
      </c>
      <c r="J32" s="294" t="s">
        <v>2184</v>
      </c>
      <c r="K32" s="295"/>
    </row>
    <row r="33" spans="2:11" ht="34">
      <c r="B33" s="291">
        <v>28</v>
      </c>
      <c r="C33" s="292" t="s">
        <v>398</v>
      </c>
      <c r="D33" s="293" t="s">
        <v>398</v>
      </c>
      <c r="E33" s="294" t="s">
        <v>2185</v>
      </c>
      <c r="F33" s="294" t="s">
        <v>2167</v>
      </c>
      <c r="G33" s="294" t="s">
        <v>2186</v>
      </c>
      <c r="H33" s="295"/>
      <c r="I33" s="294" t="s">
        <v>2185</v>
      </c>
      <c r="J33" s="294" t="s">
        <v>2187</v>
      </c>
      <c r="K33" s="295"/>
    </row>
    <row r="34" spans="2:11" ht="34">
      <c r="B34" s="291">
        <v>29</v>
      </c>
      <c r="C34" s="292" t="s">
        <v>431</v>
      </c>
      <c r="D34" s="293" t="s">
        <v>431</v>
      </c>
      <c r="E34" s="294" t="s">
        <v>2188</v>
      </c>
      <c r="F34" s="294" t="s">
        <v>2189</v>
      </c>
      <c r="G34" s="294" t="s">
        <v>2190</v>
      </c>
      <c r="H34" s="294" t="s">
        <v>2191</v>
      </c>
      <c r="I34" s="294" t="s">
        <v>2188</v>
      </c>
      <c r="J34" s="294" t="s">
        <v>2192</v>
      </c>
      <c r="K34" s="295"/>
    </row>
    <row r="35" spans="2:11" ht="34">
      <c r="B35" s="291">
        <v>30</v>
      </c>
      <c r="C35" s="292" t="s">
        <v>438</v>
      </c>
      <c r="D35" s="293" t="s">
        <v>728</v>
      </c>
      <c r="E35" s="294" t="s">
        <v>2193</v>
      </c>
      <c r="F35" s="294" t="s">
        <v>2194</v>
      </c>
      <c r="G35" s="295" t="s">
        <v>2073</v>
      </c>
      <c r="H35" s="294" t="s">
        <v>29</v>
      </c>
      <c r="I35" s="294" t="s">
        <v>2193</v>
      </c>
      <c r="J35" s="294" t="s">
        <v>2195</v>
      </c>
      <c r="K35" s="295" t="s">
        <v>2073</v>
      </c>
    </row>
    <row r="36" spans="2:11" ht="34">
      <c r="B36" s="291">
        <v>31</v>
      </c>
      <c r="C36" s="292" t="s">
        <v>448</v>
      </c>
      <c r="D36" s="293" t="s">
        <v>448</v>
      </c>
      <c r="E36" s="294" t="s">
        <v>2196</v>
      </c>
      <c r="F36" s="294" t="s">
        <v>2197</v>
      </c>
      <c r="G36" s="295" t="s">
        <v>2073</v>
      </c>
      <c r="H36" s="295"/>
      <c r="I36" s="294" t="s">
        <v>2196</v>
      </c>
      <c r="J36" s="295"/>
      <c r="K36" s="295" t="s">
        <v>2073</v>
      </c>
    </row>
    <row r="37" spans="2:11" ht="34">
      <c r="B37" s="291">
        <v>32</v>
      </c>
      <c r="C37" s="292" t="s">
        <v>464</v>
      </c>
      <c r="D37" s="293" t="s">
        <v>464</v>
      </c>
      <c r="E37" s="294" t="s">
        <v>2198</v>
      </c>
      <c r="F37" s="294" t="s">
        <v>2199</v>
      </c>
      <c r="G37" s="295" t="s">
        <v>2073</v>
      </c>
      <c r="H37" s="295" t="s">
        <v>2073</v>
      </c>
      <c r="I37" s="294" t="s">
        <v>2198</v>
      </c>
      <c r="J37" s="295" t="s">
        <v>2073</v>
      </c>
      <c r="K37" s="295" t="s">
        <v>2073</v>
      </c>
    </row>
    <row r="38" spans="2:11" ht="34">
      <c r="B38" s="291">
        <v>33</v>
      </c>
      <c r="C38" s="292" t="s">
        <v>479</v>
      </c>
      <c r="D38" s="293" t="s">
        <v>479</v>
      </c>
      <c r="E38" s="295"/>
      <c r="F38" s="294" t="s">
        <v>2118</v>
      </c>
      <c r="G38" s="294" t="s">
        <v>2146</v>
      </c>
      <c r="H38" s="294" t="s">
        <v>479</v>
      </c>
      <c r="I38" s="295" t="s">
        <v>2073</v>
      </c>
      <c r="J38" s="294" t="s">
        <v>2121</v>
      </c>
      <c r="K38" s="295" t="s">
        <v>2073</v>
      </c>
    </row>
    <row r="39" spans="2:11" ht="34">
      <c r="B39" s="291">
        <v>34</v>
      </c>
      <c r="C39" s="292" t="s">
        <v>489</v>
      </c>
      <c r="D39" s="293" t="s">
        <v>489</v>
      </c>
      <c r="E39" s="295"/>
      <c r="F39" s="294" t="s">
        <v>2071</v>
      </c>
      <c r="G39" s="295" t="s">
        <v>2073</v>
      </c>
      <c r="H39" s="294" t="s">
        <v>2200</v>
      </c>
      <c r="I39" s="295" t="s">
        <v>2073</v>
      </c>
      <c r="J39" s="295" t="s">
        <v>2073</v>
      </c>
      <c r="K39" s="295" t="s">
        <v>2073</v>
      </c>
    </row>
    <row r="40" spans="2:11" ht="34">
      <c r="B40" s="291">
        <v>35</v>
      </c>
      <c r="C40" s="292" t="s">
        <v>1991</v>
      </c>
      <c r="D40" s="293" t="s">
        <v>1991</v>
      </c>
      <c r="E40" s="295" t="s">
        <v>2073</v>
      </c>
      <c r="F40" s="295" t="s">
        <v>2073</v>
      </c>
      <c r="G40" s="295" t="s">
        <v>2073</v>
      </c>
      <c r="H40" s="294" t="s">
        <v>2147</v>
      </c>
      <c r="I40" s="295" t="s">
        <v>2073</v>
      </c>
      <c r="J40" s="294" t="s">
        <v>2201</v>
      </c>
      <c r="K40" s="295" t="s">
        <v>2073</v>
      </c>
    </row>
    <row r="41" spans="2:11" ht="34">
      <c r="B41" s="291">
        <v>36</v>
      </c>
      <c r="C41" s="292" t="s">
        <v>518</v>
      </c>
      <c r="D41" s="293" t="s">
        <v>518</v>
      </c>
      <c r="E41" s="294" t="s">
        <v>2202</v>
      </c>
      <c r="F41" s="294" t="s">
        <v>2203</v>
      </c>
      <c r="G41" s="295" t="s">
        <v>2073</v>
      </c>
      <c r="H41" s="294" t="s">
        <v>2204</v>
      </c>
      <c r="I41" s="294" t="s">
        <v>2202</v>
      </c>
      <c r="J41" s="294" t="s">
        <v>2205</v>
      </c>
      <c r="K41" s="295" t="s">
        <v>2073</v>
      </c>
    </row>
    <row r="42" spans="2:11" ht="34">
      <c r="B42" s="291">
        <v>37</v>
      </c>
      <c r="C42" s="292" t="s">
        <v>463</v>
      </c>
      <c r="D42" s="293" t="s">
        <v>463</v>
      </c>
      <c r="E42" s="294" t="s">
        <v>2206</v>
      </c>
      <c r="F42" s="294" t="s">
        <v>240</v>
      </c>
      <c r="G42" s="295" t="s">
        <v>2073</v>
      </c>
      <c r="H42" s="294" t="s">
        <v>2207</v>
      </c>
      <c r="I42" s="294" t="s">
        <v>2206</v>
      </c>
      <c r="J42" s="294" t="s">
        <v>2208</v>
      </c>
      <c r="K42" s="295" t="s">
        <v>2073</v>
      </c>
    </row>
    <row r="43" spans="2:11" ht="34">
      <c r="B43" s="291">
        <v>38</v>
      </c>
      <c r="C43" s="292" t="s">
        <v>488</v>
      </c>
      <c r="D43" s="293" t="s">
        <v>488</v>
      </c>
      <c r="E43" s="295"/>
      <c r="F43" s="294" t="s">
        <v>2209</v>
      </c>
      <c r="G43" s="295" t="s">
        <v>2073</v>
      </c>
      <c r="H43" s="295" t="s">
        <v>2073</v>
      </c>
      <c r="I43" s="295" t="s">
        <v>2073</v>
      </c>
      <c r="J43" s="295" t="s">
        <v>2073</v>
      </c>
      <c r="K43" s="295" t="s">
        <v>2073</v>
      </c>
    </row>
    <row r="44" spans="2:11" ht="34">
      <c r="B44" s="291">
        <v>39</v>
      </c>
      <c r="C44" s="292" t="s">
        <v>553</v>
      </c>
      <c r="D44" s="293" t="s">
        <v>553</v>
      </c>
      <c r="E44" s="295" t="s">
        <v>2073</v>
      </c>
      <c r="F44" s="295" t="s">
        <v>2073</v>
      </c>
      <c r="G44" s="294" t="s">
        <v>2125</v>
      </c>
      <c r="H44" s="294" t="s">
        <v>2210</v>
      </c>
      <c r="I44" s="295" t="s">
        <v>2073</v>
      </c>
      <c r="J44" s="295" t="s">
        <v>2073</v>
      </c>
      <c r="K44" s="295" t="s">
        <v>2073</v>
      </c>
    </row>
    <row r="45" spans="2:11" ht="34">
      <c r="B45" s="291">
        <v>40</v>
      </c>
      <c r="C45" s="292" t="s">
        <v>705</v>
      </c>
      <c r="D45" s="293" t="s">
        <v>705</v>
      </c>
      <c r="E45" s="296" t="s">
        <v>2211</v>
      </c>
      <c r="F45" s="295" t="s">
        <v>2073</v>
      </c>
      <c r="G45" s="295" t="s">
        <v>2073</v>
      </c>
      <c r="H45" s="295" t="s">
        <v>2073</v>
      </c>
      <c r="I45" s="296" t="s">
        <v>2211</v>
      </c>
      <c r="J45" s="295" t="s">
        <v>2073</v>
      </c>
      <c r="K45" s="295" t="s">
        <v>2073</v>
      </c>
    </row>
    <row r="46" spans="2:11" ht="34">
      <c r="B46" s="291">
        <v>41</v>
      </c>
      <c r="C46" s="292" t="s">
        <v>572</v>
      </c>
      <c r="D46" s="293" t="s">
        <v>572</v>
      </c>
      <c r="E46" s="295" t="s">
        <v>2073</v>
      </c>
      <c r="F46" s="295" t="s">
        <v>2073</v>
      </c>
      <c r="G46" s="295" t="s">
        <v>2073</v>
      </c>
      <c r="H46" s="295" t="s">
        <v>2073</v>
      </c>
      <c r="I46" s="295" t="s">
        <v>2073</v>
      </c>
      <c r="J46" s="295" t="s">
        <v>2073</v>
      </c>
      <c r="K46" s="295" t="s">
        <v>2073</v>
      </c>
    </row>
    <row r="47" spans="2:11" ht="34">
      <c r="B47" s="291">
        <v>42</v>
      </c>
      <c r="C47" s="292" t="s">
        <v>544</v>
      </c>
      <c r="D47" s="293" t="s">
        <v>544</v>
      </c>
      <c r="E47" s="295" t="s">
        <v>2073</v>
      </c>
      <c r="F47" s="295" t="s">
        <v>2073</v>
      </c>
      <c r="G47" s="295" t="s">
        <v>2073</v>
      </c>
      <c r="H47" s="295" t="s">
        <v>2073</v>
      </c>
      <c r="I47" s="295" t="s">
        <v>2073</v>
      </c>
      <c r="J47" s="295" t="s">
        <v>2073</v>
      </c>
      <c r="K47" s="295" t="s">
        <v>2073</v>
      </c>
    </row>
    <row r="48" spans="2:11" ht="34">
      <c r="B48" s="291">
        <v>43</v>
      </c>
      <c r="C48" s="292" t="s">
        <v>597</v>
      </c>
      <c r="D48" s="293" t="s">
        <v>597</v>
      </c>
      <c r="E48" s="295" t="s">
        <v>2073</v>
      </c>
      <c r="F48" s="295" t="s">
        <v>2073</v>
      </c>
      <c r="G48" s="295" t="s">
        <v>2073</v>
      </c>
      <c r="H48" s="295" t="s">
        <v>2073</v>
      </c>
      <c r="I48" s="295" t="s">
        <v>2073</v>
      </c>
      <c r="J48" s="295" t="s">
        <v>2073</v>
      </c>
      <c r="K48" s="294" t="s">
        <v>2212</v>
      </c>
    </row>
    <row r="49" spans="2:11" ht="34">
      <c r="B49" s="291">
        <v>44</v>
      </c>
      <c r="C49" s="292" t="s">
        <v>558</v>
      </c>
      <c r="D49" s="293" t="s">
        <v>558</v>
      </c>
      <c r="E49" s="295" t="s">
        <v>2073</v>
      </c>
      <c r="F49" s="295" t="s">
        <v>2073</v>
      </c>
      <c r="G49" s="295" t="s">
        <v>2073</v>
      </c>
      <c r="H49" s="295" t="s">
        <v>2073</v>
      </c>
      <c r="I49" s="295" t="s">
        <v>2073</v>
      </c>
      <c r="J49" s="295" t="s">
        <v>2073</v>
      </c>
      <c r="K49" s="295" t="s">
        <v>2073</v>
      </c>
    </row>
    <row r="50" spans="2:11" ht="34">
      <c r="B50" s="291">
        <v>45</v>
      </c>
      <c r="C50" s="292" t="s">
        <v>623</v>
      </c>
      <c r="D50" s="293" t="s">
        <v>623</v>
      </c>
      <c r="E50" s="295" t="s">
        <v>2073</v>
      </c>
      <c r="F50" s="295" t="s">
        <v>2073</v>
      </c>
      <c r="G50" s="295" t="s">
        <v>2073</v>
      </c>
      <c r="H50" s="295" t="s">
        <v>2073</v>
      </c>
      <c r="I50" s="295" t="s">
        <v>2073</v>
      </c>
      <c r="J50" s="295" t="s">
        <v>2073</v>
      </c>
      <c r="K50" s="295" t="s">
        <v>2073</v>
      </c>
    </row>
    <row r="51" spans="2:11" ht="34">
      <c r="B51" s="291">
        <v>46</v>
      </c>
      <c r="C51" s="292" t="s">
        <v>636</v>
      </c>
      <c r="D51" s="293" t="s">
        <v>636</v>
      </c>
      <c r="E51" s="295" t="s">
        <v>2073</v>
      </c>
      <c r="F51" s="295" t="s">
        <v>2073</v>
      </c>
      <c r="G51" s="295" t="s">
        <v>2073</v>
      </c>
      <c r="H51" s="295" t="s">
        <v>2073</v>
      </c>
      <c r="I51" s="295" t="s">
        <v>2073</v>
      </c>
      <c r="J51" s="295" t="s">
        <v>2073</v>
      </c>
      <c r="K51" s="295" t="s">
        <v>2073</v>
      </c>
    </row>
    <row r="52" spans="2:11" ht="34">
      <c r="B52" s="291">
        <v>47</v>
      </c>
      <c r="C52" s="292" t="s">
        <v>721</v>
      </c>
      <c r="D52" s="293" t="s">
        <v>721</v>
      </c>
      <c r="E52" s="294" t="s">
        <v>2213</v>
      </c>
      <c r="F52" s="295" t="s">
        <v>2073</v>
      </c>
      <c r="G52" s="295" t="s">
        <v>2073</v>
      </c>
      <c r="H52" s="295" t="s">
        <v>2073</v>
      </c>
      <c r="I52" s="295" t="s">
        <v>2073</v>
      </c>
      <c r="J52" s="295" t="s">
        <v>2073</v>
      </c>
      <c r="K52" s="295" t="s">
        <v>2073</v>
      </c>
    </row>
    <row r="53" spans="2:11" ht="34">
      <c r="B53" s="291">
        <v>48</v>
      </c>
      <c r="C53" s="292" t="s">
        <v>656</v>
      </c>
      <c r="D53" s="293" t="s">
        <v>656</v>
      </c>
      <c r="E53" s="295" t="s">
        <v>2073</v>
      </c>
      <c r="F53" s="295" t="s">
        <v>2073</v>
      </c>
      <c r="G53" s="295" t="s">
        <v>2073</v>
      </c>
      <c r="H53" s="295" t="s">
        <v>2073</v>
      </c>
      <c r="I53" s="295" t="s">
        <v>2073</v>
      </c>
      <c r="J53" s="295" t="s">
        <v>2073</v>
      </c>
      <c r="K53" s="295" t="s">
        <v>2073</v>
      </c>
    </row>
    <row r="54" spans="2:11" ht="34">
      <c r="B54" s="291">
        <v>49</v>
      </c>
      <c r="C54" s="292" t="s">
        <v>668</v>
      </c>
      <c r="D54" s="293" t="s">
        <v>668</v>
      </c>
      <c r="E54" s="295" t="s">
        <v>2073</v>
      </c>
      <c r="F54" s="295" t="s">
        <v>2073</v>
      </c>
      <c r="G54" s="295" t="s">
        <v>2073</v>
      </c>
      <c r="H54" s="295" t="s">
        <v>2073</v>
      </c>
      <c r="I54" s="295" t="s">
        <v>2073</v>
      </c>
      <c r="J54" s="295" t="s">
        <v>2073</v>
      </c>
      <c r="K54" s="295" t="s">
        <v>2073</v>
      </c>
    </row>
    <row r="55" spans="2:11" ht="34">
      <c r="B55" s="291">
        <v>50</v>
      </c>
      <c r="C55" s="292" t="s">
        <v>676</v>
      </c>
      <c r="D55" s="293" t="s">
        <v>676</v>
      </c>
      <c r="E55" s="295" t="s">
        <v>2073</v>
      </c>
      <c r="F55" s="295" t="s">
        <v>2073</v>
      </c>
      <c r="G55" s="295" t="s">
        <v>2073</v>
      </c>
      <c r="H55" s="294" t="s">
        <v>676</v>
      </c>
      <c r="I55" s="295" t="s">
        <v>2073</v>
      </c>
      <c r="J55" s="295" t="s">
        <v>2073</v>
      </c>
      <c r="K55" s="295" t="s">
        <v>2073</v>
      </c>
    </row>
  </sheetData>
  <mergeCells count="2">
    <mergeCell ref="B4:B5"/>
    <mergeCell ref="C4:C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37FC7-DE05-0047-B088-9E59DE850BC6}">
  <sheetPr codeName="工作表12">
    <tabColor rgb="FFFF0000"/>
  </sheetPr>
  <dimension ref="A1:AMJ26"/>
  <sheetViews>
    <sheetView workbookViewId="0">
      <pane ySplit="4" topLeftCell="A11" activePane="bottomLeft" state="frozen"/>
      <selection pane="bottomLeft" activeCell="O16" sqref="O16:P16"/>
    </sheetView>
  </sheetViews>
  <sheetFormatPr baseColWidth="10" defaultColWidth="6.8984375" defaultRowHeight="53" outlineLevelRow="1"/>
  <cols>
    <col min="1" max="1" width="2.09765625" style="69" customWidth="1"/>
    <col min="2" max="2" width="6.296875" style="69" customWidth="1"/>
    <col min="3" max="3" width="10.5" style="391" customWidth="1"/>
    <col min="4" max="4" width="10.5" style="71" customWidth="1"/>
    <col min="5" max="5" width="10.5" style="70" customWidth="1"/>
    <col min="6" max="8" width="10.5" style="71" customWidth="1"/>
    <col min="9" max="9" width="10.5" style="72" customWidth="1"/>
    <col min="10" max="1024" width="6.8984375" style="69"/>
    <col min="1025" max="16384" width="6.8984375" style="57"/>
  </cols>
  <sheetData>
    <row r="1" spans="2:9" ht="30" customHeight="1" outlineLevel="1"/>
    <row r="2" spans="2:9" ht="30" customHeight="1" outlineLevel="1">
      <c r="B2" s="102" cm="1">
        <f t="array" ref="B2">COLUMN()-COLUMN(($A:$A))</f>
        <v>1</v>
      </c>
      <c r="C2" s="102" cm="1">
        <f t="array" ref="C2">COLUMN()-COLUMN(($A:$A))</f>
        <v>2</v>
      </c>
      <c r="D2" s="102" cm="1">
        <f t="array" ref="D2">COLUMN()-COLUMN(($A:$A))</f>
        <v>3</v>
      </c>
      <c r="E2" s="102" cm="1">
        <f t="array" ref="E2">COLUMN()-COLUMN(($A:$A))</f>
        <v>4</v>
      </c>
      <c r="F2" s="102" cm="1">
        <f t="array" ref="F2">COLUMN()-COLUMN(($A:$A))</f>
        <v>5</v>
      </c>
      <c r="G2" s="102" cm="1">
        <f t="array" ref="G2">COLUMN()-COLUMN(($A:$A))</f>
        <v>6</v>
      </c>
      <c r="H2" s="102" cm="1">
        <f t="array" ref="H2">COLUMN()-COLUMN(($A:$A))</f>
        <v>7</v>
      </c>
      <c r="I2" s="102" cm="1">
        <f t="array" ref="I2">COLUMN()-COLUMN(($A:$A))</f>
        <v>8</v>
      </c>
    </row>
    <row r="3" spans="2:9" ht="12" customHeight="1"/>
    <row r="4" spans="2:9" s="74" customFormat="1" ht="27.75" customHeight="1">
      <c r="B4" s="125" t="s">
        <v>0</v>
      </c>
      <c r="C4" s="125" t="s">
        <v>722</v>
      </c>
      <c r="D4" s="125" t="s">
        <v>6</v>
      </c>
      <c r="E4" s="126" t="s">
        <v>723</v>
      </c>
      <c r="F4" s="127" t="s">
        <v>724</v>
      </c>
      <c r="G4" s="73" t="s">
        <v>725</v>
      </c>
      <c r="H4" s="73" t="s">
        <v>726</v>
      </c>
      <c r="I4" s="126" t="s">
        <v>1591</v>
      </c>
    </row>
    <row r="5" spans="2:9" s="69" customFormat="1" ht="58" customHeight="1">
      <c r="B5" s="75">
        <v>1</v>
      </c>
      <c r="C5" s="392" t="s">
        <v>13</v>
      </c>
      <c r="D5" s="77" t="s">
        <v>13</v>
      </c>
      <c r="E5" s="76" t="s">
        <v>12</v>
      </c>
      <c r="F5" s="77" t="s">
        <v>1893</v>
      </c>
      <c r="G5" s="77" t="s">
        <v>1893</v>
      </c>
      <c r="H5" s="77" t="s">
        <v>1893</v>
      </c>
      <c r="I5" s="199" t="s">
        <v>1894</v>
      </c>
    </row>
    <row r="6" spans="2:9" s="69" customFormat="1" ht="58" customHeight="1">
      <c r="B6" s="75">
        <v>2</v>
      </c>
      <c r="C6" s="392" t="s">
        <v>24</v>
      </c>
      <c r="D6" s="79" t="s">
        <v>24</v>
      </c>
      <c r="E6" s="76" t="s">
        <v>23</v>
      </c>
      <c r="F6" s="77" t="s">
        <v>24</v>
      </c>
      <c r="G6" s="77" t="s">
        <v>24</v>
      </c>
      <c r="H6" s="77" t="s">
        <v>21</v>
      </c>
      <c r="I6" s="78" t="s">
        <v>1895</v>
      </c>
    </row>
    <row r="7" spans="2:9" s="69" customFormat="1" ht="58" customHeight="1">
      <c r="B7" s="75">
        <v>3</v>
      </c>
      <c r="C7" s="392" t="s">
        <v>30</v>
      </c>
      <c r="D7" s="79" t="s">
        <v>30</v>
      </c>
      <c r="E7" s="76" t="s">
        <v>29</v>
      </c>
      <c r="F7" s="77" t="s">
        <v>30</v>
      </c>
      <c r="G7" s="77" t="s">
        <v>30</v>
      </c>
      <c r="H7" s="77" t="s">
        <v>27</v>
      </c>
      <c r="I7" s="78" t="s">
        <v>1896</v>
      </c>
    </row>
    <row r="8" spans="2:9" s="69" customFormat="1" ht="58" customHeight="1">
      <c r="B8" s="75">
        <v>4</v>
      </c>
      <c r="C8" s="392" t="s">
        <v>36</v>
      </c>
      <c r="D8" s="79" t="s">
        <v>749</v>
      </c>
      <c r="E8" s="76" t="s">
        <v>35</v>
      </c>
      <c r="F8" s="77" t="s">
        <v>36</v>
      </c>
      <c r="G8" s="77" t="s">
        <v>36</v>
      </c>
      <c r="H8" s="77" t="s">
        <v>30</v>
      </c>
      <c r="I8" s="78" t="s">
        <v>1897</v>
      </c>
    </row>
    <row r="9" spans="2:9" s="69" customFormat="1" ht="58" customHeight="1">
      <c r="B9" s="75">
        <v>5</v>
      </c>
      <c r="C9" s="392" t="s">
        <v>42</v>
      </c>
      <c r="D9" s="77" t="s">
        <v>42</v>
      </c>
      <c r="E9" s="76" t="s">
        <v>41</v>
      </c>
      <c r="F9" s="77" t="s">
        <v>42</v>
      </c>
      <c r="G9" s="77" t="s">
        <v>42</v>
      </c>
      <c r="H9" s="77" t="s">
        <v>44</v>
      </c>
      <c r="I9" s="78" t="s">
        <v>1898</v>
      </c>
    </row>
    <row r="10" spans="2:9" s="69" customFormat="1" ht="58" customHeight="1">
      <c r="B10" s="75">
        <v>6</v>
      </c>
      <c r="C10" s="392" t="s">
        <v>48</v>
      </c>
      <c r="D10" s="77" t="s">
        <v>743</v>
      </c>
      <c r="E10" s="76" t="s">
        <v>47</v>
      </c>
      <c r="F10" s="77" t="s">
        <v>48</v>
      </c>
      <c r="G10" s="77" t="s">
        <v>48</v>
      </c>
      <c r="H10" s="77" t="s">
        <v>24</v>
      </c>
      <c r="I10" s="78" t="s">
        <v>1899</v>
      </c>
    </row>
    <row r="11" spans="2:9" s="69" customFormat="1" ht="58" customHeight="1">
      <c r="B11" s="75">
        <v>7</v>
      </c>
      <c r="C11" s="392" t="s">
        <v>53</v>
      </c>
      <c r="D11" s="77" t="s">
        <v>744</v>
      </c>
      <c r="E11" s="76" t="s">
        <v>52</v>
      </c>
      <c r="F11" s="77" t="s">
        <v>53</v>
      </c>
      <c r="G11" s="77" t="s">
        <v>53</v>
      </c>
      <c r="H11" s="77" t="s">
        <v>42</v>
      </c>
      <c r="I11" s="78" t="s">
        <v>1900</v>
      </c>
    </row>
    <row r="12" spans="2:9" s="69" customFormat="1" ht="58" customHeight="1">
      <c r="B12" s="75">
        <v>8</v>
      </c>
      <c r="C12" s="392" t="s">
        <v>59</v>
      </c>
      <c r="D12" s="77" t="s">
        <v>1902</v>
      </c>
      <c r="E12" s="76" t="s">
        <v>57</v>
      </c>
      <c r="F12" s="77" t="s">
        <v>1901</v>
      </c>
      <c r="G12" s="77" t="s">
        <v>59</v>
      </c>
      <c r="H12" s="77" t="s">
        <v>62</v>
      </c>
      <c r="I12" s="78" t="s">
        <v>1903</v>
      </c>
    </row>
    <row r="13" spans="2:9" s="69" customFormat="1" ht="58" customHeight="1">
      <c r="B13" s="75">
        <v>9</v>
      </c>
      <c r="C13" s="392" t="s">
        <v>2386</v>
      </c>
      <c r="D13" s="77" t="s">
        <v>1905</v>
      </c>
      <c r="E13" s="76" t="s">
        <v>57</v>
      </c>
      <c r="F13" s="77" t="s">
        <v>1904</v>
      </c>
      <c r="G13" s="77" t="s">
        <v>1906</v>
      </c>
      <c r="H13" s="77" t="s">
        <v>1907</v>
      </c>
      <c r="I13" s="78" t="s">
        <v>1908</v>
      </c>
    </row>
    <row r="14" spans="2:9" s="69" customFormat="1" ht="58" customHeight="1">
      <c r="B14" s="75">
        <v>10</v>
      </c>
      <c r="C14" s="392" t="s">
        <v>39</v>
      </c>
      <c r="D14" s="77" t="s">
        <v>1909</v>
      </c>
      <c r="E14" s="76" t="s">
        <v>66</v>
      </c>
      <c r="F14" s="77" t="s">
        <v>39</v>
      </c>
      <c r="G14" s="77" t="s">
        <v>39</v>
      </c>
      <c r="H14" s="77" t="s">
        <v>70</v>
      </c>
      <c r="I14" s="78" t="s">
        <v>1910</v>
      </c>
    </row>
    <row r="15" spans="2:9" s="69" customFormat="1" ht="58" customHeight="1">
      <c r="B15" s="75">
        <v>11</v>
      </c>
      <c r="C15" s="393" t="s">
        <v>2725</v>
      </c>
      <c r="D15" s="81" t="s">
        <v>1912</v>
      </c>
      <c r="E15" s="80" t="s">
        <v>66</v>
      </c>
      <c r="F15" s="81" t="s">
        <v>1911</v>
      </c>
      <c r="G15" s="81" t="s">
        <v>1911</v>
      </c>
      <c r="H15" s="81" t="s">
        <v>1913</v>
      </c>
      <c r="I15" s="82" t="s">
        <v>1914</v>
      </c>
    </row>
    <row r="16" spans="2:9" s="69" customFormat="1" ht="58" customHeight="1">
      <c r="B16" s="75">
        <v>12</v>
      </c>
      <c r="C16" s="392" t="s">
        <v>76</v>
      </c>
      <c r="D16" s="77" t="s">
        <v>76</v>
      </c>
      <c r="E16" s="76" t="s">
        <v>74</v>
      </c>
      <c r="F16" s="77" t="s">
        <v>76</v>
      </c>
      <c r="G16" s="77" t="s">
        <v>76</v>
      </c>
      <c r="H16" s="77" t="s">
        <v>76</v>
      </c>
      <c r="I16" s="78" t="s">
        <v>1915</v>
      </c>
    </row>
    <row r="17" spans="2:9" s="69" customFormat="1" ht="58" customHeight="1">
      <c r="B17" s="75">
        <v>13</v>
      </c>
      <c r="C17" s="393" t="s">
        <v>2732</v>
      </c>
      <c r="D17" s="81" t="s">
        <v>1917</v>
      </c>
      <c r="E17" s="80" t="s">
        <v>74</v>
      </c>
      <c r="F17" s="81" t="s">
        <v>1916</v>
      </c>
      <c r="G17" s="81" t="s">
        <v>1916</v>
      </c>
      <c r="H17" s="81" t="s">
        <v>1916</v>
      </c>
      <c r="I17" s="82" t="s">
        <v>1918</v>
      </c>
    </row>
    <row r="18" spans="2:9" s="69" customFormat="1" ht="58" customHeight="1">
      <c r="B18" s="75">
        <v>14</v>
      </c>
      <c r="C18" s="395" t="s">
        <v>742</v>
      </c>
      <c r="D18" s="396" t="s">
        <v>16</v>
      </c>
      <c r="E18" s="397" t="s">
        <v>82</v>
      </c>
      <c r="F18" s="396" t="s">
        <v>16</v>
      </c>
      <c r="G18" s="396" t="s">
        <v>16</v>
      </c>
      <c r="H18" s="396" t="s">
        <v>16</v>
      </c>
      <c r="I18" s="396" t="s">
        <v>16</v>
      </c>
    </row>
    <row r="19" spans="2:9" s="69" customFormat="1" ht="58" customHeight="1">
      <c r="B19" s="75">
        <v>15</v>
      </c>
      <c r="C19" s="392" t="s">
        <v>21</v>
      </c>
      <c r="D19" s="77" t="s">
        <v>21</v>
      </c>
      <c r="E19" s="76" t="s">
        <v>88</v>
      </c>
      <c r="F19" s="77" t="s">
        <v>1919</v>
      </c>
      <c r="G19" s="77" t="s">
        <v>1919</v>
      </c>
      <c r="H19" s="77" t="s">
        <v>1920</v>
      </c>
      <c r="I19" s="78" t="s">
        <v>1921</v>
      </c>
    </row>
    <row r="20" spans="2:9" s="69" customFormat="1" ht="58" customHeight="1">
      <c r="B20" s="75">
        <v>16</v>
      </c>
      <c r="C20" s="392" t="s">
        <v>27</v>
      </c>
      <c r="D20" s="77" t="s">
        <v>1923</v>
      </c>
      <c r="E20" s="76" t="s">
        <v>99</v>
      </c>
      <c r="F20" s="77" t="s">
        <v>1922</v>
      </c>
      <c r="G20" s="77" t="s">
        <v>1922</v>
      </c>
      <c r="H20" s="77" t="s">
        <v>1924</v>
      </c>
      <c r="I20" s="78" t="s">
        <v>1925</v>
      </c>
    </row>
    <row r="21" spans="2:9" s="69" customFormat="1" ht="58" customHeight="1">
      <c r="B21" s="75">
        <v>17</v>
      </c>
      <c r="C21" s="392" t="s">
        <v>112</v>
      </c>
      <c r="D21" s="77" t="s">
        <v>1927</v>
      </c>
      <c r="E21" s="76" t="s">
        <v>110</v>
      </c>
      <c r="F21" s="77" t="s">
        <v>1926</v>
      </c>
      <c r="G21" s="77" t="s">
        <v>112</v>
      </c>
      <c r="H21" s="77" t="s">
        <v>115</v>
      </c>
      <c r="I21" s="78" t="s">
        <v>1928</v>
      </c>
    </row>
    <row r="22" spans="2:9" s="69" customFormat="1" ht="58" customHeight="1">
      <c r="B22" s="75">
        <v>18</v>
      </c>
      <c r="C22" s="393" t="s">
        <v>3317</v>
      </c>
      <c r="D22" s="81" t="s">
        <v>1930</v>
      </c>
      <c r="E22" s="80" t="s">
        <v>110</v>
      </c>
      <c r="F22" s="81" t="s">
        <v>1929</v>
      </c>
      <c r="G22" s="81" t="s">
        <v>1931</v>
      </c>
      <c r="H22" s="81" t="s">
        <v>1932</v>
      </c>
      <c r="I22" s="201" t="s">
        <v>1933</v>
      </c>
    </row>
    <row r="23" spans="2:9" s="69" customFormat="1" ht="58" customHeight="1">
      <c r="B23" s="75">
        <v>19</v>
      </c>
      <c r="C23" s="392" t="s">
        <v>33</v>
      </c>
      <c r="D23" s="83" t="s">
        <v>33</v>
      </c>
      <c r="E23" s="76" t="s">
        <v>119</v>
      </c>
      <c r="F23" s="77" t="s">
        <v>33</v>
      </c>
      <c r="G23" s="77" t="s">
        <v>33</v>
      </c>
      <c r="H23" s="77" t="s">
        <v>33</v>
      </c>
      <c r="I23" s="78" t="s">
        <v>1934</v>
      </c>
    </row>
    <row r="24" spans="2:9" s="69" customFormat="1" ht="58" customHeight="1">
      <c r="B24" s="75">
        <v>20</v>
      </c>
      <c r="C24" s="394" t="s">
        <v>64</v>
      </c>
      <c r="D24" s="85" t="s">
        <v>64</v>
      </c>
      <c r="E24" s="84" t="s">
        <v>1936</v>
      </c>
      <c r="F24" s="85" t="s">
        <v>1935</v>
      </c>
      <c r="G24" s="85" t="s">
        <v>1935</v>
      </c>
      <c r="H24" s="85" t="s">
        <v>1937</v>
      </c>
      <c r="I24" s="200" t="s">
        <v>1938</v>
      </c>
    </row>
    <row r="25" spans="2:9" s="69" customFormat="1" ht="58" customHeight="1">
      <c r="B25" s="75">
        <v>21</v>
      </c>
      <c r="C25" s="394" t="s">
        <v>17</v>
      </c>
      <c r="D25" s="85" t="s">
        <v>17</v>
      </c>
      <c r="E25" s="84" t="s">
        <v>1940</v>
      </c>
      <c r="F25" s="85" t="s">
        <v>1939</v>
      </c>
      <c r="G25" s="85" t="s">
        <v>1939</v>
      </c>
      <c r="H25" s="85" t="s">
        <v>1941</v>
      </c>
      <c r="I25" s="200" t="s">
        <v>1942</v>
      </c>
    </row>
    <row r="26" spans="2:9" s="69" customFormat="1" ht="58" customHeight="1">
      <c r="B26" s="75">
        <v>22</v>
      </c>
      <c r="C26" s="394" t="s">
        <v>79</v>
      </c>
      <c r="D26" s="85" t="s">
        <v>750</v>
      </c>
      <c r="E26" s="84" t="s">
        <v>1944</v>
      </c>
      <c r="F26" s="85" t="s">
        <v>1943</v>
      </c>
      <c r="G26" s="85" t="s">
        <v>1943</v>
      </c>
      <c r="H26" s="85" t="s">
        <v>1945</v>
      </c>
      <c r="I26" s="200" t="s">
        <v>1946</v>
      </c>
    </row>
  </sheetData>
  <phoneticPr fontId="1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&amp;C&amp;"Arial,標準"&amp;Kffffff&amp;A</oddHeader>
    <oddFooter>&amp;C&amp;"Arial,標準"&amp;KffffffPage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BF3C-4DEA-AE42-A98A-4705DAE1A77B}">
  <sheetPr codeName="工作表15">
    <tabColor rgb="FF00B0F0"/>
  </sheetPr>
  <dimension ref="B2:K105"/>
  <sheetViews>
    <sheetView topLeftCell="B1" workbookViewId="0">
      <pane ySplit="5" topLeftCell="A6" activePane="bottomLeft" state="frozen"/>
      <selection pane="bottomLeft" activeCell="F6" sqref="F6"/>
    </sheetView>
  </sheetViews>
  <sheetFormatPr baseColWidth="10" defaultColWidth="10.69921875" defaultRowHeight="13" outlineLevelRow="1" outlineLevelCol="1"/>
  <cols>
    <col min="1" max="1" width="3.09765625" style="57" customWidth="1"/>
    <col min="2" max="2" width="5.3984375" style="68" customWidth="1"/>
    <col min="3" max="3" width="7.8984375" style="68" customWidth="1" outlineLevel="1"/>
    <col min="4" max="4" width="6.19921875" style="57" bestFit="1" customWidth="1"/>
    <col min="5" max="5" width="6.19921875" style="57" customWidth="1" outlineLevel="1"/>
    <col min="6" max="7" width="10.3984375" style="98" customWidth="1" outlineLevel="1"/>
    <col min="8" max="8" width="10.3984375" style="65" customWidth="1" outlineLevel="1"/>
    <col min="9" max="11" width="10.3984375" style="65" customWidth="1"/>
    <col min="12" max="16384" width="10.69921875" style="57"/>
  </cols>
  <sheetData>
    <row r="2" spans="2:11" s="95" customFormat="1" ht="23" outlineLevel="1">
      <c r="B2" s="128"/>
      <c r="C2" s="128"/>
      <c r="D2" s="128"/>
      <c r="E2" s="128"/>
      <c r="F2" s="103">
        <v>3</v>
      </c>
      <c r="G2" s="103">
        <f>F2+2</f>
        <v>5</v>
      </c>
      <c r="H2" s="103">
        <f>G2+2</f>
        <v>7</v>
      </c>
      <c r="I2" s="103">
        <f>H2+2</f>
        <v>9</v>
      </c>
      <c r="J2" s="103">
        <f>I2+2</f>
        <v>11</v>
      </c>
      <c r="K2" s="103">
        <v>13</v>
      </c>
    </row>
    <row r="3" spans="2:11" s="95" customFormat="1" ht="22" outlineLevel="1">
      <c r="B3" s="102" cm="1">
        <f t="array" ref="B3">COLUMN()-COLUMN(($A:$A))</f>
        <v>1</v>
      </c>
      <c r="C3" s="102" cm="1">
        <f t="array" ref="C3">COLUMN()-COLUMN(($A:$A))</f>
        <v>2</v>
      </c>
      <c r="D3" s="102" cm="1">
        <f t="array" ref="D3">COLUMN()-COLUMN(($A:$A))</f>
        <v>3</v>
      </c>
      <c r="E3" s="102" cm="1">
        <f t="array" ref="E3">COLUMN()-COLUMN(($A:$A))</f>
        <v>4</v>
      </c>
      <c r="F3" s="102" cm="1">
        <f t="array" ref="F3">COLUMN()-COLUMN(($A:$A))</f>
        <v>5</v>
      </c>
      <c r="G3" s="102" cm="1">
        <f t="array" ref="G3">COLUMN()-COLUMN(($A:$A))</f>
        <v>6</v>
      </c>
      <c r="H3" s="102" cm="1">
        <f t="array" ref="H3">COLUMN()-COLUMN(($A:$A))</f>
        <v>7</v>
      </c>
      <c r="I3" s="102" cm="1">
        <f t="array" ref="I3">COLUMN()-COLUMN(($A:$A))</f>
        <v>8</v>
      </c>
      <c r="J3" s="102" cm="1">
        <f t="array" ref="J3">COLUMN()-COLUMN(($A:$A))</f>
        <v>9</v>
      </c>
      <c r="K3" s="102" cm="1">
        <f t="array" ref="K3">COLUMN()-COLUMN(($A:$A))</f>
        <v>10</v>
      </c>
    </row>
    <row r="5" spans="2:11" s="88" customFormat="1" ht="27" customHeight="1">
      <c r="B5" s="87" t="s">
        <v>693</v>
      </c>
      <c r="C5" s="87" t="s">
        <v>1987</v>
      </c>
      <c r="D5" s="87" t="s">
        <v>699</v>
      </c>
      <c r="E5" s="87" t="s">
        <v>1988</v>
      </c>
      <c r="F5" s="97" t="s">
        <v>694</v>
      </c>
      <c r="G5" s="97" t="s">
        <v>695</v>
      </c>
      <c r="H5" s="97" t="s">
        <v>738</v>
      </c>
      <c r="I5" s="97" t="s">
        <v>739</v>
      </c>
      <c r="J5" s="97" t="s">
        <v>740</v>
      </c>
      <c r="K5" s="97" t="s">
        <v>736</v>
      </c>
    </row>
    <row r="6" spans="2:11" ht="30">
      <c r="B6" s="89">
        <v>1</v>
      </c>
      <c r="C6" s="89">
        <v>1</v>
      </c>
      <c r="D6" s="90" t="s">
        <v>152</v>
      </c>
      <c r="E6" s="90" t="s">
        <v>1989</v>
      </c>
      <c r="F6" s="104" t="str" cm="1">
        <f t="array" ref="F6" xml:space="preserve"> IF( $E6="舒聲",  INDEX(十五音韻母對照表,$C6,F$2),  INDEX(十五音韻母對照表,$C6,F$2+1))</f>
        <v>un</v>
      </c>
      <c r="G6" s="104" t="str" cm="1">
        <f t="array" ref="G6" xml:space="preserve"> IF( $E6="舒聲",  INDEX(十五音韻母對照表,$C6,G$2),  INDEX(十五音韻母對照表,$C6,G$2+1))</f>
        <v>un</v>
      </c>
      <c r="H6" s="104" t="str" cm="1">
        <f t="array" ref="H6" xml:space="preserve"> IF( $E6="舒聲",  INDEX(十五音韻母對照表,$C6,H$2),  INDEX(十五音韻母對照表,$C6,H$2+1))</f>
        <v>un</v>
      </c>
      <c r="I6" s="104" t="str" cm="1">
        <f t="array" ref="I6" xml:space="preserve"> IF( $E6="舒聲",  INDEX(十五音韻母對照表,$C6,I$2),  INDEX(十五音韻母對照表,$C6,I$2+1))</f>
        <v>un</v>
      </c>
      <c r="J6" s="104" t="str" cm="1">
        <f t="array" ref="J6" xml:space="preserve"> IF( $E6="舒聲",  INDEX(十五音韻母對照表,$C6,J$2),  INDEX(十五音韻母對照表,$C6,J$2+1))</f>
        <v>un</v>
      </c>
      <c r="K6" s="104" t="str" cm="1">
        <f t="array" ref="K6" xml:space="preserve"> IF( $E6="舒聲",  INDEX(十五音韻母對照表,$C6,K$2),  INDEX(十五音韻母對照表,$C6,K$2+1))</f>
        <v>ㄨㄣ</v>
      </c>
    </row>
    <row r="7" spans="2:11" ht="30">
      <c r="B7" s="89">
        <v>2</v>
      </c>
      <c r="C7" s="89">
        <v>1</v>
      </c>
      <c r="D7" s="90" t="s">
        <v>152</v>
      </c>
      <c r="E7" s="90" t="s">
        <v>1990</v>
      </c>
      <c r="F7" s="104" t="str" cm="1">
        <f t="array" ref="F7" xml:space="preserve"> IF( $E7="舒聲",  INDEX(十五音韻母對照表,$C7,F$2),  INDEX(十五音韻母對照表,$C7,F$2+1))</f>
        <v>ut</v>
      </c>
      <c r="G7" s="104" t="str" cm="1">
        <f t="array" ref="G7" xml:space="preserve"> IF( $E7="舒聲",  INDEX(十五音韻母對照表,$C7,G$2),  INDEX(十五音韻母對照表,$C7,G$2+1))</f>
        <v>ut̚</v>
      </c>
      <c r="H7" s="104" t="str" cm="1">
        <f t="array" ref="H7" xml:space="preserve"> IF( $E7="舒聲",  INDEX(十五音韻母對照表,$C7,H$2),  INDEX(十五音韻母對照表,$C7,H$2+1))</f>
        <v>ut</v>
      </c>
      <c r="I7" s="104" t="str" cm="1">
        <f t="array" ref="I7" xml:space="preserve"> IF( $E7="舒聲",  INDEX(十五音韻母對照表,$C7,I$2),  INDEX(十五音韻母對照表,$C7,I$2+1))</f>
        <v>ut</v>
      </c>
      <c r="J7" s="104" t="str" cm="1">
        <f t="array" ref="J7" xml:space="preserve"> IF( $E7="舒聲",  INDEX(十五音韻母對照表,$C7,J$2),  INDEX(十五音韻母對照表,$C7,J$2+1))</f>
        <v>ut</v>
      </c>
      <c r="K7" s="104" t="str" cm="1">
        <f t="array" ref="K7" xml:space="preserve"> IF( $E7="舒聲",  INDEX(十五音韻母對照表,$C7,K$2),  INDEX(十五音韻母對照表,$C7,K$2+1))</f>
        <v>ㄨㆵ</v>
      </c>
    </row>
    <row r="8" spans="2:11" ht="30">
      <c r="B8" s="89">
        <v>3</v>
      </c>
      <c r="C8" s="89">
        <v>2</v>
      </c>
      <c r="D8" s="90" t="s">
        <v>161</v>
      </c>
      <c r="E8" s="90" t="s">
        <v>1989</v>
      </c>
      <c r="F8" s="104" t="str" cm="1">
        <f t="array" ref="F8" xml:space="preserve"> IF( $E8="舒聲",  INDEX(十五音韻母對照表,$C8,F$2),  INDEX(十五音韻母對照表,$C8,F$2+1))</f>
        <v>ian</v>
      </c>
      <c r="G8" s="104" t="str" cm="1">
        <f t="array" ref="G8" xml:space="preserve"> IF( $E8="舒聲",  INDEX(十五音韻母對照表,$C8,G$2),  INDEX(十五音韻母對照表,$C8,G$2+1))</f>
        <v>ian</v>
      </c>
      <c r="H8" s="104" t="str" cm="1">
        <f t="array" ref="H8" xml:space="preserve"> IF( $E8="舒聲",  INDEX(十五音韻母對照表,$C8,H$2),  INDEX(十五音韻母對照表,$C8,H$2+1))</f>
        <v>ian</v>
      </c>
      <c r="I8" s="104" t="str" cm="1">
        <f t="array" ref="I8" xml:space="preserve"> IF( $E8="舒聲",  INDEX(十五音韻母對照表,$C8,I$2),  INDEX(十五音韻母對照表,$C8,I$2+1))</f>
        <v>ian</v>
      </c>
      <c r="J8" s="104" t="str" cm="1">
        <f t="array" ref="J8" xml:space="preserve"> IF( $E8="舒聲",  INDEX(十五音韻母對照表,$C8,J$2),  INDEX(十五音韻母對照表,$C8,J$2+1))</f>
        <v>ian</v>
      </c>
      <c r="K8" s="104" t="str" cm="1">
        <f t="array" ref="K8" xml:space="preserve"> IF( $E8="舒聲",  INDEX(十五音韻母對照表,$C8,K$2),  INDEX(十五音韻母對照表,$C8,K$2+1))</f>
        <v>ㄧㄢ</v>
      </c>
    </row>
    <row r="9" spans="2:11" ht="30">
      <c r="B9" s="89">
        <v>4</v>
      </c>
      <c r="C9" s="89">
        <v>2</v>
      </c>
      <c r="D9" s="90" t="s">
        <v>161</v>
      </c>
      <c r="E9" s="90" t="s">
        <v>1990</v>
      </c>
      <c r="F9" s="104" t="str" cm="1">
        <f t="array" ref="F9" xml:space="preserve"> IF( $E9="舒聲",  INDEX(十五音韻母對照表,$C9,F$2),  INDEX(十五音韻母對照表,$C9,F$2+1))</f>
        <v>iat</v>
      </c>
      <c r="G9" s="104" t="str" cm="1">
        <f t="array" ref="G9" xml:space="preserve"> IF( $E9="舒聲",  INDEX(十五音韻母對照表,$C9,G$2),  INDEX(十五音韻母對照表,$C9,G$2+1))</f>
        <v>iat̚</v>
      </c>
      <c r="H9" s="104" t="str" cm="1">
        <f t="array" ref="H9" xml:space="preserve"> IF( $E9="舒聲",  INDEX(十五音韻母對照表,$C9,H$2),  INDEX(十五音韻母對照表,$C9,H$2+1))</f>
        <v>iat</v>
      </c>
      <c r="I9" s="104" t="str" cm="1">
        <f t="array" ref="I9" xml:space="preserve"> IF( $E9="舒聲",  INDEX(十五音韻母對照表,$C9,I$2),  INDEX(十五音韻母對照表,$C9,I$2+1))</f>
        <v>iat</v>
      </c>
      <c r="J9" s="104" t="str" cm="1">
        <f t="array" ref="J9" xml:space="preserve"> IF( $E9="舒聲",  INDEX(十五音韻母對照表,$C9,J$2),  INDEX(十五音韻母對照表,$C9,J$2+1))</f>
        <v>iat</v>
      </c>
      <c r="K9" s="104" t="str" cm="1">
        <f t="array" ref="K9" xml:space="preserve"> IF( $E9="舒聲",  INDEX(十五音韻母對照表,$C9,K$2),  INDEX(十五音韻母對照表,$C9,K$2+1))</f>
        <v>ㄧㄚㆵ</v>
      </c>
    </row>
    <row r="10" spans="2:11" ht="30">
      <c r="B10" s="89">
        <v>5</v>
      </c>
      <c r="C10" s="89">
        <v>3</v>
      </c>
      <c r="D10" s="90" t="s">
        <v>170</v>
      </c>
      <c r="E10" s="90" t="s">
        <v>1989</v>
      </c>
      <c r="F10" s="104" t="str" cm="1">
        <f t="array" ref="F10" xml:space="preserve"> IF( $E10="舒聲",  INDEX(十五音韻母對照表,$C10,F$2),  INDEX(十五音韻母對照表,$C10,F$2+1))</f>
        <v>im</v>
      </c>
      <c r="G10" s="104" t="str" cm="1">
        <f t="array" ref="G10" xml:space="preserve"> IF( $E10="舒聲",  INDEX(十五音韻母對照表,$C10,G$2),  INDEX(十五音韻母對照表,$C10,G$2+1))</f>
        <v>im</v>
      </c>
      <c r="H10" s="104" t="str" cm="1">
        <f t="array" ref="H10" xml:space="preserve"> IF( $E10="舒聲",  INDEX(十五音韻母對照表,$C10,H$2),  INDEX(十五音韻母對照表,$C10,H$2+1))</f>
        <v>im</v>
      </c>
      <c r="I10" s="104" t="str" cm="1">
        <f t="array" ref="I10" xml:space="preserve"> IF( $E10="舒聲",  INDEX(十五音韻母對照表,$C10,I$2),  INDEX(十五音韻母對照表,$C10,I$2+1))</f>
        <v>im</v>
      </c>
      <c r="J10" s="104" t="str" cm="1">
        <f t="array" ref="J10" xml:space="preserve"> IF( $E10="舒聲",  INDEX(十五音韻母對照表,$C10,J$2),  INDEX(十五音韻母對照表,$C10,J$2+1))</f>
        <v>im</v>
      </c>
      <c r="K10" s="104" t="str" cm="1">
        <f t="array" ref="K10" xml:space="preserve"> IF( $E10="舒聲",  INDEX(十五音韻母對照表,$C10,K$2),  INDEX(十五音韻母對照表,$C10,K$2+1))</f>
        <v>ㄧㆬ</v>
      </c>
    </row>
    <row r="11" spans="2:11" ht="30">
      <c r="B11" s="89">
        <v>6</v>
      </c>
      <c r="C11" s="89">
        <v>3</v>
      </c>
      <c r="D11" s="90" t="s">
        <v>170</v>
      </c>
      <c r="E11" s="90" t="s">
        <v>1990</v>
      </c>
      <c r="F11" s="104" t="str" cm="1">
        <f t="array" ref="F11" xml:space="preserve"> IF( $E11="舒聲",  INDEX(十五音韻母對照表,$C11,F$2),  INDEX(十五音韻母對照表,$C11,F$2+1))</f>
        <v>ip</v>
      </c>
      <c r="G11" s="104" t="str" cm="1">
        <f t="array" ref="G11" xml:space="preserve"> IF( $E11="舒聲",  INDEX(十五音韻母對照表,$C11,G$2),  INDEX(十五音韻母對照表,$C11,G$2+1))</f>
        <v>ip̚</v>
      </c>
      <c r="H11" s="104" t="str" cm="1">
        <f t="array" ref="H11" xml:space="preserve"> IF( $E11="舒聲",  INDEX(十五音韻母對照表,$C11,H$2),  INDEX(十五音韻母對照表,$C11,H$2+1))</f>
        <v>ip</v>
      </c>
      <c r="I11" s="104" t="str" cm="1">
        <f t="array" ref="I11" xml:space="preserve"> IF( $E11="舒聲",  INDEX(十五音韻母對照表,$C11,I$2),  INDEX(十五音韻母對照表,$C11,I$2+1))</f>
        <v>ip</v>
      </c>
      <c r="J11" s="104" t="str" cm="1">
        <f t="array" ref="J11" xml:space="preserve"> IF( $E11="舒聲",  INDEX(十五音韻母對照表,$C11,J$2),  INDEX(十五音韻母對照表,$C11,J$2+1))</f>
        <v>ip</v>
      </c>
      <c r="K11" s="104" t="str" cm="1">
        <f t="array" ref="K11" xml:space="preserve"> IF( $E11="舒聲",  INDEX(十五音韻母對照表,$C11,K$2),  INDEX(十五音韻母對照表,$C11,K$2+1))</f>
        <v>ㄧㆴ</v>
      </c>
    </row>
    <row r="12" spans="2:11" ht="30">
      <c r="B12" s="89">
        <v>7</v>
      </c>
      <c r="C12" s="89">
        <v>4</v>
      </c>
      <c r="D12" s="90" t="s">
        <v>177</v>
      </c>
      <c r="E12" s="90" t="s">
        <v>1989</v>
      </c>
      <c r="F12" s="104" t="str" cm="1">
        <f t="array" ref="F12" xml:space="preserve"> IF( $E12="舒聲",  INDEX(十五音韻母對照表,$C12,F$2),  INDEX(十五音韻母對照表,$C12,F$2+1))</f>
        <v>ui</v>
      </c>
      <c r="G12" s="104" t="str" cm="1">
        <f t="array" ref="G12" xml:space="preserve"> IF( $E12="舒聲",  INDEX(十五音韻母對照表,$C12,G$2),  INDEX(十五音韻母對照表,$C12,G$2+1))</f>
        <v>ui</v>
      </c>
      <c r="H12" s="104" t="str" cm="1">
        <f t="array" ref="H12" xml:space="preserve"> IF( $E12="舒聲",  INDEX(十五音韻母對照表,$C12,H$2),  INDEX(十五音韻母對照表,$C12,H$2+1))</f>
        <v>ui</v>
      </c>
      <c r="I12" s="104" t="str" cm="1">
        <f t="array" ref="I12" xml:space="preserve"> IF( $E12="舒聲",  INDEX(十五音韻母對照表,$C12,I$2),  INDEX(十五音韻母對照表,$C12,I$2+1))</f>
        <v>ui</v>
      </c>
      <c r="J12" s="104" t="str" cm="1">
        <f t="array" ref="J12" xml:space="preserve"> IF( $E12="舒聲",  INDEX(十五音韻母對照表,$C12,J$2),  INDEX(十五音韻母對照表,$C12,J$2+1))</f>
        <v>ui</v>
      </c>
      <c r="K12" s="104" t="str" cm="1">
        <f t="array" ref="K12" xml:space="preserve"> IF( $E12="舒聲",  INDEX(十五音韻母對照表,$C12,K$2),  INDEX(十五音韻母對照表,$C12,K$2+1))</f>
        <v>ㄨㄧ</v>
      </c>
    </row>
    <row r="13" spans="2:11" ht="30">
      <c r="B13" s="89">
        <v>8</v>
      </c>
      <c r="C13" s="89">
        <v>4</v>
      </c>
      <c r="D13" s="90" t="s">
        <v>177</v>
      </c>
      <c r="E13" s="90" t="s">
        <v>1990</v>
      </c>
      <c r="F13" s="104" t="str" cm="1">
        <f t="array" ref="F13" xml:space="preserve"> IF( $E13="舒聲",  INDEX(十五音韻母對照表,$C13,F$2),  INDEX(十五音韻母對照表,$C13,F$2+1))</f>
        <v>uih</v>
      </c>
      <c r="G13" s="104" t="str" cm="1">
        <f t="array" ref="G13" xml:space="preserve"> IF( $E13="舒聲",  INDEX(十五音韻母對照表,$C13,G$2),  INDEX(十五音韻母對照表,$C13,G$2+1))</f>
        <v>ui?</v>
      </c>
      <c r="H13" s="104" t="str" cm="1">
        <f t="array" ref="H13" xml:space="preserve"> IF( $E13="舒聲",  INDEX(十五音韻母對照表,$C13,H$2),  INDEX(十五音韻母對照表,$C13,H$2+1))</f>
        <v>uih</v>
      </c>
      <c r="I13" s="104" t="str" cm="1">
        <f t="array" ref="I13" xml:space="preserve"> IF( $E13="舒聲",  INDEX(十五音韻母對照表,$C13,I$2),  INDEX(十五音韻母對照表,$C13,I$2+1))</f>
        <v>uih</v>
      </c>
      <c r="J13" s="104" t="str" cm="1">
        <f t="array" ref="J13" xml:space="preserve"> IF( $E13="舒聲",  INDEX(十五音韻母對照表,$C13,J$2),  INDEX(十五音韻母對照表,$C13,J$2+1))</f>
        <v>uih</v>
      </c>
      <c r="K13" s="104" t="str" cm="1">
        <f t="array" ref="K13" xml:space="preserve"> IF( $E13="舒聲",  INDEX(十五音韻母對照表,$C13,K$2),  INDEX(十五音韻母對照表,$C13,K$2+1))</f>
        <v>ㄨㄧㆷ</v>
      </c>
    </row>
    <row r="14" spans="2:11" ht="30">
      <c r="B14" s="89">
        <v>9</v>
      </c>
      <c r="C14" s="89">
        <v>5</v>
      </c>
      <c r="D14" s="90" t="s">
        <v>187</v>
      </c>
      <c r="E14" s="90" t="s">
        <v>1989</v>
      </c>
      <c r="F14" s="104" t="str" cm="1">
        <f t="array" ref="F14" xml:space="preserve"> IF( $E14="舒聲",  INDEX(十五音韻母對照表,$C14,F$2),  INDEX(十五音韻母對照表,$C14,F$2+1))</f>
        <v>ee</v>
      </c>
      <c r="G14" s="104" t="str" cm="1">
        <f t="array" ref="G14" xml:space="preserve"> IF( $E14="舒聲",  INDEX(十五音韻母對照表,$C14,G$2),  INDEX(十五音韻母對照表,$C14,G$2+1))</f>
        <v>ɛ</v>
      </c>
      <c r="H14" s="104" t="str" cm="1">
        <f t="array" ref="H14" xml:space="preserve"> IF( $E14="舒聲",  INDEX(十五音韻母對照表,$C14,H$2),  INDEX(十五音韻母對照表,$C14,H$2+1))</f>
        <v>ee</v>
      </c>
      <c r="I14" s="104" t="str" cm="1">
        <f t="array" ref="I14" xml:space="preserve"> IF( $E14="舒聲",  INDEX(十五音韻母對照表,$C14,I$2),  INDEX(十五音韻母對照表,$C14,I$2+1))</f>
        <v>ee</v>
      </c>
      <c r="J14" s="104" t="str" cm="1">
        <f t="array" ref="J14" xml:space="preserve"> IF( $E14="舒聲",  INDEX(十五音韻母對照表,$C14,J$2),  INDEX(十五音韻母對照表,$C14,J$2+1))</f>
        <v>e</v>
      </c>
      <c r="K14" s="104" t="str" cm="1">
        <f t="array" ref="K14" xml:space="preserve"> IF( $E14="舒聲",  INDEX(十五音韻母對照表,$C14,K$2),  INDEX(十五音韻母對照表,$C14,K$2+1))</f>
        <v>ㄝ</v>
      </c>
    </row>
    <row r="15" spans="2:11" ht="30">
      <c r="B15" s="89">
        <v>10</v>
      </c>
      <c r="C15" s="89">
        <v>5</v>
      </c>
      <c r="D15" s="90" t="s">
        <v>187</v>
      </c>
      <c r="E15" s="90" t="s">
        <v>1990</v>
      </c>
      <c r="F15" s="104" t="str" cm="1">
        <f t="array" ref="F15" xml:space="preserve"> IF( $E15="舒聲",  INDEX(十五音韻母對照表,$C15,F$2),  INDEX(十五音韻母對照表,$C15,F$2+1))</f>
        <v>eh</v>
      </c>
      <c r="G15" s="104" t="str" cm="1">
        <f t="array" ref="G15" xml:space="preserve"> IF( $E15="舒聲",  INDEX(十五音韻母對照表,$C15,G$2),  INDEX(十五音韻母對照表,$C15,G$2+1))</f>
        <v>ɛ?</v>
      </c>
      <c r="H15" s="104" t="str" cm="1">
        <f t="array" ref="H15" xml:space="preserve"> IF( $E15="舒聲",  INDEX(十五音韻母對照表,$C15,H$2),  INDEX(十五音韻母對照表,$C15,H$2+1))</f>
        <v>eeh</v>
      </c>
      <c r="I15" s="104" t="str" cm="1">
        <f t="array" ref="I15" xml:space="preserve"> IF( $E15="舒聲",  INDEX(十五音韻母對照表,$C15,I$2),  INDEX(十五音韻母對照表,$C15,I$2+1))</f>
        <v>eh</v>
      </c>
      <c r="J15" s="104" t="str" cm="1">
        <f t="array" ref="J15" xml:space="preserve"> IF( $E15="舒聲",  INDEX(十五音韻母對照表,$C15,J$2),  INDEX(十五音韻母對照表,$C15,J$2+1))</f>
        <v>eh</v>
      </c>
      <c r="K15" s="104" t="str" cm="1">
        <f t="array" ref="K15" xml:space="preserve"> IF( $E15="舒聲",  INDEX(十五音韻母對照表,$C15,K$2),  INDEX(十五音韻母對照表,$C15,K$2+1))</f>
        <v>ㄝㆷ</v>
      </c>
    </row>
    <row r="16" spans="2:11" ht="30">
      <c r="B16" s="89">
        <v>11</v>
      </c>
      <c r="C16" s="89">
        <v>6</v>
      </c>
      <c r="D16" s="90" t="s">
        <v>201</v>
      </c>
      <c r="E16" s="90" t="s">
        <v>1989</v>
      </c>
      <c r="F16" s="104" t="str" cm="1">
        <f t="array" ref="F16" xml:space="preserve"> IF( $E16="舒聲",  INDEX(十五音韻母對照表,$C16,F$2),  INDEX(十五音韻母對照表,$C16,F$2+1))</f>
        <v>an</v>
      </c>
      <c r="G16" s="104" t="str" cm="1">
        <f t="array" ref="G16" xml:space="preserve"> IF( $E16="舒聲",  INDEX(十五音韻母對照表,$C16,G$2),  INDEX(十五音韻母對照表,$C16,G$2+1))</f>
        <v>an</v>
      </c>
      <c r="H16" s="104" t="str" cm="1">
        <f t="array" ref="H16" xml:space="preserve"> IF( $E16="舒聲",  INDEX(十五音韻母對照表,$C16,H$2),  INDEX(十五音韻母對照表,$C16,H$2+1))</f>
        <v>an</v>
      </c>
      <c r="I16" s="104" t="str" cm="1">
        <f t="array" ref="I16" xml:space="preserve"> IF( $E16="舒聲",  INDEX(十五音韻母對照表,$C16,I$2),  INDEX(十五音韻母對照表,$C16,I$2+1))</f>
        <v>an</v>
      </c>
      <c r="J16" s="104" t="str" cm="1">
        <f t="array" ref="J16" xml:space="preserve"> IF( $E16="舒聲",  INDEX(十五音韻母對照表,$C16,J$2),  INDEX(十五音韻母對照表,$C16,J$2+1))</f>
        <v>an</v>
      </c>
      <c r="K16" s="104" t="str" cm="1">
        <f t="array" ref="K16" xml:space="preserve"> IF( $E16="舒聲",  INDEX(十五音韻母對照表,$C16,K$2),  INDEX(十五音韻母對照表,$C16,K$2+1))</f>
        <v>ㄢ</v>
      </c>
    </row>
    <row r="17" spans="2:11" ht="30">
      <c r="B17" s="89">
        <v>12</v>
      </c>
      <c r="C17" s="89">
        <v>6</v>
      </c>
      <c r="D17" s="90" t="s">
        <v>201</v>
      </c>
      <c r="E17" s="90" t="s">
        <v>1990</v>
      </c>
      <c r="F17" s="104" t="str" cm="1">
        <f t="array" ref="F17" xml:space="preserve"> IF( $E17="舒聲",  INDEX(十五音韻母對照表,$C17,F$2),  INDEX(十五音韻母對照表,$C17,F$2+1))</f>
        <v>ap</v>
      </c>
      <c r="G17" s="104" t="str" cm="1">
        <f t="array" ref="G17" xml:space="preserve"> IF( $E17="舒聲",  INDEX(十五音韻母對照表,$C17,G$2),  INDEX(十五音韻母對照表,$C17,G$2+1))</f>
        <v>at̚</v>
      </c>
      <c r="H17" s="104" t="str" cm="1">
        <f t="array" ref="H17" xml:space="preserve"> IF( $E17="舒聲",  INDEX(十五音韻母對照表,$C17,H$2),  INDEX(十五音韻母對照表,$C17,H$2+1))</f>
        <v>at</v>
      </c>
      <c r="I17" s="104" t="str" cm="1">
        <f t="array" ref="I17" xml:space="preserve"> IF( $E17="舒聲",  INDEX(十五音韻母對照表,$C17,I$2),  INDEX(十五音韻母對照表,$C17,I$2+1))</f>
        <v>ap</v>
      </c>
      <c r="J17" s="104" t="str" cm="1">
        <f t="array" ref="J17" xml:space="preserve"> IF( $E17="舒聲",  INDEX(十五音韻母對照表,$C17,J$2),  INDEX(十五音韻母對照表,$C17,J$2+1))</f>
        <v>at</v>
      </c>
      <c r="K17" s="104" t="str" cm="1">
        <f t="array" ref="K17" xml:space="preserve"> IF( $E17="舒聲",  INDEX(十五音韻母對照表,$C17,K$2),  INDEX(十五音韻母對照表,$C17,K$2+1))</f>
        <v>ㄚㆵ</v>
      </c>
    </row>
    <row r="18" spans="2:11" ht="30">
      <c r="B18" s="89">
        <v>13</v>
      </c>
      <c r="C18" s="89">
        <v>7</v>
      </c>
      <c r="D18" s="90" t="s">
        <v>210</v>
      </c>
      <c r="E18" s="90" t="s">
        <v>1989</v>
      </c>
      <c r="F18" s="104" t="str" cm="1">
        <f t="array" ref="F18" xml:space="preserve"> IF( $E18="舒聲",  INDEX(十五音韻母對照表,$C18,F$2),  INDEX(十五音韻母對照表,$C18,F$2+1))</f>
        <v>ong</v>
      </c>
      <c r="G18" s="104" t="str" cm="1">
        <f t="array" ref="G18" xml:space="preserve"> IF( $E18="舒聲",  INDEX(十五音韻母對照表,$C18,G$2),  INDEX(十五音韻母對照表,$C18,G$2+1))</f>
        <v>ɔŋ</v>
      </c>
      <c r="H18" s="104" t="str" cm="1">
        <f t="array" ref="H18" xml:space="preserve"> IF( $E18="舒聲",  INDEX(十五音韻母對照表,$C18,H$2),  INDEX(十五音韻母對照表,$C18,H$2+1))</f>
        <v>ong</v>
      </c>
      <c r="I18" s="104" t="str" cm="1">
        <f t="array" ref="I18" xml:space="preserve"> IF( $E18="舒聲",  INDEX(十五音韻母對照表,$C18,I$2),  INDEX(十五音韻母對照表,$C18,I$2+1))</f>
        <v>ong</v>
      </c>
      <c r="J18" s="104" t="str" cm="1">
        <f t="array" ref="J18" xml:space="preserve"> IF( $E18="舒聲",  INDEX(十五音韻母對照表,$C18,J$2),  INDEX(十五音韻母對照表,$C18,J$2+1))</f>
        <v>ong</v>
      </c>
      <c r="K18" s="104" t="str" cm="1">
        <f t="array" ref="K18" xml:space="preserve"> IF( $E18="舒聲",  INDEX(十五音韻母對照表,$C18,K$2),  INDEX(十五音韻母對照表,$C18,K$2+1))</f>
        <v>ㆲ</v>
      </c>
    </row>
    <row r="19" spans="2:11" ht="30">
      <c r="B19" s="89">
        <v>14</v>
      </c>
      <c r="C19" s="89">
        <v>7</v>
      </c>
      <c r="D19" s="90" t="s">
        <v>210</v>
      </c>
      <c r="E19" s="90" t="s">
        <v>1990</v>
      </c>
      <c r="F19" s="104" t="str" cm="1">
        <f t="array" ref="F19" xml:space="preserve"> IF( $E19="舒聲",  INDEX(十五音韻母對照表,$C19,F$2),  INDEX(十五音韻母對照表,$C19,F$2+1))</f>
        <v>ok</v>
      </c>
      <c r="G19" s="104" t="str" cm="1">
        <f t="array" ref="G19" xml:space="preserve"> IF( $E19="舒聲",  INDEX(十五音韻母對照表,$C19,G$2),  INDEX(十五音韻母對照表,$C19,G$2+1))</f>
        <v>ɔk̚</v>
      </c>
      <c r="H19" s="104" t="str" cm="1">
        <f t="array" ref="H19" xml:space="preserve"> IF( $E19="舒聲",  INDEX(十五音韻母對照表,$C19,H$2),  INDEX(十五音韻母對照表,$C19,H$2+1))</f>
        <v>ok</v>
      </c>
      <c r="I19" s="104" t="str" cm="1">
        <f t="array" ref="I19" xml:space="preserve"> IF( $E19="舒聲",  INDEX(十五音韻母對照表,$C19,I$2),  INDEX(十五音韻母對照表,$C19,I$2+1))</f>
        <v>ok</v>
      </c>
      <c r="J19" s="104" t="str" cm="1">
        <f t="array" ref="J19" xml:space="preserve"> IF( $E19="舒聲",  INDEX(十五音韻母對照表,$C19,J$2),  INDEX(十五音韻母對照表,$C19,J$2+1))</f>
        <v>ok</v>
      </c>
      <c r="K19" s="104" t="str" cm="1">
        <f t="array" ref="K19" xml:space="preserve"> IF( $E19="舒聲",  INDEX(十五音韻母對照表,$C19,K$2),  INDEX(十五音韻母對照表,$C19,K$2+1))</f>
        <v>ㆦㆻ</v>
      </c>
    </row>
    <row r="20" spans="2:11" ht="30">
      <c r="B20" s="89">
        <v>15</v>
      </c>
      <c r="C20" s="89">
        <v>8</v>
      </c>
      <c r="D20" s="90" t="s">
        <v>219</v>
      </c>
      <c r="E20" s="90" t="s">
        <v>1989</v>
      </c>
      <c r="F20" s="104" t="str" cm="1">
        <f t="array" ref="F20" xml:space="preserve"> IF( $E20="舒聲",  INDEX(十五音韻母對照表,$C20,F$2),  INDEX(十五音韻母對照表,$C20,F$2+1))</f>
        <v>uai</v>
      </c>
      <c r="G20" s="104" t="str" cm="1">
        <f t="array" ref="G20" xml:space="preserve"> IF( $E20="舒聲",  INDEX(十五音韻母對照表,$C20,G$2),  INDEX(十五音韻母對照表,$C20,G$2+1))</f>
        <v>uai</v>
      </c>
      <c r="H20" s="104" t="str" cm="1">
        <f t="array" ref="H20" xml:space="preserve"> IF( $E20="舒聲",  INDEX(十五音韻母對照表,$C20,H$2),  INDEX(十五音韻母對照表,$C20,H$2+1))</f>
        <v>oai</v>
      </c>
      <c r="I20" s="104" t="str" cm="1">
        <f t="array" ref="I20" xml:space="preserve"> IF( $E20="舒聲",  INDEX(十五音韻母對照表,$C20,I$2),  INDEX(十五音韻母對照表,$C20,I$2+1))</f>
        <v>uai</v>
      </c>
      <c r="J20" s="104" t="str" cm="1">
        <f t="array" ref="J20" xml:space="preserve"> IF( $E20="舒聲",  INDEX(十五音韻母對照表,$C20,J$2),  INDEX(十五音韻母對照表,$C20,J$2+1))</f>
        <v>uai</v>
      </c>
      <c r="K20" s="104" t="str" cm="1">
        <f t="array" ref="K20" xml:space="preserve"> IF( $E20="舒聲",  INDEX(十五音韻母對照表,$C20,K$2),  INDEX(十五音韻母對照表,$C20,K$2+1))</f>
        <v>ㄨㄞ</v>
      </c>
    </row>
    <row r="21" spans="2:11" ht="30">
      <c r="B21" s="89">
        <v>16</v>
      </c>
      <c r="C21" s="89">
        <v>8</v>
      </c>
      <c r="D21" s="90" t="s">
        <v>219</v>
      </c>
      <c r="E21" s="90" t="s">
        <v>1990</v>
      </c>
      <c r="F21" s="104" t="str" cm="1">
        <f t="array" ref="F21" xml:space="preserve"> IF( $E21="舒聲",  INDEX(十五音韻母對照表,$C21,F$2),  INDEX(十五音韻母對照表,$C21,F$2+1))</f>
        <v>uaih</v>
      </c>
      <c r="G21" s="104" t="str" cm="1">
        <f t="array" ref="G21" xml:space="preserve"> IF( $E21="舒聲",  INDEX(十五音韻母對照表,$C21,G$2),  INDEX(十五音韻母對照表,$C21,G$2+1))</f>
        <v>uai?</v>
      </c>
      <c r="H21" s="104" t="str" cm="1">
        <f t="array" ref="H21" xml:space="preserve"> IF( $E21="舒聲",  INDEX(十五音韻母對照表,$C21,H$2),  INDEX(十五音韻母對照表,$C21,H$2+1))</f>
        <v>oaih</v>
      </c>
      <c r="I21" s="104" t="str" cm="1">
        <f t="array" ref="I21" xml:space="preserve"> IF( $E21="舒聲",  INDEX(十五音韻母對照表,$C21,I$2),  INDEX(十五音韻母對照表,$C21,I$2+1))</f>
        <v>uaih</v>
      </c>
      <c r="J21" s="104" t="str" cm="1">
        <f t="array" ref="J21" xml:space="preserve"> IF( $E21="舒聲",  INDEX(十五音韻母對照表,$C21,J$2),  INDEX(十五音韻母對照表,$C21,J$2+1))</f>
        <v>uaih</v>
      </c>
      <c r="K21" s="104" t="str" cm="1">
        <f t="array" ref="K21" xml:space="preserve"> IF( $E21="舒聲",  INDEX(十五音韻母對照表,$C21,K$2),  INDEX(十五音韻母對照表,$C21,K$2+1))</f>
        <v>ㄨㄞㆷ</v>
      </c>
    </row>
    <row r="22" spans="2:11" ht="30">
      <c r="B22" s="89">
        <v>17</v>
      </c>
      <c r="C22" s="89">
        <v>9</v>
      </c>
      <c r="D22" s="90" t="s">
        <v>230</v>
      </c>
      <c r="E22" s="90" t="s">
        <v>1989</v>
      </c>
      <c r="F22" s="104" t="str" cm="1">
        <f t="array" ref="F22" xml:space="preserve"> IF( $E22="舒聲",  INDEX(十五音韻母對照表,$C22,F$2),  INDEX(十五音韻母對照表,$C22,F$2+1))</f>
        <v>ing</v>
      </c>
      <c r="G22" s="104" t="str" cm="1">
        <f t="array" ref="G22" xml:space="preserve"> IF( $E22="舒聲",  INDEX(十五音韻母對照表,$C22,G$2),  INDEX(十五音韻母對照表,$C22,G$2+1))</f>
        <v>ɪŋ</v>
      </c>
      <c r="H22" s="104" t="str" cm="1">
        <f t="array" ref="H22" xml:space="preserve"> IF( $E22="舒聲",  INDEX(十五音韻母對照表,$C22,H$2),  INDEX(十五音韻母對照表,$C22,H$2+1))</f>
        <v>eng</v>
      </c>
      <c r="I22" s="104" t="str" cm="1">
        <f t="array" ref="I22" xml:space="preserve"> IF( $E22="舒聲",  INDEX(十五音韻母對照表,$C22,I$2),  INDEX(十五音韻母對照表,$C22,I$2+1))</f>
        <v>ing</v>
      </c>
      <c r="J22" s="104" t="str" cm="1">
        <f t="array" ref="J22" xml:space="preserve"> IF( $E22="舒聲",  INDEX(十五音韻母對照表,$C22,J$2),  INDEX(十五音韻母對照表,$C22,J$2+1))</f>
        <v>ing</v>
      </c>
      <c r="K22" s="104" t="str" cm="1">
        <f t="array" ref="K22" xml:space="preserve"> IF( $E22="舒聲",  INDEX(十五音韻母對照表,$C22,K$2),  INDEX(十五音韻母對照表,$C22,K$2+1))</f>
        <v>ㄧㄥ</v>
      </c>
    </row>
    <row r="23" spans="2:11" ht="30">
      <c r="B23" s="89">
        <v>18</v>
      </c>
      <c r="C23" s="89">
        <v>9</v>
      </c>
      <c r="D23" s="90" t="s">
        <v>230</v>
      </c>
      <c r="E23" s="90" t="s">
        <v>1990</v>
      </c>
      <c r="F23" s="104" t="str" cm="1">
        <f t="array" ref="F23" xml:space="preserve"> IF( $E23="舒聲",  INDEX(十五音韻母對照表,$C23,F$2),  INDEX(十五音韻母對照表,$C23,F$2+1))</f>
        <v>ik</v>
      </c>
      <c r="G23" s="104" t="str" cm="1">
        <f t="array" ref="G23" xml:space="preserve"> IF( $E23="舒聲",  INDEX(十五音韻母對照表,$C23,G$2),  INDEX(十五音韻母對照表,$C23,G$2+1))</f>
        <v>ik̚</v>
      </c>
      <c r="H23" s="104" t="str" cm="1">
        <f t="array" ref="H23" xml:space="preserve"> IF( $E23="舒聲",  INDEX(十五音韻母對照表,$C23,H$2),  INDEX(十五音韻母對照表,$C23,H$2+1))</f>
        <v>ek</v>
      </c>
      <c r="I23" s="104" t="str" cm="1">
        <f t="array" ref="I23" xml:space="preserve"> IF( $E23="舒聲",  INDEX(十五音韻母對照表,$C23,I$2),  INDEX(十五音韻母對照表,$C23,I$2+1))</f>
        <v>ik</v>
      </c>
      <c r="J23" s="104" t="str" cm="1">
        <f t="array" ref="J23" xml:space="preserve"> IF( $E23="舒聲",  INDEX(十五音韻母對照表,$C23,J$2),  INDEX(十五音韻母對照表,$C23,J$2+1))</f>
        <v>ik</v>
      </c>
      <c r="K23" s="104" t="str" cm="1">
        <f t="array" ref="K23" xml:space="preserve"> IF( $E23="舒聲",  INDEX(十五音韻母對照表,$C23,K$2),  INDEX(十五音韻母對照表,$C23,K$2+1))</f>
        <v>ㄧㆻ</v>
      </c>
    </row>
    <row r="24" spans="2:11" ht="30">
      <c r="B24" s="89">
        <v>19</v>
      </c>
      <c r="C24" s="89">
        <v>10</v>
      </c>
      <c r="D24" s="90" t="s">
        <v>240</v>
      </c>
      <c r="E24" s="90" t="s">
        <v>1989</v>
      </c>
      <c r="F24" s="104" t="str" cm="1">
        <f t="array" ref="F24" xml:space="preserve"> IF( $E24="舒聲",  INDEX(十五音韻母對照表,$C24,F$2),  INDEX(十五音韻母對照表,$C24,F$2+1))</f>
        <v>uan</v>
      </c>
      <c r="G24" s="104" t="str" cm="1">
        <f t="array" ref="G24" xml:space="preserve"> IF( $E24="舒聲",  INDEX(十五音韻母對照表,$C24,G$2),  INDEX(十五音韻母對照表,$C24,G$2+1))</f>
        <v>uan</v>
      </c>
      <c r="H24" s="104" t="str" cm="1">
        <f t="array" ref="H24" xml:space="preserve"> IF( $E24="舒聲",  INDEX(十五音韻母對照表,$C24,H$2),  INDEX(十五音韻母對照表,$C24,H$2+1))</f>
        <v>oan</v>
      </c>
      <c r="I24" s="104" t="str" cm="1">
        <f t="array" ref="I24" xml:space="preserve"> IF( $E24="舒聲",  INDEX(十五音韻母對照表,$C24,I$2),  INDEX(十五音韻母對照表,$C24,I$2+1))</f>
        <v>uan</v>
      </c>
      <c r="J24" s="104" t="str" cm="1">
        <f t="array" ref="J24" xml:space="preserve"> IF( $E24="舒聲",  INDEX(十五音韻母對照表,$C24,J$2),  INDEX(十五音韻母對照表,$C24,J$2+1))</f>
        <v>uan</v>
      </c>
      <c r="K24" s="104" t="str" cm="1">
        <f t="array" ref="K24" xml:space="preserve"> IF( $E24="舒聲",  INDEX(十五音韻母對照表,$C24,K$2),  INDEX(十五音韻母對照表,$C24,K$2+1))</f>
        <v>ㄨㄢ</v>
      </c>
    </row>
    <row r="25" spans="2:11" ht="30">
      <c r="B25" s="89">
        <v>20</v>
      </c>
      <c r="C25" s="89">
        <v>10</v>
      </c>
      <c r="D25" s="90" t="s">
        <v>240</v>
      </c>
      <c r="E25" s="90" t="s">
        <v>1990</v>
      </c>
      <c r="F25" s="104" t="str" cm="1">
        <f t="array" ref="F25" xml:space="preserve"> IF( $E25="舒聲",  INDEX(十五音韻母對照表,$C25,F$2),  INDEX(十五音韻母對照表,$C25,F$2+1))</f>
        <v>uat</v>
      </c>
      <c r="G25" s="104" t="str" cm="1">
        <f t="array" ref="G25" xml:space="preserve"> IF( $E25="舒聲",  INDEX(十五音韻母對照表,$C25,G$2),  INDEX(十五音韻母對照表,$C25,G$2+1))</f>
        <v>uat̚</v>
      </c>
      <c r="H25" s="104" t="str" cm="1">
        <f t="array" ref="H25" xml:space="preserve"> IF( $E25="舒聲",  INDEX(十五音韻母對照表,$C25,H$2),  INDEX(十五音韻母對照表,$C25,H$2+1))</f>
        <v>oat</v>
      </c>
      <c r="I25" s="104" t="str" cm="1">
        <f t="array" ref="I25" xml:space="preserve"> IF( $E25="舒聲",  INDEX(十五音韻母對照表,$C25,I$2),  INDEX(十五音韻母對照表,$C25,I$2+1))</f>
        <v>uat</v>
      </c>
      <c r="J25" s="104" t="str" cm="1">
        <f t="array" ref="J25" xml:space="preserve"> IF( $E25="舒聲",  INDEX(十五音韻母對照表,$C25,J$2),  INDEX(十五音韻母對照表,$C25,J$2+1))</f>
        <v>uat</v>
      </c>
      <c r="K25" s="104" t="str" cm="1">
        <f t="array" ref="K25" xml:space="preserve"> IF( $E25="舒聲",  INDEX(十五音韻母對照表,$C25,K$2),  INDEX(十五音韻母對照表,$C25,K$2+1))</f>
        <v>ㄨㄚㆵ</v>
      </c>
    </row>
    <row r="26" spans="2:11" ht="30">
      <c r="B26" s="89">
        <v>21</v>
      </c>
      <c r="C26" s="89">
        <v>11</v>
      </c>
      <c r="D26" s="90" t="s">
        <v>251</v>
      </c>
      <c r="E26" s="90" t="s">
        <v>1989</v>
      </c>
      <c r="F26" s="104" t="str" cm="1">
        <f t="array" ref="F26" xml:space="preserve"> IF( $E26="舒聲",  INDEX(十五音韻母對照表,$C26,F$2),  INDEX(十五音韻母對照表,$C26,F$2+1))</f>
        <v>oo</v>
      </c>
      <c r="G26" s="104" t="str" cm="1">
        <f t="array" ref="G26" xml:space="preserve"> IF( $E26="舒聲",  INDEX(十五音韻母對照表,$C26,G$2),  INDEX(十五音韻母對照表,$C26,G$2+1))</f>
        <v>ɔ</v>
      </c>
      <c r="H26" s="104" t="str" cm="1">
        <f t="array" ref="H26" xml:space="preserve"> IF( $E26="舒聲",  INDEX(十五音韻母對照表,$C26,H$2),  INDEX(十五音韻母對照表,$C26,H$2+1))</f>
        <v>o͘</v>
      </c>
      <c r="I26" s="104" t="str" cm="1">
        <f t="array" ref="I26" xml:space="preserve"> IF( $E26="舒聲",  INDEX(十五音韻母對照表,$C26,I$2),  INDEX(十五音韻母對照表,$C26,I$2+1))</f>
        <v>oo</v>
      </c>
      <c r="J26" s="104" t="str" cm="1">
        <f t="array" ref="J26" xml:space="preserve"> IF( $E26="舒聲",  INDEX(十五音韻母對照表,$C26,J$2),  INDEX(十五音韻母對照表,$C26,J$2+1))</f>
        <v>oo</v>
      </c>
      <c r="K26" s="104" t="str" cm="1">
        <f t="array" ref="K26" xml:space="preserve"> IF( $E26="舒聲",  INDEX(十五音韻母對照表,$C26,K$2),  INDEX(十五音韻母對照表,$C26,K$2+1))</f>
        <v>ㆦ</v>
      </c>
    </row>
    <row r="27" spans="2:11" ht="30">
      <c r="B27" s="89">
        <v>22</v>
      </c>
      <c r="C27" s="89">
        <v>11</v>
      </c>
      <c r="D27" s="90" t="s">
        <v>251</v>
      </c>
      <c r="E27" s="90" t="s">
        <v>1990</v>
      </c>
      <c r="F27" s="104" t="str" cm="1">
        <f t="array" ref="F27" xml:space="preserve"> IF( $E27="舒聲",  INDEX(十五音韻母對照表,$C27,F$2),  INDEX(十五音韻母對照表,$C27,F$2+1))</f>
        <v>ooh</v>
      </c>
      <c r="G27" s="104" t="str" cm="1">
        <f t="array" ref="G27" xml:space="preserve"> IF( $E27="舒聲",  INDEX(十五音韻母對照表,$C27,G$2),  INDEX(十五音韻母對照表,$C27,G$2+1))</f>
        <v>ɔu?</v>
      </c>
      <c r="H27" s="104" t="str" cm="1">
        <f t="array" ref="H27" xml:space="preserve"> IF( $E27="舒聲",  INDEX(十五音韻母對照表,$C27,H$2),  INDEX(十五音韻母對照表,$C27,H$2+1))</f>
        <v>o͘h</v>
      </c>
      <c r="I27" s="104" t="str" cm="1">
        <f t="array" ref="I27" xml:space="preserve"> IF( $E27="舒聲",  INDEX(十五音韻母對照表,$C27,I$2),  INDEX(十五音韻母對照表,$C27,I$2+1))</f>
        <v>ooh</v>
      </c>
      <c r="J27" s="104" t="str" cm="1">
        <f t="array" ref="J27" xml:space="preserve"> IF( $E27="舒聲",  INDEX(十五音韻母對照表,$C27,J$2),  INDEX(十五音韻母對照表,$C27,J$2+1))</f>
        <v>ooh</v>
      </c>
      <c r="K27" s="104" t="str" cm="1">
        <f t="array" ref="K27" xml:space="preserve"> IF( $E27="舒聲",  INDEX(十五音韻母對照表,$C27,K$2),  INDEX(十五音韻母對照表,$C27,K$2+1))</f>
        <v>ㆦㆷ</v>
      </c>
    </row>
    <row r="28" spans="2:11" ht="30">
      <c r="B28" s="89">
        <v>23</v>
      </c>
      <c r="C28" s="89">
        <v>12</v>
      </c>
      <c r="D28" s="90" t="s">
        <v>264</v>
      </c>
      <c r="E28" s="90" t="s">
        <v>1989</v>
      </c>
      <c r="F28" s="104" t="str" cm="1">
        <f t="array" ref="F28" xml:space="preserve"> IF( $E28="舒聲",  INDEX(十五音韻母對照表,$C28,F$2),  INDEX(十五音韻母對照表,$C28,F$2+1))</f>
        <v>iau</v>
      </c>
      <c r="G28" s="104" t="str" cm="1">
        <f t="array" ref="G28" xml:space="preserve"> IF( $E28="舒聲",  INDEX(十五音韻母對照表,$C28,G$2),  INDEX(十五音韻母對照表,$C28,G$2+1))</f>
        <v>iaʊ</v>
      </c>
      <c r="H28" s="104" t="str" cm="1">
        <f t="array" ref="H28" xml:space="preserve"> IF( $E28="舒聲",  INDEX(十五音韻母對照表,$C28,H$2),  INDEX(十五音韻母對照表,$C28,H$2+1))</f>
        <v>iau</v>
      </c>
      <c r="I28" s="104" t="str" cm="1">
        <f t="array" ref="I28" xml:space="preserve"> IF( $E28="舒聲",  INDEX(十五音韻母對照表,$C28,I$2),  INDEX(十五音韻母對照表,$C28,I$2+1))</f>
        <v>iau</v>
      </c>
      <c r="J28" s="104" t="str" cm="1">
        <f t="array" ref="J28" xml:space="preserve"> IF( $E28="舒聲",  INDEX(十五音韻母對照表,$C28,J$2),  INDEX(十五音韻母對照表,$C28,J$2+1))</f>
        <v>iao</v>
      </c>
      <c r="K28" s="104" t="str" cm="1">
        <f t="array" ref="K28" xml:space="preserve"> IF( $E28="舒聲",  INDEX(十五音韻母對照表,$C28,K$2),  INDEX(十五音韻母對照表,$C28,K$2+1))</f>
        <v>ㄧㄠ</v>
      </c>
    </row>
    <row r="29" spans="2:11" ht="30">
      <c r="B29" s="89">
        <v>24</v>
      </c>
      <c r="C29" s="89">
        <v>12</v>
      </c>
      <c r="D29" s="90" t="s">
        <v>264</v>
      </c>
      <c r="E29" s="90" t="s">
        <v>1990</v>
      </c>
      <c r="F29" s="104" t="str" cm="1">
        <f t="array" ref="F29" xml:space="preserve"> IF( $E29="舒聲",  INDEX(十五音韻母對照表,$C29,F$2),  INDEX(十五音韻母對照表,$C29,F$2+1))</f>
        <v>iauh</v>
      </c>
      <c r="G29" s="104" t="str" cm="1">
        <f t="array" ref="G29" xml:space="preserve"> IF( $E29="舒聲",  INDEX(十五音韻母對照表,$C29,G$2),  INDEX(十五音韻母對照表,$C29,G$2+1))</f>
        <v>iau?</v>
      </c>
      <c r="H29" s="104" t="str" cm="1">
        <f t="array" ref="H29" xml:space="preserve"> IF( $E29="舒聲",  INDEX(十五音韻母對照表,$C29,H$2),  INDEX(十五音韻母對照表,$C29,H$2+1))</f>
        <v>iauh</v>
      </c>
      <c r="I29" s="104" t="str" cm="1">
        <f t="array" ref="I29" xml:space="preserve"> IF( $E29="舒聲",  INDEX(十五音韻母對照表,$C29,I$2),  INDEX(十五音韻母對照表,$C29,I$2+1))</f>
        <v>iauh</v>
      </c>
      <c r="J29" s="104" t="str" cm="1">
        <f t="array" ref="J29" xml:space="preserve"> IF( $E29="舒聲",  INDEX(十五音韻母對照表,$C29,J$2),  INDEX(十五音韻母對照表,$C29,J$2+1))</f>
        <v>iaoh</v>
      </c>
      <c r="K29" s="104" t="str" cm="1">
        <f t="array" ref="K29" xml:space="preserve"> IF( $E29="舒聲",  INDEX(十五音韻母對照表,$C29,K$2),  INDEX(十五音韻母對照表,$C29,K$2+1))</f>
        <v>ㄧㄠㆷ</v>
      </c>
    </row>
    <row r="30" spans="2:11" ht="30">
      <c r="B30" s="89">
        <v>25</v>
      </c>
      <c r="C30" s="89">
        <v>13</v>
      </c>
      <c r="D30" s="90" t="s">
        <v>277</v>
      </c>
      <c r="E30" s="90" t="s">
        <v>1989</v>
      </c>
      <c r="F30" s="104" t="str" cm="1">
        <f t="array" ref="F30" xml:space="preserve"> IF( $E30="舒聲",  INDEX(十五音韻母對照表,$C30,F$2),  INDEX(十五音韻母對照表,$C30,F$2+1))</f>
        <v>ei</v>
      </c>
      <c r="G30" s="104" t="str" cm="1">
        <f t="array" ref="G30" xml:space="preserve"> IF( $E30="舒聲",  INDEX(十五音韻母對照表,$C30,G$2),  INDEX(十五音韻母對照表,$C30,G$2+1))</f>
        <v>ei</v>
      </c>
      <c r="H30" s="104" t="str" cm="1">
        <f t="array" ref="H30" xml:space="preserve"> IF( $E30="舒聲",  INDEX(十五音韻母對照表,$C30,H$2),  INDEX(十五音韻母對照表,$C30,H$2+1))</f>
        <v>ei</v>
      </c>
      <c r="I30" s="104" t="str" cm="1">
        <f t="array" ref="I30" xml:space="preserve"> IF( $E30="舒聲",  INDEX(十五音韻母對照表,$C30,I$2),  INDEX(十五音韻母對照表,$C30,I$2+1))</f>
        <v>e</v>
      </c>
      <c r="J30" s="104" t="str" cm="1">
        <f t="array" ref="J30" xml:space="preserve"> IF( $E30="舒聲",  INDEX(十五音韻母對照表,$C30,J$2),  INDEX(十五音韻母對照表,$C30,J$2+1))</f>
        <v>e</v>
      </c>
      <c r="K30" s="104" t="str" cm="1">
        <f t="array" ref="K30" xml:space="preserve"> IF( $E30="舒聲",  INDEX(十五音韻母對照表,$C30,K$2),  INDEX(十五音韻母對照表,$C30,K$2+1))</f>
        <v>ㄟ</v>
      </c>
    </row>
    <row r="31" spans="2:11" ht="30">
      <c r="B31" s="89">
        <v>26</v>
      </c>
      <c r="C31" s="89">
        <v>13</v>
      </c>
      <c r="D31" s="90" t="s">
        <v>277</v>
      </c>
      <c r="E31" s="90" t="s">
        <v>1990</v>
      </c>
      <c r="F31" s="104" t="str" cm="1">
        <f t="array" ref="F31" xml:space="preserve"> IF( $E31="舒聲",  INDEX(十五音韻母對照表,$C31,F$2),  INDEX(十五音韻母對照表,$C31,F$2+1))</f>
        <v>eih</v>
      </c>
      <c r="G31" s="104" t="str" cm="1">
        <f t="array" ref="G31" xml:space="preserve"> IF( $E31="舒聲",  INDEX(十五音韻母對照表,$C31,G$2),  INDEX(十五音韻母對照表,$C31,G$2+1))</f>
        <v>ei?</v>
      </c>
      <c r="H31" s="104" t="str" cm="1">
        <f t="array" ref="H31" xml:space="preserve"> IF( $E31="舒聲",  INDEX(十五音韻母對照表,$C31,H$2),  INDEX(十五音韻母對照表,$C31,H$2+1))</f>
        <v>eih</v>
      </c>
      <c r="I31" s="104" t="str" cm="1">
        <f t="array" ref="I31" xml:space="preserve"> IF( $E31="舒聲",  INDEX(十五音韻母對照表,$C31,I$2),  INDEX(十五音韻母對照表,$C31,I$2+1))</f>
        <v>eh</v>
      </c>
      <c r="J31" s="104" t="str" cm="1">
        <f t="array" ref="J31" xml:space="preserve"> IF( $E31="舒聲",  INDEX(十五音韻母對照表,$C31,J$2),  INDEX(十五音韻母對照表,$C31,J$2+1))</f>
        <v>eh</v>
      </c>
      <c r="K31" s="104" t="str" cm="1">
        <f t="array" ref="K31" xml:space="preserve"> IF( $E31="舒聲",  INDEX(十五音韻母對照表,$C31,K$2),  INDEX(十五音韻母對照表,$C31,K$2+1))</f>
        <v>ㄟㆷ</v>
      </c>
    </row>
    <row r="32" spans="2:11" ht="30">
      <c r="B32" s="89">
        <v>27</v>
      </c>
      <c r="C32" s="89">
        <v>14</v>
      </c>
      <c r="D32" s="90" t="s">
        <v>288</v>
      </c>
      <c r="E32" s="90" t="s">
        <v>1989</v>
      </c>
      <c r="F32" s="104" t="str" cm="1">
        <f t="array" ref="F32" xml:space="preserve"> IF( $E32="舒聲",  INDEX(十五音韻母對照表,$C32,F$2),  INDEX(十五音韻母對照表,$C32,F$2+1))</f>
        <v>iong</v>
      </c>
      <c r="G32" s="104" t="str" cm="1">
        <f t="array" ref="G32" xml:space="preserve"> IF( $E32="舒聲",  INDEX(十五音韻母對照表,$C32,G$2),  INDEX(十五音韻母對照表,$C32,G$2+1))</f>
        <v>iɔŋ</v>
      </c>
      <c r="H32" s="104" t="str" cm="1">
        <f t="array" ref="H32" xml:space="preserve"> IF( $E32="舒聲",  INDEX(十五音韻母對照表,$C32,H$2),  INDEX(十五音韻母對照表,$C32,H$2+1))</f>
        <v>iong</v>
      </c>
      <c r="I32" s="104" t="str" cm="1">
        <f t="array" ref="I32" xml:space="preserve"> IF( $E32="舒聲",  INDEX(十五音韻母對照表,$C32,I$2),  INDEX(十五音韻母對照表,$C32,I$2+1))</f>
        <v>iong</v>
      </c>
      <c r="J32" s="104" t="str" cm="1">
        <f t="array" ref="J32" xml:space="preserve"> IF( $E32="舒聲",  INDEX(十五音韻母對照表,$C32,J$2),  INDEX(十五音韻母對照表,$C32,J$2+1))</f>
        <v>iong</v>
      </c>
      <c r="K32" s="104" t="str" cm="1">
        <f t="array" ref="K32" xml:space="preserve"> IF( $E32="舒聲",  INDEX(十五音韻母對照表,$C32,K$2),  INDEX(十五音韻母對照表,$C32,K$2+1))</f>
        <v>ㄧㆲ</v>
      </c>
    </row>
    <row r="33" spans="2:11" ht="30">
      <c r="B33" s="89">
        <v>28</v>
      </c>
      <c r="C33" s="89">
        <v>14</v>
      </c>
      <c r="D33" s="90" t="s">
        <v>288</v>
      </c>
      <c r="E33" s="90" t="s">
        <v>1990</v>
      </c>
      <c r="F33" s="104" t="str" cm="1">
        <f t="array" ref="F33" xml:space="preserve"> IF( $E33="舒聲",  INDEX(十五音韻母對照表,$C33,F$2),  INDEX(十五音韻母對照表,$C33,F$2+1))</f>
        <v>iok</v>
      </c>
      <c r="G33" s="104" t="str" cm="1">
        <f t="array" ref="G33" xml:space="preserve"> IF( $E33="舒聲",  INDEX(十五音韻母對照表,$C33,G$2),  INDEX(十五音韻母對照表,$C33,G$2+1))</f>
        <v>iɔk̚</v>
      </c>
      <c r="H33" s="104" t="str" cm="1">
        <f t="array" ref="H33" xml:space="preserve"> IF( $E33="舒聲",  INDEX(十五音韻母對照表,$C33,H$2),  INDEX(十五音韻母對照表,$C33,H$2+1))</f>
        <v>iok</v>
      </c>
      <c r="I33" s="104" t="str" cm="1">
        <f t="array" ref="I33" xml:space="preserve"> IF( $E33="舒聲",  INDEX(十五音韻母對照表,$C33,I$2),  INDEX(十五音韻母對照表,$C33,I$2+1))</f>
        <v>iok</v>
      </c>
      <c r="J33" s="104" t="str" cm="1">
        <f t="array" ref="J33" xml:space="preserve"> IF( $E33="舒聲",  INDEX(十五音韻母對照表,$C33,J$2),  INDEX(十五音韻母對照表,$C33,J$2+1))</f>
        <v>iok</v>
      </c>
      <c r="K33" s="104" t="str" cm="1">
        <f t="array" ref="K33" xml:space="preserve"> IF( $E33="舒聲",  INDEX(十五音韻母對照表,$C33,K$2),  INDEX(十五音韻母對照表,$C33,K$2+1))</f>
        <v>ㄧㆦㆻ</v>
      </c>
    </row>
    <row r="34" spans="2:11" ht="30">
      <c r="B34" s="89">
        <v>29</v>
      </c>
      <c r="C34" s="89">
        <v>15</v>
      </c>
      <c r="D34" s="90" t="s">
        <v>298</v>
      </c>
      <c r="E34" s="90" t="s">
        <v>1989</v>
      </c>
      <c r="F34" s="104" t="str" cm="1">
        <f t="array" ref="F34" xml:space="preserve"> IF( $E34="舒聲",  INDEX(十五音韻母對照表,$C34,F$2),  INDEX(十五音韻母對照表,$C34,F$2+1))</f>
        <v>o</v>
      </c>
      <c r="G34" s="104" t="str" cm="1">
        <f t="array" ref="G34" xml:space="preserve"> IF( $E34="舒聲",  INDEX(十五音韻母對照表,$C34,G$2),  INDEX(十五音韻母對照表,$C34,G$2+1))</f>
        <v>o</v>
      </c>
      <c r="H34" s="104" t="str" cm="1">
        <f t="array" ref="H34" xml:space="preserve"> IF( $E34="舒聲",  INDEX(十五音韻母對照表,$C34,H$2),  INDEX(十五音韻母對照表,$C34,H$2+1))</f>
        <v>o</v>
      </c>
      <c r="I34" s="104" t="str" cm="1">
        <f t="array" ref="I34" xml:space="preserve"> IF( $E34="舒聲",  INDEX(十五音韻母對照表,$C34,I$2),  INDEX(十五音韻母對照表,$C34,I$2+1))</f>
        <v>o</v>
      </c>
      <c r="J34" s="104" t="str" cm="1">
        <f t="array" ref="J34" xml:space="preserve"> IF( $E34="舒聲",  INDEX(十五音韻母對照表,$C34,J$2),  INDEX(十五音韻母對照表,$C34,J$2+1))</f>
        <v>o</v>
      </c>
      <c r="K34" s="104" t="str" cm="1">
        <f t="array" ref="K34" xml:space="preserve"> IF( $E34="舒聲",  INDEX(十五音韻母對照表,$C34,K$2),  INDEX(十五音韻母對照表,$C34,K$2+1))</f>
        <v>ㄜ</v>
      </c>
    </row>
    <row r="35" spans="2:11" ht="30">
      <c r="B35" s="89">
        <v>30</v>
      </c>
      <c r="C35" s="89">
        <v>15</v>
      </c>
      <c r="D35" s="90" t="s">
        <v>298</v>
      </c>
      <c r="E35" s="90" t="s">
        <v>1990</v>
      </c>
      <c r="F35" s="104" t="str" cm="1">
        <f t="array" ref="F35" xml:space="preserve"> IF( $E35="舒聲",  INDEX(十五音韻母對照表,$C35,F$2),  INDEX(十五音韻母對照表,$C35,F$2+1))</f>
        <v>oh</v>
      </c>
      <c r="G35" s="104" t="str" cm="1">
        <f t="array" ref="G35" xml:space="preserve"> IF( $E35="舒聲",  INDEX(十五音韻母對照表,$C35,G$2),  INDEX(十五音韻母對照表,$C35,G$2+1))</f>
        <v>ə?</v>
      </c>
      <c r="H35" s="104" t="str" cm="1">
        <f t="array" ref="H35" xml:space="preserve"> IF( $E35="舒聲",  INDEX(十五音韻母對照表,$C35,H$2),  INDEX(十五音韻母對照表,$C35,H$2+1))</f>
        <v>oh</v>
      </c>
      <c r="I35" s="104" t="str" cm="1">
        <f t="array" ref="I35" xml:space="preserve"> IF( $E35="舒聲",  INDEX(十五音韻母對照表,$C35,I$2),  INDEX(十五音韻母對照表,$C35,I$2+1))</f>
        <v>oh</v>
      </c>
      <c r="J35" s="104" t="str" cm="1">
        <f t="array" ref="J35" xml:space="preserve"> IF( $E35="舒聲",  INDEX(十五音韻母對照表,$C35,J$2),  INDEX(十五音韻母對照表,$C35,J$2+1))</f>
        <v>oh</v>
      </c>
      <c r="K35" s="104" t="str" cm="1">
        <f t="array" ref="K35" xml:space="preserve"> IF( $E35="舒聲",  INDEX(十五音韻母對照表,$C35,K$2),  INDEX(十五音韻母對照表,$C35,K$2+1))</f>
        <v>ㄜㆷ</v>
      </c>
    </row>
    <row r="36" spans="2:11" ht="30">
      <c r="B36" s="89">
        <v>31</v>
      </c>
      <c r="C36" s="89">
        <v>16</v>
      </c>
      <c r="D36" s="90" t="s">
        <v>306</v>
      </c>
      <c r="E36" s="90" t="s">
        <v>1989</v>
      </c>
      <c r="F36" s="104" t="str" cm="1">
        <f t="array" ref="F36" xml:space="preserve"> IF( $E36="舒聲",  INDEX(十五音韻母對照表,$C36,F$2),  INDEX(十五音韻母對照表,$C36,F$2+1))</f>
        <v>ai</v>
      </c>
      <c r="G36" s="104" t="str" cm="1">
        <f t="array" ref="G36" xml:space="preserve"> IF( $E36="舒聲",  INDEX(十五音韻母對照表,$C36,G$2),  INDEX(十五音韻母對照表,$C36,G$2+1))</f>
        <v>ai</v>
      </c>
      <c r="H36" s="104" t="str" cm="1">
        <f t="array" ref="H36" xml:space="preserve"> IF( $E36="舒聲",  INDEX(十五音韻母對照表,$C36,H$2),  INDEX(十五音韻母對照表,$C36,H$2+1))</f>
        <v>ai</v>
      </c>
      <c r="I36" s="104" t="str" cm="1">
        <f t="array" ref="I36" xml:space="preserve"> IF( $E36="舒聲",  INDEX(十五音韻母對照表,$C36,I$2),  INDEX(十五音韻母對照表,$C36,I$2+1))</f>
        <v>ai</v>
      </c>
      <c r="J36" s="104" t="str" cm="1">
        <f t="array" ref="J36" xml:space="preserve"> IF( $E36="舒聲",  INDEX(十五音韻母對照表,$C36,J$2),  INDEX(十五音韻母對照表,$C36,J$2+1))</f>
        <v>ai</v>
      </c>
      <c r="K36" s="104" t="str" cm="1">
        <f t="array" ref="K36" xml:space="preserve"> IF( $E36="舒聲",  INDEX(十五音韻母對照表,$C36,K$2),  INDEX(十五音韻母對照表,$C36,K$2+1))</f>
        <v>ㄞ</v>
      </c>
    </row>
    <row r="37" spans="2:11" ht="30">
      <c r="B37" s="89">
        <v>32</v>
      </c>
      <c r="C37" s="89">
        <v>16</v>
      </c>
      <c r="D37" s="90" t="s">
        <v>306</v>
      </c>
      <c r="E37" s="90" t="s">
        <v>1990</v>
      </c>
      <c r="F37" s="104" t="str" cm="1">
        <f t="array" ref="F37" xml:space="preserve"> IF( $E37="舒聲",  INDEX(十五音韻母對照表,$C37,F$2),  INDEX(十五音韻母對照表,$C37,F$2+1))</f>
        <v>aih</v>
      </c>
      <c r="G37" s="104" t="str" cm="1">
        <f t="array" ref="G37" xml:space="preserve"> IF( $E37="舒聲",  INDEX(十五音韻母對照表,$C37,G$2),  INDEX(十五音韻母對照表,$C37,G$2+1))</f>
        <v>ai?</v>
      </c>
      <c r="H37" s="104" t="str" cm="1">
        <f t="array" ref="H37" xml:space="preserve"> IF( $E37="舒聲",  INDEX(十五音韻母對照表,$C37,H$2),  INDEX(十五音韻母對照表,$C37,H$2+1))</f>
        <v>aih</v>
      </c>
      <c r="I37" s="104" t="str" cm="1">
        <f t="array" ref="I37" xml:space="preserve"> IF( $E37="舒聲",  INDEX(十五音韻母對照表,$C37,I$2),  INDEX(十五音韻母對照表,$C37,I$2+1))</f>
        <v>aih</v>
      </c>
      <c r="J37" s="104" t="str" cm="1">
        <f t="array" ref="J37" xml:space="preserve"> IF( $E37="舒聲",  INDEX(十五音韻母對照表,$C37,J$2),  INDEX(十五音韻母對照表,$C37,J$2+1))</f>
        <v>aih</v>
      </c>
      <c r="K37" s="104" t="str" cm="1">
        <f t="array" ref="K37" xml:space="preserve"> IF( $E37="舒聲",  INDEX(十五音韻母對照表,$C37,K$2),  INDEX(十五音韻母對照表,$C37,K$2+1))</f>
        <v>ㄞㆷ</v>
      </c>
    </row>
    <row r="38" spans="2:11" ht="30">
      <c r="B38" s="89">
        <v>33</v>
      </c>
      <c r="C38" s="89">
        <v>17</v>
      </c>
      <c r="D38" s="90" t="s">
        <v>316</v>
      </c>
      <c r="E38" s="90" t="s">
        <v>1989</v>
      </c>
      <c r="F38" s="104" t="str" cm="1">
        <f t="array" ref="F38" xml:space="preserve"> IF( $E38="舒聲",  INDEX(十五音韻母對照表,$C38,F$2),  INDEX(十五音韻母對照表,$C38,F$2+1))</f>
        <v>in</v>
      </c>
      <c r="G38" s="104" t="str" cm="1">
        <f t="array" ref="G38" xml:space="preserve"> IF( $E38="舒聲",  INDEX(十五音韻母對照表,$C38,G$2),  INDEX(十五音韻母對照表,$C38,G$2+1))</f>
        <v>in</v>
      </c>
      <c r="H38" s="104" t="str" cm="1">
        <f t="array" ref="H38" xml:space="preserve"> IF( $E38="舒聲",  INDEX(十五音韻母對照表,$C38,H$2),  INDEX(十五音韻母對照表,$C38,H$2+1))</f>
        <v>in</v>
      </c>
      <c r="I38" s="104" t="str" cm="1">
        <f t="array" ref="I38" xml:space="preserve"> IF( $E38="舒聲",  INDEX(十五音韻母對照表,$C38,I$2),  INDEX(十五音韻母對照表,$C38,I$2+1))</f>
        <v>in</v>
      </c>
      <c r="J38" s="104" t="str" cm="1">
        <f t="array" ref="J38" xml:space="preserve"> IF( $E38="舒聲",  INDEX(十五音韻母對照表,$C38,J$2),  INDEX(十五音韻母對照表,$C38,J$2+1))</f>
        <v>in</v>
      </c>
      <c r="K38" s="104" t="str" cm="1">
        <f t="array" ref="K38" xml:space="preserve"> IF( $E38="舒聲",  INDEX(十五音韻母對照表,$C38,K$2),  INDEX(十五音韻母對照表,$C38,K$2+1))</f>
        <v>ㄧㄣ</v>
      </c>
    </row>
    <row r="39" spans="2:11" ht="30">
      <c r="B39" s="89">
        <v>34</v>
      </c>
      <c r="C39" s="89">
        <v>17</v>
      </c>
      <c r="D39" s="90" t="s">
        <v>316</v>
      </c>
      <c r="E39" s="90" t="s">
        <v>1990</v>
      </c>
      <c r="F39" s="104" t="str" cm="1">
        <f t="array" ref="F39" xml:space="preserve"> IF( $E39="舒聲",  INDEX(十五音韻母對照表,$C39,F$2),  INDEX(十五音韻母對照表,$C39,F$2+1))</f>
        <v>it</v>
      </c>
      <c r="G39" s="104" t="str" cm="1">
        <f t="array" ref="G39" xml:space="preserve"> IF( $E39="舒聲",  INDEX(十五音韻母對照表,$C39,G$2),  INDEX(十五音韻母對照表,$C39,G$2+1))</f>
        <v>it̚</v>
      </c>
      <c r="H39" s="104" t="str" cm="1">
        <f t="array" ref="H39" xml:space="preserve"> IF( $E39="舒聲",  INDEX(十五音韻母對照表,$C39,H$2),  INDEX(十五音韻母對照表,$C39,H$2+1))</f>
        <v>it</v>
      </c>
      <c r="I39" s="104" t="str" cm="1">
        <f t="array" ref="I39" xml:space="preserve"> IF( $E39="舒聲",  INDEX(十五音韻母對照表,$C39,I$2),  INDEX(十五音韻母對照表,$C39,I$2+1))</f>
        <v>it</v>
      </c>
      <c r="J39" s="104" t="str" cm="1">
        <f t="array" ref="J39" xml:space="preserve"> IF( $E39="舒聲",  INDEX(十五音韻母對照表,$C39,J$2),  INDEX(十五音韻母對照表,$C39,J$2+1))</f>
        <v>it</v>
      </c>
      <c r="K39" s="104" t="str" cm="1">
        <f t="array" ref="K39" xml:space="preserve"> IF( $E39="舒聲",  INDEX(十五音韻母對照表,$C39,K$2),  INDEX(十五音韻母對照表,$C39,K$2+1))</f>
        <v>ㄧㆵ</v>
      </c>
    </row>
    <row r="40" spans="2:11" ht="30">
      <c r="B40" s="89">
        <v>35</v>
      </c>
      <c r="C40" s="89">
        <v>18</v>
      </c>
      <c r="D40" s="90" t="s">
        <v>323</v>
      </c>
      <c r="E40" s="90" t="s">
        <v>1989</v>
      </c>
      <c r="F40" s="104" t="str" cm="1">
        <f t="array" ref="F40" xml:space="preserve"> IF( $E40="舒聲",  INDEX(十五音韻母對照表,$C40,F$2),  INDEX(十五音韻母對照表,$C40,F$2+1))</f>
        <v>iang</v>
      </c>
      <c r="G40" s="104" t="str" cm="1">
        <f t="array" ref="G40" xml:space="preserve"> IF( $E40="舒聲",  INDEX(十五音韻母對照表,$C40,G$2),  INDEX(十五音韻母對照表,$C40,G$2+1))</f>
        <v>iaŋ</v>
      </c>
      <c r="H40" s="104" t="str" cm="1">
        <f t="array" ref="H40" xml:space="preserve"> IF( $E40="舒聲",  INDEX(十五音韻母對照表,$C40,H$2),  INDEX(十五音韻母對照表,$C40,H$2+1))</f>
        <v>iang</v>
      </c>
      <c r="I40" s="104" t="str" cm="1">
        <f t="array" ref="I40" xml:space="preserve"> IF( $E40="舒聲",  INDEX(十五音韻母對照表,$C40,I$2),  INDEX(十五音韻母對照表,$C40,I$2+1))</f>
        <v>iang</v>
      </c>
      <c r="J40" s="104" t="str" cm="1">
        <f t="array" ref="J40" xml:space="preserve"> IF( $E40="舒聲",  INDEX(十五音韻母對照表,$C40,J$2),  INDEX(十五音韻母對照表,$C40,J$2+1))</f>
        <v>iang</v>
      </c>
      <c r="K40" s="104" t="str" cm="1">
        <f t="array" ref="K40" xml:space="preserve"> IF( $E40="舒聲",  INDEX(十五音韻母對照表,$C40,K$2),  INDEX(十五音韻母對照表,$C40,K$2+1))</f>
        <v>ㄧㄤ</v>
      </c>
    </row>
    <row r="41" spans="2:11" ht="30">
      <c r="B41" s="89">
        <v>36</v>
      </c>
      <c r="C41" s="89">
        <v>18</v>
      </c>
      <c r="D41" s="90" t="s">
        <v>323</v>
      </c>
      <c r="E41" s="90" t="s">
        <v>1990</v>
      </c>
      <c r="F41" s="104" t="str" cm="1">
        <f t="array" ref="F41" xml:space="preserve"> IF( $E41="舒聲",  INDEX(十五音韻母對照表,$C41,F$2),  INDEX(十五音韻母對照表,$C41,F$2+1))</f>
        <v>iak</v>
      </c>
      <c r="G41" s="104" t="str" cm="1">
        <f t="array" ref="G41" xml:space="preserve"> IF( $E41="舒聲",  INDEX(十五音韻母對照表,$C41,G$2),  INDEX(十五音韻母對照表,$C41,G$2+1))</f>
        <v>iak̚</v>
      </c>
      <c r="H41" s="104" t="str" cm="1">
        <f t="array" ref="H41" xml:space="preserve"> IF( $E41="舒聲",  INDEX(十五音韻母對照表,$C41,H$2),  INDEX(十五音韻母對照表,$C41,H$2+1))</f>
        <v>iak</v>
      </c>
      <c r="I41" s="104" t="str" cm="1">
        <f t="array" ref="I41" xml:space="preserve"> IF( $E41="舒聲",  INDEX(十五音韻母對照表,$C41,I$2),  INDEX(十五音韻母對照表,$C41,I$2+1))</f>
        <v>iak</v>
      </c>
      <c r="J41" s="104" t="str" cm="1">
        <f t="array" ref="J41" xml:space="preserve"> IF( $E41="舒聲",  INDEX(十五音韻母對照表,$C41,J$2),  INDEX(十五音韻母對照表,$C41,J$2+1))</f>
        <v>iak</v>
      </c>
      <c r="K41" s="104" t="str" cm="1">
        <f t="array" ref="K41" xml:space="preserve"> IF( $E41="舒聲",  INDEX(十五音韻母對照表,$C41,K$2),  INDEX(十五音韻母對照表,$C41,K$2+1))</f>
        <v>ㄧㄚㆻ</v>
      </c>
    </row>
    <row r="42" spans="2:11" ht="30">
      <c r="B42" s="89">
        <v>37</v>
      </c>
      <c r="C42" s="89">
        <v>19</v>
      </c>
      <c r="D42" s="90" t="s">
        <v>333</v>
      </c>
      <c r="E42" s="90" t="s">
        <v>1989</v>
      </c>
      <c r="F42" s="104" t="str" cm="1">
        <f t="array" ref="F42" xml:space="preserve"> IF( $E42="舒聲",  INDEX(十五音韻母對照表,$C42,F$2),  INDEX(十五音韻母對照表,$C42,F$2+1))</f>
        <v>am</v>
      </c>
      <c r="G42" s="104" t="str" cm="1">
        <f t="array" ref="G42" xml:space="preserve"> IF( $E42="舒聲",  INDEX(十五音韻母對照表,$C42,G$2),  INDEX(十五音韻母對照表,$C42,G$2+1))</f>
        <v>am</v>
      </c>
      <c r="H42" s="104" t="str" cm="1">
        <f t="array" ref="H42" xml:space="preserve"> IF( $E42="舒聲",  INDEX(十五音韻母對照表,$C42,H$2),  INDEX(十五音韻母對照表,$C42,H$2+1))</f>
        <v>am</v>
      </c>
      <c r="I42" s="104" t="str" cm="1">
        <f t="array" ref="I42" xml:space="preserve"> IF( $E42="舒聲",  INDEX(十五音韻母對照表,$C42,I$2),  INDEX(十五音韻母對照表,$C42,I$2+1))</f>
        <v>am</v>
      </c>
      <c r="J42" s="104" t="str" cm="1">
        <f t="array" ref="J42" xml:space="preserve"> IF( $E42="舒聲",  INDEX(十五音韻母對照表,$C42,J$2),  INDEX(十五音韻母對照表,$C42,J$2+1))</f>
        <v>am</v>
      </c>
      <c r="K42" s="104" t="str" cm="1">
        <f t="array" ref="K42" xml:space="preserve"> IF( $E42="舒聲",  INDEX(十五音韻母對照表,$C42,K$2),  INDEX(十五音韻母對照表,$C42,K$2+1))</f>
        <v>ㆰ</v>
      </c>
    </row>
    <row r="43" spans="2:11" ht="30">
      <c r="B43" s="89">
        <v>38</v>
      </c>
      <c r="C43" s="89">
        <v>19</v>
      </c>
      <c r="D43" s="90" t="s">
        <v>333</v>
      </c>
      <c r="E43" s="90" t="s">
        <v>1990</v>
      </c>
      <c r="F43" s="104" t="str" cm="1">
        <f t="array" ref="F43" xml:space="preserve"> IF( $E43="舒聲",  INDEX(十五音韻母對照表,$C43,F$2),  INDEX(十五音韻母對照表,$C43,F$2+1))</f>
        <v>ap</v>
      </c>
      <c r="G43" s="104" t="str" cm="1">
        <f t="array" ref="G43" xml:space="preserve"> IF( $E43="舒聲",  INDEX(十五音韻母對照表,$C43,G$2),  INDEX(十五音韻母對照表,$C43,G$2+1))</f>
        <v>ap̚</v>
      </c>
      <c r="H43" s="104" t="str" cm="1">
        <f t="array" ref="H43" xml:space="preserve"> IF( $E43="舒聲",  INDEX(十五音韻母對照表,$C43,H$2),  INDEX(十五音韻母對照表,$C43,H$2+1))</f>
        <v>ap</v>
      </c>
      <c r="I43" s="104" t="str" cm="1">
        <f t="array" ref="I43" xml:space="preserve"> IF( $E43="舒聲",  INDEX(十五音韻母對照表,$C43,I$2),  INDEX(十五音韻母對照表,$C43,I$2+1))</f>
        <v>ap</v>
      </c>
      <c r="J43" s="104" t="str" cm="1">
        <f t="array" ref="J43" xml:space="preserve"> IF( $E43="舒聲",  INDEX(十五音韻母對照表,$C43,J$2),  INDEX(十五音韻母對照表,$C43,J$2+1))</f>
        <v>ap</v>
      </c>
      <c r="K43" s="104" t="str" cm="1">
        <f t="array" ref="K43" xml:space="preserve"> IF( $E43="舒聲",  INDEX(十五音韻母對照表,$C43,K$2),  INDEX(十五音韻母對照表,$C43,K$2+1))</f>
        <v>ㄚㆴ</v>
      </c>
    </row>
    <row r="44" spans="2:11" ht="30">
      <c r="B44" s="89">
        <v>39</v>
      </c>
      <c r="C44" s="89">
        <v>20</v>
      </c>
      <c r="D44" s="90" t="s">
        <v>339</v>
      </c>
      <c r="E44" s="90" t="s">
        <v>1989</v>
      </c>
      <c r="F44" s="104" t="str" cm="1">
        <f t="array" ref="F44" xml:space="preserve"> IF( $E44="舒聲",  INDEX(十五音韻母對照表,$C44,F$2),  INDEX(十五音韻母對照表,$C44,F$2+1))</f>
        <v>ua</v>
      </c>
      <c r="G44" s="104" t="str" cm="1">
        <f t="array" ref="G44" xml:space="preserve"> IF( $E44="舒聲",  INDEX(十五音韻母對照表,$C44,G$2),  INDEX(十五音韻母對照表,$C44,G$2+1))</f>
        <v>ua</v>
      </c>
      <c r="H44" s="104" t="str" cm="1">
        <f t="array" ref="H44" xml:space="preserve"> IF( $E44="舒聲",  INDEX(十五音韻母對照表,$C44,H$2),  INDEX(十五音韻母對照表,$C44,H$2+1))</f>
        <v>oa</v>
      </c>
      <c r="I44" s="104" t="str" cm="1">
        <f t="array" ref="I44" xml:space="preserve"> IF( $E44="舒聲",  INDEX(十五音韻母對照表,$C44,I$2),  INDEX(十五音韻母對照表,$C44,I$2+1))</f>
        <v>ua</v>
      </c>
      <c r="J44" s="104" t="str" cm="1">
        <f t="array" ref="J44" xml:space="preserve"> IF( $E44="舒聲",  INDEX(十五音韻母對照表,$C44,J$2),  INDEX(十五音韻母對照表,$C44,J$2+1))</f>
        <v>ua</v>
      </c>
      <c r="K44" s="104" t="str" cm="1">
        <f t="array" ref="K44" xml:space="preserve"> IF( $E44="舒聲",  INDEX(十五音韻母對照表,$C44,K$2),  INDEX(十五音韻母對照表,$C44,K$2+1))</f>
        <v>ㄨㄚ</v>
      </c>
    </row>
    <row r="45" spans="2:11" ht="30">
      <c r="B45" s="89">
        <v>40</v>
      </c>
      <c r="C45" s="89">
        <v>20</v>
      </c>
      <c r="D45" s="90" t="s">
        <v>339</v>
      </c>
      <c r="E45" s="90" t="s">
        <v>1990</v>
      </c>
      <c r="F45" s="104" t="str" cm="1">
        <f t="array" ref="F45" xml:space="preserve"> IF( $E45="舒聲",  INDEX(十五音韻母對照表,$C45,F$2),  INDEX(十五音韻母對照表,$C45,F$2+1))</f>
        <v>uah</v>
      </c>
      <c r="G45" s="104" t="str" cm="1">
        <f t="array" ref="G45" xml:space="preserve"> IF( $E45="舒聲",  INDEX(十五音韻母對照表,$C45,G$2),  INDEX(十五音韻母對照表,$C45,G$2+1))</f>
        <v>ua?</v>
      </c>
      <c r="H45" s="104" t="str" cm="1">
        <f t="array" ref="H45" xml:space="preserve"> IF( $E45="舒聲",  INDEX(十五音韻母對照表,$C45,H$2),  INDEX(十五音韻母對照表,$C45,H$2+1))</f>
        <v>oah</v>
      </c>
      <c r="I45" s="104" t="str" cm="1">
        <f t="array" ref="I45" xml:space="preserve"> IF( $E45="舒聲",  INDEX(十五音韻母對照表,$C45,I$2),  INDEX(十五音韻母對照表,$C45,I$2+1))</f>
        <v>uah</v>
      </c>
      <c r="J45" s="104" t="str" cm="1">
        <f t="array" ref="J45" xml:space="preserve"> IF( $E45="舒聲",  INDEX(十五音韻母對照表,$C45,J$2),  INDEX(十五音韻母對照表,$C45,J$2+1))</f>
        <v>uah</v>
      </c>
      <c r="K45" s="104" t="str" cm="1">
        <f t="array" ref="K45" xml:space="preserve"> IF( $E45="舒聲",  INDEX(十五音韻母對照表,$C45,K$2),  INDEX(十五音韻母對照表,$C45,K$2+1))</f>
        <v>ㄨㄚㆷ</v>
      </c>
    </row>
    <row r="46" spans="2:11" ht="30">
      <c r="B46" s="89">
        <v>41</v>
      </c>
      <c r="C46" s="89">
        <v>21</v>
      </c>
      <c r="D46" s="90" t="s">
        <v>350</v>
      </c>
      <c r="E46" s="90" t="s">
        <v>1989</v>
      </c>
      <c r="F46" s="104" t="str" cm="1">
        <f t="array" ref="F46" xml:space="preserve"> IF( $E46="舒聲",  INDEX(十五音韻母對照表,$C46,F$2),  INDEX(十五音韻母對照表,$C46,F$2+1))</f>
        <v>ang</v>
      </c>
      <c r="G46" s="104" t="str" cm="1">
        <f t="array" ref="G46" xml:space="preserve"> IF( $E46="舒聲",  INDEX(十五音韻母對照表,$C46,G$2),  INDEX(十五音韻母對照表,$C46,G$2+1))</f>
        <v>aŋ</v>
      </c>
      <c r="H46" s="104" t="str" cm="1">
        <f t="array" ref="H46" xml:space="preserve"> IF( $E46="舒聲",  INDEX(十五音韻母對照表,$C46,H$2),  INDEX(十五音韻母對照表,$C46,H$2+1))</f>
        <v>ang</v>
      </c>
      <c r="I46" s="104" t="str" cm="1">
        <f t="array" ref="I46" xml:space="preserve"> IF( $E46="舒聲",  INDEX(十五音韻母對照表,$C46,I$2),  INDEX(十五音韻母對照表,$C46,I$2+1))</f>
        <v>ang</v>
      </c>
      <c r="J46" s="104" t="str" cm="1">
        <f t="array" ref="J46" xml:space="preserve"> IF( $E46="舒聲",  INDEX(十五音韻母對照表,$C46,J$2),  INDEX(十五音韻母對照表,$C46,J$2+1))</f>
        <v>ang</v>
      </c>
      <c r="K46" s="104" t="str" cm="1">
        <f t="array" ref="K46" xml:space="preserve"> IF( $E46="舒聲",  INDEX(十五音韻母對照表,$C46,K$2),  INDEX(十五音韻母對照表,$C46,K$2+1))</f>
        <v>ㄤ</v>
      </c>
    </row>
    <row r="47" spans="2:11" ht="30">
      <c r="B47" s="89">
        <v>42</v>
      </c>
      <c r="C47" s="89">
        <v>21</v>
      </c>
      <c r="D47" s="90" t="s">
        <v>350</v>
      </c>
      <c r="E47" s="90" t="s">
        <v>1990</v>
      </c>
      <c r="F47" s="104" t="str" cm="1">
        <f t="array" ref="F47" xml:space="preserve"> IF( $E47="舒聲",  INDEX(十五音韻母對照表,$C47,F$2),  INDEX(十五音韻母對照表,$C47,F$2+1))</f>
        <v>ak</v>
      </c>
      <c r="G47" s="104" t="str" cm="1">
        <f t="array" ref="G47" xml:space="preserve"> IF( $E47="舒聲",  INDEX(十五音韻母對照表,$C47,G$2),  INDEX(十五音韻母對照表,$C47,G$2+1))</f>
        <v>ak̚</v>
      </c>
      <c r="H47" s="104" t="str" cm="1">
        <f t="array" ref="H47" xml:space="preserve"> IF( $E47="舒聲",  INDEX(十五音韻母對照表,$C47,H$2),  INDEX(十五音韻母對照表,$C47,H$2+1))</f>
        <v>ak</v>
      </c>
      <c r="I47" s="104" t="str" cm="1">
        <f t="array" ref="I47" xml:space="preserve"> IF( $E47="舒聲",  INDEX(十五音韻母對照表,$C47,I$2),  INDEX(十五音韻母對照表,$C47,I$2+1))</f>
        <v>ak</v>
      </c>
      <c r="J47" s="104" t="str" cm="1">
        <f t="array" ref="J47" xml:space="preserve"> IF( $E47="舒聲",  INDEX(十五音韻母對照表,$C47,J$2),  INDEX(十五音韻母對照表,$C47,J$2+1))</f>
        <v>ak</v>
      </c>
      <c r="K47" s="104" t="str" cm="1">
        <f t="array" ref="K47" xml:space="preserve"> IF( $E47="舒聲",  INDEX(十五音韻母對照表,$C47,K$2),  INDEX(十五音韻母對照表,$C47,K$2+1))</f>
        <v>ㄚㆻ</v>
      </c>
    </row>
    <row r="48" spans="2:11" ht="30">
      <c r="B48" s="89">
        <v>43</v>
      </c>
      <c r="C48" s="89">
        <v>22</v>
      </c>
      <c r="D48" s="90" t="s">
        <v>358</v>
      </c>
      <c r="E48" s="90" t="s">
        <v>1989</v>
      </c>
      <c r="F48" s="104" t="str" cm="1">
        <f t="array" ref="F48" xml:space="preserve"> IF( $E48="舒聲",  INDEX(十五音韻母對照表,$C48,F$2),  INDEX(十五音韻母對照表,$C48,F$2+1))</f>
        <v>iam</v>
      </c>
      <c r="G48" s="104" t="str" cm="1">
        <f t="array" ref="G48" xml:space="preserve"> IF( $E48="舒聲",  INDEX(十五音韻母對照表,$C48,G$2),  INDEX(十五音韻母對照表,$C48,G$2+1))</f>
        <v>iam</v>
      </c>
      <c r="H48" s="104" t="str" cm="1">
        <f t="array" ref="H48" xml:space="preserve"> IF( $E48="舒聲",  INDEX(十五音韻母對照表,$C48,H$2),  INDEX(十五音韻母對照表,$C48,H$2+1))</f>
        <v>iam</v>
      </c>
      <c r="I48" s="104" t="str" cm="1">
        <f t="array" ref="I48" xml:space="preserve"> IF( $E48="舒聲",  INDEX(十五音韻母對照表,$C48,I$2),  INDEX(十五音韻母對照表,$C48,I$2+1))</f>
        <v>iam</v>
      </c>
      <c r="J48" s="104" t="str" cm="1">
        <f t="array" ref="J48" xml:space="preserve"> IF( $E48="舒聲",  INDEX(十五音韻母對照表,$C48,J$2),  INDEX(十五音韻母對照表,$C48,J$2+1))</f>
        <v>iam</v>
      </c>
      <c r="K48" s="104" t="str" cm="1">
        <f t="array" ref="K48" xml:space="preserve"> IF( $E48="舒聲",  INDEX(十五音韻母對照表,$C48,K$2),  INDEX(十五音韻母對照表,$C48,K$2+1))</f>
        <v>ㄧㆰ</v>
      </c>
    </row>
    <row r="49" spans="2:11" ht="30">
      <c r="B49" s="89">
        <v>44</v>
      </c>
      <c r="C49" s="89">
        <v>22</v>
      </c>
      <c r="D49" s="90" t="s">
        <v>358</v>
      </c>
      <c r="E49" s="90" t="s">
        <v>1990</v>
      </c>
      <c r="F49" s="104" t="str" cm="1">
        <f t="array" ref="F49" xml:space="preserve"> IF( $E49="舒聲",  INDEX(十五音韻母對照表,$C49,F$2),  INDEX(十五音韻母對照表,$C49,F$2+1))</f>
        <v>iap</v>
      </c>
      <c r="G49" s="104" t="str" cm="1">
        <f t="array" ref="G49" xml:space="preserve"> IF( $E49="舒聲",  INDEX(十五音韻母對照表,$C49,G$2),  INDEX(十五音韻母對照表,$C49,G$2+1))</f>
        <v>iap̚</v>
      </c>
      <c r="H49" s="104" t="str" cm="1">
        <f t="array" ref="H49" xml:space="preserve"> IF( $E49="舒聲",  INDEX(十五音韻母對照表,$C49,H$2),  INDEX(十五音韻母對照表,$C49,H$2+1))</f>
        <v>iap</v>
      </c>
      <c r="I49" s="104" t="str" cm="1">
        <f t="array" ref="I49" xml:space="preserve"> IF( $E49="舒聲",  INDEX(十五音韻母對照表,$C49,I$2),  INDEX(十五音韻母對照表,$C49,I$2+1))</f>
        <v>iap</v>
      </c>
      <c r="J49" s="104" t="str" cm="1">
        <f t="array" ref="J49" xml:space="preserve"> IF( $E49="舒聲",  INDEX(十五音韻母對照表,$C49,J$2),  INDEX(十五音韻母對照表,$C49,J$2+1))</f>
        <v>iap</v>
      </c>
      <c r="K49" s="104" t="str" cm="1">
        <f t="array" ref="K49" xml:space="preserve"> IF( $E49="舒聲",  INDEX(十五音韻母對照表,$C49,K$2),  INDEX(十五音韻母對照表,$C49,K$2+1))</f>
        <v>ㄧㄚㆴ</v>
      </c>
    </row>
    <row r="50" spans="2:11" ht="30">
      <c r="B50" s="89">
        <v>45</v>
      </c>
      <c r="C50" s="89">
        <v>23</v>
      </c>
      <c r="D50" s="90" t="s">
        <v>367</v>
      </c>
      <c r="E50" s="90" t="s">
        <v>1989</v>
      </c>
      <c r="F50" s="104" t="str" cm="1">
        <f t="array" ref="F50" xml:space="preserve"> IF( $E50="舒聲",  INDEX(十五音韻母對照表,$C50,F$2),  INDEX(十五音韻母對照表,$C50,F$2+1))</f>
        <v>au</v>
      </c>
      <c r="G50" s="104" t="str" cm="1">
        <f t="array" ref="G50" xml:space="preserve"> IF( $E50="舒聲",  INDEX(十五音韻母對照表,$C50,G$2),  INDEX(十五音韻母對照表,$C50,G$2+1))</f>
        <v>aʊ</v>
      </c>
      <c r="H50" s="104" t="str" cm="1">
        <f t="array" ref="H50" xml:space="preserve"> IF( $E50="舒聲",  INDEX(十五音韻母對照表,$C50,H$2),  INDEX(十五音韻母對照表,$C50,H$2+1))</f>
        <v>au</v>
      </c>
      <c r="I50" s="104" t="str" cm="1">
        <f t="array" ref="I50" xml:space="preserve"> IF( $E50="舒聲",  INDEX(十五音韻母對照表,$C50,I$2),  INDEX(十五音韻母對照表,$C50,I$2+1))</f>
        <v>au</v>
      </c>
      <c r="J50" s="104" t="str" cm="1">
        <f t="array" ref="J50" xml:space="preserve"> IF( $E50="舒聲",  INDEX(十五音韻母對照表,$C50,J$2),  INDEX(十五音韻母對照表,$C50,J$2+1))</f>
        <v>ao</v>
      </c>
      <c r="K50" s="104" t="str" cm="1">
        <f t="array" ref="K50" xml:space="preserve"> IF( $E50="舒聲",  INDEX(十五音韻母對照表,$C50,K$2),  INDEX(十五音韻母對照表,$C50,K$2+1))</f>
        <v>ㄠ</v>
      </c>
    </row>
    <row r="51" spans="2:11" ht="30">
      <c r="B51" s="89">
        <v>46</v>
      </c>
      <c r="C51" s="89">
        <v>23</v>
      </c>
      <c r="D51" s="90" t="s">
        <v>367</v>
      </c>
      <c r="E51" s="90" t="s">
        <v>1990</v>
      </c>
      <c r="F51" s="104" t="str" cm="1">
        <f t="array" ref="F51" xml:space="preserve"> IF( $E51="舒聲",  INDEX(十五音韻母對照表,$C51,F$2),  INDEX(十五音韻母對照表,$C51,F$2+1))</f>
        <v>auh</v>
      </c>
      <c r="G51" s="104" t="str" cm="1">
        <f t="array" ref="G51" xml:space="preserve"> IF( $E51="舒聲",  INDEX(十五音韻母對照表,$C51,G$2),  INDEX(十五音韻母對照表,$C51,G$2+1))</f>
        <v>au?</v>
      </c>
      <c r="H51" s="104" t="str" cm="1">
        <f t="array" ref="H51" xml:space="preserve"> IF( $E51="舒聲",  INDEX(十五音韻母對照表,$C51,H$2),  INDEX(十五音韻母對照表,$C51,H$2+1))</f>
        <v>auh</v>
      </c>
      <c r="I51" s="104" t="str" cm="1">
        <f t="array" ref="I51" xml:space="preserve"> IF( $E51="舒聲",  INDEX(十五音韻母對照表,$C51,I$2),  INDEX(十五音韻母對照表,$C51,I$2+1))</f>
        <v>auh</v>
      </c>
      <c r="J51" s="104" t="str" cm="1">
        <f t="array" ref="J51" xml:space="preserve"> IF( $E51="舒聲",  INDEX(十五音韻母對照表,$C51,J$2),  INDEX(十五音韻母對照表,$C51,J$2+1))</f>
        <v>aoh</v>
      </c>
      <c r="K51" s="104" t="str" cm="1">
        <f t="array" ref="K51" xml:space="preserve"> IF( $E51="舒聲",  INDEX(十五音韻母對照表,$C51,K$2),  INDEX(十五音韻母對照表,$C51,K$2+1))</f>
        <v>ㄠㆷ</v>
      </c>
    </row>
    <row r="52" spans="2:11" ht="30">
      <c r="B52" s="89">
        <v>47</v>
      </c>
      <c r="C52" s="89">
        <v>24</v>
      </c>
      <c r="D52" s="90" t="s">
        <v>378</v>
      </c>
      <c r="E52" s="90" t="s">
        <v>1989</v>
      </c>
      <c r="F52" s="104" t="str" cm="1">
        <f t="array" ref="F52" xml:space="preserve"> IF( $E52="舒聲",  INDEX(十五音韻母對照表,$C52,F$2),  INDEX(十五音韻母對照表,$C52,F$2+1))</f>
        <v>ia</v>
      </c>
      <c r="G52" s="104" t="str" cm="1">
        <f t="array" ref="G52" xml:space="preserve"> IF( $E52="舒聲",  INDEX(十五音韻母對照表,$C52,G$2),  INDEX(十五音韻母對照表,$C52,G$2+1))</f>
        <v>ia</v>
      </c>
      <c r="H52" s="104" t="str" cm="1">
        <f t="array" ref="H52" xml:space="preserve"> IF( $E52="舒聲",  INDEX(十五音韻母對照表,$C52,H$2),  INDEX(十五音韻母對照表,$C52,H$2+1))</f>
        <v>ia</v>
      </c>
      <c r="I52" s="104" t="str" cm="1">
        <f t="array" ref="I52" xml:space="preserve"> IF( $E52="舒聲",  INDEX(十五音韻母對照表,$C52,I$2),  INDEX(十五音韻母對照表,$C52,I$2+1))</f>
        <v>ia</v>
      </c>
      <c r="J52" s="104" t="str" cm="1">
        <f t="array" ref="J52" xml:space="preserve"> IF( $E52="舒聲",  INDEX(十五音韻母對照表,$C52,J$2),  INDEX(十五音韻母對照表,$C52,J$2+1))</f>
        <v>ia</v>
      </c>
      <c r="K52" s="104" t="str" cm="1">
        <f t="array" ref="K52" xml:space="preserve"> IF( $E52="舒聲",  INDEX(十五音韻母對照表,$C52,K$2),  INDEX(十五音韻母對照表,$C52,K$2+1))</f>
        <v>ㄧㄚ</v>
      </c>
    </row>
    <row r="53" spans="2:11" ht="30">
      <c r="B53" s="89">
        <v>48</v>
      </c>
      <c r="C53" s="89">
        <v>24</v>
      </c>
      <c r="D53" s="90" t="s">
        <v>378</v>
      </c>
      <c r="E53" s="90" t="s">
        <v>1990</v>
      </c>
      <c r="F53" s="104" t="str" cm="1">
        <f t="array" ref="F53" xml:space="preserve"> IF( $E53="舒聲",  INDEX(十五音韻母對照表,$C53,F$2),  INDEX(十五音韻母對照表,$C53,F$2+1))</f>
        <v>iah</v>
      </c>
      <c r="G53" s="104" t="str" cm="1">
        <f t="array" ref="G53" xml:space="preserve"> IF( $E53="舒聲",  INDEX(十五音韻母對照表,$C53,G$2),  INDEX(十五音韻母對照表,$C53,G$2+1))</f>
        <v>ia?</v>
      </c>
      <c r="H53" s="104" t="str" cm="1">
        <f t="array" ref="H53" xml:space="preserve"> IF( $E53="舒聲",  INDEX(十五音韻母對照表,$C53,H$2),  INDEX(十五音韻母對照表,$C53,H$2+1))</f>
        <v>iah</v>
      </c>
      <c r="I53" s="104" t="str" cm="1">
        <f t="array" ref="I53" xml:space="preserve"> IF( $E53="舒聲",  INDEX(十五音韻母對照表,$C53,I$2),  INDEX(十五音韻母對照表,$C53,I$2+1))</f>
        <v>iah</v>
      </c>
      <c r="J53" s="104" t="str" cm="1">
        <f t="array" ref="J53" xml:space="preserve"> IF( $E53="舒聲",  INDEX(十五音韻母對照表,$C53,J$2),  INDEX(十五音韻母對照表,$C53,J$2+1))</f>
        <v>iah</v>
      </c>
      <c r="K53" s="104" t="str" cm="1">
        <f t="array" ref="K53" xml:space="preserve"> IF( $E53="舒聲",  INDEX(十五音韻母對照表,$C53,K$2),  INDEX(十五音韻母對照表,$C53,K$2+1))</f>
        <v>ㄧㄚㆷ</v>
      </c>
    </row>
    <row r="54" spans="2:11" ht="30">
      <c r="B54" s="89">
        <v>49</v>
      </c>
      <c r="C54" s="89">
        <v>25</v>
      </c>
      <c r="D54" s="90" t="s">
        <v>388</v>
      </c>
      <c r="E54" s="90" t="s">
        <v>1989</v>
      </c>
      <c r="F54" s="104" t="str" cm="1">
        <f t="array" ref="F54" xml:space="preserve"> IF( $E54="舒聲",  INDEX(十五音韻母對照表,$C54,F$2),  INDEX(十五音韻母對照表,$C54,F$2+1))</f>
        <v>ue</v>
      </c>
      <c r="G54" s="104" t="str" cm="1">
        <f t="array" ref="G54" xml:space="preserve"> IF( $E54="舒聲",  INDEX(十五音韻母對照表,$C54,G$2),  INDEX(十五音韻母對照表,$C54,G$2+1))</f>
        <v>ue</v>
      </c>
      <c r="H54" s="104" t="str" cm="1">
        <f t="array" ref="H54" xml:space="preserve"> IF( $E54="舒聲",  INDEX(十五音韻母對照表,$C54,H$2),  INDEX(十五音韻母對照表,$C54,H$2+1))</f>
        <v>oe</v>
      </c>
      <c r="I54" s="104" t="str" cm="1">
        <f t="array" ref="I54" xml:space="preserve"> IF( $E54="舒聲",  INDEX(十五音韻母對照表,$C54,I$2),  INDEX(十五音韻母對照表,$C54,I$2+1))</f>
        <v>ue</v>
      </c>
      <c r="J54" s="104" t="str" cm="1">
        <f t="array" ref="J54" xml:space="preserve"> IF( $E54="舒聲",  INDEX(十五音韻母對照表,$C54,J$2),  INDEX(十五音韻母對照表,$C54,J$2+1))</f>
        <v>ue</v>
      </c>
      <c r="K54" s="104" t="str" cm="1">
        <f t="array" ref="K54" xml:space="preserve"> IF( $E54="舒聲",  INDEX(十五音韻母對照表,$C54,K$2),  INDEX(十五音韻母對照表,$C54,K$2+1))</f>
        <v>ㄨㆤ</v>
      </c>
    </row>
    <row r="55" spans="2:11" ht="30">
      <c r="B55" s="89">
        <v>50</v>
      </c>
      <c r="C55" s="89">
        <v>25</v>
      </c>
      <c r="D55" s="90" t="s">
        <v>388</v>
      </c>
      <c r="E55" s="90" t="s">
        <v>1990</v>
      </c>
      <c r="F55" s="104" t="str" cm="1">
        <f t="array" ref="F55" xml:space="preserve"> IF( $E55="舒聲",  INDEX(十五音韻母對照表,$C55,F$2),  INDEX(十五音韻母對照表,$C55,F$2+1))</f>
        <v>ueh</v>
      </c>
      <c r="G55" s="104" t="str" cm="1">
        <f t="array" ref="G55" xml:space="preserve"> IF( $E55="舒聲",  INDEX(十五音韻母對照表,$C55,G$2),  INDEX(十五音韻母對照表,$C55,G$2+1))</f>
        <v>ue?</v>
      </c>
      <c r="H55" s="104" t="str" cm="1">
        <f t="array" ref="H55" xml:space="preserve"> IF( $E55="舒聲",  INDEX(十五音韻母對照表,$C55,H$2),  INDEX(十五音韻母對照表,$C55,H$2+1))</f>
        <v>oeh</v>
      </c>
      <c r="I55" s="104" t="str" cm="1">
        <f t="array" ref="I55" xml:space="preserve"> IF( $E55="舒聲",  INDEX(十五音韻母對照表,$C55,I$2),  INDEX(十五音韻母對照表,$C55,I$2+1))</f>
        <v>ueh</v>
      </c>
      <c r="J55" s="104" t="str" cm="1">
        <f t="array" ref="J55" xml:space="preserve"> IF( $E55="舒聲",  INDEX(十五音韻母對照表,$C55,J$2),  INDEX(十五音韻母對照表,$C55,J$2+1))</f>
        <v>ueh</v>
      </c>
      <c r="K55" s="104" t="str" cm="1">
        <f t="array" ref="K55" xml:space="preserve"> IF( $E55="舒聲",  INDEX(十五音韻母對照表,$C55,K$2),  INDEX(十五音韻母對照表,$C55,K$2+1))</f>
        <v>ㄨㆤㆷ</v>
      </c>
    </row>
    <row r="56" spans="2:11" ht="30">
      <c r="B56" s="89">
        <v>51</v>
      </c>
      <c r="C56" s="89">
        <v>26</v>
      </c>
      <c r="D56" s="90" t="s">
        <v>399</v>
      </c>
      <c r="E56" s="90" t="s">
        <v>1989</v>
      </c>
      <c r="F56" s="104" t="str" cm="1">
        <f t="array" ref="F56" xml:space="preserve"> IF( $E56="舒聲",  INDEX(十五音韻母對照表,$C56,F$2),  INDEX(十五音韻母對照表,$C56,F$2+1))</f>
        <v>ann</v>
      </c>
      <c r="G56" s="104" t="str" cm="1">
        <f t="array" ref="G56" xml:space="preserve"> IF( $E56="舒聲",  INDEX(十五音韻母對照表,$C56,G$2),  INDEX(十五音韻母對照表,$C56,G$2+1))</f>
        <v>ã</v>
      </c>
      <c r="H56" s="104" t="str" cm="1">
        <f t="array" ref="H56" xml:space="preserve"> IF( $E56="舒聲",  INDEX(十五音韻母對照表,$C56,H$2),  INDEX(十五音韻母對照表,$C56,H$2+1))</f>
        <v>aⁿ</v>
      </c>
      <c r="I56" s="104" t="str" cm="1">
        <f t="array" ref="I56" xml:space="preserve"> IF( $E56="舒聲",  INDEX(十五音韻母對照表,$C56,I$2),  INDEX(十五音韻母對照表,$C56,I$2+1))</f>
        <v>ann</v>
      </c>
      <c r="J56" s="104" t="str" cm="1">
        <f t="array" ref="J56" xml:space="preserve"> IF( $E56="舒聲",  INDEX(十五音韻母對照表,$C56,J$2),  INDEX(十五音韻母對照表,$C56,J$2+1))</f>
        <v>na</v>
      </c>
      <c r="K56" s="104" t="str" cm="1">
        <f t="array" ref="K56" xml:space="preserve"> IF( $E56="舒聲",  INDEX(十五音韻母對照表,$C56,K$2),  INDEX(十五音韻母對照表,$C56,K$2+1))</f>
        <v>ㆩ</v>
      </c>
    </row>
    <row r="57" spans="2:11" ht="30">
      <c r="B57" s="89">
        <v>52</v>
      </c>
      <c r="C57" s="89">
        <v>26</v>
      </c>
      <c r="D57" s="90" t="s">
        <v>399</v>
      </c>
      <c r="E57" s="90" t="s">
        <v>1990</v>
      </c>
      <c r="F57" s="104" t="str" cm="1">
        <f t="array" ref="F57" xml:space="preserve"> IF( $E57="舒聲",  INDEX(十五音韻母對照表,$C57,F$2),  INDEX(十五音韻母對照表,$C57,F$2+1))</f>
        <v>annh</v>
      </c>
      <c r="G57" s="104" t="str" cm="1">
        <f t="array" ref="G57" xml:space="preserve"> IF( $E57="舒聲",  INDEX(十五音韻母對照表,$C57,G$2),  INDEX(十五音韻母對照表,$C57,G$2+1))</f>
        <v>ã?</v>
      </c>
      <c r="H57" s="104" t="str" cm="1">
        <f t="array" ref="H57" xml:space="preserve"> IF( $E57="舒聲",  INDEX(十五音韻母對照表,$C57,H$2),  INDEX(十五音韻母對照表,$C57,H$2+1))</f>
        <v>ahⁿ</v>
      </c>
      <c r="I57" s="104" t="str" cm="1">
        <f t="array" ref="I57" xml:space="preserve"> IF( $E57="舒聲",  INDEX(十五音韻母對照表,$C57,I$2),  INDEX(十五音韻母對照表,$C57,I$2+1))</f>
        <v>annh</v>
      </c>
      <c r="J57" s="104" t="str" cm="1">
        <f t="array" ref="J57" xml:space="preserve"> IF( $E57="舒聲",  INDEX(十五音韻母對照表,$C57,J$2),  INDEX(十五音韻母對照表,$C57,J$2+1))</f>
        <v>nah</v>
      </c>
      <c r="K57" s="104" t="str" cm="1">
        <f t="array" ref="K57" xml:space="preserve"> IF( $E57="舒聲",  INDEX(十五音韻母對照表,$C57,K$2),  INDEX(十五音韻母對照表,$C57,K$2+1))</f>
        <v>ㆩㆷ</v>
      </c>
    </row>
    <row r="58" spans="2:11" ht="30">
      <c r="B58" s="89">
        <v>53</v>
      </c>
      <c r="C58" s="89">
        <v>27</v>
      </c>
      <c r="D58" s="90" t="s">
        <v>414</v>
      </c>
      <c r="E58" s="90" t="s">
        <v>1989</v>
      </c>
      <c r="F58" s="104" t="str" cm="1">
        <f t="array" ref="F58" xml:space="preserve"> IF( $E58="舒聲",  INDEX(十五音韻母對照表,$C58,F$2),  INDEX(十五音韻母對照表,$C58,F$2+1))</f>
        <v>u</v>
      </c>
      <c r="G58" s="104" t="str" cm="1">
        <f t="array" ref="G58" xml:space="preserve"> IF( $E58="舒聲",  INDEX(十五音韻母對照表,$C58,G$2),  INDEX(十五音韻母對照表,$C58,G$2+1))</f>
        <v>u</v>
      </c>
      <c r="H58" s="104" t="str" cm="1">
        <f t="array" ref="H58" xml:space="preserve"> IF( $E58="舒聲",  INDEX(十五音韻母對照表,$C58,H$2),  INDEX(十五音韻母對照表,$C58,H$2+1))</f>
        <v>u</v>
      </c>
      <c r="I58" s="104" t="str" cm="1">
        <f t="array" ref="I58" xml:space="preserve"> IF( $E58="舒聲",  INDEX(十五音韻母對照表,$C58,I$2),  INDEX(十五音韻母對照表,$C58,I$2+1))</f>
        <v>u</v>
      </c>
      <c r="J58" s="104" t="str" cm="1">
        <f t="array" ref="J58" xml:space="preserve"> IF( $E58="舒聲",  INDEX(十五音韻母對照表,$C58,J$2),  INDEX(十五音韻母對照表,$C58,J$2+1))</f>
        <v>u</v>
      </c>
      <c r="K58" s="104" t="str" cm="1">
        <f t="array" ref="K58" xml:space="preserve"> IF( $E58="舒聲",  INDEX(十五音韻母對照表,$C58,K$2),  INDEX(十五音韻母對照表,$C58,K$2+1))</f>
        <v>ㄨ</v>
      </c>
    </row>
    <row r="59" spans="2:11" ht="30">
      <c r="B59" s="89">
        <v>54</v>
      </c>
      <c r="C59" s="89">
        <v>27</v>
      </c>
      <c r="D59" s="90" t="s">
        <v>414</v>
      </c>
      <c r="E59" s="90" t="s">
        <v>1990</v>
      </c>
      <c r="F59" s="104" t="str" cm="1">
        <f t="array" ref="F59" xml:space="preserve"> IF( $E59="舒聲",  INDEX(十五音韻母對照表,$C59,F$2),  INDEX(十五音韻母對照表,$C59,F$2+1))</f>
        <v>uh</v>
      </c>
      <c r="G59" s="104" t="str" cm="1">
        <f t="array" ref="G59" xml:space="preserve"> IF( $E59="舒聲",  INDEX(十五音韻母對照表,$C59,G$2),  INDEX(十五音韻母對照表,$C59,G$2+1))</f>
        <v>u?</v>
      </c>
      <c r="H59" s="104" t="str" cm="1">
        <f t="array" ref="H59" xml:space="preserve"> IF( $E59="舒聲",  INDEX(十五音韻母對照表,$C59,H$2),  INDEX(十五音韻母對照表,$C59,H$2+1))</f>
        <v>uh</v>
      </c>
      <c r="I59" s="104" t="str" cm="1">
        <f t="array" ref="I59" xml:space="preserve"> IF( $E59="舒聲",  INDEX(十五音韻母對照表,$C59,I$2),  INDEX(十五音韻母對照表,$C59,I$2+1))</f>
        <v>uh</v>
      </c>
      <c r="J59" s="104" t="str" cm="1">
        <f t="array" ref="J59" xml:space="preserve"> IF( $E59="舒聲",  INDEX(十五音韻母對照表,$C59,J$2),  INDEX(十五音韻母對照表,$C59,J$2+1))</f>
        <v>uh</v>
      </c>
      <c r="K59" s="104" t="str" cm="1">
        <f t="array" ref="K59" xml:space="preserve"> IF( $E59="舒聲",  INDEX(十五音韻母對照表,$C59,K$2),  INDEX(十五音韻母對照表,$C59,K$2+1))</f>
        <v>ㄨㆷ</v>
      </c>
    </row>
    <row r="60" spans="2:11" ht="30">
      <c r="B60" s="89">
        <v>55</v>
      </c>
      <c r="C60" s="89">
        <v>28</v>
      </c>
      <c r="D60" s="90" t="s">
        <v>398</v>
      </c>
      <c r="E60" s="90" t="s">
        <v>1989</v>
      </c>
      <c r="F60" s="104" t="str" cm="1">
        <f t="array" ref="F60" xml:space="preserve"> IF( $E60="舒聲",  INDEX(十五音韻母對照表,$C60,F$2),  INDEX(十五音韻母對照表,$C60,F$2+1))</f>
        <v>a</v>
      </c>
      <c r="G60" s="104" t="str" cm="1">
        <f t="array" ref="G60" xml:space="preserve"> IF( $E60="舒聲",  INDEX(十五音韻母對照表,$C60,G$2),  INDEX(十五音韻母對照表,$C60,G$2+1))</f>
        <v>a</v>
      </c>
      <c r="H60" s="104" t="str" cm="1">
        <f t="array" ref="H60" xml:space="preserve"> IF( $E60="舒聲",  INDEX(十五音韻母對照表,$C60,H$2),  INDEX(十五音韻母對照表,$C60,H$2+1))</f>
        <v>a</v>
      </c>
      <c r="I60" s="104" t="str" cm="1">
        <f t="array" ref="I60" xml:space="preserve"> IF( $E60="舒聲",  INDEX(十五音韻母對照表,$C60,I$2),  INDEX(十五音韻母對照表,$C60,I$2+1))</f>
        <v>a</v>
      </c>
      <c r="J60" s="104" t="str" cm="1">
        <f t="array" ref="J60" xml:space="preserve"> IF( $E60="舒聲",  INDEX(十五音韻母對照表,$C60,J$2),  INDEX(十五音韻母對照表,$C60,J$2+1))</f>
        <v>a</v>
      </c>
      <c r="K60" s="104" t="str" cm="1">
        <f t="array" ref="K60" xml:space="preserve"> IF( $E60="舒聲",  INDEX(十五音韻母對照表,$C60,K$2),  INDEX(十五音韻母對照表,$C60,K$2+1))</f>
        <v>ㄚ</v>
      </c>
    </row>
    <row r="61" spans="2:11" ht="30">
      <c r="B61" s="89">
        <v>56</v>
      </c>
      <c r="C61" s="89">
        <v>28</v>
      </c>
      <c r="D61" s="90" t="s">
        <v>398</v>
      </c>
      <c r="E61" s="90" t="s">
        <v>1990</v>
      </c>
      <c r="F61" s="104" t="str" cm="1">
        <f t="array" ref="F61" xml:space="preserve"> IF( $E61="舒聲",  INDEX(十五音韻母對照表,$C61,F$2),  INDEX(十五音韻母對照表,$C61,F$2+1))</f>
        <v>ah</v>
      </c>
      <c r="G61" s="104" t="str" cm="1">
        <f t="array" ref="G61" xml:space="preserve"> IF( $E61="舒聲",  INDEX(十五音韻母對照表,$C61,G$2),  INDEX(十五音韻母對照表,$C61,G$2+1))</f>
        <v>a?</v>
      </c>
      <c r="H61" s="104" t="str" cm="1">
        <f t="array" ref="H61" xml:space="preserve"> IF( $E61="舒聲",  INDEX(十五音韻母對照表,$C61,H$2),  INDEX(十五音韻母對照表,$C61,H$2+1))</f>
        <v>ah</v>
      </c>
      <c r="I61" s="104" t="str" cm="1">
        <f t="array" ref="I61" xml:space="preserve"> IF( $E61="舒聲",  INDEX(十五音韻母對照表,$C61,I$2),  INDEX(十五音韻母對照表,$C61,I$2+1))</f>
        <v>ah</v>
      </c>
      <c r="J61" s="104" t="str" cm="1">
        <f t="array" ref="J61" xml:space="preserve"> IF( $E61="舒聲",  INDEX(十五音韻母對照表,$C61,J$2),  INDEX(十五音韻母對照表,$C61,J$2+1))</f>
        <v>ah</v>
      </c>
      <c r="K61" s="104" t="str" cm="1">
        <f t="array" ref="K61" xml:space="preserve"> IF( $E61="舒聲",  INDEX(十五音韻母對照表,$C61,K$2),  INDEX(十五音韻母對照表,$C61,K$2+1))</f>
        <v>ㄚㆷ</v>
      </c>
    </row>
    <row r="62" spans="2:11" ht="30">
      <c r="B62" s="89">
        <v>57</v>
      </c>
      <c r="C62" s="89">
        <v>29</v>
      </c>
      <c r="D62" s="90" t="s">
        <v>431</v>
      </c>
      <c r="E62" s="90" t="s">
        <v>1989</v>
      </c>
      <c r="F62" s="104" t="str" cm="1">
        <f t="array" ref="F62" xml:space="preserve"> IF( $E62="舒聲",  INDEX(十五音韻母對照表,$C62,F$2),  INDEX(十五音韻母對照表,$C62,F$2+1))</f>
        <v>i</v>
      </c>
      <c r="G62" s="104" t="str" cm="1">
        <f t="array" ref="G62" xml:space="preserve"> IF( $E62="舒聲",  INDEX(十五音韻母對照表,$C62,G$2),  INDEX(十五音韻母對照表,$C62,G$2+1))</f>
        <v>i</v>
      </c>
      <c r="H62" s="104" t="str" cm="1">
        <f t="array" ref="H62" xml:space="preserve"> IF( $E62="舒聲",  INDEX(十五音韻母對照表,$C62,H$2),  INDEX(十五音韻母對照表,$C62,H$2+1))</f>
        <v>i</v>
      </c>
      <c r="I62" s="104" t="str" cm="1">
        <f t="array" ref="I62" xml:space="preserve"> IF( $E62="舒聲",  INDEX(十五音韻母對照表,$C62,I$2),  INDEX(十五音韻母對照表,$C62,I$2+1))</f>
        <v>i</v>
      </c>
      <c r="J62" s="104" t="str" cm="1">
        <f t="array" ref="J62" xml:space="preserve"> IF( $E62="舒聲",  INDEX(十五音韻母對照表,$C62,J$2),  INDEX(十五音韻母對照表,$C62,J$2+1))</f>
        <v>i</v>
      </c>
      <c r="K62" s="104" t="str" cm="1">
        <f t="array" ref="K62" xml:space="preserve"> IF( $E62="舒聲",  INDEX(十五音韻母對照表,$C62,K$2),  INDEX(十五音韻母對照表,$C62,K$2+1))</f>
        <v>ㄧ</v>
      </c>
    </row>
    <row r="63" spans="2:11" ht="30">
      <c r="B63" s="89">
        <v>58</v>
      </c>
      <c r="C63" s="89">
        <v>29</v>
      </c>
      <c r="D63" s="90" t="s">
        <v>431</v>
      </c>
      <c r="E63" s="90" t="s">
        <v>1990</v>
      </c>
      <c r="F63" s="104" t="str" cm="1">
        <f t="array" ref="F63" xml:space="preserve"> IF( $E63="舒聲",  INDEX(十五音韻母對照表,$C63,F$2),  INDEX(十五音韻母對照表,$C63,F$2+1))</f>
        <v>ih</v>
      </c>
      <c r="G63" s="104" t="str" cm="1">
        <f t="array" ref="G63" xml:space="preserve"> IF( $E63="舒聲",  INDEX(十五音韻母對照表,$C63,G$2),  INDEX(十五音韻母對照表,$C63,G$2+1))</f>
        <v>i?</v>
      </c>
      <c r="H63" s="104" t="str" cm="1">
        <f t="array" ref="H63" xml:space="preserve"> IF( $E63="舒聲",  INDEX(十五音韻母對照表,$C63,H$2),  INDEX(十五音韻母對照表,$C63,H$2+1))</f>
        <v>ih</v>
      </c>
      <c r="I63" s="104" t="str" cm="1">
        <f t="array" ref="I63" xml:space="preserve"> IF( $E63="舒聲",  INDEX(十五音韻母對照表,$C63,I$2),  INDEX(十五音韻母對照表,$C63,I$2+1))</f>
        <v>ih</v>
      </c>
      <c r="J63" s="104" t="str" cm="1">
        <f t="array" ref="J63" xml:space="preserve"> IF( $E63="舒聲",  INDEX(十五音韻母對照表,$C63,J$2),  INDEX(十五音韻母對照表,$C63,J$2+1))</f>
        <v>ih</v>
      </c>
      <c r="K63" s="104" t="str" cm="1">
        <f t="array" ref="K63" xml:space="preserve"> IF( $E63="舒聲",  INDEX(十五音韻母對照表,$C63,K$2),  INDEX(十五音韻母對照表,$C63,K$2+1))</f>
        <v>ㄧㆷ</v>
      </c>
    </row>
    <row r="64" spans="2:11" ht="30">
      <c r="B64" s="89">
        <v>59</v>
      </c>
      <c r="C64" s="89">
        <v>30</v>
      </c>
      <c r="D64" s="90" t="s">
        <v>438</v>
      </c>
      <c r="E64" s="90" t="s">
        <v>1989</v>
      </c>
      <c r="F64" s="104" t="str" cm="1">
        <f t="array" ref="F64" xml:space="preserve"> IF( $E64="舒聲",  INDEX(十五音韻母對照表,$C64,F$2),  INDEX(十五音韻母對照表,$C64,F$2+1))</f>
        <v>iu</v>
      </c>
      <c r="G64" s="104" t="str" cm="1">
        <f t="array" ref="G64" xml:space="preserve"> IF( $E64="舒聲",  INDEX(十五音韻母對照表,$C64,G$2),  INDEX(十五音韻母對照表,$C64,G$2+1))</f>
        <v>iu</v>
      </c>
      <c r="H64" s="104" t="str" cm="1">
        <f t="array" ref="H64" xml:space="preserve"> IF( $E64="舒聲",  INDEX(十五音韻母對照表,$C64,H$2),  INDEX(十五音韻母對照表,$C64,H$2+1))</f>
        <v>iu</v>
      </c>
      <c r="I64" s="104" t="str" cm="1">
        <f t="array" ref="I64" xml:space="preserve"> IF( $E64="舒聲",  INDEX(十五音韻母對照表,$C64,I$2),  INDEX(十五音韻母對照表,$C64,I$2+1))</f>
        <v>iu</v>
      </c>
      <c r="J64" s="104" t="str" cm="1">
        <f t="array" ref="J64" xml:space="preserve"> IF( $E64="舒聲",  INDEX(十五音韻母對照表,$C64,J$2),  INDEX(十五音韻母對照表,$C64,J$2+1))</f>
        <v>iu</v>
      </c>
      <c r="K64" s="104" t="str" cm="1">
        <f t="array" ref="K64" xml:space="preserve"> IF( $E64="舒聲",  INDEX(十五音韻母對照表,$C64,K$2),  INDEX(十五音韻母對照表,$C64,K$2+1))</f>
        <v>ㄧㄨ</v>
      </c>
    </row>
    <row r="65" spans="2:11" ht="30">
      <c r="B65" s="89">
        <v>60</v>
      </c>
      <c r="C65" s="89">
        <v>30</v>
      </c>
      <c r="D65" s="90" t="s">
        <v>438</v>
      </c>
      <c r="E65" s="90" t="s">
        <v>1990</v>
      </c>
      <c r="F65" s="104" t="str" cm="1">
        <f t="array" ref="F65" xml:space="preserve"> IF( $E65="舒聲",  INDEX(十五音韻母對照表,$C65,F$2),  INDEX(十五音韻母對照表,$C65,F$2+1))</f>
        <v>iuh</v>
      </c>
      <c r="G65" s="104" t="str" cm="1">
        <f t="array" ref="G65" xml:space="preserve"> IF( $E65="舒聲",  INDEX(十五音韻母對照表,$C65,G$2),  INDEX(十五音韻母對照表,$C65,G$2+1))</f>
        <v>iu?</v>
      </c>
      <c r="H65" s="104" t="str" cm="1">
        <f t="array" ref="H65" xml:space="preserve"> IF( $E65="舒聲",  INDEX(十五音韻母對照表,$C65,H$2),  INDEX(十五音韻母對照表,$C65,H$2+1))</f>
        <v>iuh</v>
      </c>
      <c r="I65" s="104" t="str" cm="1">
        <f t="array" ref="I65" xml:space="preserve"> IF( $E65="舒聲",  INDEX(十五音韻母對照表,$C65,I$2),  INDEX(十五音韻母對照表,$C65,I$2+1))</f>
        <v>iuh</v>
      </c>
      <c r="J65" s="104" t="str" cm="1">
        <f t="array" ref="J65" xml:space="preserve"> IF( $E65="舒聲",  INDEX(十五音韻母對照表,$C65,J$2),  INDEX(十五音韻母對照表,$C65,J$2+1))</f>
        <v>iuh</v>
      </c>
      <c r="K65" s="104" t="str" cm="1">
        <f t="array" ref="K65" xml:space="preserve"> IF( $E65="舒聲",  INDEX(十五音韻母對照表,$C65,K$2),  INDEX(十五音韻母對照表,$C65,K$2+1))</f>
        <v>ㄧㄨㆷ</v>
      </c>
    </row>
    <row r="66" spans="2:11" ht="30">
      <c r="B66" s="89">
        <v>61</v>
      </c>
      <c r="C66" s="89">
        <v>31</v>
      </c>
      <c r="D66" s="90" t="s">
        <v>448</v>
      </c>
      <c r="E66" s="90" t="s">
        <v>1989</v>
      </c>
      <c r="F66" s="104" t="str" cm="1">
        <f t="array" ref="F66" xml:space="preserve"> IF( $E66="舒聲",  INDEX(十五音韻母對照表,$C66,F$2),  INDEX(十五音韻母對照表,$C66,F$2+1))</f>
        <v>enn</v>
      </c>
      <c r="G66" s="104" t="str" cm="1">
        <f t="array" ref="G66" xml:space="preserve"> IF( $E66="舒聲",  INDEX(十五音韻母對照表,$C66,G$2),  INDEX(十五音韻母對照表,$C66,G$2+1))</f>
        <v>ẽ</v>
      </c>
      <c r="H66" s="104" t="str" cm="1">
        <f t="array" ref="H66" xml:space="preserve"> IF( $E66="舒聲",  INDEX(十五音韻母對照表,$C66,H$2),  INDEX(十五音韻母對照表,$C66,H$2+1))</f>
        <v>eⁿ</v>
      </c>
      <c r="I66" s="104" t="str" cm="1">
        <f t="array" ref="I66" xml:space="preserve"> IF( $E66="舒聲",  INDEX(十五音韻母對照表,$C66,I$2),  INDEX(十五音韻母對照表,$C66,I$2+1))</f>
        <v>enn</v>
      </c>
      <c r="J66" s="104" t="str" cm="1">
        <f t="array" ref="J66" xml:space="preserve"> IF( $E66="舒聲",  INDEX(十五音韻母對照表,$C66,J$2),  INDEX(十五音韻母對照表,$C66,J$2+1))</f>
        <v>ne</v>
      </c>
      <c r="K66" s="104" t="str" cm="1">
        <f t="array" ref="K66" xml:space="preserve"> IF( $E66="舒聲",  INDEX(十五音韻母對照表,$C66,K$2),  INDEX(十五音韻母對照表,$C66,K$2+1))</f>
        <v>ㆥ</v>
      </c>
    </row>
    <row r="67" spans="2:11" ht="30">
      <c r="B67" s="89">
        <v>62</v>
      </c>
      <c r="C67" s="89">
        <v>31</v>
      </c>
      <c r="D67" s="90" t="s">
        <v>448</v>
      </c>
      <c r="E67" s="90" t="s">
        <v>1990</v>
      </c>
      <c r="F67" s="104" t="str" cm="1">
        <f t="array" ref="F67" xml:space="preserve"> IF( $E67="舒聲",  INDEX(十五音韻母對照表,$C67,F$2),  INDEX(十五音韻母對照表,$C67,F$2+1))</f>
        <v>ennh</v>
      </c>
      <c r="G67" s="104" t="str" cm="1">
        <f t="array" ref="G67" xml:space="preserve"> IF( $E67="舒聲",  INDEX(十五音韻母對照表,$C67,G$2),  INDEX(十五音韻母對照表,$C67,G$2+1))</f>
        <v>ẽ?</v>
      </c>
      <c r="H67" s="104" t="str" cm="1">
        <f t="array" ref="H67" xml:space="preserve"> IF( $E67="舒聲",  INDEX(十五音韻母對照表,$C67,H$2),  INDEX(十五音韻母對照表,$C67,H$2+1))</f>
        <v>ehⁿ</v>
      </c>
      <c r="I67" s="104" t="str" cm="1">
        <f t="array" ref="I67" xml:space="preserve"> IF( $E67="舒聲",  INDEX(十五音韻母對照表,$C67,I$2),  INDEX(十五音韻母對照表,$C67,I$2+1))</f>
        <v>ennh</v>
      </c>
      <c r="J67" s="104" t="str" cm="1">
        <f t="array" ref="J67" xml:space="preserve"> IF( $E67="舒聲",  INDEX(十五音韻母對照表,$C67,J$2),  INDEX(十五音韻母對照表,$C67,J$2+1))</f>
        <v>neh</v>
      </c>
      <c r="K67" s="104" t="str" cm="1">
        <f t="array" ref="K67" xml:space="preserve"> IF( $E67="舒聲",  INDEX(十五音韻母對照表,$C67,K$2),  INDEX(十五音韻母對照表,$C67,K$2+1))</f>
        <v>ㆥㆷ</v>
      </c>
    </row>
    <row r="68" spans="2:11" ht="30">
      <c r="B68" s="89">
        <v>63</v>
      </c>
      <c r="C68" s="89">
        <v>32</v>
      </c>
      <c r="D68" s="90" t="s">
        <v>464</v>
      </c>
      <c r="E68" s="90" t="s">
        <v>1989</v>
      </c>
      <c r="F68" s="104" t="str" cm="1">
        <f t="array" ref="F68" xml:space="preserve"> IF( $E68="舒聲",  INDEX(十五音韻母對照表,$C68,F$2),  INDEX(十五音韻母對照表,$C68,F$2+1))</f>
        <v>uinn</v>
      </c>
      <c r="G68" s="104" t="str" cm="1">
        <f t="array" ref="G68" xml:space="preserve"> IF( $E68="舒聲",  INDEX(十五音韻母對照表,$C68,G$2),  INDEX(十五音韻母對照表,$C68,G$2+1))</f>
        <v>ũĩ</v>
      </c>
      <c r="H68" s="104" t="str" cm="1">
        <f t="array" ref="H68" xml:space="preserve"> IF( $E68="舒聲",  INDEX(十五音韻母對照表,$C68,H$2),  INDEX(十五音韻母對照表,$C68,H$2+1))</f>
        <v>uiⁿ</v>
      </c>
      <c r="I68" s="104" t="str" cm="1">
        <f t="array" ref="I68" xml:space="preserve"> IF( $E68="舒聲",  INDEX(十五音韻母對照表,$C68,I$2),  INDEX(十五音韻母對照表,$C68,I$2+1))</f>
        <v>uinn</v>
      </c>
      <c r="J68" s="104" t="str" cm="1">
        <f t="array" ref="J68" xml:space="preserve"> IF( $E68="舒聲",  INDEX(十五音韻母對照表,$C68,J$2),  INDEX(十五音韻母對照表,$C68,J$2+1))</f>
        <v>nui</v>
      </c>
      <c r="K68" s="104" t="str" cm="1">
        <f t="array" ref="K68" xml:space="preserve"> IF( $E68="舒聲",  INDEX(十五音韻母對照表,$C68,K$2),  INDEX(十五音韻母對照表,$C68,K$2+1))</f>
        <v>ㄨㆪ</v>
      </c>
    </row>
    <row r="69" spans="2:11" ht="30">
      <c r="B69" s="89">
        <v>64</v>
      </c>
      <c r="C69" s="89">
        <v>32</v>
      </c>
      <c r="D69" s="90" t="s">
        <v>464</v>
      </c>
      <c r="E69" s="90" t="s">
        <v>1990</v>
      </c>
      <c r="F69" s="104" t="str" cm="1">
        <f t="array" ref="F69" xml:space="preserve"> IF( $E69="舒聲",  INDEX(十五音韻母對照表,$C69,F$2),  INDEX(十五音韻母對照表,$C69,F$2+1))</f>
        <v>uinnh</v>
      </c>
      <c r="G69" s="104" t="str" cm="1">
        <f t="array" ref="G69" xml:space="preserve"> IF( $E69="舒聲",  INDEX(十五音韻母對照表,$C69,G$2),  INDEX(十五音韻母對照表,$C69,G$2+1))</f>
        <v>ũĩ?</v>
      </c>
      <c r="H69" s="104" t="str" cm="1">
        <f t="array" ref="H69" xml:space="preserve"> IF( $E69="舒聲",  INDEX(十五音韻母對照表,$C69,H$2),  INDEX(十五音韻母對照表,$C69,H$2+1))</f>
        <v>uihⁿ</v>
      </c>
      <c r="I69" s="104" t="str" cm="1">
        <f t="array" ref="I69" xml:space="preserve"> IF( $E69="舒聲",  INDEX(十五音韻母對照表,$C69,I$2),  INDEX(十五音韻母對照表,$C69,I$2+1))</f>
        <v>uinnh</v>
      </c>
      <c r="J69" s="104" t="str" cm="1">
        <f t="array" ref="J69" xml:space="preserve"> IF( $E69="舒聲",  INDEX(十五音韻母對照表,$C69,J$2),  INDEX(十五音韻母對照表,$C69,J$2+1))</f>
        <v>nuih</v>
      </c>
      <c r="K69" s="104" t="str" cm="1">
        <f t="array" ref="K69" xml:space="preserve"> IF( $E69="舒聲",  INDEX(十五音韻母對照表,$C69,K$2),  INDEX(十五音韻母對照表,$C69,K$2+1))</f>
        <v>ㄨㆪㆷ</v>
      </c>
    </row>
    <row r="70" spans="2:11" ht="30">
      <c r="B70" s="89">
        <v>65</v>
      </c>
      <c r="C70" s="89">
        <v>33</v>
      </c>
      <c r="D70" s="90" t="s">
        <v>479</v>
      </c>
      <c r="E70" s="90" t="s">
        <v>1989</v>
      </c>
      <c r="F70" s="104" t="str" cm="1">
        <f t="array" ref="F70" xml:space="preserve"> IF( $E70="舒聲",  INDEX(十五音韻母對照表,$C70,F$2),  INDEX(十五音韻母對照表,$C70,F$2+1))</f>
        <v>io</v>
      </c>
      <c r="G70" s="104" t="str" cm="1">
        <f t="array" ref="G70" xml:space="preserve"> IF( $E70="舒聲",  INDEX(十五音韻母對照表,$C70,G$2),  INDEX(十五音韻母對照表,$C70,G$2+1))</f>
        <v>io</v>
      </c>
      <c r="H70" s="104" t="str" cm="1">
        <f t="array" ref="H70" xml:space="preserve"> IF( $E70="舒聲",  INDEX(十五音韻母對照表,$C70,H$2),  INDEX(十五音韻母對照表,$C70,H$2+1))</f>
        <v>io</v>
      </c>
      <c r="I70" s="104" t="str" cm="1">
        <f t="array" ref="I70" xml:space="preserve"> IF( $E70="舒聲",  INDEX(十五音韻母對照表,$C70,I$2),  INDEX(十五音韻母對照表,$C70,I$2+1))</f>
        <v>io</v>
      </c>
      <c r="J70" s="104" t="str" cm="1">
        <f t="array" ref="J70" xml:space="preserve"> IF( $E70="舒聲",  INDEX(十五音韻母對照表,$C70,J$2),  INDEX(十五音韻母對照表,$C70,J$2+1))</f>
        <v>io</v>
      </c>
      <c r="K70" s="104" t="str" cm="1">
        <f t="array" ref="K70" xml:space="preserve"> IF( $E70="舒聲",  INDEX(十五音韻母對照表,$C70,K$2),  INDEX(十五音韻母對照表,$C70,K$2+1))</f>
        <v>ㄧㄜ</v>
      </c>
    </row>
    <row r="71" spans="2:11" ht="30">
      <c r="B71" s="89">
        <v>66</v>
      </c>
      <c r="C71" s="89">
        <v>33</v>
      </c>
      <c r="D71" s="90" t="s">
        <v>479</v>
      </c>
      <c r="E71" s="90" t="s">
        <v>1990</v>
      </c>
      <c r="F71" s="104" t="str" cm="1">
        <f t="array" ref="F71" xml:space="preserve"> IF( $E71="舒聲",  INDEX(十五音韻母對照表,$C71,F$2),  INDEX(十五音韻母對照表,$C71,F$2+1))</f>
        <v>ioh</v>
      </c>
      <c r="G71" s="104" t="str" cm="1">
        <f t="array" ref="G71" xml:space="preserve"> IF( $E71="舒聲",  INDEX(十五音韻母對照表,$C71,G$2),  INDEX(十五音韻母對照表,$C71,G$2+1))</f>
        <v>iə?</v>
      </c>
      <c r="H71" s="104" t="str" cm="1">
        <f t="array" ref="H71" xml:space="preserve"> IF( $E71="舒聲",  INDEX(十五音韻母對照表,$C71,H$2),  INDEX(十五音韻母對照表,$C71,H$2+1))</f>
        <v>ioh</v>
      </c>
      <c r="I71" s="104" t="str" cm="1">
        <f t="array" ref="I71" xml:space="preserve"> IF( $E71="舒聲",  INDEX(十五音韻母對照表,$C71,I$2),  INDEX(十五音韻母對照表,$C71,I$2+1))</f>
        <v>ioh</v>
      </c>
      <c r="J71" s="104" t="str" cm="1">
        <f t="array" ref="J71" xml:space="preserve"> IF( $E71="舒聲",  INDEX(十五音韻母對照表,$C71,J$2),  INDEX(十五音韻母對照表,$C71,J$2+1))</f>
        <v>ioh</v>
      </c>
      <c r="K71" s="104" t="str" cm="1">
        <f t="array" ref="K71" xml:space="preserve"> IF( $E71="舒聲",  INDEX(十五音韻母對照表,$C71,K$2),  INDEX(十五音韻母對照表,$C71,K$2+1))</f>
        <v>ㄧㄜㆷ</v>
      </c>
    </row>
    <row r="72" spans="2:11" ht="30">
      <c r="B72" s="89">
        <v>67</v>
      </c>
      <c r="C72" s="89">
        <v>34</v>
      </c>
      <c r="D72" s="90" t="s">
        <v>489</v>
      </c>
      <c r="E72" s="90" t="s">
        <v>1989</v>
      </c>
      <c r="F72" s="104" t="str" cm="1">
        <f t="array" ref="F72" xml:space="preserve"> IF( $E72="舒聲",  INDEX(十五音韻母對照表,$C72,F$2),  INDEX(十五音韻母對照表,$C72,F$2+1))</f>
        <v>inn</v>
      </c>
      <c r="G72" s="104" t="str" cm="1">
        <f t="array" ref="G72" xml:space="preserve"> IF( $E72="舒聲",  INDEX(十五音韻母對照表,$C72,G$2),  INDEX(十五音韻母對照表,$C72,G$2+1))</f>
        <v>ĩ</v>
      </c>
      <c r="H72" s="104" t="str" cm="1">
        <f t="array" ref="H72" xml:space="preserve"> IF( $E72="舒聲",  INDEX(十五音韻母對照表,$C72,H$2),  INDEX(十五音韻母對照表,$C72,H$2+1))</f>
        <v>iⁿ</v>
      </c>
      <c r="I72" s="104" t="str" cm="1">
        <f t="array" ref="I72" xml:space="preserve"> IF( $E72="舒聲",  INDEX(十五音韻母對照表,$C72,I$2),  INDEX(十五音韻母對照表,$C72,I$2+1))</f>
        <v>inn</v>
      </c>
      <c r="J72" s="104" t="str" cm="1">
        <f t="array" ref="J72" xml:space="preserve"> IF( $E72="舒聲",  INDEX(十五音韻母對照表,$C72,J$2),  INDEX(十五音韻母對照表,$C72,J$2+1))</f>
        <v>ni</v>
      </c>
      <c r="K72" s="104" t="str" cm="1">
        <f t="array" ref="K72" xml:space="preserve"> IF( $E72="舒聲",  INDEX(十五音韻母對照表,$C72,K$2),  INDEX(十五音韻母對照表,$C72,K$2+1))</f>
        <v>ㆪ</v>
      </c>
    </row>
    <row r="73" spans="2:11" ht="30">
      <c r="B73" s="89">
        <v>68</v>
      </c>
      <c r="C73" s="89">
        <v>34</v>
      </c>
      <c r="D73" s="90" t="s">
        <v>489</v>
      </c>
      <c r="E73" s="90" t="s">
        <v>1990</v>
      </c>
      <c r="F73" s="104" t="str" cm="1">
        <f t="array" ref="F73" xml:space="preserve"> IF( $E73="舒聲",  INDEX(十五音韻母對照表,$C73,F$2),  INDEX(十五音韻母對照表,$C73,F$2+1))</f>
        <v>innh</v>
      </c>
      <c r="G73" s="104" t="str" cm="1">
        <f t="array" ref="G73" xml:space="preserve"> IF( $E73="舒聲",  INDEX(十五音韻母對照表,$C73,G$2),  INDEX(十五音韻母對照表,$C73,G$2+1))</f>
        <v>ĩ?</v>
      </c>
      <c r="H73" s="104" t="str" cm="1">
        <f t="array" ref="H73" xml:space="preserve"> IF( $E73="舒聲",  INDEX(十五音韻母對照表,$C73,H$2),  INDEX(十五音韻母對照表,$C73,H$2+1))</f>
        <v>iⁿh</v>
      </c>
      <c r="I73" s="104" t="str" cm="1">
        <f t="array" ref="I73" xml:space="preserve"> IF( $E73="舒聲",  INDEX(十五音韻母對照表,$C73,I$2),  INDEX(十五音韻母對照表,$C73,I$2+1))</f>
        <v>innh</v>
      </c>
      <c r="J73" s="104" t="str" cm="1">
        <f t="array" ref="J73" xml:space="preserve"> IF( $E73="舒聲",  INDEX(十五音韻母對照表,$C73,J$2),  INDEX(十五音韻母對照表,$C73,J$2+1))</f>
        <v>nih</v>
      </c>
      <c r="K73" s="104" t="str" cm="1">
        <f t="array" ref="K73" xml:space="preserve"> IF( $E73="舒聲",  INDEX(十五音韻母對照表,$C73,K$2),  INDEX(十五音韻母對照表,$C73,K$2+1))</f>
        <v>ㆪ</v>
      </c>
    </row>
    <row r="74" spans="2:11" ht="30">
      <c r="B74" s="89">
        <v>69</v>
      </c>
      <c r="C74" s="89">
        <v>35</v>
      </c>
      <c r="D74" s="90" t="s">
        <v>1991</v>
      </c>
      <c r="E74" s="90" t="s">
        <v>1989</v>
      </c>
      <c r="F74" s="104" t="str" cm="1">
        <f t="array" ref="F74" xml:space="preserve"> IF( $E74="舒聲",  INDEX(十五音韻母對照表,$C74,F$2),  INDEX(十五音韻母對照表,$C74,F$2+1))</f>
        <v>ionn</v>
      </c>
      <c r="G74" s="104" t="str" cm="1">
        <f t="array" ref="G74" xml:space="preserve"> IF( $E74="舒聲",  INDEX(十五音韻母對照表,$C74,G$2),  INDEX(十五音韻母對照表,$C74,G$2+1))</f>
        <v>ĩɔ̃</v>
      </c>
      <c r="H74" s="104" t="str" cm="1">
        <f t="array" ref="H74" xml:space="preserve"> IF( $E74="舒聲",  INDEX(十五音韻母對照表,$C74,H$2),  INDEX(十五音韻母對照表,$C74,H$2+1))</f>
        <v>ioⁿ</v>
      </c>
      <c r="I74" s="104" t="str" cm="1">
        <f t="array" ref="I74" xml:space="preserve"> IF( $E74="舒聲",  INDEX(十五音韻母對照表,$C74,I$2),  INDEX(十五音韻母對照表,$C74,I$2+1))</f>
        <v>ionn</v>
      </c>
      <c r="J74" s="104" t="str" cm="1">
        <f t="array" ref="J74" xml:space="preserve"> IF( $E74="舒聲",  INDEX(十五音韻母對照表,$C74,J$2),  INDEX(十五音韻母對照表,$C74,J$2+1))</f>
        <v>nioo</v>
      </c>
      <c r="K74" s="104" t="str" cm="1">
        <f t="array" ref="K74" xml:space="preserve"> IF( $E74="舒聲",  INDEX(十五音韻母對照表,$C74,K$2),  INDEX(十五音韻母對照表,$C74,K$2+1))</f>
        <v>ㄧㆧ</v>
      </c>
    </row>
    <row r="75" spans="2:11" ht="30">
      <c r="B75" s="89">
        <v>70</v>
      </c>
      <c r="C75" s="89">
        <v>35</v>
      </c>
      <c r="D75" s="90" t="s">
        <v>1991</v>
      </c>
      <c r="E75" s="90" t="s">
        <v>1990</v>
      </c>
      <c r="F75" s="104" t="str" cm="1">
        <f t="array" ref="F75" xml:space="preserve"> IF( $E75="舒聲",  INDEX(十五音韻母對照表,$C75,F$2),  INDEX(十五音韻母對照表,$C75,F$2+1))</f>
        <v>ionnh</v>
      </c>
      <c r="G75" s="104" t="str" cm="1">
        <f t="array" ref="G75" xml:space="preserve"> IF( $E75="舒聲",  INDEX(十五音韻母對照表,$C75,G$2),  INDEX(十五音韻母對照表,$C75,G$2+1))</f>
        <v>ĩɔ̃?</v>
      </c>
      <c r="H75" s="104" t="str" cm="1">
        <f t="array" ref="H75" xml:space="preserve"> IF( $E75="舒聲",  INDEX(十五音韻母對照表,$C75,H$2),  INDEX(十五音韻母對照表,$C75,H$2+1))</f>
        <v>iohⁿ</v>
      </c>
      <c r="I75" s="104" t="str" cm="1">
        <f t="array" ref="I75" xml:space="preserve"> IF( $E75="舒聲",  INDEX(十五音韻母對照表,$C75,I$2),  INDEX(十五音韻母對照表,$C75,I$2+1))</f>
        <v>ionnh</v>
      </c>
      <c r="J75" s="104" t="str" cm="1">
        <f t="array" ref="J75" xml:space="preserve"> IF( $E75="舒聲",  INDEX(十五音韻母對照表,$C75,J$2),  INDEX(十五音韻母對照表,$C75,J$2+1))</f>
        <v>niooh</v>
      </c>
      <c r="K75" s="104" t="str" cm="1">
        <f t="array" ref="K75" xml:space="preserve"> IF( $E75="舒聲",  INDEX(十五音韻母對照表,$C75,K$2),  INDEX(十五音韻母對照表,$C75,K$2+1))</f>
        <v>ㄧㆧㆷ</v>
      </c>
    </row>
    <row r="76" spans="2:11" ht="30">
      <c r="B76" s="89">
        <v>71</v>
      </c>
      <c r="C76" s="89">
        <v>36</v>
      </c>
      <c r="D76" s="90" t="s">
        <v>518</v>
      </c>
      <c r="E76" s="90" t="s">
        <v>1989</v>
      </c>
      <c r="F76" s="104" t="str" cm="1">
        <f t="array" ref="F76" xml:space="preserve"> IF( $E76="舒聲",  INDEX(十五音韻母對照表,$C76,F$2),  INDEX(十五音韻母對照表,$C76,F$2+1))</f>
        <v>iann</v>
      </c>
      <c r="G76" s="104" t="str" cm="1">
        <f t="array" ref="G76" xml:space="preserve"> IF( $E76="舒聲",  INDEX(十五音韻母對照表,$C76,G$2),  INDEX(十五音韻母對照表,$C76,G$2+1))</f>
        <v>ĩã</v>
      </c>
      <c r="H76" s="104" t="str" cm="1">
        <f t="array" ref="H76" xml:space="preserve"> IF( $E76="舒聲",  INDEX(十五音韻母對照表,$C76,H$2),  INDEX(十五音韻母對照表,$C76,H$2+1))</f>
        <v>iaⁿ</v>
      </c>
      <c r="I76" s="104" t="str" cm="1">
        <f t="array" ref="I76" xml:space="preserve"> IF( $E76="舒聲",  INDEX(十五音韻母對照表,$C76,I$2),  INDEX(十五音韻母對照表,$C76,I$2+1))</f>
        <v>iann</v>
      </c>
      <c r="J76" s="104" t="str" cm="1">
        <f t="array" ref="J76" xml:space="preserve"> IF( $E76="舒聲",  INDEX(十五音韻母對照表,$C76,J$2),  INDEX(十五音韻母對照表,$C76,J$2+1))</f>
        <v>nia</v>
      </c>
      <c r="K76" s="104" t="str" cm="1">
        <f t="array" ref="K76" xml:space="preserve"> IF( $E76="舒聲",  INDEX(十五音韻母對照表,$C76,K$2),  INDEX(十五音韻母對照表,$C76,K$2+1))</f>
        <v>ㄧㆩ</v>
      </c>
    </row>
    <row r="77" spans="2:11" ht="30">
      <c r="B77" s="89">
        <v>72</v>
      </c>
      <c r="C77" s="89">
        <v>36</v>
      </c>
      <c r="D77" s="90" t="s">
        <v>518</v>
      </c>
      <c r="E77" s="90" t="s">
        <v>1990</v>
      </c>
      <c r="F77" s="104" t="str" cm="1">
        <f t="array" ref="F77" xml:space="preserve"> IF( $E77="舒聲",  INDEX(十五音韻母對照表,$C77,F$2),  INDEX(十五音韻母對照表,$C77,F$2+1))</f>
        <v>iannh</v>
      </c>
      <c r="G77" s="104" t="str" cm="1">
        <f t="array" ref="G77" xml:space="preserve"> IF( $E77="舒聲",  INDEX(十五音韻母對照表,$C77,G$2),  INDEX(十五音韻母對照表,$C77,G$2+1))</f>
        <v>iãh</v>
      </c>
      <c r="H77" s="104" t="str" cm="1">
        <f t="array" ref="H77" xml:space="preserve"> IF( $E77="舒聲",  INDEX(十五音韻母對照表,$C77,H$2),  INDEX(十五音韻母對照表,$C77,H$2+1))</f>
        <v>iahⁿ</v>
      </c>
      <c r="I77" s="104" t="str" cm="1">
        <f t="array" ref="I77" xml:space="preserve"> IF( $E77="舒聲",  INDEX(十五音韻母對照表,$C77,I$2),  INDEX(十五音韻母對照表,$C77,I$2+1))</f>
        <v>iannh</v>
      </c>
      <c r="J77" s="104" t="str" cm="1">
        <f t="array" ref="J77" xml:space="preserve"> IF( $E77="舒聲",  INDEX(十五音韻母對照表,$C77,J$2),  INDEX(十五音韻母對照表,$C77,J$2+1))</f>
        <v>niah</v>
      </c>
      <c r="K77" s="104" t="str" cm="1">
        <f t="array" ref="K77" xml:space="preserve"> IF( $E77="舒聲",  INDEX(十五音韻母對照表,$C77,K$2),  INDEX(十五音韻母對照表,$C77,K$2+1))</f>
        <v>ㄧㆩㆷ</v>
      </c>
    </row>
    <row r="78" spans="2:11" ht="30">
      <c r="B78" s="89">
        <v>73</v>
      </c>
      <c r="C78" s="89">
        <v>37</v>
      </c>
      <c r="D78" s="90" t="s">
        <v>463</v>
      </c>
      <c r="E78" s="90" t="s">
        <v>1989</v>
      </c>
      <c r="F78" s="104" t="str" cm="1">
        <f t="array" ref="F78" xml:space="preserve"> IF( $E78="舒聲",  INDEX(十五音韻母對照表,$C78,F$2),  INDEX(十五音韻母對照表,$C78,F$2+1))</f>
        <v>uann</v>
      </c>
      <c r="G78" s="104" t="str" cm="1">
        <f t="array" ref="G78" xml:space="preserve"> IF( $E78="舒聲",  INDEX(十五音韻母對照表,$C78,G$2),  INDEX(十五音韻母對照表,$C78,G$2+1))</f>
        <v>ũã</v>
      </c>
      <c r="H78" s="104" t="str" cm="1">
        <f t="array" ref="H78" xml:space="preserve"> IF( $E78="舒聲",  INDEX(十五音韻母對照表,$C78,H$2),  INDEX(十五音韻母對照表,$C78,H$2+1))</f>
        <v>oaⁿ</v>
      </c>
      <c r="I78" s="104" t="str" cm="1">
        <f t="array" ref="I78" xml:space="preserve"> IF( $E78="舒聲",  INDEX(十五音韻母對照表,$C78,I$2),  INDEX(十五音韻母對照表,$C78,I$2+1))</f>
        <v>uann</v>
      </c>
      <c r="J78" s="104" t="str" cm="1">
        <f t="array" ref="J78" xml:space="preserve"> IF( $E78="舒聲",  INDEX(十五音韻母對照表,$C78,J$2),  INDEX(十五音韻母對照表,$C78,J$2+1))</f>
        <v>nua</v>
      </c>
      <c r="K78" s="104" t="str" cm="1">
        <f t="array" ref="K78" xml:space="preserve"> IF( $E78="舒聲",  INDEX(十五音韻母對照表,$C78,K$2),  INDEX(十五音韻母對照表,$C78,K$2+1))</f>
        <v>ㄨㆩ</v>
      </c>
    </row>
    <row r="79" spans="2:11" ht="30">
      <c r="B79" s="89">
        <v>74</v>
      </c>
      <c r="C79" s="89">
        <v>37</v>
      </c>
      <c r="D79" s="90" t="s">
        <v>463</v>
      </c>
      <c r="E79" s="90" t="s">
        <v>1990</v>
      </c>
      <c r="F79" s="104" t="str" cm="1">
        <f t="array" ref="F79" xml:space="preserve"> IF( $E79="舒聲",  INDEX(十五音韻母對照表,$C79,F$2),  INDEX(十五音韻母對照表,$C79,F$2+1))</f>
        <v>uannh</v>
      </c>
      <c r="G79" s="104" t="str" cm="1">
        <f t="array" ref="G79" xml:space="preserve"> IF( $E79="舒聲",  INDEX(十五音韻母對照表,$C79,G$2),  INDEX(十五音韻母對照表,$C79,G$2+1))</f>
        <v>ũã?</v>
      </c>
      <c r="H79" s="104" t="str" cm="1">
        <f t="array" ref="H79" xml:space="preserve"> IF( $E79="舒聲",  INDEX(十五音韻母對照表,$C79,H$2),  INDEX(十五音韻母對照表,$C79,H$2+1))</f>
        <v>oahⁿ</v>
      </c>
      <c r="I79" s="104" t="str" cm="1">
        <f t="array" ref="I79" xml:space="preserve"> IF( $E79="舒聲",  INDEX(十五音韻母對照表,$C79,I$2),  INDEX(十五音韻母對照表,$C79,I$2+1))</f>
        <v>uannh</v>
      </c>
      <c r="J79" s="104" t="str" cm="1">
        <f t="array" ref="J79" xml:space="preserve"> IF( $E79="舒聲",  INDEX(十五音韻母對照表,$C79,J$2),  INDEX(十五音韻母對照表,$C79,J$2+1))</f>
        <v>nuah</v>
      </c>
      <c r="K79" s="104" t="str" cm="1">
        <f t="array" ref="K79" xml:space="preserve"> IF( $E79="舒聲",  INDEX(十五音韻母對照表,$C79,K$2),  INDEX(十五音韻母對照表,$C79,K$2+1))</f>
        <v>ㄨㆩㆷ</v>
      </c>
    </row>
    <row r="80" spans="2:11" ht="30">
      <c r="B80" s="89">
        <v>75</v>
      </c>
      <c r="C80" s="89">
        <v>38</v>
      </c>
      <c r="D80" s="90" t="s">
        <v>488</v>
      </c>
      <c r="E80" s="90" t="s">
        <v>1989</v>
      </c>
      <c r="F80" s="104" t="str" cm="1">
        <f t="array" ref="F80" xml:space="preserve"> IF( $E80="舒聲",  INDEX(十五音韻母對照表,$C80,F$2),  INDEX(十五音韻母對照表,$C80,F$2+1))</f>
        <v>ng</v>
      </c>
      <c r="G80" s="104" t="str" cm="1">
        <f t="array" ref="G80" xml:space="preserve"> IF( $E80="舒聲",  INDEX(十五音韻母對照表,$C80,G$2),  INDEX(十五音韻母對照表,$C80,G$2+1))</f>
        <v>ŋ̍</v>
      </c>
      <c r="H80" s="104" t="str" cm="1">
        <f t="array" ref="H80" xml:space="preserve"> IF( $E80="舒聲",  INDEX(十五音韻母對照表,$C80,H$2),  INDEX(十五音韻母對照表,$C80,H$2+1))</f>
        <v>ng</v>
      </c>
      <c r="I80" s="104" t="str" cm="1">
        <f t="array" ref="I80" xml:space="preserve"> IF( $E80="舒聲",  INDEX(十五音韻母對照表,$C80,I$2),  INDEX(十五音韻母對照表,$C80,I$2+1))</f>
        <v>ng</v>
      </c>
      <c r="J80" s="104" t="str" cm="1">
        <f t="array" ref="J80" xml:space="preserve"> IF( $E80="舒聲",  INDEX(十五音韻母對照表,$C80,J$2),  INDEX(十五音韻母對照表,$C80,J$2+1))</f>
        <v>ng</v>
      </c>
      <c r="K80" s="104" t="str" cm="1">
        <f t="array" ref="K80" xml:space="preserve"> IF( $E80="舒聲",  INDEX(十五音韻母對照表,$C80,K$2),  INDEX(十五音韻母對照表,$C80,K$2+1))</f>
        <v>ㆭ</v>
      </c>
    </row>
    <row r="81" spans="2:11" ht="30">
      <c r="B81" s="89">
        <v>76</v>
      </c>
      <c r="C81" s="89">
        <v>38</v>
      </c>
      <c r="D81" s="90" t="s">
        <v>488</v>
      </c>
      <c r="E81" s="90" t="s">
        <v>1990</v>
      </c>
      <c r="F81" s="104" t="str" cm="1">
        <f t="array" ref="F81" xml:space="preserve"> IF( $E81="舒聲",  INDEX(十五音韻母對照表,$C81,F$2),  INDEX(十五音韻母對照表,$C81,F$2+1))</f>
        <v>ngh</v>
      </c>
      <c r="G81" s="104" t="str" cm="1">
        <f t="array" ref="G81" xml:space="preserve"> IF( $E81="舒聲",  INDEX(十五音韻母對照表,$C81,G$2),  INDEX(十五音韻母對照表,$C81,G$2+1))</f>
        <v>ŋ̍h</v>
      </c>
      <c r="H81" s="104" t="str" cm="1">
        <f t="array" ref="H81" xml:space="preserve"> IF( $E81="舒聲",  INDEX(十五音韻母對照表,$C81,H$2),  INDEX(十五音韻母對照表,$C81,H$2+1))</f>
        <v>ngh</v>
      </c>
      <c r="I81" s="104" t="str" cm="1">
        <f t="array" ref="I81" xml:space="preserve"> IF( $E81="舒聲",  INDEX(十五音韻母對照表,$C81,I$2),  INDEX(十五音韻母對照表,$C81,I$2+1))</f>
        <v>ngh</v>
      </c>
      <c r="J81" s="104" t="str" cm="1">
        <f t="array" ref="J81" xml:space="preserve"> IF( $E81="舒聲",  INDEX(十五音韻母對照表,$C81,J$2),  INDEX(十五音韻母對照表,$C81,J$2+1))</f>
        <v>ngh</v>
      </c>
      <c r="K81" s="104" t="str" cm="1">
        <f t="array" ref="K81" xml:space="preserve"> IF( $E81="舒聲",  INDEX(十五音韻母對照表,$C81,K$2),  INDEX(十五音韻母對照表,$C81,K$2+1))</f>
        <v>ㆭㆷ</v>
      </c>
    </row>
    <row r="82" spans="2:11" ht="30">
      <c r="B82" s="89">
        <v>77</v>
      </c>
      <c r="C82" s="89">
        <v>39</v>
      </c>
      <c r="D82" s="90" t="s">
        <v>553</v>
      </c>
      <c r="E82" s="90" t="s">
        <v>1989</v>
      </c>
      <c r="F82" s="104" t="str" cm="1">
        <f t="array" ref="F82" xml:space="preserve"> IF( $E82="舒聲",  INDEX(十五音韻母對照表,$C82,F$2),  INDEX(十五音韻母對照表,$C82,F$2+1))</f>
        <v>e</v>
      </c>
      <c r="G82" s="104" t="str" cm="1">
        <f t="array" ref="G82" xml:space="preserve"> IF( $E82="舒聲",  INDEX(十五音韻母對照表,$C82,G$2),  INDEX(十五音韻母對照表,$C82,G$2+1))</f>
        <v>e</v>
      </c>
      <c r="H82" s="104" t="str" cm="1">
        <f t="array" ref="H82" xml:space="preserve"> IF( $E82="舒聲",  INDEX(十五音韻母對照表,$C82,H$2),  INDEX(十五音韻母對照表,$C82,H$2+1))</f>
        <v>e</v>
      </c>
      <c r="I82" s="104" t="str" cm="1">
        <f t="array" ref="I82" xml:space="preserve"> IF( $E82="舒聲",  INDEX(十五音韻母對照表,$C82,I$2),  INDEX(十五音韻母對照表,$C82,I$2+1))</f>
        <v>e</v>
      </c>
      <c r="J82" s="104" t="str" cm="1">
        <f t="array" ref="J82" xml:space="preserve"> IF( $E82="舒聲",  INDEX(十五音韻母對照表,$C82,J$2),  INDEX(十五音韻母對照表,$C82,J$2+1))</f>
        <v>e</v>
      </c>
      <c r="K82" s="104" t="str" cm="1">
        <f t="array" ref="K82" xml:space="preserve"> IF( $E82="舒聲",  INDEX(十五音韻母對照表,$C82,K$2),  INDEX(十五音韻母對照表,$C82,K$2+1))</f>
        <v>ㆤ</v>
      </c>
    </row>
    <row r="83" spans="2:11" ht="30">
      <c r="B83" s="89">
        <v>78</v>
      </c>
      <c r="C83" s="89">
        <v>39</v>
      </c>
      <c r="D83" s="90" t="s">
        <v>553</v>
      </c>
      <c r="E83" s="90" t="s">
        <v>1990</v>
      </c>
      <c r="F83" s="104" t="str" cm="1">
        <f t="array" ref="F83" xml:space="preserve"> IF( $E83="舒聲",  INDEX(十五音韻母對照表,$C83,F$2),  INDEX(十五音韻母對照表,$C83,F$2+1))</f>
        <v>eh</v>
      </c>
      <c r="G83" s="104" t="str" cm="1">
        <f t="array" ref="G83" xml:space="preserve"> IF( $E83="舒聲",  INDEX(十五音韻母對照表,$C83,G$2),  INDEX(十五音韻母對照表,$C83,G$2+1))</f>
        <v>e?</v>
      </c>
      <c r="H83" s="104" t="str" cm="1">
        <f t="array" ref="H83" xml:space="preserve"> IF( $E83="舒聲",  INDEX(十五音韻母對照表,$C83,H$2),  INDEX(十五音韻母對照表,$C83,H$2+1))</f>
        <v>eh</v>
      </c>
      <c r="I83" s="104" t="str" cm="1">
        <f t="array" ref="I83" xml:space="preserve"> IF( $E83="舒聲",  INDEX(十五音韻母對照表,$C83,I$2),  INDEX(十五音韻母對照表,$C83,I$2+1))</f>
        <v>eh</v>
      </c>
      <c r="J83" s="104" t="str" cm="1">
        <f t="array" ref="J83" xml:space="preserve"> IF( $E83="舒聲",  INDEX(十五音韻母對照表,$C83,J$2),  INDEX(十五音韻母對照表,$C83,J$2+1))</f>
        <v>eh</v>
      </c>
      <c r="K83" s="104" t="str" cm="1">
        <f t="array" ref="K83" xml:space="preserve"> IF( $E83="舒聲",  INDEX(十五音韻母對照表,$C83,K$2),  INDEX(十五音韻母對照表,$C83,K$2+1))</f>
        <v>ㆤㆷ</v>
      </c>
    </row>
    <row r="84" spans="2:11" ht="30">
      <c r="B84" s="89">
        <v>79</v>
      </c>
      <c r="C84" s="89">
        <v>40</v>
      </c>
      <c r="D84" s="90" t="s">
        <v>705</v>
      </c>
      <c r="E84" s="90" t="s">
        <v>1989</v>
      </c>
      <c r="F84" s="104" t="str" cm="1">
        <f t="array" ref="F84" xml:space="preserve"> IF( $E84="舒聲",  INDEX(十五音韻母對照表,$C84,F$2),  INDEX(十五音韻母對照表,$C84,F$2+1))</f>
        <v>ainn</v>
      </c>
      <c r="G84" s="104" t="str" cm="1">
        <f t="array" ref="G84" xml:space="preserve"> IF( $E84="舒聲",  INDEX(十五音韻母對照表,$C84,G$2),  INDEX(十五音韻母對照表,$C84,G$2+1))</f>
        <v>ãĩ</v>
      </c>
      <c r="H84" s="104" t="str" cm="1">
        <f t="array" ref="H84" xml:space="preserve"> IF( $E84="舒聲",  INDEX(十五音韻母對照表,$C84,H$2),  INDEX(十五音韻母對照表,$C84,H$2+1))</f>
        <v>aiⁿ</v>
      </c>
      <c r="I84" s="104" t="str" cm="1">
        <f t="array" ref="I84" xml:space="preserve"> IF( $E84="舒聲",  INDEX(十五音韻母對照表,$C84,I$2),  INDEX(十五音韻母對照表,$C84,I$2+1))</f>
        <v>ainn</v>
      </c>
      <c r="J84" s="104" t="str" cm="1">
        <f t="array" ref="J84" xml:space="preserve"> IF( $E84="舒聲",  INDEX(十五音韻母對照表,$C84,J$2),  INDEX(十五音韻母對照表,$C84,J$2+1))</f>
        <v>nai</v>
      </c>
      <c r="K84" s="104" t="str" cm="1">
        <f t="array" ref="K84" xml:space="preserve"> IF( $E84="舒聲",  INDEX(十五音韻母對照表,$C84,K$2),  INDEX(十五音韻母對照表,$C84,K$2+1))</f>
        <v>ㆮ</v>
      </c>
    </row>
    <row r="85" spans="2:11" ht="30">
      <c r="B85" s="89">
        <v>80</v>
      </c>
      <c r="C85" s="89">
        <v>40</v>
      </c>
      <c r="D85" s="90" t="s">
        <v>705</v>
      </c>
      <c r="E85" s="90" t="s">
        <v>1990</v>
      </c>
      <c r="F85" s="104" t="str" cm="1">
        <f t="array" ref="F85" xml:space="preserve"> IF( $E85="舒聲",  INDEX(十五音韻母對照表,$C85,F$2),  INDEX(十五音韻母對照表,$C85,F$2+1))</f>
        <v>ainnh</v>
      </c>
      <c r="G85" s="104" t="str" cm="1">
        <f t="array" ref="G85" xml:space="preserve"> IF( $E85="舒聲",  INDEX(十五音韻母對照表,$C85,G$2),  INDEX(十五音韻母對照表,$C85,G$2+1))</f>
        <v>ãĩ?</v>
      </c>
      <c r="H85" s="104" t="str" cm="1">
        <f t="array" ref="H85" xml:space="preserve"> IF( $E85="舒聲",  INDEX(十五音韻母對照表,$C85,H$2),  INDEX(十五音韻母對照表,$C85,H$2+1))</f>
        <v>aihⁿ</v>
      </c>
      <c r="I85" s="104" t="str" cm="1">
        <f t="array" ref="I85" xml:space="preserve"> IF( $E85="舒聲",  INDEX(十五音韻母對照表,$C85,I$2),  INDEX(十五音韻母對照表,$C85,I$2+1))</f>
        <v>ainnh</v>
      </c>
      <c r="J85" s="104" t="str" cm="1">
        <f t="array" ref="J85" xml:space="preserve"> IF( $E85="舒聲",  INDEX(十五音韻母對照表,$C85,J$2),  INDEX(十五音韻母對照表,$C85,J$2+1))</f>
        <v>naih</v>
      </c>
      <c r="K85" s="104" t="str" cm="1">
        <f t="array" ref="K85" xml:space="preserve"> IF( $E85="舒聲",  INDEX(十五音韻母對照表,$C85,K$2),  INDEX(十五音韻母對照表,$C85,K$2+1))</f>
        <v>ㆮㆷ</v>
      </c>
    </row>
    <row r="86" spans="2:11" ht="30">
      <c r="B86" s="89">
        <v>81</v>
      </c>
      <c r="C86" s="89">
        <v>41</v>
      </c>
      <c r="D86" s="90" t="s">
        <v>572</v>
      </c>
      <c r="E86" s="90" t="s">
        <v>1989</v>
      </c>
      <c r="F86" s="104" t="str" cm="1">
        <f t="array" ref="F86" xml:space="preserve"> IF( $E86="舒聲",  INDEX(十五音韻母對照表,$C86,F$2),  INDEX(十五音韻母對照表,$C86,F$2+1))</f>
        <v>onn</v>
      </c>
      <c r="G86" s="104" t="str" cm="1">
        <f t="array" ref="G86" xml:space="preserve"> IF( $E86="舒聲",  INDEX(十五音韻母對照表,$C86,G$2),  INDEX(十五音韻母對照表,$C86,G$2+1))</f>
        <v>ɔ̃</v>
      </c>
      <c r="H86" s="104" t="str" cm="1">
        <f t="array" ref="H86" xml:space="preserve"> IF( $E86="舒聲",  INDEX(十五音韻母對照表,$C86,H$2),  INDEX(十五音韻母對照表,$C86,H$2+1))</f>
        <v>oⁿ</v>
      </c>
      <c r="I86" s="104" t="str" cm="1">
        <f t="array" ref="I86" xml:space="preserve"> IF( $E86="舒聲",  INDEX(十五音韻母對照表,$C86,I$2),  INDEX(十五音韻母對照表,$C86,I$2+1))</f>
        <v>onn</v>
      </c>
      <c r="J86" s="104" t="str" cm="1">
        <f t="array" ref="J86" xml:space="preserve"> IF( $E86="舒聲",  INDEX(十五音韻母對照表,$C86,J$2),  INDEX(十五音韻母對照表,$C86,J$2+1))</f>
        <v>noo</v>
      </c>
      <c r="K86" s="104" t="str" cm="1">
        <f t="array" ref="K86" xml:space="preserve"> IF( $E86="舒聲",  INDEX(十五音韻母對照表,$C86,K$2),  INDEX(十五音韻母對照表,$C86,K$2+1))</f>
        <v>ㆧ</v>
      </c>
    </row>
    <row r="87" spans="2:11" ht="30">
      <c r="B87" s="89">
        <v>82</v>
      </c>
      <c r="C87" s="89">
        <v>41</v>
      </c>
      <c r="D87" s="90" t="s">
        <v>572</v>
      </c>
      <c r="E87" s="90" t="s">
        <v>1990</v>
      </c>
      <c r="F87" s="104" t="str" cm="1">
        <f t="array" ref="F87" xml:space="preserve"> IF( $E87="舒聲",  INDEX(十五音韻母對照表,$C87,F$2),  INDEX(十五音韻母對照表,$C87,F$2+1))</f>
        <v>onnh</v>
      </c>
      <c r="G87" s="104" t="str" cm="1">
        <f t="array" ref="G87" xml:space="preserve"> IF( $E87="舒聲",  INDEX(十五音韻母對照表,$C87,G$2),  INDEX(十五音韻母對照表,$C87,G$2+1))</f>
        <v>ɔ̃?</v>
      </c>
      <c r="H87" s="104" t="str" cm="1">
        <f t="array" ref="H87" xml:space="preserve"> IF( $E87="舒聲",  INDEX(十五音韻母對照表,$C87,H$2),  INDEX(十五音韻母對照表,$C87,H$2+1))</f>
        <v>ohⁿ</v>
      </c>
      <c r="I87" s="104" t="str" cm="1">
        <f t="array" ref="I87" xml:space="preserve"> IF( $E87="舒聲",  INDEX(十五音韻母對照表,$C87,I$2),  INDEX(十五音韻母對照表,$C87,I$2+1))</f>
        <v>onnh</v>
      </c>
      <c r="J87" s="104" t="str" cm="1">
        <f t="array" ref="J87" xml:space="preserve"> IF( $E87="舒聲",  INDEX(十五音韻母對照表,$C87,J$2),  INDEX(十五音韻母對照表,$C87,J$2+1))</f>
        <v>nooh</v>
      </c>
      <c r="K87" s="104" t="str" cm="1">
        <f t="array" ref="K87" xml:space="preserve"> IF( $E87="舒聲",  INDEX(十五音韻母對照表,$C87,K$2),  INDEX(十五音韻母對照表,$C87,K$2+1))</f>
        <v>ㆧㆷ</v>
      </c>
    </row>
    <row r="88" spans="2:11" ht="30">
      <c r="B88" s="89">
        <v>83</v>
      </c>
      <c r="C88" s="89">
        <v>42</v>
      </c>
      <c r="D88" s="90" t="s">
        <v>544</v>
      </c>
      <c r="E88" s="90" t="s">
        <v>1989</v>
      </c>
      <c r="F88" s="104" t="str" cm="1">
        <f t="array" ref="F88" xml:space="preserve"> IF( $E88="舒聲",  INDEX(十五音韻母對照表,$C88,F$2),  INDEX(十五音韻母對照表,$C88,F$2+1))</f>
        <v>m</v>
      </c>
      <c r="G88" s="104" t="str" cm="1">
        <f t="array" ref="G88" xml:space="preserve"> IF( $E88="舒聲",  INDEX(十五音韻母對照表,$C88,G$2),  INDEX(十五音韻母對照表,$C88,G$2+1))</f>
        <v>m̩</v>
      </c>
      <c r="H88" s="104" t="str" cm="1">
        <f t="array" ref="H88" xml:space="preserve"> IF( $E88="舒聲",  INDEX(十五音韻母對照表,$C88,H$2),  INDEX(十五音韻母對照表,$C88,H$2+1))</f>
        <v>m</v>
      </c>
      <c r="I88" s="104" t="str" cm="1">
        <f t="array" ref="I88" xml:space="preserve"> IF( $E88="舒聲",  INDEX(十五音韻母對照表,$C88,I$2),  INDEX(十五音韻母對照表,$C88,I$2+1))</f>
        <v>m</v>
      </c>
      <c r="J88" s="104" t="str" cm="1">
        <f t="array" ref="J88" xml:space="preserve"> IF( $E88="舒聲",  INDEX(十五音韻母對照表,$C88,J$2),  INDEX(十五音韻母對照表,$C88,J$2+1))</f>
        <v>m</v>
      </c>
      <c r="K88" s="104" t="str" cm="1">
        <f t="array" ref="K88" xml:space="preserve"> IF( $E88="舒聲",  INDEX(十五音韻母對照表,$C88,K$2),  INDEX(十五音韻母對照表,$C88,K$2+1))</f>
        <v>ㆬ</v>
      </c>
    </row>
    <row r="89" spans="2:11" ht="30">
      <c r="B89" s="89">
        <v>84</v>
      </c>
      <c r="C89" s="89">
        <v>42</v>
      </c>
      <c r="D89" s="90" t="s">
        <v>544</v>
      </c>
      <c r="E89" s="90" t="s">
        <v>1990</v>
      </c>
      <c r="F89" s="104" t="str" cm="1">
        <f t="array" ref="F89" xml:space="preserve"> IF( $E89="舒聲",  INDEX(十五音韻母對照表,$C89,F$2),  INDEX(十五音韻母對照表,$C89,F$2+1))</f>
        <v>mh</v>
      </c>
      <c r="G89" s="104" t="str" cm="1">
        <f t="array" ref="G89" xml:space="preserve"> IF( $E89="舒聲",  INDEX(十五音韻母對照表,$C89,G$2),  INDEX(十五音韻母對照表,$C89,G$2+1))</f>
        <v>m̩h</v>
      </c>
      <c r="H89" s="104" t="str" cm="1">
        <f t="array" ref="H89" xml:space="preserve"> IF( $E89="舒聲",  INDEX(十五音韻母對照表,$C89,H$2),  INDEX(十五音韻母對照表,$C89,H$2+1))</f>
        <v>mh</v>
      </c>
      <c r="I89" s="104" t="str" cm="1">
        <f t="array" ref="I89" xml:space="preserve"> IF( $E89="舒聲",  INDEX(十五音韻母對照表,$C89,I$2),  INDEX(十五音韻母對照表,$C89,I$2+1))</f>
        <v>mh</v>
      </c>
      <c r="J89" s="104" t="str" cm="1">
        <f t="array" ref="J89" xml:space="preserve"> IF( $E89="舒聲",  INDEX(十五音韻母對照表,$C89,J$2),  INDEX(十五音韻母對照表,$C89,J$2+1))</f>
        <v>mh</v>
      </c>
      <c r="K89" s="104" t="str" cm="1">
        <f t="array" ref="K89" xml:space="preserve"> IF( $E89="舒聲",  INDEX(十五音韻母對照表,$C89,K$2),  INDEX(十五音韻母對照表,$C89,K$2+1))</f>
        <v>ㆬㆷ</v>
      </c>
    </row>
    <row r="90" spans="2:11" ht="30">
      <c r="B90" s="89">
        <v>85</v>
      </c>
      <c r="C90" s="89">
        <v>43</v>
      </c>
      <c r="D90" s="90" t="s">
        <v>597</v>
      </c>
      <c r="E90" s="90" t="s">
        <v>1989</v>
      </c>
      <c r="F90" s="104" t="str" cm="1">
        <f t="array" ref="F90" xml:space="preserve"> IF( $E90="舒聲",  INDEX(十五音韻母對照表,$C90,F$2),  INDEX(十五音韻母對照表,$C90,F$2+1))</f>
        <v>uang</v>
      </c>
      <c r="G90" s="104" t="str" cm="1">
        <f t="array" ref="G90" xml:space="preserve"> IF( $E90="舒聲",  INDEX(十五音韻母對照表,$C90,G$2),  INDEX(十五音韻母對照表,$C90,G$2+1))</f>
        <v>uaŋ</v>
      </c>
      <c r="H90" s="104" t="str" cm="1">
        <f t="array" ref="H90" xml:space="preserve"> IF( $E90="舒聲",  INDEX(十五音韻母對照表,$C90,H$2),  INDEX(十五音韻母對照表,$C90,H$2+1))</f>
        <v>oang</v>
      </c>
      <c r="I90" s="104" t="str" cm="1">
        <f t="array" ref="I90" xml:space="preserve"> IF( $E90="舒聲",  INDEX(十五音韻母對照表,$C90,I$2),  INDEX(十五音韻母對照表,$C90,I$2+1))</f>
        <v>uang</v>
      </c>
      <c r="J90" s="104" t="str" cm="1">
        <f t="array" ref="J90" xml:space="preserve"> IF( $E90="舒聲",  INDEX(十五音韻母對照表,$C90,J$2),  INDEX(十五音韻母對照表,$C90,J$2+1))</f>
        <v>uang</v>
      </c>
      <c r="K90" s="104" t="str" cm="1">
        <f t="array" ref="K90" xml:space="preserve"> IF( $E90="舒聲",  INDEX(十五音韻母對照表,$C90,K$2),  INDEX(十五音韻母對照表,$C90,K$2+1))</f>
        <v>ㄨㄤ</v>
      </c>
    </row>
    <row r="91" spans="2:11" ht="30">
      <c r="B91" s="89">
        <v>86</v>
      </c>
      <c r="C91" s="89">
        <v>43</v>
      </c>
      <c r="D91" s="90" t="s">
        <v>597</v>
      </c>
      <c r="E91" s="90" t="s">
        <v>1990</v>
      </c>
      <c r="F91" s="104" t="str" cm="1">
        <f t="array" ref="F91" xml:space="preserve"> IF( $E91="舒聲",  INDEX(十五音韻母對照表,$C91,F$2),  INDEX(十五音韻母對照表,$C91,F$2+1))</f>
        <v>uak</v>
      </c>
      <c r="G91" s="104" t="str" cm="1">
        <f t="array" ref="G91" xml:space="preserve"> IF( $E91="舒聲",  INDEX(十五音韻母對照表,$C91,G$2),  INDEX(十五音韻母對照表,$C91,G$2+1))</f>
        <v>uak̚</v>
      </c>
      <c r="H91" s="104" t="str" cm="1">
        <f t="array" ref="H91" xml:space="preserve"> IF( $E91="舒聲",  INDEX(十五音韻母對照表,$C91,H$2),  INDEX(十五音韻母對照表,$C91,H$2+1))</f>
        <v>oak</v>
      </c>
      <c r="I91" s="104" t="str" cm="1">
        <f t="array" ref="I91" xml:space="preserve"> IF( $E91="舒聲",  INDEX(十五音韻母對照表,$C91,I$2),  INDEX(十五音韻母對照表,$C91,I$2+1))</f>
        <v>uak</v>
      </c>
      <c r="J91" s="104" t="str" cm="1">
        <f t="array" ref="J91" xml:space="preserve"> IF( $E91="舒聲",  INDEX(十五音韻母對照表,$C91,J$2),  INDEX(十五音韻母對照表,$C91,J$2+1))</f>
        <v>uak</v>
      </c>
      <c r="K91" s="104" t="str" cm="1">
        <f t="array" ref="K91" xml:space="preserve"> IF( $E91="舒聲",  INDEX(十五音韻母對照表,$C91,K$2),  INDEX(十五音韻母對照表,$C91,K$2+1))</f>
        <v>ㄨㄚㆻ</v>
      </c>
    </row>
    <row r="92" spans="2:11" ht="30">
      <c r="B92" s="89">
        <v>87</v>
      </c>
      <c r="C92" s="89">
        <v>44</v>
      </c>
      <c r="D92" s="90" t="s">
        <v>558</v>
      </c>
      <c r="E92" s="90" t="s">
        <v>1989</v>
      </c>
      <c r="F92" s="104" t="str" cm="1">
        <f t="array" ref="F92" xml:space="preserve"> IF( $E92="舒聲",  INDEX(十五音韻母對照表,$C92,F$2),  INDEX(十五音韻母對照表,$C92,F$2+1))</f>
        <v>uainn</v>
      </c>
      <c r="G92" s="104" t="str" cm="1">
        <f t="array" ref="G92" xml:space="preserve"> IF( $E92="舒聲",  INDEX(十五音韻母對照表,$C92,G$2),  INDEX(十五音韻母對照表,$C92,G$2+1))</f>
        <v>ũãĩ</v>
      </c>
      <c r="H92" s="104" t="str" cm="1">
        <f t="array" ref="H92" xml:space="preserve"> IF( $E92="舒聲",  INDEX(十五音韻母對照表,$C92,H$2),  INDEX(十五音韻母對照表,$C92,H$2+1))</f>
        <v>oaiⁿ</v>
      </c>
      <c r="I92" s="104" t="str" cm="1">
        <f t="array" ref="I92" xml:space="preserve"> IF( $E92="舒聲",  INDEX(十五音韻母對照表,$C92,I$2),  INDEX(十五音韻母對照表,$C92,I$2+1))</f>
        <v>uainn</v>
      </c>
      <c r="J92" s="104" t="str" cm="1">
        <f t="array" ref="J92" xml:space="preserve"> IF( $E92="舒聲",  INDEX(十五音韻母對照表,$C92,J$2),  INDEX(十五音韻母對照表,$C92,J$2+1))</f>
        <v>nuai</v>
      </c>
      <c r="K92" s="104" t="str" cm="1">
        <f t="array" ref="K92" xml:space="preserve"> IF( $E92="舒聲",  INDEX(十五音韻母對照表,$C92,K$2),  INDEX(十五音韻母對照表,$C92,K$2+1))</f>
        <v>ㄨㆮ</v>
      </c>
    </row>
    <row r="93" spans="2:11" ht="30">
      <c r="B93" s="89">
        <v>88</v>
      </c>
      <c r="C93" s="89">
        <v>44</v>
      </c>
      <c r="D93" s="90" t="s">
        <v>558</v>
      </c>
      <c r="E93" s="90" t="s">
        <v>1990</v>
      </c>
      <c r="F93" s="104" t="str" cm="1">
        <f t="array" ref="F93" xml:space="preserve"> IF( $E93="舒聲",  INDEX(十五音韻母對照表,$C93,F$2),  INDEX(十五音韻母對照表,$C93,F$2+1))</f>
        <v>uainnh</v>
      </c>
      <c r="G93" s="104" t="str" cm="1">
        <f t="array" ref="G93" xml:space="preserve"> IF( $E93="舒聲",  INDEX(十五音韻母對照表,$C93,G$2),  INDEX(十五音韻母對照表,$C93,G$2+1))</f>
        <v>uãĩ?</v>
      </c>
      <c r="H93" s="104" t="str" cm="1">
        <f t="array" ref="H93" xml:space="preserve"> IF( $E93="舒聲",  INDEX(十五音韻母對照表,$C93,H$2),  INDEX(十五音韻母對照表,$C93,H$2+1))</f>
        <v>oaiⁿh</v>
      </c>
      <c r="I93" s="104" t="str" cm="1">
        <f t="array" ref="I93" xml:space="preserve"> IF( $E93="舒聲",  INDEX(十五音韻母對照表,$C93,I$2),  INDEX(十五音韻母對照表,$C93,I$2+1))</f>
        <v>uainnh</v>
      </c>
      <c r="J93" s="104" t="str" cm="1">
        <f t="array" ref="J93" xml:space="preserve"> IF( $E93="舒聲",  INDEX(十五音韻母對照表,$C93,J$2),  INDEX(十五音韻母對照表,$C93,J$2+1))</f>
        <v>nuaih</v>
      </c>
      <c r="K93" s="104" t="str" cm="1">
        <f t="array" ref="K93" xml:space="preserve"> IF( $E93="舒聲",  INDEX(十五音韻母對照表,$C93,K$2),  INDEX(十五音韻母對照表,$C93,K$2+1))</f>
        <v>ㄨㆮㆷ</v>
      </c>
    </row>
    <row r="94" spans="2:11" ht="30">
      <c r="B94" s="89">
        <v>89</v>
      </c>
      <c r="C94" s="89">
        <v>45</v>
      </c>
      <c r="D94" s="90" t="s">
        <v>623</v>
      </c>
      <c r="E94" s="90" t="s">
        <v>1989</v>
      </c>
      <c r="F94" s="104" t="str" cm="1">
        <f t="array" ref="F94" xml:space="preserve"> IF( $E94="舒聲",  INDEX(十五音韻母對照表,$C94,F$2),  INDEX(十五音韻母對照表,$C94,F$2+1))</f>
        <v>uenn</v>
      </c>
      <c r="G94" s="104" t="str" cm="1">
        <f t="array" ref="G94" xml:space="preserve"> IF( $E94="舒聲",  INDEX(十五音韻母對照表,$C94,G$2),  INDEX(十五音韻母對照表,$C94,G$2+1))</f>
        <v>ũẽ</v>
      </c>
      <c r="H94" s="104" t="str" cm="1">
        <f t="array" ref="H94" xml:space="preserve"> IF( $E94="舒聲",  INDEX(十五音韻母對照表,$C94,H$2),  INDEX(十五音韻母對照表,$C94,H$2+1))</f>
        <v>oeⁿ</v>
      </c>
      <c r="I94" s="104" t="str" cm="1">
        <f t="array" ref="I94" xml:space="preserve"> IF( $E94="舒聲",  INDEX(十五音韻母對照表,$C94,I$2),  INDEX(十五音韻母對照表,$C94,I$2+1))</f>
        <v>uenn</v>
      </c>
      <c r="J94" s="104" t="str" cm="1">
        <f t="array" ref="J94" xml:space="preserve"> IF( $E94="舒聲",  INDEX(十五音韻母對照表,$C94,J$2),  INDEX(十五音韻母對照表,$C94,J$2+1))</f>
        <v>nue</v>
      </c>
      <c r="K94" s="104" t="str" cm="1">
        <f t="array" ref="K94" xml:space="preserve"> IF( $E94="舒聲",  INDEX(十五音韻母對照表,$C94,K$2),  INDEX(十五音韻母對照表,$C94,K$2+1))</f>
        <v>ㄨㆥ</v>
      </c>
    </row>
    <row r="95" spans="2:11" ht="30">
      <c r="B95" s="89">
        <v>90</v>
      </c>
      <c r="C95" s="89">
        <v>45</v>
      </c>
      <c r="D95" s="90" t="s">
        <v>623</v>
      </c>
      <c r="E95" s="90" t="s">
        <v>1990</v>
      </c>
      <c r="F95" s="104" t="str" cm="1">
        <f t="array" ref="F95" xml:space="preserve"> IF( $E95="舒聲",  INDEX(十五音韻母對照表,$C95,F$2),  INDEX(十五音韻母對照表,$C95,F$2+1))</f>
        <v>uennh</v>
      </c>
      <c r="G95" s="104" t="str" cm="1">
        <f t="array" ref="G95" xml:space="preserve"> IF( $E95="舒聲",  INDEX(十五音韻母對照表,$C95,G$2),  INDEX(十五音韻母對照表,$C95,G$2+1))</f>
        <v>ũẽ?</v>
      </c>
      <c r="H95" s="104" t="str" cm="1">
        <f t="array" ref="H95" xml:space="preserve"> IF( $E95="舒聲",  INDEX(十五音韻母對照表,$C95,H$2),  INDEX(十五音韻母對照表,$C95,H$2+1))</f>
        <v>oehⁿ</v>
      </c>
      <c r="I95" s="104" t="str" cm="1">
        <f t="array" ref="I95" xml:space="preserve"> IF( $E95="舒聲",  INDEX(十五音韻母對照表,$C95,I$2),  INDEX(十五音韻母對照表,$C95,I$2+1))</f>
        <v>uennh</v>
      </c>
      <c r="J95" s="104" t="str" cm="1">
        <f t="array" ref="J95" xml:space="preserve"> IF( $E95="舒聲",  INDEX(十五音韻母對照表,$C95,J$2),  INDEX(十五音韻母對照表,$C95,J$2+1))</f>
        <v>nueh</v>
      </c>
      <c r="K95" s="104" t="str" cm="1">
        <f t="array" ref="K95" xml:space="preserve"> IF( $E95="舒聲",  INDEX(十五音韻母對照表,$C95,K$2),  INDEX(十五音韻母對照表,$C95,K$2+1))</f>
        <v>ㄨㆥㆷ</v>
      </c>
    </row>
    <row r="96" spans="2:11" ht="30">
      <c r="B96" s="89">
        <v>91</v>
      </c>
      <c r="C96" s="89">
        <v>46</v>
      </c>
      <c r="D96" s="90" t="s">
        <v>636</v>
      </c>
      <c r="E96" s="90" t="s">
        <v>1989</v>
      </c>
      <c r="F96" s="104" t="str" cm="1">
        <f t="array" ref="F96" xml:space="preserve"> IF( $E96="舒聲",  INDEX(十五音韻母對照表,$C96,F$2),  INDEX(十五音韻母對照表,$C96,F$2+1))</f>
        <v>iaunn</v>
      </c>
      <c r="G96" s="104" t="str" cm="1">
        <f t="array" ref="G96" xml:space="preserve"> IF( $E96="舒聲",  INDEX(十五音韻母對照表,$C96,G$2),  INDEX(十五音韻母對照表,$C96,G$2+1))</f>
        <v>ĩãũ</v>
      </c>
      <c r="H96" s="104" t="str" cm="1">
        <f t="array" ref="H96" xml:space="preserve"> IF( $E96="舒聲",  INDEX(十五音韻母對照表,$C96,H$2),  INDEX(十五音韻母對照表,$C96,H$2+1))</f>
        <v>iauⁿ</v>
      </c>
      <c r="I96" s="104" t="str" cm="1">
        <f t="array" ref="I96" xml:space="preserve"> IF( $E96="舒聲",  INDEX(十五音韻母對照表,$C96,I$2),  INDEX(十五音韻母對照表,$C96,I$2+1))</f>
        <v>iaunn</v>
      </c>
      <c r="J96" s="104" t="str" cm="1">
        <f t="array" ref="J96" xml:space="preserve"> IF( $E96="舒聲",  INDEX(十五音韻母對照表,$C96,J$2),  INDEX(十五音韻母對照表,$C96,J$2+1))</f>
        <v>niao</v>
      </c>
      <c r="K96" s="104" t="str" cm="1">
        <f t="array" ref="K96" xml:space="preserve"> IF( $E96="舒聲",  INDEX(十五音韻母對照表,$C96,K$2),  INDEX(十五音韻母對照表,$C96,K$2+1))</f>
        <v>ㄧㆯ</v>
      </c>
    </row>
    <row r="97" spans="2:11" ht="30">
      <c r="B97" s="89">
        <v>92</v>
      </c>
      <c r="C97" s="89">
        <v>46</v>
      </c>
      <c r="D97" s="90" t="s">
        <v>636</v>
      </c>
      <c r="E97" s="90" t="s">
        <v>1990</v>
      </c>
      <c r="F97" s="104" t="str" cm="1">
        <f t="array" ref="F97" xml:space="preserve"> IF( $E97="舒聲",  INDEX(十五音韻母對照表,$C97,F$2),  INDEX(十五音韻母對照表,$C97,F$2+1))</f>
        <v>iaunnh</v>
      </c>
      <c r="G97" s="104" t="str" cm="1">
        <f t="array" ref="G97" xml:space="preserve"> IF( $E97="舒聲",  INDEX(十五音韻母對照表,$C97,G$2),  INDEX(十五音韻母對照表,$C97,G$2+1))</f>
        <v>ĩãũ?</v>
      </c>
      <c r="H97" s="104" t="str" cm="1">
        <f t="array" ref="H97" xml:space="preserve"> IF( $E97="舒聲",  INDEX(十五音韻母對照表,$C97,H$2),  INDEX(十五音韻母對照表,$C97,H$2+1))</f>
        <v>iauⁿh</v>
      </c>
      <c r="I97" s="104" t="str" cm="1">
        <f t="array" ref="I97" xml:space="preserve"> IF( $E97="舒聲",  INDEX(十五音韻母對照表,$C97,I$2),  INDEX(十五音韻母對照表,$C97,I$2+1))</f>
        <v>iaunnh</v>
      </c>
      <c r="J97" s="104" t="str" cm="1">
        <f t="array" ref="J97" xml:space="preserve"> IF( $E97="舒聲",  INDEX(十五音韻母對照表,$C97,J$2),  INDEX(十五音韻母對照表,$C97,J$2+1))</f>
        <v>niaoh</v>
      </c>
      <c r="K97" s="104" t="str" cm="1">
        <f t="array" ref="K97" xml:space="preserve"> IF( $E97="舒聲",  INDEX(十五音韻母對照表,$C97,K$2),  INDEX(十五音韻母對照表,$C97,K$2+1))</f>
        <v>ㄧㆯㆷ</v>
      </c>
    </row>
    <row r="98" spans="2:11" ht="30">
      <c r="B98" s="89">
        <v>93</v>
      </c>
      <c r="C98" s="89">
        <v>47</v>
      </c>
      <c r="D98" s="90" t="s">
        <v>721</v>
      </c>
      <c r="E98" s="90" t="s">
        <v>1989</v>
      </c>
      <c r="F98" s="104" t="str" cm="1">
        <f t="array" ref="F98" xml:space="preserve"> IF( $E98="舒聲",  INDEX(十五音韻母對照表,$C98,F$2),  INDEX(十五音韻母對照表,$C98,F$2+1))</f>
        <v>om</v>
      </c>
      <c r="G98" s="104" t="str" cm="1">
        <f t="array" ref="G98" xml:space="preserve"> IF( $E98="舒聲",  INDEX(十五音韻母對照表,$C98,G$2),  INDEX(十五音韻母對照表,$C98,G$2+1))</f>
        <v>ɔm</v>
      </c>
      <c r="H98" s="104" t="str" cm="1">
        <f t="array" ref="H98" xml:space="preserve"> IF( $E98="舒聲",  INDEX(十五音韻母對照表,$C98,H$2),  INDEX(十五音韻母對照表,$C98,H$2+1))</f>
        <v>om</v>
      </c>
      <c r="I98" s="104" t="str" cm="1">
        <f t="array" ref="I98" xml:space="preserve"> IF( $E98="舒聲",  INDEX(十五音韻母對照表,$C98,I$2),  INDEX(十五音韻母對照表,$C98,I$2+1))</f>
        <v>om</v>
      </c>
      <c r="J98" s="104" t="str" cm="1">
        <f t="array" ref="J98" xml:space="preserve"> IF( $E98="舒聲",  INDEX(十五音韻母對照表,$C98,J$2),  INDEX(十五音韻母對照表,$C98,J$2+1))</f>
        <v>om</v>
      </c>
      <c r="K98" s="104" t="str" cm="1">
        <f t="array" ref="K98" xml:space="preserve"> IF( $E98="舒聲",  INDEX(十五音韻母對照表,$C98,K$2),  INDEX(十五音韻母對照表,$C98,K$2+1))</f>
        <v>ㆱ</v>
      </c>
    </row>
    <row r="99" spans="2:11" ht="30">
      <c r="B99" s="89">
        <v>94</v>
      </c>
      <c r="C99" s="89">
        <v>47</v>
      </c>
      <c r="D99" s="90" t="s">
        <v>721</v>
      </c>
      <c r="E99" s="90" t="s">
        <v>1990</v>
      </c>
      <c r="F99" s="104" t="str" cm="1">
        <f t="array" ref="F99" xml:space="preserve"> IF( $E99="舒聲",  INDEX(十五音韻母對照表,$C99,F$2),  INDEX(十五音韻母對照表,$C99,F$2+1))</f>
        <v>op</v>
      </c>
      <c r="G99" s="104" t="str" cm="1">
        <f t="array" ref="G99" xml:space="preserve"> IF( $E99="舒聲",  INDEX(十五音韻母對照表,$C99,G$2),  INDEX(十五音韻母對照表,$C99,G$2+1))</f>
        <v>ɔp̚</v>
      </c>
      <c r="H99" s="104" t="str" cm="1">
        <f t="array" ref="H99" xml:space="preserve"> IF( $E99="舒聲",  INDEX(十五音韻母對照表,$C99,H$2),  INDEX(十五音韻母對照表,$C99,H$2+1))</f>
        <v>op</v>
      </c>
      <c r="I99" s="104" t="str" cm="1">
        <f t="array" ref="I99" xml:space="preserve"> IF( $E99="舒聲",  INDEX(十五音韻母對照表,$C99,I$2),  INDEX(十五音韻母對照表,$C99,I$2+1))</f>
        <v>op</v>
      </c>
      <c r="J99" s="104" t="str" cm="1">
        <f t="array" ref="J99" xml:space="preserve"> IF( $E99="舒聲",  INDEX(十五音韻母對照表,$C99,J$2),  INDEX(十五音韻母對照表,$C99,J$2+1))</f>
        <v>op</v>
      </c>
      <c r="K99" s="104" t="str" cm="1">
        <f t="array" ref="K99" xml:space="preserve"> IF( $E99="舒聲",  INDEX(十五音韻母對照表,$C99,K$2),  INDEX(十五音韻母對照表,$C99,K$2+1))</f>
        <v>ㆦㆴ</v>
      </c>
    </row>
    <row r="100" spans="2:11" ht="30">
      <c r="B100" s="89">
        <v>95</v>
      </c>
      <c r="C100" s="89">
        <v>48</v>
      </c>
      <c r="D100" s="90" t="s">
        <v>656</v>
      </c>
      <c r="E100" s="90" t="s">
        <v>1989</v>
      </c>
      <c r="F100" s="104" t="str" cm="1">
        <f t="array" ref="F100" xml:space="preserve"> IF( $E100="舒聲",  INDEX(十五音韻母對照表,$C100,F$2),  INDEX(十五音韻母對照表,$C100,F$2+1))</f>
        <v>aunn</v>
      </c>
      <c r="G100" s="104" t="str" cm="1">
        <f t="array" ref="G100" xml:space="preserve"> IF( $E100="舒聲",  INDEX(十五音韻母對照表,$C100,G$2),  INDEX(十五音韻母對照表,$C100,G$2+1))</f>
        <v>ãũ</v>
      </c>
      <c r="H100" s="104" t="str" cm="1">
        <f t="array" ref="H100" xml:space="preserve"> IF( $E100="舒聲",  INDEX(十五音韻母對照表,$C100,H$2),  INDEX(十五音韻母對照表,$C100,H$2+1))</f>
        <v>auⁿ</v>
      </c>
      <c r="I100" s="104" t="str" cm="1">
        <f t="array" ref="I100" xml:space="preserve"> IF( $E100="舒聲",  INDEX(十五音韻母對照表,$C100,I$2),  INDEX(十五音韻母對照表,$C100,I$2+1))</f>
        <v>aunn</v>
      </c>
      <c r="J100" s="104" t="str" cm="1">
        <f t="array" ref="J100" xml:space="preserve"> IF( $E100="舒聲",  INDEX(十五音韻母對照表,$C100,J$2),  INDEX(十五音韻母對照表,$C100,J$2+1))</f>
        <v>nao</v>
      </c>
      <c r="K100" s="104" t="str" cm="1">
        <f t="array" ref="K100" xml:space="preserve"> IF( $E100="舒聲",  INDEX(十五音韻母對照表,$C100,K$2),  INDEX(十五音韻母對照表,$C100,K$2+1))</f>
        <v>ㆯ</v>
      </c>
    </row>
    <row r="101" spans="2:11" ht="30">
      <c r="B101" s="89">
        <v>96</v>
      </c>
      <c r="C101" s="89">
        <v>48</v>
      </c>
      <c r="D101" s="90" t="s">
        <v>656</v>
      </c>
      <c r="E101" s="90" t="s">
        <v>1990</v>
      </c>
      <c r="F101" s="104" t="str" cm="1">
        <f t="array" ref="F101" xml:space="preserve"> IF( $E101="舒聲",  INDEX(十五音韻母對照表,$C101,F$2),  INDEX(十五音韻母對照表,$C101,F$2+1))</f>
        <v>aunnh</v>
      </c>
      <c r="G101" s="104" t="str" cm="1">
        <f t="array" ref="G101" xml:space="preserve"> IF( $E101="舒聲",  INDEX(十五音韻母對照表,$C101,G$2),  INDEX(十五音韻母對照表,$C101,G$2+1))</f>
        <v>ãũ?</v>
      </c>
      <c r="H101" s="104" t="str" cm="1">
        <f t="array" ref="H101" xml:space="preserve"> IF( $E101="舒聲",  INDEX(十五音韻母對照表,$C101,H$2),  INDEX(十五音韻母對照表,$C101,H$2+1))</f>
        <v>auhⁿ</v>
      </c>
      <c r="I101" s="104" t="str" cm="1">
        <f t="array" ref="I101" xml:space="preserve"> IF( $E101="舒聲",  INDEX(十五音韻母對照表,$C101,I$2),  INDEX(十五音韻母對照表,$C101,I$2+1))</f>
        <v>aunnh</v>
      </c>
      <c r="J101" s="104" t="str" cm="1">
        <f t="array" ref="J101" xml:space="preserve"> IF( $E101="舒聲",  INDEX(十五音韻母對照表,$C101,J$2),  INDEX(十五音韻母對照表,$C101,J$2+1))</f>
        <v>naoh</v>
      </c>
      <c r="K101" s="104" t="str" cm="1">
        <f t="array" ref="K101" xml:space="preserve"> IF( $E101="舒聲",  INDEX(十五音韻母對照表,$C101,K$2),  INDEX(十五音韻母對照表,$C101,K$2+1))</f>
        <v>ㆯㆷ</v>
      </c>
    </row>
    <row r="102" spans="2:11" ht="30">
      <c r="B102" s="89">
        <v>97</v>
      </c>
      <c r="C102" s="89">
        <v>49</v>
      </c>
      <c r="D102" s="90" t="s">
        <v>668</v>
      </c>
      <c r="E102" s="90" t="s">
        <v>1989</v>
      </c>
      <c r="F102" s="104" t="str" cm="1">
        <f t="array" ref="F102" xml:space="preserve"> IF( $E102="舒聲",  INDEX(十五音韻母對照表,$C102,F$2),  INDEX(十五音韻母對照表,$C102,F$2+1))</f>
        <v>oonn</v>
      </c>
      <c r="G102" s="104" t="str" cm="1">
        <f t="array" ref="G102" xml:space="preserve"> IF( $E102="舒聲",  INDEX(十五音韻母對照表,$C102,G$2),  INDEX(十五音韻母對照表,$C102,G$2+1))</f>
        <v>õ</v>
      </c>
      <c r="H102" s="104" t="str" cm="1">
        <f t="array" ref="H102" xml:space="preserve"> IF( $E102="舒聲",  INDEX(十五音韻母對照表,$C102,H$2),  INDEX(十五音韻母對照表,$C102,H$2+1))</f>
        <v>oⁿ</v>
      </c>
      <c r="I102" s="104" t="str" cm="1">
        <f t="array" ref="I102" xml:space="preserve"> IF( $E102="舒聲",  INDEX(十五音韻母對照表,$C102,I$2),  INDEX(十五音韻母對照表,$C102,I$2+1))</f>
        <v>onn</v>
      </c>
      <c r="J102" s="104" t="str" cm="1">
        <f t="array" ref="J102" xml:space="preserve"> IF( $E102="舒聲",  INDEX(十五音韻母對照表,$C102,J$2),  INDEX(十五音韻母對照表,$C102,J$2+1))</f>
        <v>no</v>
      </c>
      <c r="K102" s="104" t="str" cm="1">
        <f t="array" ref="K102" xml:space="preserve"> IF( $E102="舒聲",  INDEX(十五音韻母對照表,$C102,K$2),  INDEX(十五音韻母對照表,$C102,K$2+1))</f>
        <v>ㆧ</v>
      </c>
    </row>
    <row r="103" spans="2:11" ht="30">
      <c r="B103" s="89">
        <v>98</v>
      </c>
      <c r="C103" s="89">
        <v>49</v>
      </c>
      <c r="D103" s="90" t="s">
        <v>668</v>
      </c>
      <c r="E103" s="90" t="s">
        <v>1990</v>
      </c>
      <c r="F103" s="104" t="str" cm="1">
        <f t="array" ref="F103" xml:space="preserve"> IF( $E103="舒聲",  INDEX(十五音韻母對照表,$C103,F$2),  INDEX(十五音韻母對照表,$C103,F$2+1))</f>
        <v>oonnh</v>
      </c>
      <c r="G103" s="104" t="str" cm="1">
        <f t="array" ref="G103" xml:space="preserve"> IF( $E103="舒聲",  INDEX(十五音韻母對照表,$C103,G$2),  INDEX(十五音韻母對照表,$C103,G$2+1))</f>
        <v>õh</v>
      </c>
      <c r="H103" s="104" t="str" cm="1">
        <f t="array" ref="H103" xml:space="preserve"> IF( $E103="舒聲",  INDEX(十五音韻母對照表,$C103,H$2),  INDEX(十五音韻母對照表,$C103,H$2+1))</f>
        <v>ohⁿ</v>
      </c>
      <c r="I103" s="104" t="str" cm="1">
        <f t="array" ref="I103" xml:space="preserve"> IF( $E103="舒聲",  INDEX(十五音韻母對照表,$C103,I$2),  INDEX(十五音韻母對照表,$C103,I$2+1))</f>
        <v>onnh</v>
      </c>
      <c r="J103" s="104" t="str" cm="1">
        <f t="array" ref="J103" xml:space="preserve"> IF( $E103="舒聲",  INDEX(十五音韻母對照表,$C103,J$2),  INDEX(十五音韻母對照表,$C103,J$2+1))</f>
        <v>noh</v>
      </c>
      <c r="K103" s="104" t="str" cm="1">
        <f t="array" ref="K103" xml:space="preserve"> IF( $E103="舒聲",  INDEX(十五音韻母對照表,$C103,K$2),  INDEX(十五音韻母對照表,$C103,K$2+1))</f>
        <v>ㆧㆷ</v>
      </c>
    </row>
    <row r="104" spans="2:11" ht="30">
      <c r="B104" s="89">
        <v>99</v>
      </c>
      <c r="C104" s="89">
        <v>50</v>
      </c>
      <c r="D104" s="90" t="s">
        <v>676</v>
      </c>
      <c r="E104" s="90" t="s">
        <v>1989</v>
      </c>
      <c r="F104" s="104" t="str" cm="1">
        <f t="array" ref="F104" xml:space="preserve"> IF( $E104="舒聲",  INDEX(十五音韻母對照表,$C104,F$2),  INDEX(十五音韻母對照表,$C104,F$2+1))</f>
        <v>iunn</v>
      </c>
      <c r="G104" s="104" t="str" cm="1">
        <f t="array" ref="G104" xml:space="preserve"> IF( $E104="舒聲",  INDEX(十五音韻母對照表,$C104,G$2),  INDEX(十五音韻母對照表,$C104,G$2+1))</f>
        <v>ĩũ</v>
      </c>
      <c r="H104" s="104" t="str" cm="1">
        <f t="array" ref="H104" xml:space="preserve"> IF( $E104="舒聲",  INDEX(十五音韻母對照表,$C104,H$2),  INDEX(十五音韻母對照表,$C104,H$2+1))</f>
        <v>iuⁿ</v>
      </c>
      <c r="I104" s="104" t="str" cm="1">
        <f t="array" ref="I104" xml:space="preserve"> IF( $E104="舒聲",  INDEX(十五音韻母對照表,$C104,I$2),  INDEX(十五音韻母對照表,$C104,I$2+1))</f>
        <v>iunn</v>
      </c>
      <c r="J104" s="104" t="str" cm="1">
        <f t="array" ref="J104" xml:space="preserve"> IF( $E104="舒聲",  INDEX(十五音韻母對照表,$C104,J$2),  INDEX(十五音韻母對照表,$C104,J$2+1))</f>
        <v>niu</v>
      </c>
      <c r="K104" s="104" t="str" cm="1">
        <f t="array" ref="K104" xml:space="preserve"> IF( $E104="舒聲",  INDEX(十五音韻母對照表,$C104,K$2),  INDEX(十五音韻母對照表,$C104,K$2+1))</f>
        <v>ㄧㆫ</v>
      </c>
    </row>
    <row r="105" spans="2:11" ht="30">
      <c r="B105" s="89">
        <v>100</v>
      </c>
      <c r="C105" s="89">
        <v>50</v>
      </c>
      <c r="D105" s="90" t="s">
        <v>676</v>
      </c>
      <c r="E105" s="90" t="s">
        <v>1990</v>
      </c>
      <c r="F105" s="104" t="str" cm="1">
        <f t="array" ref="F105" xml:space="preserve"> IF( $E105="舒聲",  INDEX(十五音韻母對照表,$C105,F$2),  INDEX(十五音韻母對照表,$C105,F$2+1))</f>
        <v>iunnh</v>
      </c>
      <c r="G105" s="104" t="str" cm="1">
        <f t="array" ref="G105" xml:space="preserve"> IF( $E105="舒聲",  INDEX(十五音韻母對照表,$C105,G$2),  INDEX(十五音韻母對照表,$C105,G$2+1))</f>
        <v>iũh</v>
      </c>
      <c r="H105" s="104" t="str" cm="1">
        <f t="array" ref="H105" xml:space="preserve"> IF( $E105="舒聲",  INDEX(十五音韻母對照表,$C105,H$2),  INDEX(十五音韻母對照表,$C105,H$2+1))</f>
        <v>iuhⁿ</v>
      </c>
      <c r="I105" s="104" t="str" cm="1">
        <f t="array" ref="I105" xml:space="preserve"> IF( $E105="舒聲",  INDEX(十五音韻母對照表,$C105,I$2),  INDEX(十五音韻母對照表,$C105,I$2+1))</f>
        <v>iunnh</v>
      </c>
      <c r="J105" s="104" t="str" cm="1">
        <f t="array" ref="J105" xml:space="preserve"> IF( $E105="舒聲",  INDEX(十五音韻母對照表,$C105,J$2),  INDEX(十五音韻母對照表,$C105,J$2+1))</f>
        <v>niuh</v>
      </c>
      <c r="K105" s="104" t="str" cm="1">
        <f t="array" ref="K105" xml:space="preserve"> IF( $E105="舒聲",  INDEX(十五音韻母對照表,$C105,K$2),  INDEX(十五音韻母對照表,$C105,K$2+1))</f>
        <v>ㄧㆫㆷ</v>
      </c>
    </row>
  </sheetData>
  <autoFilter ref="B5:K105" xr:uid="{AA4CBF3C-4DEA-AE42-A98A-4705DAE1A77B}">
    <sortState xmlns:xlrd2="http://schemas.microsoft.com/office/spreadsheetml/2017/richdata2" ref="B6:K105">
      <sortCondition ref="B6:B105"/>
    </sortState>
  </autoFilter>
  <sortState xmlns:xlrd2="http://schemas.microsoft.com/office/spreadsheetml/2017/richdata2" ref="B6:K105">
    <sortCondition ref="B6:B105"/>
  </sortState>
  <phoneticPr fontId="1" type="noConversion"/>
  <conditionalFormatting sqref="B6:K105">
    <cfRule type="expression" dxfId="21" priority="1">
      <formula>$E6="舒聲"</formula>
    </cfRule>
    <cfRule type="expression" dxfId="20" priority="2">
      <formula>$E6="入聲"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73A8F-815E-694F-A76E-12E20AC1476D}">
  <sheetPr>
    <tabColor rgb="FFFF0000"/>
  </sheetPr>
  <dimension ref="A1:O23"/>
  <sheetViews>
    <sheetView showGridLines="0" topLeftCell="A4" workbookViewId="0">
      <pane xSplit="7" ySplit="2" topLeftCell="H6" activePane="bottomRight" state="frozen"/>
      <selection pane="topRight" activeCell="F11" sqref="F11"/>
      <selection pane="bottomLeft" activeCell="F11" sqref="F11"/>
      <selection pane="bottomRight" activeCell="F19" sqref="F19"/>
    </sheetView>
  </sheetViews>
  <sheetFormatPr baseColWidth="10" defaultColWidth="10.8984375" defaultRowHeight="27" outlineLevelRow="1"/>
  <cols>
    <col min="1" max="1" width="2.69921875" style="69" customWidth="1"/>
    <col min="2" max="2" width="6.796875" style="69" customWidth="1"/>
    <col min="3" max="3" width="10.8984375" style="347"/>
    <col min="4" max="6" width="12.5" style="71" customWidth="1"/>
    <col min="7" max="7" width="10.5" style="70" customWidth="1"/>
    <col min="8" max="10" width="12.5" style="71" customWidth="1"/>
    <col min="11" max="11" width="12.5" style="70" customWidth="1"/>
    <col min="12" max="12" width="10.8984375" style="347"/>
    <col min="13" max="13" width="4.8984375" style="69" customWidth="1"/>
    <col min="14" max="14" width="10.8984375" style="69"/>
  </cols>
  <sheetData>
    <row r="1" spans="2:15" ht="12" hidden="1" customHeight="1" outlineLevel="1"/>
    <row r="2" spans="2:15" ht="27" hidden="1" customHeight="1" outlineLevel="1">
      <c r="D2" s="143">
        <v>3</v>
      </c>
      <c r="E2" s="143">
        <v>6</v>
      </c>
      <c r="F2" s="143"/>
      <c r="H2" s="143">
        <v>5</v>
      </c>
      <c r="I2" s="143">
        <v>6</v>
      </c>
      <c r="J2" s="143">
        <v>7</v>
      </c>
      <c r="K2" s="144">
        <v>4</v>
      </c>
    </row>
    <row r="3" spans="2:15" ht="25" hidden="1" outlineLevel="1">
      <c r="B3" s="102" cm="1">
        <f t="array" ref="B3">COLUMN()-COLUMN(($A:$A))</f>
        <v>1</v>
      </c>
      <c r="D3" s="102" cm="1">
        <f t="array" ref="D3">COLUMN()-COLUMN(($A:$A))</f>
        <v>3</v>
      </c>
      <c r="E3" s="102" cm="1">
        <f t="array" ref="E3">COLUMN()-COLUMN(($A:$A))</f>
        <v>4</v>
      </c>
      <c r="F3" s="102"/>
      <c r="G3" s="102" cm="1">
        <f t="array" ref="G3">COLUMN()-COLUMN(($A:$A))</f>
        <v>6</v>
      </c>
      <c r="H3" s="102" cm="1">
        <f t="array" ref="H3">COLUMN()-COLUMN(($A:$A))</f>
        <v>7</v>
      </c>
      <c r="I3" s="102" cm="1">
        <f t="array" ref="I3">COLUMN()-COLUMN(($A:$A))</f>
        <v>8</v>
      </c>
      <c r="J3" s="102" cm="1">
        <f t="array" ref="J3">COLUMN()-COLUMN(($A:$A))</f>
        <v>9</v>
      </c>
      <c r="K3" s="102" cm="1">
        <f t="array" ref="K3">COLUMN()-COLUMN(($A:$A))</f>
        <v>10</v>
      </c>
    </row>
    <row r="4" spans="2:15" ht="21" customHeight="1" collapsed="1"/>
    <row r="5" spans="2:15" ht="28">
      <c r="B5" s="19" t="s">
        <v>0</v>
      </c>
      <c r="C5" s="327" t="s">
        <v>1</v>
      </c>
      <c r="D5" s="19" t="s">
        <v>2</v>
      </c>
      <c r="E5" s="19" t="s">
        <v>3</v>
      </c>
      <c r="F5" s="19" t="s">
        <v>4</v>
      </c>
      <c r="G5" s="19" t="s">
        <v>5</v>
      </c>
      <c r="H5" s="19" t="s">
        <v>6</v>
      </c>
      <c r="I5" s="19" t="s">
        <v>7</v>
      </c>
      <c r="J5" s="19" t="s">
        <v>8</v>
      </c>
      <c r="K5" s="19" t="s">
        <v>9</v>
      </c>
      <c r="M5" s="74"/>
      <c r="N5" s="19" t="s">
        <v>10</v>
      </c>
      <c r="O5" s="327" t="s">
        <v>11</v>
      </c>
    </row>
    <row r="6" spans="2:15" s="149" customFormat="1" ht="40" customHeight="1">
      <c r="B6" s="341" cm="1">
        <f t="array" ref="B6" xml:space="preserve"> ROW() - ROW($5:$5)</f>
        <v>1</v>
      </c>
      <c r="C6" s="348">
        <v>10</v>
      </c>
      <c r="D6" s="344" t="s">
        <v>12</v>
      </c>
      <c r="E6" s="345" t="s">
        <v>13</v>
      </c>
      <c r="F6" s="345"/>
      <c r="G6" s="342" t="s">
        <v>13</v>
      </c>
      <c r="H6" s="345" t="s">
        <v>14</v>
      </c>
      <c r="I6" s="345" t="s">
        <v>13</v>
      </c>
      <c r="J6" s="345" t="s">
        <v>13</v>
      </c>
      <c r="K6" s="343" t="s">
        <v>15</v>
      </c>
      <c r="L6" s="347"/>
      <c r="M6" s="337">
        <v>1</v>
      </c>
      <c r="N6" s="340" t="s">
        <v>16</v>
      </c>
      <c r="O6" s="338" t="s">
        <v>16</v>
      </c>
    </row>
    <row r="7" spans="2:15" s="149" customFormat="1" ht="40" customHeight="1">
      <c r="B7" s="341" cm="1">
        <f t="array" ref="B7" xml:space="preserve"> ROW() - ROW($5:$5)</f>
        <v>2</v>
      </c>
      <c r="C7" s="348">
        <v>11</v>
      </c>
      <c r="D7" s="344" t="s">
        <v>12</v>
      </c>
      <c r="E7" s="345" t="s">
        <v>17</v>
      </c>
      <c r="F7" s="345"/>
      <c r="G7" s="342" t="s">
        <v>17</v>
      </c>
      <c r="H7" s="345" t="s">
        <v>18</v>
      </c>
      <c r="I7" s="345" t="s">
        <v>17</v>
      </c>
      <c r="J7" s="345" t="s">
        <v>19</v>
      </c>
      <c r="K7" s="343" t="s">
        <v>20</v>
      </c>
      <c r="L7" s="347"/>
      <c r="M7" s="337">
        <v>2</v>
      </c>
      <c r="N7" s="339" t="s">
        <v>21</v>
      </c>
      <c r="O7" s="339" t="s">
        <v>22</v>
      </c>
    </row>
    <row r="8" spans="2:15" s="149" customFormat="1" ht="40" customHeight="1">
      <c r="B8" s="341" cm="1">
        <f t="array" ref="B8" xml:space="preserve"> ROW() - ROW($5:$5)</f>
        <v>3</v>
      </c>
      <c r="C8" s="348">
        <v>20</v>
      </c>
      <c r="D8" s="344" t="s">
        <v>23</v>
      </c>
      <c r="E8" s="345" t="s">
        <v>24</v>
      </c>
      <c r="F8" s="345"/>
      <c r="G8" s="342" t="s">
        <v>24</v>
      </c>
      <c r="H8" s="345" t="s">
        <v>25</v>
      </c>
      <c r="I8" s="345" t="s">
        <v>24</v>
      </c>
      <c r="J8" s="345" t="s">
        <v>21</v>
      </c>
      <c r="K8" s="343" t="s">
        <v>26</v>
      </c>
      <c r="L8" s="347"/>
      <c r="M8" s="337">
        <v>3</v>
      </c>
      <c r="N8" s="339" t="s">
        <v>27</v>
      </c>
      <c r="O8" s="339" t="s">
        <v>28</v>
      </c>
    </row>
    <row r="9" spans="2:15" s="149" customFormat="1" ht="40" customHeight="1">
      <c r="B9" s="341" cm="1">
        <f t="array" ref="B9" xml:space="preserve"> ROW() - ROW($5:$5)</f>
        <v>4</v>
      </c>
      <c r="C9" s="348">
        <v>30</v>
      </c>
      <c r="D9" s="344" t="s">
        <v>29</v>
      </c>
      <c r="E9" s="345" t="s">
        <v>30</v>
      </c>
      <c r="F9" s="345"/>
      <c r="G9" s="342" t="s">
        <v>30</v>
      </c>
      <c r="H9" s="345" t="s">
        <v>31</v>
      </c>
      <c r="I9" s="345" t="s">
        <v>30</v>
      </c>
      <c r="J9" s="345" t="s">
        <v>27</v>
      </c>
      <c r="K9" s="343" t="s">
        <v>32</v>
      </c>
      <c r="L9" s="347"/>
      <c r="M9" s="337">
        <v>4</v>
      </c>
      <c r="N9" s="338" t="s">
        <v>33</v>
      </c>
      <c r="O9" s="338" t="s">
        <v>34</v>
      </c>
    </row>
    <row r="10" spans="2:15" s="149" customFormat="1" ht="40" customHeight="1">
      <c r="B10" s="341" cm="1">
        <f t="array" ref="B10" xml:space="preserve"> ROW() - ROW($5:$5)</f>
        <v>5</v>
      </c>
      <c r="C10" s="348">
        <v>40</v>
      </c>
      <c r="D10" s="344" t="s">
        <v>35</v>
      </c>
      <c r="E10" s="345" t="s">
        <v>36</v>
      </c>
      <c r="F10" s="345"/>
      <c r="G10" s="342" t="s">
        <v>36</v>
      </c>
      <c r="H10" s="345" t="s">
        <v>37</v>
      </c>
      <c r="I10" s="345" t="s">
        <v>36</v>
      </c>
      <c r="J10" s="345" t="s">
        <v>30</v>
      </c>
      <c r="K10" s="343" t="s">
        <v>38</v>
      </c>
      <c r="L10" s="347"/>
      <c r="M10" s="337">
        <v>5</v>
      </c>
      <c r="N10" s="338" t="s">
        <v>39</v>
      </c>
      <c r="O10" s="338" t="s">
        <v>40</v>
      </c>
    </row>
    <row r="11" spans="2:15" s="149" customFormat="1" ht="40" customHeight="1">
      <c r="B11" s="341" cm="1">
        <f t="array" ref="B11" xml:space="preserve"> ROW() - ROW($5:$5)</f>
        <v>6</v>
      </c>
      <c r="C11" s="348">
        <v>50</v>
      </c>
      <c r="D11" s="344" t="s">
        <v>41</v>
      </c>
      <c r="E11" s="345" t="s">
        <v>42</v>
      </c>
      <c r="F11" s="345"/>
      <c r="G11" s="342" t="s">
        <v>42</v>
      </c>
      <c r="H11" s="345" t="s">
        <v>43</v>
      </c>
      <c r="I11" s="345" t="s">
        <v>42</v>
      </c>
      <c r="J11" s="345" t="s">
        <v>44</v>
      </c>
      <c r="K11" s="343" t="s">
        <v>45</v>
      </c>
      <c r="L11" s="347"/>
      <c r="M11" s="337">
        <v>6</v>
      </c>
      <c r="N11" s="338" t="s">
        <v>30</v>
      </c>
      <c r="O11" s="338" t="s">
        <v>46</v>
      </c>
    </row>
    <row r="12" spans="2:15" s="149" customFormat="1" ht="40" customHeight="1">
      <c r="B12" s="341" cm="1">
        <f t="array" ref="B12" xml:space="preserve"> ROW() - ROW($5:$5)</f>
        <v>7</v>
      </c>
      <c r="C12" s="348">
        <v>60</v>
      </c>
      <c r="D12" s="344" t="s">
        <v>47</v>
      </c>
      <c r="E12" s="345" t="s">
        <v>48</v>
      </c>
      <c r="F12" s="345"/>
      <c r="G12" s="342" t="s">
        <v>48</v>
      </c>
      <c r="H12" s="345" t="s">
        <v>49</v>
      </c>
      <c r="I12" s="345" t="s">
        <v>48</v>
      </c>
      <c r="J12" s="345" t="s">
        <v>24</v>
      </c>
      <c r="K12" s="343" t="s">
        <v>50</v>
      </c>
      <c r="L12" s="347"/>
      <c r="M12" s="337">
        <v>7</v>
      </c>
      <c r="N12" s="338" t="s">
        <v>36</v>
      </c>
      <c r="O12" s="338" t="s">
        <v>51</v>
      </c>
    </row>
    <row r="13" spans="2:15" s="149" customFormat="1" ht="40" customHeight="1">
      <c r="B13" s="341" cm="1">
        <f t="array" ref="B13" xml:space="preserve"> ROW() - ROW($5:$5)</f>
        <v>8</v>
      </c>
      <c r="C13" s="348">
        <v>70</v>
      </c>
      <c r="D13" s="344" t="s">
        <v>52</v>
      </c>
      <c r="E13" s="345" t="s">
        <v>53</v>
      </c>
      <c r="F13" s="345"/>
      <c r="G13" s="342" t="s">
        <v>53</v>
      </c>
      <c r="H13" s="345" t="s">
        <v>54</v>
      </c>
      <c r="I13" s="345" t="s">
        <v>53</v>
      </c>
      <c r="J13" s="345" t="s">
        <v>42</v>
      </c>
      <c r="K13" s="343" t="s">
        <v>55</v>
      </c>
      <c r="L13" s="347"/>
      <c r="M13" s="337">
        <v>8</v>
      </c>
      <c r="N13" s="338" t="s">
        <v>13</v>
      </c>
      <c r="O13" s="338" t="s">
        <v>56</v>
      </c>
    </row>
    <row r="14" spans="2:15" s="149" customFormat="1" ht="40" customHeight="1">
      <c r="B14" s="341" cm="1">
        <f t="array" ref="B14" xml:space="preserve"> ROW() - ROW($5:$5)</f>
        <v>9</v>
      </c>
      <c r="C14" s="348">
        <v>80</v>
      </c>
      <c r="D14" s="344" t="s">
        <v>57</v>
      </c>
      <c r="E14" s="345" t="s">
        <v>58</v>
      </c>
      <c r="F14" s="345"/>
      <c r="G14" s="342" t="s">
        <v>59</v>
      </c>
      <c r="H14" s="346" t="s">
        <v>60</v>
      </c>
      <c r="I14" s="345" t="s">
        <v>61</v>
      </c>
      <c r="J14" s="345" t="s">
        <v>62</v>
      </c>
      <c r="K14" s="343" t="s">
        <v>63</v>
      </c>
      <c r="L14" s="347"/>
      <c r="M14" s="337">
        <v>9</v>
      </c>
      <c r="N14" s="338" t="s">
        <v>64</v>
      </c>
      <c r="O14" s="338" t="s">
        <v>65</v>
      </c>
    </row>
    <row r="15" spans="2:15" s="149" customFormat="1" ht="40" customHeight="1">
      <c r="B15" s="341" cm="1">
        <f t="array" ref="B15" xml:space="preserve"> ROW() - ROW($5:$5)</f>
        <v>10</v>
      </c>
      <c r="C15" s="348">
        <v>90</v>
      </c>
      <c r="D15" s="344" t="s">
        <v>66</v>
      </c>
      <c r="E15" s="345" t="s">
        <v>39</v>
      </c>
      <c r="F15" s="345" t="s">
        <v>67</v>
      </c>
      <c r="G15" s="342" t="s">
        <v>39</v>
      </c>
      <c r="H15" s="346" t="s">
        <v>68</v>
      </c>
      <c r="I15" s="345" t="s">
        <v>69</v>
      </c>
      <c r="J15" s="345" t="s">
        <v>70</v>
      </c>
      <c r="K15" s="343" t="s">
        <v>71</v>
      </c>
      <c r="L15" s="347"/>
      <c r="M15" s="337">
        <v>10</v>
      </c>
      <c r="N15" s="338" t="s">
        <v>17</v>
      </c>
      <c r="O15" s="338" t="s">
        <v>72</v>
      </c>
    </row>
    <row r="16" spans="2:15" s="149" customFormat="1" ht="40" customHeight="1">
      <c r="B16" s="341" cm="1">
        <f t="array" ref="B16" xml:space="preserve"> ROW() - ROW($5:$5)</f>
        <v>11</v>
      </c>
      <c r="C16" s="348" t="s">
        <v>73</v>
      </c>
      <c r="D16" s="344" t="s">
        <v>74</v>
      </c>
      <c r="E16" s="345" t="s">
        <v>75</v>
      </c>
      <c r="F16" s="345"/>
      <c r="G16" s="342" t="s">
        <v>76</v>
      </c>
      <c r="H16" s="346" t="s">
        <v>77</v>
      </c>
      <c r="I16" s="345" t="s">
        <v>75</v>
      </c>
      <c r="J16" s="345" t="s">
        <v>76</v>
      </c>
      <c r="K16" s="343" t="s">
        <v>78</v>
      </c>
      <c r="L16" s="347"/>
      <c r="M16" s="337">
        <v>11</v>
      </c>
      <c r="N16" s="338" t="s">
        <v>79</v>
      </c>
      <c r="O16" s="338" t="s">
        <v>80</v>
      </c>
    </row>
    <row r="17" spans="2:15" s="149" customFormat="1" ht="40" customHeight="1">
      <c r="B17" s="341" cm="1">
        <f t="array" ref="B17" xml:space="preserve"> ROW() - ROW($5:$5)</f>
        <v>12</v>
      </c>
      <c r="C17" s="348" t="s">
        <v>81</v>
      </c>
      <c r="D17" s="344" t="s">
        <v>82</v>
      </c>
      <c r="E17" s="345" t="s">
        <v>83</v>
      </c>
      <c r="F17" s="345" t="s">
        <v>84</v>
      </c>
      <c r="G17" s="349" t="s">
        <v>16</v>
      </c>
      <c r="H17" s="345" t="s">
        <v>85</v>
      </c>
      <c r="I17" s="345" t="s">
        <v>83</v>
      </c>
      <c r="J17" s="345" t="s">
        <v>83</v>
      </c>
      <c r="K17" s="343" t="s">
        <v>16</v>
      </c>
      <c r="L17" s="347"/>
      <c r="M17" s="337">
        <v>12</v>
      </c>
      <c r="N17" s="338" t="s">
        <v>24</v>
      </c>
      <c r="O17" s="338" t="s">
        <v>86</v>
      </c>
    </row>
    <row r="18" spans="2:15" s="149" customFormat="1" ht="40" customHeight="1">
      <c r="B18" s="341" cm="1">
        <f t="array" ref="B18" xml:space="preserve"> ROW() - ROW($5:$5)</f>
        <v>13</v>
      </c>
      <c r="C18" s="348" t="s">
        <v>87</v>
      </c>
      <c r="D18" s="344" t="s">
        <v>88</v>
      </c>
      <c r="E18" s="345" t="s">
        <v>64</v>
      </c>
      <c r="F18" s="345"/>
      <c r="G18" s="342" t="s">
        <v>64</v>
      </c>
      <c r="H18" s="345" t="s">
        <v>89</v>
      </c>
      <c r="I18" s="345" t="s">
        <v>64</v>
      </c>
      <c r="J18" s="345" t="s">
        <v>90</v>
      </c>
      <c r="K18" s="343" t="s">
        <v>91</v>
      </c>
      <c r="L18" s="347"/>
      <c r="M18" s="337">
        <v>13</v>
      </c>
      <c r="N18" s="338" t="s">
        <v>48</v>
      </c>
      <c r="O18" s="338" t="s">
        <v>92</v>
      </c>
    </row>
    <row r="19" spans="2:15" s="149" customFormat="1" ht="40" customHeight="1">
      <c r="B19" s="341" cm="1">
        <f t="array" ref="B19" xml:space="preserve"> ROW() - ROW($5:$5)</f>
        <v>14</v>
      </c>
      <c r="C19" s="348" t="s">
        <v>93</v>
      </c>
      <c r="D19" s="344" t="s">
        <v>88</v>
      </c>
      <c r="E19" s="345" t="s">
        <v>21</v>
      </c>
      <c r="F19" s="345"/>
      <c r="G19" s="342" t="s">
        <v>21</v>
      </c>
      <c r="H19" s="345" t="s">
        <v>94</v>
      </c>
      <c r="I19" s="345" t="s">
        <v>21</v>
      </c>
      <c r="J19" s="345" t="s">
        <v>95</v>
      </c>
      <c r="K19" s="343" t="s">
        <v>96</v>
      </c>
      <c r="L19" s="347"/>
      <c r="M19" s="337">
        <v>14</v>
      </c>
      <c r="N19" s="338" t="s">
        <v>76</v>
      </c>
      <c r="O19" s="338" t="s">
        <v>97</v>
      </c>
    </row>
    <row r="20" spans="2:15" s="149" customFormat="1" ht="40" customHeight="1">
      <c r="B20" s="341" cm="1">
        <f t="array" ref="B20" xml:space="preserve"> ROW() - ROW($5:$5)</f>
        <v>15</v>
      </c>
      <c r="C20" s="348" t="s">
        <v>98</v>
      </c>
      <c r="D20" s="344" t="s">
        <v>99</v>
      </c>
      <c r="E20" s="345" t="s">
        <v>27</v>
      </c>
      <c r="F20" s="345"/>
      <c r="G20" s="342" t="s">
        <v>27</v>
      </c>
      <c r="H20" s="345" t="s">
        <v>100</v>
      </c>
      <c r="I20" s="345" t="s">
        <v>27</v>
      </c>
      <c r="J20" s="345" t="s">
        <v>101</v>
      </c>
      <c r="K20" s="343" t="s">
        <v>102</v>
      </c>
      <c r="L20" s="347"/>
      <c r="M20" s="337">
        <v>15</v>
      </c>
      <c r="N20" s="338" t="s">
        <v>42</v>
      </c>
      <c r="O20" s="338" t="s">
        <v>103</v>
      </c>
    </row>
    <row r="21" spans="2:15" s="149" customFormat="1" ht="40" customHeight="1">
      <c r="B21" s="341" cm="1">
        <f t="array" ref="B21" xml:space="preserve"> ROW() - ROW($5:$5)</f>
        <v>16</v>
      </c>
      <c r="C21" s="348" t="s">
        <v>104</v>
      </c>
      <c r="D21" s="344" t="s">
        <v>99</v>
      </c>
      <c r="E21" s="345" t="s">
        <v>79</v>
      </c>
      <c r="F21" s="345"/>
      <c r="G21" s="342" t="s">
        <v>79</v>
      </c>
      <c r="H21" s="345" t="s">
        <v>105</v>
      </c>
      <c r="I21" s="345" t="s">
        <v>79</v>
      </c>
      <c r="J21" s="345" t="s">
        <v>106</v>
      </c>
      <c r="K21" s="343" t="s">
        <v>107</v>
      </c>
      <c r="L21" s="347"/>
      <c r="M21" s="337">
        <v>16</v>
      </c>
      <c r="N21" s="338" t="s">
        <v>53</v>
      </c>
      <c r="O21" s="338" t="s">
        <v>108</v>
      </c>
    </row>
    <row r="22" spans="2:15" s="149" customFormat="1" ht="40" customHeight="1">
      <c r="B22" s="341" cm="1">
        <f t="array" ref="B22" xml:space="preserve"> ROW() - ROW($5:$5)</f>
        <v>17</v>
      </c>
      <c r="C22" s="348" t="s">
        <v>109</v>
      </c>
      <c r="D22" s="344" t="s">
        <v>110</v>
      </c>
      <c r="E22" s="345" t="s">
        <v>111</v>
      </c>
      <c r="F22" s="345"/>
      <c r="G22" s="342" t="s">
        <v>112</v>
      </c>
      <c r="H22" s="346" t="s">
        <v>113</v>
      </c>
      <c r="I22" s="345" t="s">
        <v>114</v>
      </c>
      <c r="J22" s="345" t="s">
        <v>115</v>
      </c>
      <c r="K22" s="343" t="s">
        <v>116</v>
      </c>
      <c r="L22" s="347"/>
      <c r="M22" s="337">
        <v>17</v>
      </c>
      <c r="N22" s="338" t="s">
        <v>59</v>
      </c>
      <c r="O22" s="338" t="s">
        <v>117</v>
      </c>
    </row>
    <row r="23" spans="2:15" ht="40" customHeight="1">
      <c r="B23" s="341" cm="1">
        <f t="array" ref="B23" xml:space="preserve"> ROW() - ROW($5:$5)</f>
        <v>18</v>
      </c>
      <c r="C23" s="348" t="s">
        <v>118</v>
      </c>
      <c r="D23" s="344" t="s">
        <v>119</v>
      </c>
      <c r="E23" s="345" t="s">
        <v>33</v>
      </c>
      <c r="F23" s="345"/>
      <c r="G23" s="342" t="s">
        <v>33</v>
      </c>
      <c r="H23" s="345" t="s">
        <v>120</v>
      </c>
      <c r="I23" s="345" t="s">
        <v>33</v>
      </c>
      <c r="J23" s="345" t="s">
        <v>33</v>
      </c>
      <c r="K23" s="343" t="s">
        <v>121</v>
      </c>
      <c r="M23" s="337">
        <v>18</v>
      </c>
      <c r="N23" s="338" t="s">
        <v>112</v>
      </c>
      <c r="O23" s="338" t="s">
        <v>122</v>
      </c>
    </row>
  </sheetData>
  <phoneticPr fontId="1" type="noConversion"/>
  <hyperlinks>
    <hyperlink ref="H5" r:id="rId1" xr:uid="{CE29D045-6244-D54D-8A71-31BCF326B9F2}"/>
    <hyperlink ref="J5" r:id="rId2" display="閩南拼音" xr:uid="{378DB1E5-77F2-A24A-A3BA-5E6604983D35}"/>
    <hyperlink ref="E5" r:id="rId3" xr:uid="{82DF6895-99C5-3746-9A94-A23A08B7616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F4ECD-1CEA-5249-974E-A974FD18D2CC}">
  <sheetPr>
    <tabColor rgb="FF00B0F0"/>
  </sheetPr>
  <dimension ref="B1:AG54"/>
  <sheetViews>
    <sheetView showGridLines="0" topLeftCell="A3" workbookViewId="0">
      <pane xSplit="5" ySplit="2" topLeftCell="F5" activePane="bottomRight" state="frozen"/>
      <selection activeCell="A3" sqref="A3"/>
      <selection pane="topRight" activeCell="F3" sqref="F3"/>
      <selection pane="bottomLeft" activeCell="A5" sqref="A5"/>
      <selection pane="bottomRight" activeCell="F5" sqref="F5"/>
    </sheetView>
  </sheetViews>
  <sheetFormatPr baseColWidth="10" defaultColWidth="10.8984375" defaultRowHeight="25.5" customHeight="1" outlineLevelRow="1" outlineLevelCol="1"/>
  <cols>
    <col min="1" max="1" width="2.69921875" customWidth="1"/>
    <col min="2" max="2" width="5" style="6" customWidth="1"/>
    <col min="3" max="3" width="7.19921875" style="24" customWidth="1"/>
    <col min="4" max="4" width="8.69921875" style="24" customWidth="1"/>
    <col min="5" max="5" width="9.8984375" style="24" hidden="1" customWidth="1" outlineLevel="1"/>
    <col min="6" max="6" width="9.8984375" style="6" customWidth="1" collapsed="1"/>
    <col min="7" max="10" width="10.296875" style="6" customWidth="1"/>
    <col min="11" max="11" width="5.09765625" style="6" customWidth="1"/>
    <col min="12" max="12" width="9.8984375" style="6" hidden="1" customWidth="1" outlineLevel="1"/>
    <col min="13" max="13" width="12.796875" style="363" customWidth="1" collapsed="1"/>
    <col min="14" max="14" width="12.796875" style="363" customWidth="1"/>
    <col min="15" max="15" width="12.796875" style="6" customWidth="1"/>
    <col min="16" max="16" width="4.8984375" customWidth="1"/>
    <col min="17" max="17" width="5" style="6" customWidth="1"/>
    <col min="18" max="18" width="12.09765625" style="6" customWidth="1"/>
    <col min="19" max="24" width="12.59765625" style="6" hidden="1" customWidth="1" outlineLevel="1"/>
    <col min="25" max="25" width="12.59765625" customWidth="1" collapsed="1"/>
    <col min="26" max="26" width="12.59765625" customWidth="1"/>
    <col min="27" max="28" width="12.59765625" hidden="1" customWidth="1" outlineLevel="1"/>
    <col min="29" max="29" width="12.59765625" customWidth="1" collapsed="1"/>
    <col min="30" max="30" width="12.59765625" customWidth="1"/>
    <col min="31" max="31" width="10.69921875" style="6" hidden="1" customWidth="1" outlineLevel="1"/>
    <col min="32" max="32" width="10.69921875" hidden="1" customWidth="1" outlineLevel="1"/>
    <col min="33" max="33" width="53" customWidth="1" collapsed="1"/>
  </cols>
  <sheetData>
    <row r="1" spans="2:33" ht="22" hidden="1" outlineLevel="1">
      <c r="D1" s="24">
        <v>9</v>
      </c>
      <c r="F1" s="6">
        <v>2</v>
      </c>
      <c r="G1" s="6">
        <v>13</v>
      </c>
      <c r="H1" s="6">
        <v>14</v>
      </c>
      <c r="I1" s="6">
        <v>9</v>
      </c>
      <c r="J1" s="6">
        <v>10</v>
      </c>
    </row>
    <row r="2" spans="2:33" s="51" customFormat="1" ht="22" hidden="1" outlineLevel="1">
      <c r="B2" s="102" cm="1">
        <f t="array" ref="B2">COLUMN()-COLUMN(($A:$A))</f>
        <v>1</v>
      </c>
      <c r="C2" s="379"/>
      <c r="D2" s="379"/>
      <c r="E2" s="379"/>
      <c r="F2" s="102"/>
      <c r="G2" s="102"/>
      <c r="H2" s="102"/>
      <c r="I2" s="102"/>
      <c r="J2" s="102"/>
      <c r="K2" s="128"/>
      <c r="L2" s="102"/>
      <c r="M2" s="364"/>
      <c r="N2" s="364"/>
      <c r="O2" s="102"/>
      <c r="Q2" s="102" cm="1">
        <f t="array" ref="Q2">COLUMN()-COLUMN(($P:$P))</f>
        <v>1</v>
      </c>
      <c r="R2" s="102" cm="1">
        <f t="array" ref="R2">COLUMN()-COLUMN(($P:$P))</f>
        <v>2</v>
      </c>
      <c r="S2" s="102" cm="1">
        <f t="array" ref="S2">COLUMN()-COLUMN(($P:$P))</f>
        <v>3</v>
      </c>
      <c r="T2" s="102" cm="1">
        <f t="array" ref="T2">COLUMN()-COLUMN(($P:$P))</f>
        <v>4</v>
      </c>
      <c r="U2" s="102" cm="1">
        <f t="array" ref="U2">COLUMN()-COLUMN(($P:$P))</f>
        <v>5</v>
      </c>
      <c r="V2" s="102" cm="1">
        <f t="array" ref="V2">COLUMN()-COLUMN(($P:$P))</f>
        <v>6</v>
      </c>
      <c r="W2" s="102" cm="1">
        <f t="array" ref="W2">COLUMN()-COLUMN(($P:$P))</f>
        <v>7</v>
      </c>
      <c r="X2" s="102" cm="1">
        <f t="array" ref="X2">COLUMN()-COLUMN(($P:$P))</f>
        <v>8</v>
      </c>
      <c r="Y2" s="102" cm="1">
        <f t="array" ref="Y2">COLUMN()-COLUMN(($P:$P))</f>
        <v>9</v>
      </c>
      <c r="Z2" s="102" cm="1">
        <f t="array" ref="Z2">COLUMN()-COLUMN(($P:$P))</f>
        <v>10</v>
      </c>
      <c r="AA2" s="102" cm="1">
        <f t="array" ref="AA2">COLUMN()-COLUMN(($P:$P))</f>
        <v>11</v>
      </c>
      <c r="AB2" s="102" cm="1">
        <f t="array" ref="AB2">COLUMN()-COLUMN(($P:$P))</f>
        <v>12</v>
      </c>
      <c r="AC2" s="102" cm="1">
        <f t="array" ref="AC2">COLUMN()-COLUMN(($P:$P))</f>
        <v>13</v>
      </c>
      <c r="AD2" s="102" cm="1">
        <f t="array" ref="AD2">COLUMN()-COLUMN(($P:$P))</f>
        <v>14</v>
      </c>
      <c r="AE2" s="102" cm="1">
        <f t="array" ref="AE2">COLUMN()-COLUMN(($P:$P))</f>
        <v>15</v>
      </c>
      <c r="AF2" s="102" cm="1">
        <f t="array" ref="AF2">COLUMN()-COLUMN(($P:$P))</f>
        <v>16</v>
      </c>
      <c r="AG2" s="102" cm="1">
        <f t="array" ref="AG2">COLUMN()-COLUMN(($P:$P))</f>
        <v>17</v>
      </c>
    </row>
    <row r="3" spans="2:33" ht="11" customHeight="1" collapsed="1"/>
    <row r="4" spans="2:33" s="376" customFormat="1" ht="18" customHeight="1">
      <c r="B4" s="371" t="s">
        <v>123</v>
      </c>
      <c r="C4" s="371" t="s">
        <v>3548</v>
      </c>
      <c r="D4" s="388" t="s">
        <v>127</v>
      </c>
      <c r="E4" s="388" t="s">
        <v>3594</v>
      </c>
      <c r="F4" s="373" t="s">
        <v>129</v>
      </c>
      <c r="G4" s="371" t="s">
        <v>125</v>
      </c>
      <c r="H4" s="371" t="s">
        <v>126</v>
      </c>
      <c r="I4" s="372" t="s">
        <v>127</v>
      </c>
      <c r="J4" s="372" t="s">
        <v>128</v>
      </c>
      <c r="K4" s="374"/>
      <c r="L4" s="375" t="s">
        <v>131</v>
      </c>
      <c r="M4" s="375" t="s">
        <v>132</v>
      </c>
      <c r="N4" s="375" t="s">
        <v>133</v>
      </c>
      <c r="O4" s="375" t="s">
        <v>134</v>
      </c>
      <c r="Q4" s="371" t="s">
        <v>123</v>
      </c>
      <c r="R4" s="371" t="s">
        <v>135</v>
      </c>
      <c r="S4" s="373" t="s">
        <v>136</v>
      </c>
      <c r="T4" s="373" t="s">
        <v>137</v>
      </c>
      <c r="U4" s="377" t="s">
        <v>138</v>
      </c>
      <c r="V4" s="377" t="s">
        <v>139</v>
      </c>
      <c r="W4" s="373" t="s">
        <v>140</v>
      </c>
      <c r="X4" s="373" t="s">
        <v>141</v>
      </c>
      <c r="Y4" s="377" t="s">
        <v>142</v>
      </c>
      <c r="Z4" s="377" t="s">
        <v>143</v>
      </c>
      <c r="AA4" s="373" t="s">
        <v>144</v>
      </c>
      <c r="AB4" s="373" t="s">
        <v>145</v>
      </c>
      <c r="AC4" s="377" t="s">
        <v>146</v>
      </c>
      <c r="AD4" s="377" t="s">
        <v>147</v>
      </c>
      <c r="AE4" s="373" t="s">
        <v>148</v>
      </c>
      <c r="AF4" s="373" t="s">
        <v>149</v>
      </c>
      <c r="AG4" s="378" t="s">
        <v>150</v>
      </c>
    </row>
    <row r="5" spans="2:33" ht="30">
      <c r="B5" s="47">
        <v>1</v>
      </c>
      <c r="C5" s="385" t="s">
        <v>3549</v>
      </c>
      <c r="D5" s="389" t="s">
        <v>153</v>
      </c>
      <c r="E5" s="389">
        <f t="shared" ref="E5:E36" si="0" xml:space="preserve"> IFERROR( MATCH($D5,$Y$5:$Y$54,0), 0)</f>
        <v>1</v>
      </c>
      <c r="F5" s="387" t="str" cm="1">
        <f t="array" ref="F5" xml:space="preserve"> IF($E5=0, "", INDEX($Q$5:$AG$54, $E5, F$1))</f>
        <v>君</v>
      </c>
      <c r="G5" s="350" t="str" cm="1">
        <f t="array" ref="G5" xml:space="preserve"> IF($E5=0, "", INDEX($Q$5:$AG$54, $E5, G$1))</f>
        <v>ㄨㄣ</v>
      </c>
      <c r="H5" s="350" t="str" cm="1">
        <f t="array" ref="H5" xml:space="preserve"> IF($E5=0, "", INDEX($Q$5:$AG$54, $E5, H$1))</f>
        <v>ㄨㆵ</v>
      </c>
      <c r="I5" s="350" t="str" cm="1">
        <f t="array" ref="I5" xml:space="preserve"> IF($E5=0, "", INDEX($Q$5:$AG$54, $E5, I$1))</f>
        <v>un</v>
      </c>
      <c r="J5" s="350" t="str" cm="1">
        <f t="array" ref="J5" xml:space="preserve"> IF($E5=0, "", INDEX($Q$5:$AG$54, $E5, J$1))</f>
        <v>ut</v>
      </c>
      <c r="K5" s="362"/>
      <c r="L5" s="362">
        <f xml:space="preserve"> IFERROR( MATCH(Y5,$I$5:$I$54,0), 0)</f>
        <v>1</v>
      </c>
      <c r="M5" s="365" t="str">
        <f t="shared" ref="M5:M36" si="1" xml:space="preserve"> IF(L5=0, R5, "")</f>
        <v/>
      </c>
      <c r="N5" s="25" t="str" cm="1">
        <f t="array" ref="N5">IF($L5=0, INDEX($AC$5:$AC$54,$Q5,1), "")</f>
        <v/>
      </c>
      <c r="O5" s="25" t="str" cm="1">
        <f t="array" ref="O5">IF($L5=0, INDEX($Y$5:$Y$54,$Q5,1), "")</f>
        <v/>
      </c>
      <c r="Q5" s="47">
        <v>1</v>
      </c>
      <c r="R5" s="380" t="s">
        <v>152</v>
      </c>
      <c r="S5" s="26" t="s">
        <v>153</v>
      </c>
      <c r="T5" s="27" t="s">
        <v>154</v>
      </c>
      <c r="U5" s="26" t="s">
        <v>153</v>
      </c>
      <c r="V5" s="27" t="s">
        <v>155</v>
      </c>
      <c r="W5" s="150" t="s">
        <v>153</v>
      </c>
      <c r="X5" s="27" t="s">
        <v>154</v>
      </c>
      <c r="Y5" s="26" t="s">
        <v>153</v>
      </c>
      <c r="Z5" s="27" t="s">
        <v>154</v>
      </c>
      <c r="AA5" s="26" t="s">
        <v>153</v>
      </c>
      <c r="AB5" s="27" t="s">
        <v>154</v>
      </c>
      <c r="AC5" s="26" t="s">
        <v>156</v>
      </c>
      <c r="AD5" s="27" t="s">
        <v>157</v>
      </c>
      <c r="AE5" s="26" t="s">
        <v>158</v>
      </c>
      <c r="AF5" s="44" t="s">
        <v>159</v>
      </c>
      <c r="AG5" s="28"/>
    </row>
    <row r="6" spans="2:33" ht="30">
      <c r="B6" s="47">
        <v>2</v>
      </c>
      <c r="C6" s="385" t="s">
        <v>3550</v>
      </c>
      <c r="D6" s="389" t="s">
        <v>265</v>
      </c>
      <c r="E6" s="389">
        <f t="shared" si="0"/>
        <v>12</v>
      </c>
      <c r="F6" s="387" t="str" cm="1">
        <f t="array" ref="F6" xml:space="preserve"> IF($E6=0, "", INDEX($Q$5:$AG$54, $E6, F$1))</f>
        <v>嬌</v>
      </c>
      <c r="G6" s="350" t="str" cm="1">
        <f t="array" ref="G6" xml:space="preserve"> IF($E6=0, "", INDEX($Q$5:$AG$54, $E6, G$1))</f>
        <v>ㄧㄠ</v>
      </c>
      <c r="H6" s="350" t="str" cm="1">
        <f t="array" ref="H6" xml:space="preserve"> IF($E6=0, "", INDEX($Q$5:$AG$54, $E6, H$1))</f>
        <v>ㄧㄠㆷ</v>
      </c>
      <c r="I6" s="350" t="str" cm="1">
        <f t="array" ref="I6" xml:space="preserve"> IF($E6=0, "", INDEX($Q$5:$AG$54, $E6, I$1))</f>
        <v>iau</v>
      </c>
      <c r="J6" s="350" t="str" cm="1">
        <f t="array" ref="J6" xml:space="preserve"> IF($E6=0, "", INDEX($Q$5:$AG$54, $E6, J$1))</f>
        <v>iauh</v>
      </c>
      <c r="K6" s="362"/>
      <c r="L6" s="362">
        <f xml:space="preserve"> IFERROR( MATCH(Y6,$I$5:$I$54,0), 0)</f>
        <v>22</v>
      </c>
      <c r="M6" s="366" t="str">
        <f t="shared" si="1"/>
        <v/>
      </c>
      <c r="N6" s="25" t="str" cm="1">
        <f t="array" ref="N6">IF($L6=0, INDEX($AC$5:$AC$54,$Q6,1), "")</f>
        <v/>
      </c>
      <c r="O6" s="25" t="str" cm="1">
        <f t="array" ref="O6">IF($L6=0, INDEX($Y$5:$Y$54,$Q6,1), "")</f>
        <v/>
      </c>
      <c r="Q6" s="47">
        <v>2</v>
      </c>
      <c r="R6" s="380" t="s">
        <v>161</v>
      </c>
      <c r="S6" s="26" t="s">
        <v>162</v>
      </c>
      <c r="T6" s="27" t="s">
        <v>163</v>
      </c>
      <c r="U6" s="26" t="s">
        <v>162</v>
      </c>
      <c r="V6" s="27" t="s">
        <v>164</v>
      </c>
      <c r="W6" s="150" t="s">
        <v>162</v>
      </c>
      <c r="X6" s="27" t="s">
        <v>163</v>
      </c>
      <c r="Y6" s="26" t="s">
        <v>162</v>
      </c>
      <c r="Z6" s="27" t="s">
        <v>163</v>
      </c>
      <c r="AA6" s="26" t="s">
        <v>162</v>
      </c>
      <c r="AB6" s="27" t="s">
        <v>163</v>
      </c>
      <c r="AC6" s="26" t="s">
        <v>165</v>
      </c>
      <c r="AD6" s="27" t="s">
        <v>166</v>
      </c>
      <c r="AE6" s="26" t="s">
        <v>167</v>
      </c>
      <c r="AF6" s="44" t="s">
        <v>168</v>
      </c>
      <c r="AG6" s="28"/>
    </row>
    <row r="7" spans="2:33" ht="30">
      <c r="B7" s="47">
        <v>3</v>
      </c>
      <c r="C7" s="385" t="s">
        <v>3551</v>
      </c>
      <c r="D7" s="389" t="s">
        <v>178</v>
      </c>
      <c r="E7" s="389">
        <f t="shared" si="0"/>
        <v>4</v>
      </c>
      <c r="F7" s="387" t="str" cm="1">
        <f t="array" ref="F7" xml:space="preserve"> IF($E7=0, "", INDEX($Q$5:$AG$54, $E7, F$1))</f>
        <v>規</v>
      </c>
      <c r="G7" s="350" t="str" cm="1">
        <f t="array" ref="G7" xml:space="preserve"> IF($E7=0, "", INDEX($Q$5:$AG$54, $E7, G$1))</f>
        <v>ㄨㄧ</v>
      </c>
      <c r="H7" s="350" t="str" cm="1">
        <f t="array" ref="H7" xml:space="preserve"> IF($E7=0, "", INDEX($Q$5:$AG$54, $E7, H$1))</f>
        <v>ㄨㄧㆷ</v>
      </c>
      <c r="I7" s="350" t="str" cm="1">
        <f t="array" ref="I7" xml:space="preserve"> IF($E7=0, "", INDEX($Q$5:$AG$54, $E7, I$1))</f>
        <v>ui</v>
      </c>
      <c r="J7" s="350" t="str" cm="1">
        <f t="array" ref="J7" xml:space="preserve"> IF($E7=0, "", INDEX($Q$5:$AG$54, $E7, J$1))</f>
        <v>uih</v>
      </c>
      <c r="K7" s="362"/>
      <c r="L7" s="362">
        <f t="shared" ref="L7:L54" si="2" xml:space="preserve"> IFERROR( MATCH(Y7,$I$5:$I$54,0), 0)</f>
        <v>29</v>
      </c>
      <c r="M7" s="366" t="str">
        <f t="shared" si="1"/>
        <v/>
      </c>
      <c r="N7" s="25" t="str" cm="1">
        <f t="array" ref="N7">IF($L7=0, INDEX($AC$5:$AC$54,$Q7,1), "")</f>
        <v/>
      </c>
      <c r="O7" s="25" t="str" cm="1">
        <f t="array" ref="O7">IF($L7=0, INDEX($Y$5:$Y$54,$Q7,1), "")</f>
        <v/>
      </c>
      <c r="Q7" s="47">
        <v>3</v>
      </c>
      <c r="R7" s="380" t="s">
        <v>170</v>
      </c>
      <c r="S7" s="26" t="s">
        <v>171</v>
      </c>
      <c r="T7" s="27" t="s">
        <v>172</v>
      </c>
      <c r="U7" s="26" t="s">
        <v>171</v>
      </c>
      <c r="V7" s="27" t="s">
        <v>173</v>
      </c>
      <c r="W7" s="150" t="s">
        <v>171</v>
      </c>
      <c r="X7" s="27" t="s">
        <v>172</v>
      </c>
      <c r="Y7" s="26" t="s">
        <v>171</v>
      </c>
      <c r="Z7" s="27" t="s">
        <v>172</v>
      </c>
      <c r="AA7" s="26" t="s">
        <v>171</v>
      </c>
      <c r="AB7" s="27" t="s">
        <v>172</v>
      </c>
      <c r="AC7" s="26" t="s">
        <v>174</v>
      </c>
      <c r="AD7" s="27" t="s">
        <v>175</v>
      </c>
      <c r="AE7" s="26" t="s">
        <v>171</v>
      </c>
      <c r="AF7" s="44" t="s">
        <v>172</v>
      </c>
      <c r="AG7" s="28"/>
    </row>
    <row r="8" spans="2:33" ht="30">
      <c r="B8" s="47">
        <v>4</v>
      </c>
      <c r="C8" s="385" t="s">
        <v>3552</v>
      </c>
      <c r="D8" s="389" t="s">
        <v>340</v>
      </c>
      <c r="E8" s="389">
        <f t="shared" si="0"/>
        <v>20</v>
      </c>
      <c r="F8" s="387" t="str" cm="1">
        <f t="array" ref="F8" xml:space="preserve"> IF($E8=0, "", INDEX($Q$5:$AG$54, $E8, F$1))</f>
        <v>瓜</v>
      </c>
      <c r="G8" s="350" t="str" cm="1">
        <f t="array" ref="G8" xml:space="preserve"> IF($E8=0, "", INDEX($Q$5:$AG$54, $E8, G$1))</f>
        <v>ㄨㄚ</v>
      </c>
      <c r="H8" s="350" t="str" cm="1">
        <f t="array" ref="H8" xml:space="preserve"> IF($E8=0, "", INDEX($Q$5:$AG$54, $E8, H$1))</f>
        <v>ㄨㄚㆷ</v>
      </c>
      <c r="I8" s="350" t="str" cm="1">
        <f t="array" ref="I8" xml:space="preserve"> IF($E8=0, "", INDEX($Q$5:$AG$54, $E8, I$1))</f>
        <v>ua</v>
      </c>
      <c r="J8" s="350" t="str" cm="1">
        <f t="array" ref="J8" xml:space="preserve"> IF($E8=0, "", INDEX($Q$5:$AG$54, $E8, J$1))</f>
        <v>uah</v>
      </c>
      <c r="K8" s="362"/>
      <c r="L8" s="362">
        <f t="shared" si="2"/>
        <v>3</v>
      </c>
      <c r="M8" s="366" t="str">
        <f t="shared" si="1"/>
        <v/>
      </c>
      <c r="N8" s="25" t="str" cm="1">
        <f t="array" ref="N8">IF($L8=0, INDEX($AC$5:$AC$54,$Q8,1), "")</f>
        <v/>
      </c>
      <c r="O8" s="25" t="str" cm="1">
        <f t="array" ref="O8">IF($L8=0, INDEX($Y$5:$Y$54,$Q8,1), "")</f>
        <v/>
      </c>
      <c r="Q8" s="47">
        <v>4</v>
      </c>
      <c r="R8" s="381" t="s">
        <v>177</v>
      </c>
      <c r="S8" s="26" t="s">
        <v>178</v>
      </c>
      <c r="T8" s="30" t="s">
        <v>179</v>
      </c>
      <c r="U8" s="31" t="s">
        <v>178</v>
      </c>
      <c r="V8" s="30" t="s">
        <v>180</v>
      </c>
      <c r="W8" s="150" t="s">
        <v>181</v>
      </c>
      <c r="X8" s="30" t="s">
        <v>182</v>
      </c>
      <c r="Y8" s="31" t="s">
        <v>178</v>
      </c>
      <c r="Z8" s="30" t="s">
        <v>179</v>
      </c>
      <c r="AA8" s="31" t="s">
        <v>178</v>
      </c>
      <c r="AB8" s="30" t="s">
        <v>182</v>
      </c>
      <c r="AC8" s="31" t="s">
        <v>183</v>
      </c>
      <c r="AD8" s="30" t="s">
        <v>184</v>
      </c>
      <c r="AE8" s="31" t="s">
        <v>185</v>
      </c>
      <c r="AF8" s="30"/>
      <c r="AG8" s="28"/>
    </row>
    <row r="9" spans="2:33" ht="30">
      <c r="B9" s="47">
        <v>5</v>
      </c>
      <c r="C9" s="385" t="s">
        <v>3553</v>
      </c>
      <c r="D9" s="389" t="s">
        <v>289</v>
      </c>
      <c r="E9" s="389">
        <f t="shared" si="0"/>
        <v>14</v>
      </c>
      <c r="F9" s="387" t="str" cm="1">
        <f t="array" ref="F9" xml:space="preserve"> IF($E9=0, "", INDEX($Q$5:$AG$54, $E9, F$1))</f>
        <v>恭</v>
      </c>
      <c r="G9" s="350" t="str" cm="1">
        <f t="array" ref="G9" xml:space="preserve"> IF($E9=0, "", INDEX($Q$5:$AG$54, $E9, G$1))</f>
        <v>ㄧㆲ</v>
      </c>
      <c r="H9" s="350" t="str" cm="1">
        <f t="array" ref="H9" xml:space="preserve"> IF($E9=0, "", INDEX($Q$5:$AG$54, $E9, H$1))</f>
        <v>ㄧㆦㆻ</v>
      </c>
      <c r="I9" s="350" t="str" cm="1">
        <f t="array" ref="I9" xml:space="preserve"> IF($E9=0, "", INDEX($Q$5:$AG$54, $E9, I$1))</f>
        <v>iong</v>
      </c>
      <c r="J9" s="350" t="str" cm="1">
        <f t="array" ref="J9" xml:space="preserve"> IF($E9=0, "", INDEX($Q$5:$AG$54, $E9, J$1))</f>
        <v>iok</v>
      </c>
      <c r="K9" s="362"/>
      <c r="L9" s="362">
        <f t="shared" si="2"/>
        <v>0</v>
      </c>
      <c r="M9" s="366" t="str">
        <f t="shared" si="1"/>
        <v>嘉</v>
      </c>
      <c r="N9" s="25" t="str" cm="1">
        <f t="array" ref="N9">IF($L9=0, INDEX($AC$5:$AC$54,$Q9,1), "")</f>
        <v>ㄝ</v>
      </c>
      <c r="O9" s="25" t="str" cm="1">
        <f t="array" ref="O9">IF($L9=0, INDEX($Y$5:$Y$54,$Q9,1), "")</f>
        <v>ee</v>
      </c>
      <c r="Q9" s="47">
        <v>5</v>
      </c>
      <c r="R9" s="382" t="s">
        <v>187</v>
      </c>
      <c r="S9" s="26" t="s">
        <v>188</v>
      </c>
      <c r="T9" s="27" t="s">
        <v>189</v>
      </c>
      <c r="U9" s="26" t="s">
        <v>190</v>
      </c>
      <c r="V9" s="27" t="s">
        <v>191</v>
      </c>
      <c r="W9" s="150" t="s">
        <v>188</v>
      </c>
      <c r="X9" s="27" t="s">
        <v>192</v>
      </c>
      <c r="Y9" s="26" t="s">
        <v>188</v>
      </c>
      <c r="Z9" s="27" t="s">
        <v>189</v>
      </c>
      <c r="AA9" s="320" t="s">
        <v>193</v>
      </c>
      <c r="AB9" s="320" t="s">
        <v>194</v>
      </c>
      <c r="AC9" s="26" t="s">
        <v>195</v>
      </c>
      <c r="AD9" s="27" t="s">
        <v>196</v>
      </c>
      <c r="AE9" s="26" t="s">
        <v>197</v>
      </c>
      <c r="AF9" s="44" t="s">
        <v>198</v>
      </c>
      <c r="AG9" s="33" t="s">
        <v>199</v>
      </c>
    </row>
    <row r="10" spans="2:33" ht="30">
      <c r="B10" s="47">
        <v>6</v>
      </c>
      <c r="C10" s="385" t="s">
        <v>3554</v>
      </c>
      <c r="D10" s="389" t="s">
        <v>532</v>
      </c>
      <c r="E10" s="389">
        <f t="shared" si="0"/>
        <v>37</v>
      </c>
      <c r="F10" s="387" t="str" cm="1">
        <f t="array" ref="F10" xml:space="preserve"> IF($E10=0, "", INDEX($Q$5:$AG$54, $E10, F$1))</f>
        <v>官</v>
      </c>
      <c r="G10" s="350" t="str" cm="1">
        <f t="array" ref="G10" xml:space="preserve"> IF($E10=0, "", INDEX($Q$5:$AG$54, $E10, G$1))</f>
        <v>ㄨㆩ</v>
      </c>
      <c r="H10" s="350" t="str" cm="1">
        <f t="array" ref="H10" xml:space="preserve"> IF($E10=0, "", INDEX($Q$5:$AG$54, $E10, H$1))</f>
        <v>ㄨㆩㆷ</v>
      </c>
      <c r="I10" s="350" t="str" cm="1">
        <f t="array" ref="I10" xml:space="preserve"> IF($E10=0, "", INDEX($Q$5:$AG$54, $E10, I$1))</f>
        <v>uann</v>
      </c>
      <c r="J10" s="350" t="str" cm="1">
        <f t="array" ref="J10" xml:space="preserve"> IF($E10=0, "", INDEX($Q$5:$AG$54, $E10, J$1))</f>
        <v>uannh</v>
      </c>
      <c r="K10" s="362"/>
      <c r="L10" s="362">
        <f t="shared" si="2"/>
        <v>0</v>
      </c>
      <c r="M10" s="366" t="str">
        <f t="shared" si="1"/>
        <v>干</v>
      </c>
      <c r="N10" s="25" t="str" cm="1">
        <f t="array" ref="N10">IF($L10=0, INDEX($AC$5:$AC$54,$Q10,1), "")</f>
        <v>ㄢ</v>
      </c>
      <c r="O10" s="25" t="str" cm="1">
        <f t="array" ref="O10">IF($L10=0, INDEX($Y$5:$Y$54,$Q10,1), "")</f>
        <v>an</v>
      </c>
      <c r="Q10" s="47">
        <v>6</v>
      </c>
      <c r="R10" s="380" t="s">
        <v>201</v>
      </c>
      <c r="S10" s="26" t="s">
        <v>202</v>
      </c>
      <c r="T10" s="27" t="s">
        <v>203</v>
      </c>
      <c r="U10" s="26" t="s">
        <v>202</v>
      </c>
      <c r="V10" s="27" t="s">
        <v>204</v>
      </c>
      <c r="W10" s="150" t="s">
        <v>202</v>
      </c>
      <c r="X10" s="27" t="s">
        <v>205</v>
      </c>
      <c r="Y10" s="26" t="s">
        <v>202</v>
      </c>
      <c r="Z10" s="27" t="s">
        <v>206</v>
      </c>
      <c r="AA10" s="26" t="s">
        <v>202</v>
      </c>
      <c r="AB10" s="27" t="s">
        <v>205</v>
      </c>
      <c r="AC10" s="34" t="s">
        <v>207</v>
      </c>
      <c r="AD10" s="27" t="s">
        <v>208</v>
      </c>
      <c r="AE10" s="26" t="s">
        <v>202</v>
      </c>
      <c r="AF10" s="44" t="s">
        <v>205</v>
      </c>
      <c r="AG10" s="28"/>
    </row>
    <row r="11" spans="2:33" ht="34">
      <c r="B11" s="47">
        <v>7</v>
      </c>
      <c r="C11" s="385" t="s">
        <v>298</v>
      </c>
      <c r="D11" s="389" t="s">
        <v>252</v>
      </c>
      <c r="E11" s="389">
        <f t="shared" si="0"/>
        <v>11</v>
      </c>
      <c r="F11" s="387" t="str" cm="1">
        <f t="array" ref="F11" xml:space="preserve"> IF($E11=0, "", INDEX($Q$5:$AG$54, $E11, F$1))</f>
        <v>沽</v>
      </c>
      <c r="G11" s="350" t="str" cm="1">
        <f t="array" ref="G11" xml:space="preserve"> IF($E11=0, "", INDEX($Q$5:$AG$54, $E11, G$1))</f>
        <v>ㆦ</v>
      </c>
      <c r="H11" s="350" t="str" cm="1">
        <f t="array" ref="H11" xml:space="preserve"> IF($E11=0, "", INDEX($Q$5:$AG$54, $E11, H$1))</f>
        <v>ㆦㆷ</v>
      </c>
      <c r="I11" s="350" t="str" cm="1">
        <f t="array" ref="I11" xml:space="preserve"> IF($E11=0, "", INDEX($Q$5:$AG$54, $E11, I$1))</f>
        <v>oo</v>
      </c>
      <c r="J11" s="350" t="str" cm="1">
        <f t="array" ref="J11" xml:space="preserve"> IF($E11=0, "", INDEX($Q$5:$AG$54, $E11, J$1))</f>
        <v>ooh</v>
      </c>
      <c r="K11" s="362"/>
      <c r="L11" s="362">
        <f t="shared" si="2"/>
        <v>11</v>
      </c>
      <c r="M11" s="366" t="str">
        <f t="shared" si="1"/>
        <v/>
      </c>
      <c r="N11" s="25" t="str" cm="1">
        <f t="array" ref="N11">IF($L11=0, INDEX($AC$5:$AC$54,$Q11,1), "")</f>
        <v/>
      </c>
      <c r="O11" s="25" t="str" cm="1">
        <f t="array" ref="O11">IF($L11=0, INDEX($Y$5:$Y$54,$Q11,1), "")</f>
        <v/>
      </c>
      <c r="Q11" s="47">
        <v>7</v>
      </c>
      <c r="R11" s="380" t="s">
        <v>210</v>
      </c>
      <c r="S11" s="26" t="s">
        <v>211</v>
      </c>
      <c r="T11" s="27" t="s">
        <v>212</v>
      </c>
      <c r="U11" s="26" t="s">
        <v>213</v>
      </c>
      <c r="V11" s="27" t="s">
        <v>214</v>
      </c>
      <c r="W11" s="150" t="s">
        <v>211</v>
      </c>
      <c r="X11" s="27" t="s">
        <v>212</v>
      </c>
      <c r="Y11" s="26" t="s">
        <v>211</v>
      </c>
      <c r="Z11" s="27" t="s">
        <v>212</v>
      </c>
      <c r="AA11" s="26" t="s">
        <v>211</v>
      </c>
      <c r="AB11" s="27" t="s">
        <v>212</v>
      </c>
      <c r="AC11" s="26" t="s">
        <v>215</v>
      </c>
      <c r="AD11" s="27" t="s">
        <v>216</v>
      </c>
      <c r="AE11" s="26" t="s">
        <v>211</v>
      </c>
      <c r="AF11" s="44" t="s">
        <v>212</v>
      </c>
      <c r="AG11" s="353" t="s">
        <v>217</v>
      </c>
    </row>
    <row r="12" spans="2:33" ht="30">
      <c r="B12" s="47">
        <v>8</v>
      </c>
      <c r="C12" s="385" t="s">
        <v>3555</v>
      </c>
      <c r="D12" s="389" t="s">
        <v>231</v>
      </c>
      <c r="E12" s="389">
        <f t="shared" si="0"/>
        <v>9</v>
      </c>
      <c r="F12" s="387" t="str" cm="1">
        <f t="array" ref="F12" xml:space="preserve"> IF($E12=0, "", INDEX($Q$5:$AG$54, $E12, F$1))</f>
        <v>經</v>
      </c>
      <c r="G12" s="350" t="str" cm="1">
        <f t="array" ref="G12" xml:space="preserve"> IF($E12=0, "", INDEX($Q$5:$AG$54, $E12, G$1))</f>
        <v>ㄧㄥ</v>
      </c>
      <c r="H12" s="350" t="str" cm="1">
        <f t="array" ref="H12" xml:space="preserve"> IF($E12=0, "", INDEX($Q$5:$AG$54, $E12, H$1))</f>
        <v>ㄧㆻ</v>
      </c>
      <c r="I12" s="350" t="str" cm="1">
        <f t="array" ref="I12" xml:space="preserve"> IF($E12=0, "", INDEX($Q$5:$AG$54, $E12, I$1))</f>
        <v>ing</v>
      </c>
      <c r="J12" s="350" t="str" cm="1">
        <f t="array" ref="J12" xml:space="preserve"> IF($E12=0, "", INDEX($Q$5:$AG$54, $E12, J$1))</f>
        <v>ik</v>
      </c>
      <c r="K12" s="362"/>
      <c r="L12" s="362">
        <f t="shared" si="2"/>
        <v>32</v>
      </c>
      <c r="M12" s="366" t="str">
        <f t="shared" si="1"/>
        <v/>
      </c>
      <c r="N12" s="25" t="str" cm="1">
        <f t="array" ref="N12">IF($L12=0, INDEX($AC$5:$AC$54,$Q12,1), "")</f>
        <v/>
      </c>
      <c r="O12" s="25" t="str" cm="1">
        <f t="array" ref="O12">IF($L12=0, INDEX($Y$5:$Y$54,$Q12,1), "")</f>
        <v/>
      </c>
      <c r="Q12" s="47">
        <v>8</v>
      </c>
      <c r="R12" s="380" t="s">
        <v>219</v>
      </c>
      <c r="S12" s="26" t="s">
        <v>220</v>
      </c>
      <c r="T12" s="27" t="s">
        <v>221</v>
      </c>
      <c r="U12" s="26" t="s">
        <v>220</v>
      </c>
      <c r="V12" s="40" t="s">
        <v>222</v>
      </c>
      <c r="W12" s="151" t="s">
        <v>223</v>
      </c>
      <c r="X12" s="40" t="s">
        <v>224</v>
      </c>
      <c r="Y12" s="26" t="s">
        <v>220</v>
      </c>
      <c r="Z12" s="27" t="s">
        <v>221</v>
      </c>
      <c r="AA12" s="26" t="s">
        <v>220</v>
      </c>
      <c r="AB12" s="27" t="s">
        <v>221</v>
      </c>
      <c r="AC12" s="351" t="s">
        <v>225</v>
      </c>
      <c r="AD12" s="27" t="s">
        <v>226</v>
      </c>
      <c r="AE12" s="26" t="s">
        <v>227</v>
      </c>
      <c r="AF12" s="44" t="s">
        <v>228</v>
      </c>
      <c r="AG12" s="28"/>
    </row>
    <row r="13" spans="2:33" ht="34">
      <c r="B13" s="47">
        <v>9</v>
      </c>
      <c r="C13" s="385" t="s">
        <v>3556</v>
      </c>
      <c r="D13" s="389" t="s">
        <v>389</v>
      </c>
      <c r="E13" s="389">
        <f t="shared" si="0"/>
        <v>25</v>
      </c>
      <c r="F13" s="387" t="str" cm="1">
        <f t="array" ref="F13" xml:space="preserve"> IF($E13=0, "", INDEX($Q$5:$AG$54, $E13, F$1))</f>
        <v>檜</v>
      </c>
      <c r="G13" s="350" t="str" cm="1">
        <f t="array" ref="G13" xml:space="preserve"> IF($E13=0, "", INDEX($Q$5:$AG$54, $E13, G$1))</f>
        <v>ㄨㆤ</v>
      </c>
      <c r="H13" s="350" t="str" cm="1">
        <f t="array" ref="H13" xml:space="preserve"> IF($E13=0, "", INDEX($Q$5:$AG$54, $E13, H$1))</f>
        <v>ㄨㆤㆷ</v>
      </c>
      <c r="I13" s="350" t="str" cm="1">
        <f t="array" ref="I13" xml:space="preserve"> IF($E13=0, "", INDEX($Q$5:$AG$54, $E13, I$1))</f>
        <v>ue</v>
      </c>
      <c r="J13" s="350" t="str" cm="1">
        <f t="array" ref="J13" xml:space="preserve"> IF($E13=0, "", INDEX($Q$5:$AG$54, $E13, J$1))</f>
        <v>ueh</v>
      </c>
      <c r="K13" s="362"/>
      <c r="L13" s="362">
        <f t="shared" si="2"/>
        <v>8</v>
      </c>
      <c r="M13" s="366" t="str">
        <f t="shared" si="1"/>
        <v/>
      </c>
      <c r="N13" s="25" t="str" cm="1">
        <f t="array" ref="N13">IF($L13=0, INDEX($AC$5:$AC$54,$Q13,1), "")</f>
        <v/>
      </c>
      <c r="O13" s="25" t="str" cm="1">
        <f t="array" ref="O13">IF($L13=0, INDEX($Y$5:$Y$54,$Q13,1), "")</f>
        <v/>
      </c>
      <c r="Q13" s="47">
        <v>9</v>
      </c>
      <c r="R13" s="380" t="s">
        <v>230</v>
      </c>
      <c r="S13" s="26" t="s">
        <v>231</v>
      </c>
      <c r="T13" s="27" t="s">
        <v>232</v>
      </c>
      <c r="U13" s="26" t="s">
        <v>233</v>
      </c>
      <c r="V13" s="27" t="s">
        <v>234</v>
      </c>
      <c r="W13" s="150" t="s">
        <v>235</v>
      </c>
      <c r="X13" s="27" t="s">
        <v>236</v>
      </c>
      <c r="Y13" s="26" t="s">
        <v>231</v>
      </c>
      <c r="Z13" s="27" t="s">
        <v>232</v>
      </c>
      <c r="AA13" s="26" t="s">
        <v>231</v>
      </c>
      <c r="AB13" s="27" t="s">
        <v>232</v>
      </c>
      <c r="AC13" s="352" t="s">
        <v>237</v>
      </c>
      <c r="AD13" s="251" t="s">
        <v>238</v>
      </c>
      <c r="AE13" s="26" t="s">
        <v>235</v>
      </c>
      <c r="AF13" s="44" t="s">
        <v>236</v>
      </c>
      <c r="AG13" s="28"/>
    </row>
    <row r="14" spans="2:33" ht="30">
      <c r="B14" s="47">
        <v>10</v>
      </c>
      <c r="C14" s="385" t="s">
        <v>3557</v>
      </c>
      <c r="D14" s="389" t="s">
        <v>324</v>
      </c>
      <c r="E14" s="389">
        <f t="shared" si="0"/>
        <v>18</v>
      </c>
      <c r="F14" s="387" t="str" cm="1">
        <f t="array" ref="F14" xml:space="preserve"> IF($E14=0, "", INDEX($Q$5:$AG$54, $E14, F$1))</f>
        <v>姜</v>
      </c>
      <c r="G14" s="350" t="str" cm="1">
        <f t="array" ref="G14" xml:space="preserve"> IF($E14=0, "", INDEX($Q$5:$AG$54, $E14, G$1))</f>
        <v>ㄧㄤ</v>
      </c>
      <c r="H14" s="350" t="str" cm="1">
        <f t="array" ref="H14" xml:space="preserve"> IF($E14=0, "", INDEX($Q$5:$AG$54, $E14, H$1))</f>
        <v>ㄧㄚㆻ</v>
      </c>
      <c r="I14" s="350" t="str" cm="1">
        <f t="array" ref="I14" xml:space="preserve"> IF($E14=0, "", INDEX($Q$5:$AG$54, $E14, I$1))</f>
        <v>iang</v>
      </c>
      <c r="J14" s="350" t="str" cm="1">
        <f t="array" ref="J14" xml:space="preserve"> IF($E14=0, "", INDEX($Q$5:$AG$54, $E14, J$1))</f>
        <v>iak</v>
      </c>
      <c r="K14" s="362"/>
      <c r="L14" s="362">
        <f t="shared" si="2"/>
        <v>31</v>
      </c>
      <c r="M14" s="366" t="str">
        <f t="shared" si="1"/>
        <v/>
      </c>
      <c r="N14" s="25" t="str" cm="1">
        <f t="array" ref="N14">IF($L14=0, INDEX($AC$5:$AC$54,$Q14,1), "")</f>
        <v/>
      </c>
      <c r="O14" s="25" t="str" cm="1">
        <f t="array" ref="O14">IF($L14=0, INDEX($Y$5:$Y$54,$Q14,1), "")</f>
        <v/>
      </c>
      <c r="Q14" s="47">
        <v>10</v>
      </c>
      <c r="R14" s="380" t="s">
        <v>240</v>
      </c>
      <c r="S14" s="26" t="s">
        <v>241</v>
      </c>
      <c r="T14" s="27" t="s">
        <v>242</v>
      </c>
      <c r="U14" s="26" t="s">
        <v>241</v>
      </c>
      <c r="V14" s="40" t="s">
        <v>243</v>
      </c>
      <c r="W14" s="151" t="s">
        <v>244</v>
      </c>
      <c r="X14" s="40" t="s">
        <v>245</v>
      </c>
      <c r="Y14" s="26" t="s">
        <v>241</v>
      </c>
      <c r="Z14" s="27" t="s">
        <v>242</v>
      </c>
      <c r="AA14" s="26" t="s">
        <v>241</v>
      </c>
      <c r="AB14" s="27" t="s">
        <v>242</v>
      </c>
      <c r="AC14" s="26" t="s">
        <v>246</v>
      </c>
      <c r="AD14" s="27" t="s">
        <v>247</v>
      </c>
      <c r="AE14" s="26" t="s">
        <v>248</v>
      </c>
      <c r="AF14" s="44" t="s">
        <v>249</v>
      </c>
      <c r="AG14" s="28"/>
    </row>
    <row r="15" spans="2:33" ht="30">
      <c r="B15" s="47">
        <v>11</v>
      </c>
      <c r="C15" s="385" t="s">
        <v>3558</v>
      </c>
      <c r="D15" s="389" t="s">
        <v>211</v>
      </c>
      <c r="E15" s="389">
        <f t="shared" si="0"/>
        <v>7</v>
      </c>
      <c r="F15" s="387" t="str" cm="1">
        <f t="array" ref="F15" xml:space="preserve"> IF($E15=0, "", INDEX($Q$5:$AG$54, $E15, F$1))</f>
        <v>公</v>
      </c>
      <c r="G15" s="350" t="str" cm="1">
        <f t="array" ref="G15" xml:space="preserve"> IF($E15=0, "", INDEX($Q$5:$AG$54, $E15, G$1))</f>
        <v>ㆲ</v>
      </c>
      <c r="H15" s="350" t="str" cm="1">
        <f t="array" ref="H15" xml:space="preserve"> IF($E15=0, "", INDEX($Q$5:$AG$54, $E15, H$1))</f>
        <v>ㆦㆻ</v>
      </c>
      <c r="I15" s="350" t="str" cm="1">
        <f t="array" ref="I15" xml:space="preserve"> IF($E15=0, "", INDEX($Q$5:$AG$54, $E15, I$1))</f>
        <v>ong</v>
      </c>
      <c r="J15" s="350" t="str" cm="1">
        <f t="array" ref="J15" xml:space="preserve"> IF($E15=0, "", INDEX($Q$5:$AG$54, $E15, J$1))</f>
        <v>ok</v>
      </c>
      <c r="K15" s="362"/>
      <c r="L15" s="362">
        <f t="shared" si="2"/>
        <v>7</v>
      </c>
      <c r="M15" s="366" t="str">
        <f t="shared" si="1"/>
        <v/>
      </c>
      <c r="N15" s="25" t="str" cm="1">
        <f t="array" ref="N15">IF($L15=0, INDEX($AC$5:$AC$54,$Q15,1), "")</f>
        <v/>
      </c>
      <c r="O15" s="25" t="str" cm="1">
        <f t="array" ref="O15">IF($L15=0, INDEX($Y$5:$Y$54,$Q15,1), "")</f>
        <v/>
      </c>
      <c r="Q15" s="47">
        <v>11</v>
      </c>
      <c r="R15" s="380" t="s">
        <v>251</v>
      </c>
      <c r="S15" s="26" t="s">
        <v>252</v>
      </c>
      <c r="T15" s="26" t="s">
        <v>253</v>
      </c>
      <c r="U15" s="26" t="s">
        <v>254</v>
      </c>
      <c r="V15" s="26" t="s">
        <v>255</v>
      </c>
      <c r="W15" s="150" t="s">
        <v>256</v>
      </c>
      <c r="X15" s="26" t="s">
        <v>257</v>
      </c>
      <c r="Y15" s="26" t="s">
        <v>252</v>
      </c>
      <c r="Z15" s="26" t="s">
        <v>253</v>
      </c>
      <c r="AA15" s="26" t="s">
        <v>252</v>
      </c>
      <c r="AB15" s="26" t="s">
        <v>258</v>
      </c>
      <c r="AC15" s="26" t="s">
        <v>259</v>
      </c>
      <c r="AD15" s="26" t="s">
        <v>260</v>
      </c>
      <c r="AE15" s="26" t="s">
        <v>261</v>
      </c>
      <c r="AF15" s="35"/>
      <c r="AG15" s="33" t="s">
        <v>262</v>
      </c>
    </row>
    <row r="16" spans="2:33" ht="30">
      <c r="B16" s="47">
        <v>12</v>
      </c>
      <c r="C16" s="385" t="s">
        <v>3559</v>
      </c>
      <c r="D16" s="389" t="s">
        <v>368</v>
      </c>
      <c r="E16" s="389">
        <f t="shared" si="0"/>
        <v>23</v>
      </c>
      <c r="F16" s="387" t="str" cm="1">
        <f t="array" ref="F16" xml:space="preserve"> IF($E16=0, "", INDEX($Q$5:$AG$54, $E16, F$1))</f>
        <v>交</v>
      </c>
      <c r="G16" s="350" t="str" cm="1">
        <f t="array" ref="G16" xml:space="preserve"> IF($E16=0, "", INDEX($Q$5:$AG$54, $E16, G$1))</f>
        <v>ㄠ</v>
      </c>
      <c r="H16" s="350" t="str" cm="1">
        <f t="array" ref="H16" xml:space="preserve"> IF($E16=0, "", INDEX($Q$5:$AG$54, $E16, H$1))</f>
        <v>ㄠㆷ</v>
      </c>
      <c r="I16" s="350" t="str" cm="1">
        <f t="array" ref="I16" xml:space="preserve"> IF($E16=0, "", INDEX($Q$5:$AG$54, $E16, I$1))</f>
        <v>au</v>
      </c>
      <c r="J16" s="350" t="str" cm="1">
        <f t="array" ref="J16" xml:space="preserve"> IF($E16=0, "", INDEX($Q$5:$AG$54, $E16, J$1))</f>
        <v>auh</v>
      </c>
      <c r="K16" s="362"/>
      <c r="L16" s="362">
        <f t="shared" si="2"/>
        <v>2</v>
      </c>
      <c r="M16" s="366" t="str">
        <f t="shared" si="1"/>
        <v/>
      </c>
      <c r="N16" s="25" t="str" cm="1">
        <f t="array" ref="N16">IF($L16=0, INDEX($AC$5:$AC$54,$Q16,1), "")</f>
        <v/>
      </c>
      <c r="O16" s="25" t="str" cm="1">
        <f t="array" ref="O16">IF($L16=0, INDEX($Y$5:$Y$54,$Q16,1), "")</f>
        <v/>
      </c>
      <c r="Q16" s="47">
        <v>12</v>
      </c>
      <c r="R16" s="380" t="s">
        <v>264</v>
      </c>
      <c r="S16" s="26" t="s">
        <v>265</v>
      </c>
      <c r="T16" s="27" t="s">
        <v>266</v>
      </c>
      <c r="U16" s="26" t="s">
        <v>267</v>
      </c>
      <c r="V16" s="40" t="s">
        <v>268</v>
      </c>
      <c r="W16" s="151" t="s">
        <v>265</v>
      </c>
      <c r="X16" s="40" t="s">
        <v>266</v>
      </c>
      <c r="Y16" s="26" t="s">
        <v>265</v>
      </c>
      <c r="Z16" s="27" t="s">
        <v>266</v>
      </c>
      <c r="AA16" s="26" t="s">
        <v>269</v>
      </c>
      <c r="AB16" s="27" t="s">
        <v>270</v>
      </c>
      <c r="AC16" s="26" t="s">
        <v>271</v>
      </c>
      <c r="AD16" s="27" t="s">
        <v>272</v>
      </c>
      <c r="AE16" s="26" t="s">
        <v>273</v>
      </c>
      <c r="AF16" s="44" t="s">
        <v>274</v>
      </c>
      <c r="AG16" s="28"/>
    </row>
    <row r="17" spans="2:33" ht="30">
      <c r="B17" s="47">
        <v>13</v>
      </c>
      <c r="C17" s="385" t="s">
        <v>3560</v>
      </c>
      <c r="D17" s="389" t="s">
        <v>307</v>
      </c>
      <c r="E17" s="389">
        <f t="shared" si="0"/>
        <v>16</v>
      </c>
      <c r="F17" s="387" t="str" cm="1">
        <f t="array" ref="F17" xml:space="preserve"> IF($E17=0, "", INDEX($Q$5:$AG$54, $E17, F$1))</f>
        <v>皆</v>
      </c>
      <c r="G17" s="350" t="str" cm="1">
        <f t="array" ref="G17" xml:space="preserve"> IF($E17=0, "", INDEX($Q$5:$AG$54, $E17, G$1))</f>
        <v>ㄞ</v>
      </c>
      <c r="H17" s="350" t="str" cm="1">
        <f t="array" ref="H17" xml:space="preserve"> IF($E17=0, "", INDEX($Q$5:$AG$54, $E17, H$1))</f>
        <v>ㄞㆷ</v>
      </c>
      <c r="I17" s="350" t="str" cm="1">
        <f t="array" ref="I17" xml:space="preserve"> IF($E17=0, "", INDEX($Q$5:$AG$54, $E17, I$1))</f>
        <v>ai</v>
      </c>
      <c r="J17" s="350" t="str" cm="1">
        <f t="array" ref="J17" xml:space="preserve"> IF($E17=0, "", INDEX($Q$5:$AG$54, $E17, J$1))</f>
        <v>aih</v>
      </c>
      <c r="K17" s="362"/>
      <c r="L17" s="362">
        <f t="shared" si="2"/>
        <v>0</v>
      </c>
      <c r="M17" s="366" t="str">
        <f t="shared" si="1"/>
        <v>稽</v>
      </c>
      <c r="N17" s="25" t="str" cm="1">
        <f t="array" ref="N17">IF($L17=0, INDEX($AC$5:$AC$54,$Q17,1), "")</f>
        <v>ㄟ</v>
      </c>
      <c r="O17" s="25" t="str" cm="1">
        <f t="array" ref="O17">IF($L17=0, INDEX($Y$5:$Y$54,$Q17,1), "")</f>
        <v>ei</v>
      </c>
      <c r="Q17" s="47">
        <v>13</v>
      </c>
      <c r="R17" s="382" t="s">
        <v>277</v>
      </c>
      <c r="S17" s="26" t="s">
        <v>278</v>
      </c>
      <c r="T17" s="30" t="s">
        <v>189</v>
      </c>
      <c r="U17" s="26" t="s">
        <v>279</v>
      </c>
      <c r="V17" s="30" t="s">
        <v>280</v>
      </c>
      <c r="W17" s="151" t="s">
        <v>279</v>
      </c>
      <c r="X17" s="129" t="s">
        <v>281</v>
      </c>
      <c r="Y17" s="36" t="s">
        <v>282</v>
      </c>
      <c r="Z17" s="30" t="s">
        <v>281</v>
      </c>
      <c r="AA17" s="320" t="s">
        <v>193</v>
      </c>
      <c r="AB17" s="320" t="s">
        <v>194</v>
      </c>
      <c r="AC17" s="36" t="s">
        <v>283</v>
      </c>
      <c r="AD17" s="30" t="s">
        <v>284</v>
      </c>
      <c r="AE17" s="26" t="s">
        <v>285</v>
      </c>
      <c r="AF17" s="30"/>
      <c r="AG17" s="33" t="s">
        <v>286</v>
      </c>
    </row>
    <row r="18" spans="2:33" ht="30">
      <c r="B18" s="47">
        <v>14</v>
      </c>
      <c r="C18" s="385" t="s">
        <v>431</v>
      </c>
      <c r="D18" s="389" t="s">
        <v>3589</v>
      </c>
      <c r="E18" s="389">
        <f t="shared" si="0"/>
        <v>0</v>
      </c>
      <c r="F18" s="387" t="str" cm="1">
        <f t="array" ref="F18" xml:space="preserve"> IF($E18=0, "", INDEX($Q$5:$AG$54, $E18, F$1))</f>
        <v/>
      </c>
      <c r="G18" s="350" t="str" cm="1">
        <f t="array" ref="G18" xml:space="preserve"> IF($E18=0, "", INDEX($Q$5:$AG$54, $E18, G$1))</f>
        <v/>
      </c>
      <c r="H18" s="350" t="str" cm="1">
        <f t="array" ref="H18" xml:space="preserve"> IF($E18=0, "", INDEX($Q$5:$AG$54, $E18, H$1))</f>
        <v/>
      </c>
      <c r="I18" s="350" t="str" cm="1">
        <f t="array" ref="I18" xml:space="preserve"> IF($E18=0, "", INDEX($Q$5:$AG$54, $E18, I$1))</f>
        <v/>
      </c>
      <c r="J18" s="350" t="str" cm="1">
        <f t="array" ref="J18" xml:space="preserve"> IF($E18=0, "", INDEX($Q$5:$AG$54, $E18, J$1))</f>
        <v/>
      </c>
      <c r="K18" s="362"/>
      <c r="L18" s="362">
        <f t="shared" si="2"/>
        <v>5</v>
      </c>
      <c r="M18" s="366" t="str">
        <f t="shared" si="1"/>
        <v/>
      </c>
      <c r="N18" s="25" t="str" cm="1">
        <f t="array" ref="N18">IF($L18=0, INDEX($AC$5:$AC$54,$Q18,1), "")</f>
        <v/>
      </c>
      <c r="O18" s="25" t="str" cm="1">
        <f t="array" ref="O18">IF($L18=0, INDEX($Y$5:$Y$54,$Q18,1), "")</f>
        <v/>
      </c>
      <c r="Q18" s="47">
        <v>14</v>
      </c>
      <c r="R18" s="380" t="s">
        <v>288</v>
      </c>
      <c r="S18" s="26" t="s">
        <v>289</v>
      </c>
      <c r="T18" s="27" t="s">
        <v>290</v>
      </c>
      <c r="U18" s="26" t="s">
        <v>291</v>
      </c>
      <c r="V18" s="27" t="s">
        <v>292</v>
      </c>
      <c r="W18" s="152" t="s">
        <v>289</v>
      </c>
      <c r="X18" s="38" t="s">
        <v>290</v>
      </c>
      <c r="Y18" s="37" t="s">
        <v>289</v>
      </c>
      <c r="Z18" s="38" t="s">
        <v>290</v>
      </c>
      <c r="AA18" s="26" t="s">
        <v>289</v>
      </c>
      <c r="AB18" s="27" t="s">
        <v>290</v>
      </c>
      <c r="AC18" s="37" t="s">
        <v>293</v>
      </c>
      <c r="AD18" s="252" t="s">
        <v>294</v>
      </c>
      <c r="AE18" s="26" t="s">
        <v>295</v>
      </c>
      <c r="AF18" s="44" t="s">
        <v>296</v>
      </c>
      <c r="AG18" s="28"/>
    </row>
    <row r="19" spans="2:33" ht="30">
      <c r="B19" s="47">
        <v>15</v>
      </c>
      <c r="C19" s="385" t="s">
        <v>3561</v>
      </c>
      <c r="D19" s="389" t="s">
        <v>415</v>
      </c>
      <c r="E19" s="389">
        <f t="shared" si="0"/>
        <v>27</v>
      </c>
      <c r="F19" s="387" t="str" cm="1">
        <f t="array" ref="F19" xml:space="preserve"> IF($E19=0, "", INDEX($Q$5:$AG$54, $E19, F$1))</f>
        <v>艍</v>
      </c>
      <c r="G19" s="350" t="str" cm="1">
        <f t="array" ref="G19" xml:space="preserve"> IF($E19=0, "", INDEX($Q$5:$AG$54, $E19, G$1))</f>
        <v>ㄨ</v>
      </c>
      <c r="H19" s="350" t="str" cm="1">
        <f t="array" ref="H19" xml:space="preserve"> IF($E19=0, "", INDEX($Q$5:$AG$54, $E19, H$1))</f>
        <v>ㄨㆷ</v>
      </c>
      <c r="I19" s="350" t="str" cm="1">
        <f t="array" ref="I19" xml:space="preserve"> IF($E19=0, "", INDEX($Q$5:$AG$54, $E19, I$1))</f>
        <v>u</v>
      </c>
      <c r="J19" s="350" t="str" cm="1">
        <f t="array" ref="J19" xml:space="preserve"> IF($E19=0, "", INDEX($Q$5:$AG$54, $E19, J$1))</f>
        <v>uh</v>
      </c>
      <c r="K19" s="362"/>
      <c r="L19" s="362">
        <f t="shared" si="2"/>
        <v>38</v>
      </c>
      <c r="M19" s="366" t="str">
        <f t="shared" si="1"/>
        <v/>
      </c>
      <c r="N19" s="25" t="str" cm="1">
        <f t="array" ref="N19">IF($L19=0, INDEX($AC$5:$AC$54,$Q19,1), "")</f>
        <v/>
      </c>
      <c r="O19" s="25" t="str" cm="1">
        <f t="array" ref="O19">IF($L19=0, INDEX($Y$5:$Y$54,$Q19,1), "")</f>
        <v/>
      </c>
      <c r="Q19" s="47">
        <v>15</v>
      </c>
      <c r="R19" s="380" t="s">
        <v>298</v>
      </c>
      <c r="S19" s="26" t="s">
        <v>299</v>
      </c>
      <c r="T19" s="27" t="s">
        <v>300</v>
      </c>
      <c r="U19" s="26" t="s">
        <v>299</v>
      </c>
      <c r="V19" s="40" t="s">
        <v>301</v>
      </c>
      <c r="W19" s="151" t="s">
        <v>299</v>
      </c>
      <c r="X19" s="40" t="s">
        <v>300</v>
      </c>
      <c r="Y19" s="26" t="s">
        <v>299</v>
      </c>
      <c r="Z19" s="27" t="s">
        <v>300</v>
      </c>
      <c r="AA19" s="26" t="s">
        <v>299</v>
      </c>
      <c r="AB19" s="27" t="s">
        <v>300</v>
      </c>
      <c r="AC19" s="26" t="s">
        <v>302</v>
      </c>
      <c r="AD19" s="27" t="s">
        <v>303</v>
      </c>
      <c r="AE19" s="26" t="s">
        <v>299</v>
      </c>
      <c r="AF19" s="44" t="s">
        <v>304</v>
      </c>
      <c r="AG19" s="28"/>
    </row>
    <row r="20" spans="2:33" ht="30">
      <c r="B20" s="47">
        <v>16</v>
      </c>
      <c r="C20" s="385" t="s">
        <v>187</v>
      </c>
      <c r="D20" s="389" t="s">
        <v>424</v>
      </c>
      <c r="E20" s="389">
        <f t="shared" si="0"/>
        <v>28</v>
      </c>
      <c r="F20" s="387" t="str" cm="1">
        <f t="array" ref="F20" xml:space="preserve"> IF($E20=0, "", INDEX($Q$5:$AG$54, $E20, F$1))</f>
        <v>膠</v>
      </c>
      <c r="G20" s="350" t="str" cm="1">
        <f t="array" ref="G20" xml:space="preserve"> IF($E20=0, "", INDEX($Q$5:$AG$54, $E20, G$1))</f>
        <v>ㄚ</v>
      </c>
      <c r="H20" s="350" t="str" cm="1">
        <f t="array" ref="H20" xml:space="preserve"> IF($E20=0, "", INDEX($Q$5:$AG$54, $E20, H$1))</f>
        <v>ㄚㆷ</v>
      </c>
      <c r="I20" s="350" t="str" cm="1">
        <f t="array" ref="I20" xml:space="preserve"> IF($E20=0, "", INDEX($Q$5:$AG$54, $E20, I$1))</f>
        <v>a</v>
      </c>
      <c r="J20" s="350" t="str" cm="1">
        <f t="array" ref="J20" xml:space="preserve"> IF($E20=0, "", INDEX($Q$5:$AG$54, $E20, J$1))</f>
        <v>ah</v>
      </c>
      <c r="K20" s="362"/>
      <c r="L20" s="362">
        <f t="shared" si="2"/>
        <v>13</v>
      </c>
      <c r="M20" s="366" t="str">
        <f t="shared" si="1"/>
        <v/>
      </c>
      <c r="N20" s="25" t="str" cm="1">
        <f t="array" ref="N20">IF($L20=0, INDEX($AC$5:$AC$54,$Q20,1), "")</f>
        <v/>
      </c>
      <c r="O20" s="25" t="str" cm="1">
        <f t="array" ref="O20">IF($L20=0, INDEX($Y$5:$Y$54,$Q20,1), "")</f>
        <v/>
      </c>
      <c r="Q20" s="47">
        <v>16</v>
      </c>
      <c r="R20" s="380" t="s">
        <v>306</v>
      </c>
      <c r="S20" s="26" t="s">
        <v>307</v>
      </c>
      <c r="T20" s="30" t="s">
        <v>308</v>
      </c>
      <c r="U20" s="26" t="s">
        <v>309</v>
      </c>
      <c r="V20" s="30" t="s">
        <v>310</v>
      </c>
      <c r="W20" s="151" t="s">
        <v>307</v>
      </c>
      <c r="X20" s="30" t="s">
        <v>311</v>
      </c>
      <c r="Y20" s="26" t="s">
        <v>307</v>
      </c>
      <c r="Z20" s="30" t="s">
        <v>308</v>
      </c>
      <c r="AA20" s="26" t="s">
        <v>307</v>
      </c>
      <c r="AB20" s="30" t="s">
        <v>311</v>
      </c>
      <c r="AC20" s="26" t="s">
        <v>312</v>
      </c>
      <c r="AD20" s="30" t="s">
        <v>313</v>
      </c>
      <c r="AE20" s="26" t="s">
        <v>314</v>
      </c>
      <c r="AF20" s="30"/>
      <c r="AG20" s="28"/>
    </row>
    <row r="21" spans="2:33" ht="30">
      <c r="B21" s="47">
        <v>17</v>
      </c>
      <c r="C21" s="385" t="s">
        <v>3562</v>
      </c>
      <c r="D21" s="389" t="s">
        <v>317</v>
      </c>
      <c r="E21" s="389">
        <f t="shared" si="0"/>
        <v>17</v>
      </c>
      <c r="F21" s="387" t="str" cm="1">
        <f t="array" ref="F21" xml:space="preserve"> IF($E21=0, "", INDEX($Q$5:$AG$54, $E21, F$1))</f>
        <v>巾</v>
      </c>
      <c r="G21" s="350" t="str" cm="1">
        <f t="array" ref="G21" xml:space="preserve"> IF($E21=0, "", INDEX($Q$5:$AG$54, $E21, G$1))</f>
        <v>ㄧㄣ</v>
      </c>
      <c r="H21" s="350" t="str" cm="1">
        <f t="array" ref="H21" xml:space="preserve"> IF($E21=0, "", INDEX($Q$5:$AG$54, $E21, H$1))</f>
        <v>ㄧㆵ</v>
      </c>
      <c r="I21" s="350" t="str" cm="1">
        <f t="array" ref="I21" xml:space="preserve"> IF($E21=0, "", INDEX($Q$5:$AG$54, $E21, I$1))</f>
        <v>in</v>
      </c>
      <c r="J21" s="350" t="str" cm="1">
        <f t="array" ref="J21" xml:space="preserve"> IF($E21=0, "", INDEX($Q$5:$AG$54, $E21, J$1))</f>
        <v>it</v>
      </c>
      <c r="K21" s="362"/>
      <c r="L21" s="362">
        <f t="shared" si="2"/>
        <v>17</v>
      </c>
      <c r="M21" s="366" t="str">
        <f t="shared" si="1"/>
        <v/>
      </c>
      <c r="N21" s="25" t="str" cm="1">
        <f t="array" ref="N21">IF($L21=0, INDEX($AC$5:$AC$54,$Q21,1), "")</f>
        <v/>
      </c>
      <c r="O21" s="25" t="str" cm="1">
        <f t="array" ref="O21">IF($L21=0, INDEX($Y$5:$Y$54,$Q21,1), "")</f>
        <v/>
      </c>
      <c r="Q21" s="47">
        <v>17</v>
      </c>
      <c r="R21" s="380" t="s">
        <v>316</v>
      </c>
      <c r="S21" s="26" t="s">
        <v>317</v>
      </c>
      <c r="T21" s="27" t="s">
        <v>318</v>
      </c>
      <c r="U21" s="26" t="s">
        <v>317</v>
      </c>
      <c r="V21" s="27" t="s">
        <v>319</v>
      </c>
      <c r="W21" s="150" t="s">
        <v>317</v>
      </c>
      <c r="X21" s="27" t="s">
        <v>318</v>
      </c>
      <c r="Y21" s="26" t="s">
        <v>317</v>
      </c>
      <c r="Z21" s="27" t="s">
        <v>318</v>
      </c>
      <c r="AA21" s="26" t="s">
        <v>317</v>
      </c>
      <c r="AB21" s="27" t="s">
        <v>318</v>
      </c>
      <c r="AC21" s="26" t="s">
        <v>320</v>
      </c>
      <c r="AD21" s="27" t="s">
        <v>321</v>
      </c>
      <c r="AE21" s="26" t="s">
        <v>317</v>
      </c>
      <c r="AF21" s="44" t="s">
        <v>318</v>
      </c>
      <c r="AG21" s="28"/>
    </row>
    <row r="22" spans="2:33" ht="30">
      <c r="B22" s="47">
        <v>18</v>
      </c>
      <c r="C22" s="385" t="s">
        <v>3563</v>
      </c>
      <c r="D22" s="389" t="s">
        <v>573</v>
      </c>
      <c r="E22" s="389">
        <f t="shared" si="0"/>
        <v>41</v>
      </c>
      <c r="F22" s="387" t="str" cm="1">
        <f t="array" ref="F22" xml:space="preserve"> IF($E22=0, "", INDEX($Q$5:$AG$54, $E22, F$1))</f>
        <v>姑</v>
      </c>
      <c r="G22" s="350" t="str" cm="1">
        <f t="array" ref="G22" xml:space="preserve"> IF($E22=0, "", INDEX($Q$5:$AG$54, $E22, G$1))</f>
        <v>ㆧ</v>
      </c>
      <c r="H22" s="350" t="str" cm="1">
        <f t="array" ref="H22" xml:space="preserve"> IF($E22=0, "", INDEX($Q$5:$AG$54, $E22, H$1))</f>
        <v>ㆧㆷ</v>
      </c>
      <c r="I22" s="350" t="str" cm="1">
        <f t="array" ref="I22" xml:space="preserve"> IF($E22=0, "", INDEX($Q$5:$AG$54, $E22, I$1))</f>
        <v>onn</v>
      </c>
      <c r="J22" s="350" t="str" cm="1">
        <f t="array" ref="J22" xml:space="preserve"> IF($E22=0, "", INDEX($Q$5:$AG$54, $E22, J$1))</f>
        <v>onnh</v>
      </c>
      <c r="K22" s="362"/>
      <c r="L22" s="362">
        <f t="shared" si="2"/>
        <v>10</v>
      </c>
      <c r="M22" s="366" t="str">
        <f t="shared" si="1"/>
        <v/>
      </c>
      <c r="N22" s="25" t="str" cm="1">
        <f t="array" ref="N22">IF($L22=0, INDEX($AC$5:$AC$54,$Q22,1), "")</f>
        <v/>
      </c>
      <c r="O22" s="25" t="str" cm="1">
        <f t="array" ref="O22">IF($L22=0, INDEX($Y$5:$Y$54,$Q22,1), "")</f>
        <v/>
      </c>
      <c r="Q22" s="47">
        <v>18</v>
      </c>
      <c r="R22" s="380" t="s">
        <v>323</v>
      </c>
      <c r="S22" s="26" t="s">
        <v>324</v>
      </c>
      <c r="T22" s="27" t="s">
        <v>325</v>
      </c>
      <c r="U22" s="26" t="s">
        <v>326</v>
      </c>
      <c r="V22" s="40" t="s">
        <v>327</v>
      </c>
      <c r="W22" s="151" t="s">
        <v>324</v>
      </c>
      <c r="X22" s="40" t="s">
        <v>325</v>
      </c>
      <c r="Y22" s="26" t="s">
        <v>324</v>
      </c>
      <c r="Z22" s="27" t="s">
        <v>325</v>
      </c>
      <c r="AA22" s="26" t="s">
        <v>324</v>
      </c>
      <c r="AB22" s="27" t="s">
        <v>325</v>
      </c>
      <c r="AC22" s="26" t="s">
        <v>328</v>
      </c>
      <c r="AD22" s="27" t="s">
        <v>329</v>
      </c>
      <c r="AE22" s="26" t="s">
        <v>330</v>
      </c>
      <c r="AF22" s="44" t="s">
        <v>331</v>
      </c>
      <c r="AG22" s="28"/>
    </row>
    <row r="23" spans="2:33" ht="30">
      <c r="B23" s="47">
        <v>19</v>
      </c>
      <c r="C23" s="385" t="s">
        <v>3564</v>
      </c>
      <c r="D23" s="389" t="s">
        <v>379</v>
      </c>
      <c r="E23" s="389">
        <f t="shared" si="0"/>
        <v>24</v>
      </c>
      <c r="F23" s="387" t="str" cm="1">
        <f t="array" ref="F23" xml:space="preserve"> IF($E23=0, "", INDEX($Q$5:$AG$54, $E23, F$1))</f>
        <v>迦</v>
      </c>
      <c r="G23" s="350" t="str" cm="1">
        <f t="array" ref="G23" xml:space="preserve"> IF($E23=0, "", INDEX($Q$5:$AG$54, $E23, G$1))</f>
        <v>ㄧㄚ</v>
      </c>
      <c r="H23" s="350" t="str" cm="1">
        <f t="array" ref="H23" xml:space="preserve"> IF($E23=0, "", INDEX($Q$5:$AG$54, $E23, H$1))</f>
        <v>ㄧㄚㆷ</v>
      </c>
      <c r="I23" s="350" t="str" cm="1">
        <f t="array" ref="I23" xml:space="preserve"> IF($E23=0, "", INDEX($Q$5:$AG$54, $E23, I$1))</f>
        <v>ia</v>
      </c>
      <c r="J23" s="350" t="str" cm="1">
        <f t="array" ref="J23" xml:space="preserve"> IF($E23=0, "", INDEX($Q$5:$AG$54, $E23, J$1))</f>
        <v>iah</v>
      </c>
      <c r="K23" s="362"/>
      <c r="L23" s="362">
        <f t="shared" si="2"/>
        <v>23</v>
      </c>
      <c r="M23" s="366" t="str">
        <f t="shared" si="1"/>
        <v/>
      </c>
      <c r="N23" s="25" t="str" cm="1">
        <f t="array" ref="N23">IF($L23=0, INDEX($AC$5:$AC$54,$Q23,1), "")</f>
        <v/>
      </c>
      <c r="O23" s="25" t="str" cm="1">
        <f t="array" ref="O23">IF($L23=0, INDEX($Y$5:$Y$54,$Q23,1), "")</f>
        <v/>
      </c>
      <c r="Q23" s="47">
        <v>19</v>
      </c>
      <c r="R23" s="380" t="s">
        <v>333</v>
      </c>
      <c r="S23" s="26" t="s">
        <v>334</v>
      </c>
      <c r="T23" s="27" t="s">
        <v>203</v>
      </c>
      <c r="U23" s="26" t="s">
        <v>334</v>
      </c>
      <c r="V23" s="27" t="s">
        <v>335</v>
      </c>
      <c r="W23" s="150" t="s">
        <v>334</v>
      </c>
      <c r="X23" s="27" t="s">
        <v>203</v>
      </c>
      <c r="Y23" s="26" t="s">
        <v>334</v>
      </c>
      <c r="Z23" s="27" t="s">
        <v>203</v>
      </c>
      <c r="AA23" s="26" t="s">
        <v>334</v>
      </c>
      <c r="AB23" s="27" t="s">
        <v>203</v>
      </c>
      <c r="AC23" s="26" t="s">
        <v>336</v>
      </c>
      <c r="AD23" s="27" t="s">
        <v>337</v>
      </c>
      <c r="AE23" s="26" t="s">
        <v>334</v>
      </c>
      <c r="AF23" s="44" t="s">
        <v>203</v>
      </c>
      <c r="AG23" s="28"/>
    </row>
    <row r="24" spans="2:33" ht="30">
      <c r="B24" s="47">
        <v>20</v>
      </c>
      <c r="C24" s="385" t="s">
        <v>3565</v>
      </c>
      <c r="D24" s="389" t="s">
        <v>3590</v>
      </c>
      <c r="E24" s="389">
        <f t="shared" si="0"/>
        <v>0</v>
      </c>
      <c r="F24" s="387" t="str" cm="1">
        <f t="array" ref="F24" xml:space="preserve"> IF($E24=0, "", INDEX($Q$5:$AG$54, $E24, F$1))</f>
        <v/>
      </c>
      <c r="G24" s="350" t="str" cm="1">
        <f t="array" ref="G24" xml:space="preserve"> IF($E24=0, "", INDEX($Q$5:$AG$54, $E24, G$1))</f>
        <v/>
      </c>
      <c r="H24" s="350" t="str" cm="1">
        <f t="array" ref="H24" xml:space="preserve"> IF($E24=0, "", INDEX($Q$5:$AG$54, $E24, H$1))</f>
        <v/>
      </c>
      <c r="I24" s="350" t="str" cm="1">
        <f t="array" ref="I24" xml:space="preserve"> IF($E24=0, "", INDEX($Q$5:$AG$54, $E24, I$1))</f>
        <v/>
      </c>
      <c r="J24" s="350" t="str" cm="1">
        <f t="array" ref="J24" xml:space="preserve"> IF($E24=0, "", INDEX($Q$5:$AG$54, $E24, J$1))</f>
        <v/>
      </c>
      <c r="K24" s="362"/>
      <c r="L24" s="362">
        <f t="shared" si="2"/>
        <v>4</v>
      </c>
      <c r="M24" s="366" t="str">
        <f t="shared" si="1"/>
        <v/>
      </c>
      <c r="N24" s="25" t="str" cm="1">
        <f t="array" ref="N24">IF($L24=0, INDEX($AC$5:$AC$54,$Q24,1), "")</f>
        <v/>
      </c>
      <c r="O24" s="25" t="str" cm="1">
        <f t="array" ref="O24">IF($L24=0, INDEX($Y$5:$Y$54,$Q24,1), "")</f>
        <v/>
      </c>
      <c r="Q24" s="47">
        <v>20</v>
      </c>
      <c r="R24" s="380" t="s">
        <v>339</v>
      </c>
      <c r="S24" s="26" t="s">
        <v>340</v>
      </c>
      <c r="T24" s="27" t="s">
        <v>341</v>
      </c>
      <c r="U24" s="26" t="s">
        <v>340</v>
      </c>
      <c r="V24" s="40" t="s">
        <v>342</v>
      </c>
      <c r="W24" s="151" t="s">
        <v>343</v>
      </c>
      <c r="X24" s="40" t="s">
        <v>344</v>
      </c>
      <c r="Y24" s="26" t="s">
        <v>340</v>
      </c>
      <c r="Z24" s="27" t="s">
        <v>341</v>
      </c>
      <c r="AA24" s="26" t="s">
        <v>340</v>
      </c>
      <c r="AB24" s="27" t="s">
        <v>341</v>
      </c>
      <c r="AC24" s="26" t="s">
        <v>345</v>
      </c>
      <c r="AD24" s="27" t="s">
        <v>346</v>
      </c>
      <c r="AE24" s="26" t="s">
        <v>347</v>
      </c>
      <c r="AF24" s="44" t="s">
        <v>348</v>
      </c>
      <c r="AG24" s="28"/>
    </row>
    <row r="25" spans="2:33" ht="34">
      <c r="B25" s="47">
        <v>21</v>
      </c>
      <c r="C25" s="385" t="s">
        <v>3566</v>
      </c>
      <c r="D25" s="389" t="s">
        <v>278</v>
      </c>
      <c r="E25" s="389">
        <f t="shared" si="0"/>
        <v>39</v>
      </c>
      <c r="F25" s="387" t="str" cm="1">
        <f t="array" ref="F25" xml:space="preserve"> IF($E25=0, "", INDEX($Q$5:$AG$54, $E25, F$1))</f>
        <v>伽</v>
      </c>
      <c r="G25" s="350" t="str" cm="1">
        <f t="array" ref="G25" xml:space="preserve"> IF($E25=0, "", INDEX($Q$5:$AG$54, $E25, G$1))</f>
        <v>ㆤ</v>
      </c>
      <c r="H25" s="350" t="str" cm="1">
        <f t="array" ref="H25" xml:space="preserve"> IF($E25=0, "", INDEX($Q$5:$AG$54, $E25, H$1))</f>
        <v>ㆤㆷ</v>
      </c>
      <c r="I25" s="350" t="str" cm="1">
        <f t="array" ref="I25" xml:space="preserve"> IF($E25=0, "", INDEX($Q$5:$AG$54, $E25, I$1))</f>
        <v>e</v>
      </c>
      <c r="J25" s="350" t="str" cm="1">
        <f t="array" ref="J25" xml:space="preserve"> IF($E25=0, "", INDEX($Q$5:$AG$54, $E25, J$1))</f>
        <v>eh</v>
      </c>
      <c r="K25" s="362"/>
      <c r="L25" s="362">
        <f t="shared" si="2"/>
        <v>26</v>
      </c>
      <c r="M25" s="366" t="str">
        <f t="shared" si="1"/>
        <v/>
      </c>
      <c r="N25" s="25" t="str" cm="1">
        <f t="array" ref="N25">IF($L25=0, INDEX($AC$5:$AC$54,$Q25,1), "")</f>
        <v/>
      </c>
      <c r="O25" s="25" t="str" cm="1">
        <f t="array" ref="O25">IF($L25=0, INDEX($Y$5:$Y$54,$Q25,1), "")</f>
        <v/>
      </c>
      <c r="Q25" s="47">
        <v>21</v>
      </c>
      <c r="R25" s="380" t="s">
        <v>350</v>
      </c>
      <c r="S25" s="26" t="s">
        <v>351</v>
      </c>
      <c r="T25" s="27" t="s">
        <v>352</v>
      </c>
      <c r="U25" s="26" t="s">
        <v>353</v>
      </c>
      <c r="V25" s="27" t="s">
        <v>354</v>
      </c>
      <c r="W25" s="150" t="s">
        <v>351</v>
      </c>
      <c r="X25" s="27" t="s">
        <v>352</v>
      </c>
      <c r="Y25" s="26" t="s">
        <v>351</v>
      </c>
      <c r="Z25" s="27" t="s">
        <v>352</v>
      </c>
      <c r="AA25" s="26" t="s">
        <v>351</v>
      </c>
      <c r="AB25" s="27" t="s">
        <v>352</v>
      </c>
      <c r="AC25" s="26" t="s">
        <v>355</v>
      </c>
      <c r="AD25" s="250" t="s">
        <v>356</v>
      </c>
      <c r="AE25" s="26" t="s">
        <v>351</v>
      </c>
      <c r="AF25" s="44" t="s">
        <v>352</v>
      </c>
      <c r="AG25" s="28"/>
    </row>
    <row r="26" spans="2:33" ht="30">
      <c r="B26" s="47">
        <v>22</v>
      </c>
      <c r="C26" s="385" t="s">
        <v>3567</v>
      </c>
      <c r="D26" s="389" t="s">
        <v>162</v>
      </c>
      <c r="E26" s="389">
        <f t="shared" si="0"/>
        <v>2</v>
      </c>
      <c r="F26" s="387" t="str" cm="1">
        <f t="array" ref="F26" xml:space="preserve"> IF($E26=0, "", INDEX($Q$5:$AG$54, $E26, F$1))</f>
        <v>堅</v>
      </c>
      <c r="G26" s="350" t="str" cm="1">
        <f t="array" ref="G26" xml:space="preserve"> IF($E26=0, "", INDEX($Q$5:$AG$54, $E26, G$1))</f>
        <v>ㄧㄢ</v>
      </c>
      <c r="H26" s="350" t="str" cm="1">
        <f t="array" ref="H26" xml:space="preserve"> IF($E26=0, "", INDEX($Q$5:$AG$54, $E26, H$1))</f>
        <v>ㄧㄚㆵ</v>
      </c>
      <c r="I26" s="350" t="str" cm="1">
        <f t="array" ref="I26" xml:space="preserve"> IF($E26=0, "", INDEX($Q$5:$AG$54, $E26, I$1))</f>
        <v>ian</v>
      </c>
      <c r="J26" s="350" t="str" cm="1">
        <f t="array" ref="J26" xml:space="preserve"> IF($E26=0, "", INDEX($Q$5:$AG$54, $E26, J$1))</f>
        <v>iat</v>
      </c>
      <c r="K26" s="362"/>
      <c r="L26" s="362">
        <f t="shared" si="2"/>
        <v>33</v>
      </c>
      <c r="M26" s="366" t="str">
        <f t="shared" si="1"/>
        <v/>
      </c>
      <c r="N26" s="25" t="str" cm="1">
        <f t="array" ref="N26">IF($L26=0, INDEX($AC$5:$AC$54,$Q26,1), "")</f>
        <v/>
      </c>
      <c r="O26" s="25" t="str" cm="1">
        <f t="array" ref="O26">IF($L26=0, INDEX($Y$5:$Y$54,$Q26,1), "")</f>
        <v/>
      </c>
      <c r="Q26" s="47">
        <v>22</v>
      </c>
      <c r="R26" s="380" t="s">
        <v>358</v>
      </c>
      <c r="S26" s="26" t="s">
        <v>359</v>
      </c>
      <c r="T26" s="27" t="s">
        <v>360</v>
      </c>
      <c r="U26" s="26" t="s">
        <v>359</v>
      </c>
      <c r="V26" s="27" t="s">
        <v>361</v>
      </c>
      <c r="W26" s="150" t="s">
        <v>359</v>
      </c>
      <c r="X26" s="27" t="s">
        <v>360</v>
      </c>
      <c r="Y26" s="26" t="s">
        <v>359</v>
      </c>
      <c r="Z26" s="27" t="s">
        <v>360</v>
      </c>
      <c r="AA26" s="26" t="s">
        <v>359</v>
      </c>
      <c r="AB26" s="27" t="s">
        <v>360</v>
      </c>
      <c r="AC26" s="26" t="s">
        <v>362</v>
      </c>
      <c r="AD26" s="27" t="s">
        <v>363</v>
      </c>
      <c r="AE26" s="26" t="s">
        <v>364</v>
      </c>
      <c r="AF26" s="44" t="s">
        <v>365</v>
      </c>
      <c r="AG26" s="28"/>
    </row>
    <row r="27" spans="2:33" ht="30">
      <c r="B27" s="47">
        <v>23</v>
      </c>
      <c r="C27" s="385" t="s">
        <v>3568</v>
      </c>
      <c r="D27" s="389" t="s">
        <v>334</v>
      </c>
      <c r="E27" s="389">
        <f t="shared" si="0"/>
        <v>19</v>
      </c>
      <c r="F27" s="387" t="str" cm="1">
        <f t="array" ref="F27" xml:space="preserve"> IF($E27=0, "", INDEX($Q$5:$AG$54, $E27, F$1))</f>
        <v>甘</v>
      </c>
      <c r="G27" s="350" t="str" cm="1">
        <f t="array" ref="G27" xml:space="preserve"> IF($E27=0, "", INDEX($Q$5:$AG$54, $E27, G$1))</f>
        <v>ㆰ</v>
      </c>
      <c r="H27" s="350" t="str" cm="1">
        <f t="array" ref="H27" xml:space="preserve"> IF($E27=0, "", INDEX($Q$5:$AG$54, $E27, H$1))</f>
        <v>ㄚㆴ</v>
      </c>
      <c r="I27" s="350" t="str" cm="1">
        <f t="array" ref="I27" xml:space="preserve"> IF($E27=0, "", INDEX($Q$5:$AG$54, $E27, I$1))</f>
        <v>am</v>
      </c>
      <c r="J27" s="350" t="str" cm="1">
        <f t="array" ref="J27" xml:space="preserve"> IF($E27=0, "", INDEX($Q$5:$AG$54, $E27, J$1))</f>
        <v>ap</v>
      </c>
      <c r="K27" s="362"/>
      <c r="L27" s="362">
        <f t="shared" si="2"/>
        <v>12</v>
      </c>
      <c r="M27" s="366" t="str">
        <f t="shared" si="1"/>
        <v/>
      </c>
      <c r="N27" s="25" t="str" cm="1">
        <f t="array" ref="N27">IF($L27=0, INDEX($AC$5:$AC$54,$Q27,1), "")</f>
        <v/>
      </c>
      <c r="O27" s="25" t="str" cm="1">
        <f t="array" ref="O27">IF($L27=0, INDEX($Y$5:$Y$54,$Q27,1), "")</f>
        <v/>
      </c>
      <c r="Q27" s="47">
        <v>23</v>
      </c>
      <c r="R27" s="380" t="s">
        <v>367</v>
      </c>
      <c r="S27" s="26" t="s">
        <v>368</v>
      </c>
      <c r="T27" s="27" t="s">
        <v>369</v>
      </c>
      <c r="U27" s="26" t="s">
        <v>370</v>
      </c>
      <c r="V27" s="27" t="s">
        <v>371</v>
      </c>
      <c r="W27" s="150" t="s">
        <v>368</v>
      </c>
      <c r="X27" s="27" t="s">
        <v>369</v>
      </c>
      <c r="Y27" s="26" t="s">
        <v>368</v>
      </c>
      <c r="Z27" s="27" t="s">
        <v>369</v>
      </c>
      <c r="AA27" s="26" t="s">
        <v>372</v>
      </c>
      <c r="AB27" s="27" t="s">
        <v>373</v>
      </c>
      <c r="AC27" s="26" t="s">
        <v>374</v>
      </c>
      <c r="AD27" s="27" t="s">
        <v>375</v>
      </c>
      <c r="AE27" s="26" t="s">
        <v>376</v>
      </c>
      <c r="AF27" s="44" t="s">
        <v>377</v>
      </c>
      <c r="AG27" s="39" t="s">
        <v>370</v>
      </c>
    </row>
    <row r="28" spans="2:33" ht="30">
      <c r="B28" s="47">
        <v>24</v>
      </c>
      <c r="C28" s="385" t="s">
        <v>3569</v>
      </c>
      <c r="D28" s="389" t="s">
        <v>439</v>
      </c>
      <c r="E28" s="389">
        <f t="shared" si="0"/>
        <v>30</v>
      </c>
      <c r="F28" s="387" t="str" cm="1">
        <f t="array" ref="F28" xml:space="preserve"> IF($E28=0, "", INDEX($Q$5:$AG$54, $E28, F$1))</f>
        <v>丩</v>
      </c>
      <c r="G28" s="350" t="str" cm="1">
        <f t="array" ref="G28" xml:space="preserve"> IF($E28=0, "", INDEX($Q$5:$AG$54, $E28, G$1))</f>
        <v>ㄧㄨ</v>
      </c>
      <c r="H28" s="350" t="str" cm="1">
        <f t="array" ref="H28" xml:space="preserve"> IF($E28=0, "", INDEX($Q$5:$AG$54, $E28, H$1))</f>
        <v>ㄧㄨㆷ</v>
      </c>
      <c r="I28" s="350" t="str" cm="1">
        <f t="array" ref="I28" xml:space="preserve"> IF($E28=0, "", INDEX($Q$5:$AG$54, $E28, I$1))</f>
        <v>iu</v>
      </c>
      <c r="J28" s="350" t="str" cm="1">
        <f t="array" ref="J28" xml:space="preserve"> IF($E28=0, "", INDEX($Q$5:$AG$54, $E28, J$1))</f>
        <v>iuh</v>
      </c>
      <c r="K28" s="362"/>
      <c r="L28" s="362">
        <f t="shared" si="2"/>
        <v>19</v>
      </c>
      <c r="M28" s="366" t="str">
        <f t="shared" si="1"/>
        <v/>
      </c>
      <c r="N28" s="25" t="str" cm="1">
        <f t="array" ref="N28">IF($L28=0, INDEX($AC$5:$AC$54,$Q28,1), "")</f>
        <v/>
      </c>
      <c r="O28" s="25" t="str" cm="1">
        <f t="array" ref="O28">IF($L28=0, INDEX($Y$5:$Y$54,$Q28,1), "")</f>
        <v/>
      </c>
      <c r="Q28" s="47">
        <v>24</v>
      </c>
      <c r="R28" s="380" t="s">
        <v>378</v>
      </c>
      <c r="S28" s="26" t="s">
        <v>379</v>
      </c>
      <c r="T28" s="27" t="s">
        <v>380</v>
      </c>
      <c r="U28" s="26" t="s">
        <v>379</v>
      </c>
      <c r="V28" s="27" t="s">
        <v>381</v>
      </c>
      <c r="W28" s="150" t="s">
        <v>379</v>
      </c>
      <c r="X28" s="27" t="s">
        <v>380</v>
      </c>
      <c r="Y28" s="26" t="s">
        <v>379</v>
      </c>
      <c r="Z28" s="27" t="s">
        <v>380</v>
      </c>
      <c r="AA28" s="26" t="s">
        <v>379</v>
      </c>
      <c r="AB28" s="27" t="s">
        <v>380</v>
      </c>
      <c r="AC28" s="26" t="s">
        <v>382</v>
      </c>
      <c r="AD28" s="27" t="s">
        <v>383</v>
      </c>
      <c r="AE28" s="26" t="s">
        <v>384</v>
      </c>
      <c r="AF28" s="44" t="s">
        <v>385</v>
      </c>
      <c r="AG28" s="33" t="s">
        <v>386</v>
      </c>
    </row>
    <row r="29" spans="2:33" ht="34">
      <c r="B29" s="47">
        <v>25</v>
      </c>
      <c r="C29" s="385" t="s">
        <v>721</v>
      </c>
      <c r="D29" s="389" t="s">
        <v>649</v>
      </c>
      <c r="E29" s="389">
        <f t="shared" si="0"/>
        <v>47</v>
      </c>
      <c r="F29" s="387" t="str" cm="1">
        <f t="array" ref="F29" xml:space="preserve"> IF($E29=0, "", INDEX($Q$5:$AG$54, $E29, F$1))</f>
        <v>箴</v>
      </c>
      <c r="G29" s="350" t="str" cm="1">
        <f t="array" ref="G29" xml:space="preserve"> IF($E29=0, "", INDEX($Q$5:$AG$54, $E29, G$1))</f>
        <v>ㆱ</v>
      </c>
      <c r="H29" s="350" t="str" cm="1">
        <f t="array" ref="H29" xml:space="preserve"> IF($E29=0, "", INDEX($Q$5:$AG$54, $E29, H$1))</f>
        <v>ㆦㆴ</v>
      </c>
      <c r="I29" s="350" t="str" cm="1">
        <f t="array" ref="I29" xml:space="preserve"> IF($E29=0, "", INDEX($Q$5:$AG$54, $E29, I$1))</f>
        <v>om</v>
      </c>
      <c r="J29" s="350" t="str" cm="1">
        <f t="array" ref="J29" xml:space="preserve"> IF($E29=0, "", INDEX($Q$5:$AG$54, $E29, J$1))</f>
        <v>op</v>
      </c>
      <c r="K29" s="362"/>
      <c r="L29" s="362">
        <f t="shared" si="2"/>
        <v>9</v>
      </c>
      <c r="M29" s="366" t="str">
        <f t="shared" si="1"/>
        <v/>
      </c>
      <c r="N29" s="25" t="str" cm="1">
        <f t="array" ref="N29">IF($L29=0, INDEX($AC$5:$AC$54,$Q29,1), "")</f>
        <v/>
      </c>
      <c r="O29" s="25" t="str" cm="1">
        <f t="array" ref="O29">IF($L29=0, INDEX($Y$5:$Y$54,$Q29,1), "")</f>
        <v/>
      </c>
      <c r="Q29" s="47">
        <v>25</v>
      </c>
      <c r="R29" s="380" t="s">
        <v>388</v>
      </c>
      <c r="S29" s="26" t="s">
        <v>389</v>
      </c>
      <c r="T29" s="40" t="s">
        <v>390</v>
      </c>
      <c r="U29" s="31" t="s">
        <v>389</v>
      </c>
      <c r="V29" s="40" t="s">
        <v>391</v>
      </c>
      <c r="W29" s="151" t="s">
        <v>261</v>
      </c>
      <c r="X29" s="40" t="s">
        <v>392</v>
      </c>
      <c r="Y29" s="31" t="s">
        <v>389</v>
      </c>
      <c r="Z29" s="40" t="s">
        <v>390</v>
      </c>
      <c r="AA29" s="31" t="s">
        <v>389</v>
      </c>
      <c r="AB29" s="40" t="s">
        <v>390</v>
      </c>
      <c r="AC29" s="247" t="s">
        <v>393</v>
      </c>
      <c r="AD29" s="248" t="s">
        <v>394</v>
      </c>
      <c r="AE29" s="31" t="s">
        <v>395</v>
      </c>
      <c r="AF29" s="45" t="s">
        <v>396</v>
      </c>
      <c r="AG29" s="28"/>
    </row>
    <row r="30" spans="2:33" ht="30">
      <c r="B30" s="47">
        <v>26</v>
      </c>
      <c r="C30" s="385" t="s">
        <v>350</v>
      </c>
      <c r="D30" s="389" t="s">
        <v>351</v>
      </c>
      <c r="E30" s="389">
        <f t="shared" si="0"/>
        <v>21</v>
      </c>
      <c r="F30" s="387" t="str" cm="1">
        <f t="array" ref="F30" xml:space="preserve"> IF($E30=0, "", INDEX($Q$5:$AG$54, $E30, F$1))</f>
        <v>江</v>
      </c>
      <c r="G30" s="350" t="str" cm="1">
        <f t="array" ref="G30" xml:space="preserve"> IF($E30=0, "", INDEX($Q$5:$AG$54, $E30, G$1))</f>
        <v>ㄤ</v>
      </c>
      <c r="H30" s="350" t="str" cm="1">
        <f t="array" ref="H30" xml:space="preserve"> IF($E30=0, "", INDEX($Q$5:$AG$54, $E30, H$1))</f>
        <v>ㄚㆻ</v>
      </c>
      <c r="I30" s="350" t="str" cm="1">
        <f t="array" ref="I30" xml:space="preserve"> IF($E30=0, "", INDEX($Q$5:$AG$54, $E30, I$1))</f>
        <v>ang</v>
      </c>
      <c r="J30" s="350" t="str" cm="1">
        <f t="array" ref="J30" xml:space="preserve"> IF($E30=0, "", INDEX($Q$5:$AG$54, $E30, J$1))</f>
        <v>ak</v>
      </c>
      <c r="K30" s="362"/>
      <c r="L30" s="362">
        <f t="shared" si="2"/>
        <v>48</v>
      </c>
      <c r="M30" s="366" t="str">
        <f t="shared" si="1"/>
        <v/>
      </c>
      <c r="N30" s="25" t="str" cm="1">
        <f t="array" ref="N30">IF($L30=0, INDEX($AC$5:$AC$54,$Q30,1), "")</f>
        <v/>
      </c>
      <c r="O30" s="25" t="str" cm="1">
        <f t="array" ref="O30">IF($L30=0, INDEX($Y$5:$Y$54,$Q30,1), "")</f>
        <v/>
      </c>
      <c r="Q30" s="47">
        <v>26</v>
      </c>
      <c r="R30" s="380" t="s">
        <v>399</v>
      </c>
      <c r="S30" s="26" t="s">
        <v>400</v>
      </c>
      <c r="T30" s="40" t="s">
        <v>401</v>
      </c>
      <c r="U30" s="26" t="s">
        <v>402</v>
      </c>
      <c r="V30" s="27" t="s">
        <v>403</v>
      </c>
      <c r="W30" s="150" t="s">
        <v>404</v>
      </c>
      <c r="X30" s="27" t="s">
        <v>405</v>
      </c>
      <c r="Y30" s="26" t="s">
        <v>400</v>
      </c>
      <c r="Z30" s="27" t="s">
        <v>401</v>
      </c>
      <c r="AA30" s="26" t="s">
        <v>406</v>
      </c>
      <c r="AB30" s="27" t="s">
        <v>407</v>
      </c>
      <c r="AC30" s="26" t="s">
        <v>408</v>
      </c>
      <c r="AD30" s="27" t="s">
        <v>409</v>
      </c>
      <c r="AE30" s="26" t="s">
        <v>410</v>
      </c>
      <c r="AF30" s="44" t="s">
        <v>411</v>
      </c>
      <c r="AG30" s="28" t="s">
        <v>412</v>
      </c>
    </row>
    <row r="31" spans="2:33" ht="30">
      <c r="B31" s="47">
        <v>27</v>
      </c>
      <c r="C31" s="385" t="s">
        <v>3570</v>
      </c>
      <c r="D31" s="389" t="s">
        <v>465</v>
      </c>
      <c r="E31" s="389">
        <f t="shared" si="0"/>
        <v>32</v>
      </c>
      <c r="F31" s="387" t="str" cm="1">
        <f t="array" ref="F31" xml:space="preserve"> IF($E31=0, "", INDEX($Q$5:$AG$54, $E31, F$1))</f>
        <v>褌</v>
      </c>
      <c r="G31" s="350" t="str" cm="1">
        <f t="array" ref="G31" xml:space="preserve"> IF($E31=0, "", INDEX($Q$5:$AG$54, $E31, G$1))</f>
        <v>ㄨㆪ</v>
      </c>
      <c r="H31" s="350" t="str" cm="1">
        <f t="array" ref="H31" xml:space="preserve"> IF($E31=0, "", INDEX($Q$5:$AG$54, $E31, H$1))</f>
        <v>ㄨㆪㆷ</v>
      </c>
      <c r="I31" s="350" t="str" cm="1">
        <f t="array" ref="I31" xml:space="preserve"> IF($E31=0, "", INDEX($Q$5:$AG$54, $E31, I$1))</f>
        <v>uinn</v>
      </c>
      <c r="J31" s="350" t="str" cm="1">
        <f t="array" ref="J31" xml:space="preserve"> IF($E31=0, "", INDEX($Q$5:$AG$54, $E31, J$1))</f>
        <v>uinnh</v>
      </c>
      <c r="K31" s="362"/>
      <c r="L31" s="362">
        <f t="shared" si="2"/>
        <v>15</v>
      </c>
      <c r="M31" s="366" t="str">
        <f t="shared" si="1"/>
        <v/>
      </c>
      <c r="N31" s="25" t="str" cm="1">
        <f t="array" ref="N31">IF($L31=0, INDEX($AC$5:$AC$54,$Q31,1), "")</f>
        <v/>
      </c>
      <c r="O31" s="25" t="str" cm="1">
        <f t="array" ref="O31">IF($L31=0, INDEX($Y$5:$Y$54,$Q31,1), "")</f>
        <v/>
      </c>
      <c r="Q31" s="47">
        <v>27</v>
      </c>
      <c r="R31" s="380" t="s">
        <v>414</v>
      </c>
      <c r="S31" s="26" t="s">
        <v>415</v>
      </c>
      <c r="T31" s="27" t="s">
        <v>416</v>
      </c>
      <c r="U31" s="26" t="s">
        <v>415</v>
      </c>
      <c r="V31" s="27" t="s">
        <v>417</v>
      </c>
      <c r="W31" s="150" t="s">
        <v>415</v>
      </c>
      <c r="X31" s="27" t="s">
        <v>416</v>
      </c>
      <c r="Y31" s="26" t="s">
        <v>415</v>
      </c>
      <c r="Z31" s="27" t="s">
        <v>416</v>
      </c>
      <c r="AA31" s="26" t="s">
        <v>415</v>
      </c>
      <c r="AB31" s="27" t="s">
        <v>416</v>
      </c>
      <c r="AC31" s="26" t="s">
        <v>418</v>
      </c>
      <c r="AD31" s="27" t="s">
        <v>419</v>
      </c>
      <c r="AE31" s="26" t="s">
        <v>252</v>
      </c>
      <c r="AF31" s="44" t="s">
        <v>420</v>
      </c>
      <c r="AG31" s="33" t="s">
        <v>421</v>
      </c>
    </row>
    <row r="32" spans="2:33" ht="30">
      <c r="B32" s="47">
        <v>28</v>
      </c>
      <c r="C32" s="385" t="s">
        <v>3571</v>
      </c>
      <c r="D32" s="389" t="s">
        <v>334</v>
      </c>
      <c r="E32" s="389">
        <f t="shared" si="0"/>
        <v>19</v>
      </c>
      <c r="F32" s="387" t="str" cm="1">
        <f t="array" ref="F32" xml:space="preserve"> IF($E32=0, "", INDEX($Q$5:$AG$54, $E32, F$1))</f>
        <v>甘</v>
      </c>
      <c r="G32" s="350" t="str" cm="1">
        <f t="array" ref="G32" xml:space="preserve"> IF($E32=0, "", INDEX($Q$5:$AG$54, $E32, G$1))</f>
        <v>ㆰ</v>
      </c>
      <c r="H32" s="350" t="str" cm="1">
        <f t="array" ref="H32" xml:space="preserve"> IF($E32=0, "", INDEX($Q$5:$AG$54, $E32, H$1))</f>
        <v>ㄚㆴ</v>
      </c>
      <c r="I32" s="350" t="str" cm="1">
        <f t="array" ref="I32" xml:space="preserve"> IF($E32=0, "", INDEX($Q$5:$AG$54, $E32, I$1))</f>
        <v>am</v>
      </c>
      <c r="J32" s="350" t="str" cm="1">
        <f t="array" ref="J32" xml:space="preserve"> IF($E32=0, "", INDEX($Q$5:$AG$54, $E32, J$1))</f>
        <v>ap</v>
      </c>
      <c r="K32" s="362"/>
      <c r="L32" s="362">
        <f t="shared" si="2"/>
        <v>16</v>
      </c>
      <c r="M32" s="366" t="str">
        <f t="shared" si="1"/>
        <v/>
      </c>
      <c r="N32" s="25" t="str" cm="1">
        <f t="array" ref="N32">IF($L32=0, INDEX($AC$5:$AC$54,$Q32,1), "")</f>
        <v/>
      </c>
      <c r="O32" s="25" t="str" cm="1">
        <f t="array" ref="O32">IF($L32=0, INDEX($Y$5:$Y$54,$Q32,1), "")</f>
        <v/>
      </c>
      <c r="Q32" s="47">
        <v>28</v>
      </c>
      <c r="R32" s="380" t="s">
        <v>398</v>
      </c>
      <c r="S32" s="26" t="s">
        <v>424</v>
      </c>
      <c r="T32" s="27" t="s">
        <v>425</v>
      </c>
      <c r="U32" s="26" t="s">
        <v>424</v>
      </c>
      <c r="V32" s="27" t="s">
        <v>426</v>
      </c>
      <c r="W32" s="150" t="s">
        <v>424</v>
      </c>
      <c r="X32" s="27" t="s">
        <v>425</v>
      </c>
      <c r="Y32" s="26" t="s">
        <v>424</v>
      </c>
      <c r="Z32" s="27" t="s">
        <v>425</v>
      </c>
      <c r="AA32" s="26" t="s">
        <v>424</v>
      </c>
      <c r="AB32" s="27" t="s">
        <v>425</v>
      </c>
      <c r="AC32" s="26" t="s">
        <v>427</v>
      </c>
      <c r="AD32" s="27" t="s">
        <v>428</v>
      </c>
      <c r="AE32" s="26" t="s">
        <v>424</v>
      </c>
      <c r="AF32" s="44" t="s">
        <v>429</v>
      </c>
      <c r="AG32" s="28"/>
    </row>
    <row r="33" spans="2:33" ht="30">
      <c r="B33" s="47">
        <v>29</v>
      </c>
      <c r="C33" s="385" t="s">
        <v>170</v>
      </c>
      <c r="D33" s="389" t="s">
        <v>171</v>
      </c>
      <c r="E33" s="389">
        <f t="shared" si="0"/>
        <v>3</v>
      </c>
      <c r="F33" s="387" t="str" cm="1">
        <f t="array" ref="F33" xml:space="preserve"> IF($E33=0, "", INDEX($Q$5:$AG$54, $E33, F$1))</f>
        <v>金</v>
      </c>
      <c r="G33" s="350" t="str" cm="1">
        <f t="array" ref="G33" xml:space="preserve"> IF($E33=0, "", INDEX($Q$5:$AG$54, $E33, G$1))</f>
        <v>ㄧㆬ</v>
      </c>
      <c r="H33" s="350" t="str" cm="1">
        <f t="array" ref="H33" xml:space="preserve"> IF($E33=0, "", INDEX($Q$5:$AG$54, $E33, H$1))</f>
        <v>ㄧㆴ</v>
      </c>
      <c r="I33" s="350" t="str" cm="1">
        <f t="array" ref="I33" xml:space="preserve"> IF($E33=0, "", INDEX($Q$5:$AG$54, $E33, I$1))</f>
        <v>im</v>
      </c>
      <c r="J33" s="350" t="str" cm="1">
        <f t="array" ref="J33" xml:space="preserve"> IF($E33=0, "", INDEX($Q$5:$AG$54, $E33, J$1))</f>
        <v>ip</v>
      </c>
      <c r="K33" s="362"/>
      <c r="L33" s="362">
        <f t="shared" si="2"/>
        <v>36</v>
      </c>
      <c r="M33" s="366" t="str">
        <f t="shared" si="1"/>
        <v/>
      </c>
      <c r="N33" s="25" t="str" cm="1">
        <f t="array" ref="N33">IF($L33=0, INDEX($AC$5:$AC$54,$Q33,1), "")</f>
        <v/>
      </c>
      <c r="O33" s="25" t="str" cm="1">
        <f t="array" ref="O33">IF($L33=0, INDEX($Y$5:$Y$54,$Q33,1), "")</f>
        <v/>
      </c>
      <c r="Q33" s="47">
        <v>29</v>
      </c>
      <c r="R33" s="380" t="s">
        <v>431</v>
      </c>
      <c r="S33" s="26" t="s">
        <v>432</v>
      </c>
      <c r="T33" s="27" t="s">
        <v>433</v>
      </c>
      <c r="U33" s="26" t="s">
        <v>432</v>
      </c>
      <c r="V33" s="27" t="s">
        <v>434</v>
      </c>
      <c r="W33" s="150" t="s">
        <v>432</v>
      </c>
      <c r="X33" s="27" t="s">
        <v>433</v>
      </c>
      <c r="Y33" s="26" t="s">
        <v>432</v>
      </c>
      <c r="Z33" s="27" t="s">
        <v>433</v>
      </c>
      <c r="AA33" s="26" t="s">
        <v>432</v>
      </c>
      <c r="AB33" s="27" t="s">
        <v>433</v>
      </c>
      <c r="AC33" s="26" t="s">
        <v>435</v>
      </c>
      <c r="AD33" s="27" t="s">
        <v>436</v>
      </c>
      <c r="AE33" s="26" t="s">
        <v>278</v>
      </c>
      <c r="AF33" s="44" t="s">
        <v>437</v>
      </c>
      <c r="AG33" s="28"/>
    </row>
    <row r="34" spans="2:33" ht="30">
      <c r="B34" s="47">
        <v>30</v>
      </c>
      <c r="C34" s="385" t="s">
        <v>3572</v>
      </c>
      <c r="D34" s="389" t="s">
        <v>3591</v>
      </c>
      <c r="E34" s="389">
        <f t="shared" si="0"/>
        <v>0</v>
      </c>
      <c r="F34" s="387" t="str" cm="1">
        <f t="array" ref="F34" xml:space="preserve"> IF($E34=0, "", INDEX($Q$5:$AG$54, $E34, F$1))</f>
        <v/>
      </c>
      <c r="G34" s="350" t="str" cm="1">
        <f t="array" ref="G34" xml:space="preserve"> IF($E34=0, "", INDEX($Q$5:$AG$54, $E34, G$1))</f>
        <v/>
      </c>
      <c r="H34" s="350" t="str" cm="1">
        <f t="array" ref="H34" xml:space="preserve"> IF($E34=0, "", INDEX($Q$5:$AG$54, $E34, H$1))</f>
        <v/>
      </c>
      <c r="I34" s="350" t="str" cm="1">
        <f t="array" ref="I34" xml:space="preserve"> IF($E34=0, "", INDEX($Q$5:$AG$54, $E34, I$1))</f>
        <v/>
      </c>
      <c r="J34" s="350" t="str" cm="1">
        <f t="array" ref="J34" xml:space="preserve"> IF($E34=0, "", INDEX($Q$5:$AG$54, $E34, J$1))</f>
        <v/>
      </c>
      <c r="K34" s="362"/>
      <c r="L34" s="362">
        <f t="shared" si="2"/>
        <v>24</v>
      </c>
      <c r="M34" s="366" t="str">
        <f t="shared" si="1"/>
        <v/>
      </c>
      <c r="N34" s="25" t="str" cm="1">
        <f t="array" ref="N34">IF($L34=0, INDEX($AC$5:$AC$54,$Q34,1), "")</f>
        <v/>
      </c>
      <c r="O34" s="25" t="str" cm="1">
        <f t="array" ref="O34">IF($L34=0, INDEX($Y$5:$Y$54,$Q34,1), "")</f>
        <v/>
      </c>
      <c r="Q34" s="47">
        <v>30</v>
      </c>
      <c r="R34" s="380" t="s">
        <v>438</v>
      </c>
      <c r="S34" s="26" t="s">
        <v>439</v>
      </c>
      <c r="T34" s="30" t="s">
        <v>440</v>
      </c>
      <c r="U34" s="26" t="s">
        <v>439</v>
      </c>
      <c r="V34" s="30" t="s">
        <v>441</v>
      </c>
      <c r="W34" s="153" t="s">
        <v>439</v>
      </c>
      <c r="X34" s="30" t="s">
        <v>442</v>
      </c>
      <c r="Y34" s="26" t="s">
        <v>439</v>
      </c>
      <c r="Z34" s="30" t="s">
        <v>440</v>
      </c>
      <c r="AA34" s="26" t="s">
        <v>439</v>
      </c>
      <c r="AB34" s="30" t="s">
        <v>442</v>
      </c>
      <c r="AC34" s="26" t="s">
        <v>443</v>
      </c>
      <c r="AD34" s="30" t="s">
        <v>444</v>
      </c>
      <c r="AE34" s="26" t="s">
        <v>445</v>
      </c>
      <c r="AF34" s="30"/>
      <c r="AG34" s="28"/>
    </row>
    <row r="35" spans="2:33" ht="34">
      <c r="B35" s="47">
        <v>31</v>
      </c>
      <c r="C35" s="386" t="s">
        <v>3573</v>
      </c>
      <c r="D35" s="389" t="s">
        <v>241</v>
      </c>
      <c r="E35" s="389">
        <f t="shared" si="0"/>
        <v>10</v>
      </c>
      <c r="F35" s="387" t="str" cm="1">
        <f t="array" ref="F35" xml:space="preserve"> IF($E35=0, "", INDEX($Q$5:$AG$54, $E35, F$1))</f>
        <v>觀</v>
      </c>
      <c r="G35" s="350" t="str" cm="1">
        <f t="array" ref="G35" xml:space="preserve"> IF($E35=0, "", INDEX($Q$5:$AG$54, $E35, G$1))</f>
        <v>ㄨㄢ</v>
      </c>
      <c r="H35" s="350" t="str" cm="1">
        <f t="array" ref="H35" xml:space="preserve"> IF($E35=0, "", INDEX($Q$5:$AG$54, $E35, H$1))</f>
        <v>ㄨㄚㆵ</v>
      </c>
      <c r="I35" s="350" t="str" cm="1">
        <f t="array" ref="I35" xml:space="preserve"> IF($E35=0, "", INDEX($Q$5:$AG$54, $E35, I$1))</f>
        <v>uan</v>
      </c>
      <c r="J35" s="350" t="str" cm="1">
        <f t="array" ref="J35" xml:space="preserve"> IF($E35=0, "", INDEX($Q$5:$AG$54, $E35, J$1))</f>
        <v>uat</v>
      </c>
      <c r="K35" s="362"/>
      <c r="L35" s="362">
        <f t="shared" si="2"/>
        <v>0</v>
      </c>
      <c r="M35" s="366" t="str">
        <f t="shared" si="1"/>
        <v>更</v>
      </c>
      <c r="N35" s="25" t="str" cm="1">
        <f t="array" ref="N35">IF($L35=0, INDEX($AC$5:$AC$54,$Q35,1), "")</f>
        <v>ㆥ</v>
      </c>
      <c r="O35" s="25" t="str" cm="1">
        <f t="array" ref="O35">IF($L35=0, INDEX($Y$5:$Y$54,$Q35,1), "")</f>
        <v>enn</v>
      </c>
      <c r="Q35" s="47">
        <v>31</v>
      </c>
      <c r="R35" s="380" t="s">
        <v>448</v>
      </c>
      <c r="S35" s="26" t="s">
        <v>449</v>
      </c>
      <c r="T35" s="40" t="s">
        <v>450</v>
      </c>
      <c r="U35" s="26" t="s">
        <v>451</v>
      </c>
      <c r="V35" s="27" t="s">
        <v>452</v>
      </c>
      <c r="W35" s="150" t="s">
        <v>453</v>
      </c>
      <c r="X35" s="27" t="s">
        <v>454</v>
      </c>
      <c r="Y35" s="26" t="s">
        <v>449</v>
      </c>
      <c r="Z35" s="27" t="s">
        <v>450</v>
      </c>
      <c r="AA35" s="26" t="s">
        <v>455</v>
      </c>
      <c r="AB35" s="27" t="s">
        <v>456</v>
      </c>
      <c r="AC35" s="26" t="s">
        <v>457</v>
      </c>
      <c r="AD35" s="27" t="s">
        <v>458</v>
      </c>
      <c r="AE35" s="26" t="s">
        <v>459</v>
      </c>
      <c r="AF35" s="44" t="s">
        <v>460</v>
      </c>
      <c r="AG35" s="33" t="s">
        <v>461</v>
      </c>
    </row>
    <row r="36" spans="2:33" ht="30">
      <c r="B36" s="47">
        <v>32</v>
      </c>
      <c r="C36" s="385" t="s">
        <v>219</v>
      </c>
      <c r="D36" s="389" t="s">
        <v>220</v>
      </c>
      <c r="E36" s="389">
        <f t="shared" si="0"/>
        <v>8</v>
      </c>
      <c r="F36" s="387" t="str" cm="1">
        <f t="array" ref="F36" xml:space="preserve"> IF($E36=0, "", INDEX($Q$5:$AG$54, $E36, F$1))</f>
        <v>乖</v>
      </c>
      <c r="G36" s="350" t="str" cm="1">
        <f t="array" ref="G36" xml:space="preserve"> IF($E36=0, "", INDEX($Q$5:$AG$54, $E36, G$1))</f>
        <v>ㄨㄞ</v>
      </c>
      <c r="H36" s="350" t="str" cm="1">
        <f t="array" ref="H36" xml:space="preserve"> IF($E36=0, "", INDEX($Q$5:$AG$54, $E36, H$1))</f>
        <v>ㄨㄞㆷ</v>
      </c>
      <c r="I36" s="350" t="str" cm="1">
        <f t="array" ref="I36" xml:space="preserve"> IF($E36=0, "", INDEX($Q$5:$AG$54, $E36, I$1))</f>
        <v>uai</v>
      </c>
      <c r="J36" s="350" t="str" cm="1">
        <f t="array" ref="J36" xml:space="preserve"> IF($E36=0, "", INDEX($Q$5:$AG$54, $E36, J$1))</f>
        <v>uaih</v>
      </c>
      <c r="K36" s="362"/>
      <c r="L36" s="362">
        <f t="shared" si="2"/>
        <v>27</v>
      </c>
      <c r="M36" s="366" t="str">
        <f t="shared" si="1"/>
        <v/>
      </c>
      <c r="N36" s="25" t="str" cm="1">
        <f t="array" ref="N36">IF($L36=0, INDEX($AC$5:$AC$54,$Q36,1), "")</f>
        <v/>
      </c>
      <c r="O36" s="25" t="str" cm="1">
        <f t="array" ref="O36">IF($L36=0, INDEX($Y$5:$Y$54,$Q36,1), "")</f>
        <v/>
      </c>
      <c r="Q36" s="47">
        <v>32</v>
      </c>
      <c r="R36" s="381" t="s">
        <v>464</v>
      </c>
      <c r="S36" s="26" t="s">
        <v>465</v>
      </c>
      <c r="T36" s="30" t="s">
        <v>466</v>
      </c>
      <c r="U36" s="31" t="s">
        <v>467</v>
      </c>
      <c r="V36" s="30" t="s">
        <v>468</v>
      </c>
      <c r="W36" s="153" t="s">
        <v>469</v>
      </c>
      <c r="X36" s="30" t="s">
        <v>470</v>
      </c>
      <c r="Y36" s="31" t="s">
        <v>465</v>
      </c>
      <c r="Z36" s="30" t="s">
        <v>466</v>
      </c>
      <c r="AA36" s="31" t="s">
        <v>471</v>
      </c>
      <c r="AB36" s="30" t="s">
        <v>472</v>
      </c>
      <c r="AC36" s="31" t="s">
        <v>473</v>
      </c>
      <c r="AD36" s="30" t="s">
        <v>474</v>
      </c>
      <c r="AE36" s="31" t="s">
        <v>475</v>
      </c>
      <c r="AF36" s="30"/>
      <c r="AG36" s="33" t="s">
        <v>476</v>
      </c>
    </row>
    <row r="37" spans="2:33" ht="34">
      <c r="B37" s="47">
        <v>33</v>
      </c>
      <c r="C37" s="386" t="s">
        <v>358</v>
      </c>
      <c r="D37" s="389" t="s">
        <v>359</v>
      </c>
      <c r="E37" s="389">
        <f t="shared" ref="E37:E54" si="3" xml:space="preserve"> IFERROR( MATCH($D37,$Y$5:$Y$54,0), 0)</f>
        <v>22</v>
      </c>
      <c r="F37" s="387" t="str" cm="1">
        <f t="array" ref="F37" xml:space="preserve"> IF($E37=0, "", INDEX($Q$5:$AG$54, $E37, F$1))</f>
        <v>兼</v>
      </c>
      <c r="G37" s="350" t="str" cm="1">
        <f t="array" ref="G37" xml:space="preserve"> IF($E37=0, "", INDEX($Q$5:$AG$54, $E37, G$1))</f>
        <v>ㄧㆰ</v>
      </c>
      <c r="H37" s="350" t="str" cm="1">
        <f t="array" ref="H37" xml:space="preserve"> IF($E37=0, "", INDEX($Q$5:$AG$54, $E37, H$1))</f>
        <v>ㄧㄚㆴ</v>
      </c>
      <c r="I37" s="350" t="str" cm="1">
        <f t="array" ref="I37" xml:space="preserve"> IF($E37=0, "", INDEX($Q$5:$AG$54, $E37, I$1))</f>
        <v>iam</v>
      </c>
      <c r="J37" s="350" t="str" cm="1">
        <f t="array" ref="J37" xml:space="preserve"> IF($E37=0, "", INDEX($Q$5:$AG$54, $E37, J$1))</f>
        <v>iap</v>
      </c>
      <c r="K37" s="362"/>
      <c r="L37" s="362">
        <f t="shared" si="2"/>
        <v>45</v>
      </c>
      <c r="M37" s="366" t="str">
        <f t="shared" ref="M37:M54" si="4" xml:space="preserve"> IF(L37=0, R37, "")</f>
        <v/>
      </c>
      <c r="N37" s="25" t="str" cm="1">
        <f t="array" ref="N37">IF($L37=0, INDEX($AC$5:$AC$54,$Q37,1), "")</f>
        <v/>
      </c>
      <c r="O37" s="25" t="str" cm="1">
        <f t="array" ref="O37">IF($L37=0, INDEX($Y$5:$Y$54,$Q37,1), "")</f>
        <v/>
      </c>
      <c r="Q37" s="47">
        <v>33</v>
      </c>
      <c r="R37" s="380" t="s">
        <v>479</v>
      </c>
      <c r="S37" s="26" t="s">
        <v>480</v>
      </c>
      <c r="T37" s="27" t="s">
        <v>481</v>
      </c>
      <c r="U37" s="31" t="s">
        <v>480</v>
      </c>
      <c r="V37" s="27" t="s">
        <v>482</v>
      </c>
      <c r="W37" s="150" t="s">
        <v>480</v>
      </c>
      <c r="X37" s="27" t="s">
        <v>481</v>
      </c>
      <c r="Y37" s="26" t="s">
        <v>480</v>
      </c>
      <c r="Z37" s="27" t="s">
        <v>481</v>
      </c>
      <c r="AA37" s="26" t="s">
        <v>480</v>
      </c>
      <c r="AB37" s="27" t="s">
        <v>481</v>
      </c>
      <c r="AC37" s="26" t="s">
        <v>483</v>
      </c>
      <c r="AD37" s="27" t="s">
        <v>484</v>
      </c>
      <c r="AE37" s="26" t="s">
        <v>485</v>
      </c>
      <c r="AF37" s="44" t="s">
        <v>486</v>
      </c>
      <c r="AG37" s="28"/>
    </row>
    <row r="38" spans="2:33" ht="30">
      <c r="B38" s="47">
        <v>34</v>
      </c>
      <c r="C38" s="385" t="s">
        <v>3574</v>
      </c>
      <c r="D38" s="389" t="s">
        <v>624</v>
      </c>
      <c r="E38" s="389">
        <f t="shared" si="3"/>
        <v>45</v>
      </c>
      <c r="F38" s="387" t="str" cm="1">
        <f t="array" ref="F38" xml:space="preserve"> IF($E38=0, "", INDEX($Q$5:$AG$54, $E38, F$1))</f>
        <v>糜</v>
      </c>
      <c r="G38" s="350" t="str" cm="1">
        <f t="array" ref="G38" xml:space="preserve"> IF($E38=0, "", INDEX($Q$5:$AG$54, $E38, G$1))</f>
        <v>ㄨㆥ</v>
      </c>
      <c r="H38" s="350" t="str" cm="1">
        <f t="array" ref="H38" xml:space="preserve"> IF($E38=0, "", INDEX($Q$5:$AG$54, $E38, H$1))</f>
        <v>ㄨㆥㆷ</v>
      </c>
      <c r="I38" s="350" t="str" cm="1">
        <f t="array" ref="I38" xml:space="preserve"> IF($E38=0, "", INDEX($Q$5:$AG$54, $E38, I$1))</f>
        <v>uenn</v>
      </c>
      <c r="J38" s="350" t="str" cm="1">
        <f t="array" ref="J38" xml:space="preserve"> IF($E38=0, "", INDEX($Q$5:$AG$54, $E38, J$1))</f>
        <v>uennh</v>
      </c>
      <c r="K38" s="362"/>
      <c r="L38" s="362">
        <f t="shared" si="2"/>
        <v>44</v>
      </c>
      <c r="M38" s="366" t="str">
        <f t="shared" si="4"/>
        <v/>
      </c>
      <c r="N38" s="25" t="str" cm="1">
        <f t="array" ref="N38">IF($L38=0, INDEX($AC$5:$AC$54,$Q38,1), "")</f>
        <v/>
      </c>
      <c r="O38" s="25" t="str" cm="1">
        <f t="array" ref="O38">IF($L38=0, INDEX($Y$5:$Y$54,$Q38,1), "")</f>
        <v/>
      </c>
      <c r="Q38" s="47">
        <v>34</v>
      </c>
      <c r="R38" s="380" t="s">
        <v>489</v>
      </c>
      <c r="S38" s="26" t="s">
        <v>490</v>
      </c>
      <c r="T38" s="27" t="s">
        <v>491</v>
      </c>
      <c r="U38" s="26" t="s">
        <v>492</v>
      </c>
      <c r="V38" s="27" t="s">
        <v>493</v>
      </c>
      <c r="W38" s="150" t="s">
        <v>494</v>
      </c>
      <c r="X38" s="27" t="s">
        <v>495</v>
      </c>
      <c r="Y38" s="26" t="s">
        <v>490</v>
      </c>
      <c r="Z38" s="27" t="s">
        <v>491</v>
      </c>
      <c r="AA38" s="26" t="s">
        <v>496</v>
      </c>
      <c r="AB38" s="27" t="s">
        <v>497</v>
      </c>
      <c r="AC38" s="26" t="s">
        <v>498</v>
      </c>
      <c r="AD38" s="27" t="s">
        <v>498</v>
      </c>
      <c r="AE38" s="26" t="s">
        <v>499</v>
      </c>
      <c r="AF38" s="44" t="s">
        <v>500</v>
      </c>
      <c r="AG38" s="28"/>
    </row>
    <row r="39" spans="2:33" ht="34">
      <c r="B39" s="47">
        <v>35</v>
      </c>
      <c r="C39" s="385" t="s">
        <v>3575</v>
      </c>
      <c r="D39" s="389" t="s">
        <v>235</v>
      </c>
      <c r="E39" s="389">
        <f t="shared" si="3"/>
        <v>0</v>
      </c>
      <c r="F39" s="387" t="str" cm="1">
        <f t="array" ref="F39" xml:space="preserve"> IF($E39=0, "", INDEX($Q$5:$AG$54, $E39, F$1))</f>
        <v/>
      </c>
      <c r="G39" s="350" t="str" cm="1">
        <f t="array" ref="G39" xml:space="preserve"> IF($E39=0, "", INDEX($Q$5:$AG$54, $E39, G$1))</f>
        <v/>
      </c>
      <c r="H39" s="350" t="str" cm="1">
        <f t="array" ref="H39" xml:space="preserve"> IF($E39=0, "", INDEX($Q$5:$AG$54, $E39, H$1))</f>
        <v/>
      </c>
      <c r="I39" s="350" t="str" cm="1">
        <f t="array" ref="I39" xml:space="preserve"> IF($E39=0, "", INDEX($Q$5:$AG$54, $E39, I$1))</f>
        <v/>
      </c>
      <c r="J39" s="350" t="str" cm="1">
        <f t="array" ref="J39" xml:space="preserve"> IF($E39=0, "", INDEX($Q$5:$AG$54, $E39, J$1))</f>
        <v/>
      </c>
      <c r="K39" s="362"/>
      <c r="L39" s="362">
        <f t="shared" si="2"/>
        <v>0</v>
      </c>
      <c r="M39" s="366" t="str">
        <f t="shared" si="4"/>
        <v>薑</v>
      </c>
      <c r="N39" s="25" t="str" cm="1">
        <f t="array" ref="N39">IF($L39=0, INDEX($AC$5:$AC$54,$Q39,1), "")</f>
        <v>ㄧㆧ</v>
      </c>
      <c r="O39" s="25" t="str" cm="1">
        <f t="array" ref="O39">IF($L39=0, INDEX($Y$5:$Y$54,$Q39,1), "")</f>
        <v>ionn</v>
      </c>
      <c r="Q39" s="47">
        <v>35</v>
      </c>
      <c r="R39" s="383" t="s">
        <v>503</v>
      </c>
      <c r="S39" s="26" t="s">
        <v>504</v>
      </c>
      <c r="T39" s="30" t="s">
        <v>505</v>
      </c>
      <c r="U39" s="43" t="s">
        <v>506</v>
      </c>
      <c r="V39" s="30" t="s">
        <v>507</v>
      </c>
      <c r="W39" s="153" t="s">
        <v>508</v>
      </c>
      <c r="X39" s="30" t="s">
        <v>509</v>
      </c>
      <c r="Y39" s="26" t="s">
        <v>504</v>
      </c>
      <c r="Z39" s="30" t="s">
        <v>505</v>
      </c>
      <c r="AA39" s="26" t="s">
        <v>510</v>
      </c>
      <c r="AB39" s="30" t="s">
        <v>511</v>
      </c>
      <c r="AC39" s="26" t="s">
        <v>512</v>
      </c>
      <c r="AD39" s="30" t="s">
        <v>513</v>
      </c>
      <c r="AE39" s="26" t="s">
        <v>514</v>
      </c>
      <c r="AF39" s="30"/>
      <c r="AG39" s="33" t="s">
        <v>515</v>
      </c>
    </row>
    <row r="40" spans="2:33" ht="30">
      <c r="B40" s="47">
        <v>36</v>
      </c>
      <c r="C40" s="385" t="s">
        <v>3576</v>
      </c>
      <c r="D40" s="389" t="s">
        <v>432</v>
      </c>
      <c r="E40" s="389">
        <f t="shared" si="3"/>
        <v>29</v>
      </c>
      <c r="F40" s="387" t="str" cm="1">
        <f t="array" ref="F40" xml:space="preserve"> IF($E40=0, "", INDEX($Q$5:$AG$54, $E40, F$1))</f>
        <v>居</v>
      </c>
      <c r="G40" s="350" t="str" cm="1">
        <f t="array" ref="G40" xml:space="preserve"> IF($E40=0, "", INDEX($Q$5:$AG$54, $E40, G$1))</f>
        <v>ㄧ</v>
      </c>
      <c r="H40" s="350" t="str" cm="1">
        <f t="array" ref="H40" xml:space="preserve"> IF($E40=0, "", INDEX($Q$5:$AG$54, $E40, H$1))</f>
        <v>ㄧㆷ</v>
      </c>
      <c r="I40" s="350" t="str" cm="1">
        <f t="array" ref="I40" xml:space="preserve"> IF($E40=0, "", INDEX($Q$5:$AG$54, $E40, I$1))</f>
        <v>i</v>
      </c>
      <c r="J40" s="350" t="str" cm="1">
        <f t="array" ref="J40" xml:space="preserve"> IF($E40=0, "", INDEX($Q$5:$AG$54, $E40, J$1))</f>
        <v>ih</v>
      </c>
      <c r="K40" s="362"/>
      <c r="L40" s="362">
        <f t="shared" si="2"/>
        <v>41</v>
      </c>
      <c r="M40" s="366" t="str">
        <f t="shared" si="4"/>
        <v/>
      </c>
      <c r="N40" s="25" t="str" cm="1">
        <f t="array" ref="N40">IF($L40=0, INDEX($AC$5:$AC$54,$Q40,1), "")</f>
        <v/>
      </c>
      <c r="O40" s="25" t="str" cm="1">
        <f t="array" ref="O40">IF($L40=0, INDEX($Y$5:$Y$54,$Q40,1), "")</f>
        <v/>
      </c>
      <c r="Q40" s="47">
        <v>36</v>
      </c>
      <c r="R40" s="380" t="s">
        <v>518</v>
      </c>
      <c r="S40" s="26" t="s">
        <v>519</v>
      </c>
      <c r="T40" s="111" t="s">
        <v>520</v>
      </c>
      <c r="U40" s="26" t="s">
        <v>521</v>
      </c>
      <c r="V40" s="111" t="s">
        <v>522</v>
      </c>
      <c r="W40" s="150" t="s">
        <v>523</v>
      </c>
      <c r="X40" s="111" t="s">
        <v>524</v>
      </c>
      <c r="Y40" s="26" t="s">
        <v>519</v>
      </c>
      <c r="Z40" s="111" t="s">
        <v>520</v>
      </c>
      <c r="AA40" s="26" t="s">
        <v>525</v>
      </c>
      <c r="AB40" s="111" t="s">
        <v>526</v>
      </c>
      <c r="AC40" s="26" t="s">
        <v>527</v>
      </c>
      <c r="AD40" s="111" t="s">
        <v>528</v>
      </c>
      <c r="AE40" s="26" t="s">
        <v>529</v>
      </c>
      <c r="AF40" s="111"/>
      <c r="AG40" s="33" t="s">
        <v>530</v>
      </c>
    </row>
    <row r="41" spans="2:33" ht="30">
      <c r="B41" s="47">
        <v>37</v>
      </c>
      <c r="C41" s="385" t="s">
        <v>3577</v>
      </c>
      <c r="D41" s="389" t="s">
        <v>637</v>
      </c>
      <c r="E41" s="389">
        <f t="shared" si="3"/>
        <v>46</v>
      </c>
      <c r="F41" s="387" t="str" cm="1">
        <f t="array" ref="F41" xml:space="preserve"> IF($E41=0, "", INDEX($Q$5:$AG$54, $E41, F$1))</f>
        <v>嘄</v>
      </c>
      <c r="G41" s="350" t="str" cm="1">
        <f t="array" ref="G41" xml:space="preserve"> IF($E41=0, "", INDEX($Q$5:$AG$54, $E41, G$1))</f>
        <v>ㄧㆯ</v>
      </c>
      <c r="H41" s="350" t="str" cm="1">
        <f t="array" ref="H41" xml:space="preserve"> IF($E41=0, "", INDEX($Q$5:$AG$54, $E41, H$1))</f>
        <v>ㄧㆯㆷ</v>
      </c>
      <c r="I41" s="350" t="str" cm="1">
        <f t="array" ref="I41" xml:space="preserve"> IF($E41=0, "", INDEX($Q$5:$AG$54, $E41, I$1))</f>
        <v>iaunn</v>
      </c>
      <c r="J41" s="350" t="str" cm="1">
        <f t="array" ref="J41" xml:space="preserve"> IF($E41=0, "", INDEX($Q$5:$AG$54, $E41, J$1))</f>
        <v>iaunnh</v>
      </c>
      <c r="K41" s="362"/>
      <c r="L41" s="362">
        <f t="shared" si="2"/>
        <v>6</v>
      </c>
      <c r="M41" s="366" t="str">
        <f t="shared" si="4"/>
        <v/>
      </c>
      <c r="N41" s="25" t="str" cm="1">
        <f t="array" ref="N41">IF($L41=0, INDEX($AC$5:$AC$54,$Q41,1), "")</f>
        <v/>
      </c>
      <c r="O41" s="25" t="str" cm="1">
        <f t="array" ref="O41">IF($L41=0, INDEX($Y$5:$Y$54,$Q41,1), "")</f>
        <v/>
      </c>
      <c r="Q41" s="47">
        <v>37</v>
      </c>
      <c r="R41" s="380" t="s">
        <v>463</v>
      </c>
      <c r="S41" s="26" t="s">
        <v>532</v>
      </c>
      <c r="T41" s="30" t="s">
        <v>533</v>
      </c>
      <c r="U41" s="26" t="s">
        <v>534</v>
      </c>
      <c r="V41" s="30" t="s">
        <v>535</v>
      </c>
      <c r="W41" s="153" t="s">
        <v>536</v>
      </c>
      <c r="X41" s="30" t="s">
        <v>537</v>
      </c>
      <c r="Y41" s="26" t="s">
        <v>532</v>
      </c>
      <c r="Z41" s="30" t="s">
        <v>533</v>
      </c>
      <c r="AA41" s="26" t="s">
        <v>538</v>
      </c>
      <c r="AB41" s="30" t="s">
        <v>539</v>
      </c>
      <c r="AC41" s="26" t="s">
        <v>540</v>
      </c>
      <c r="AD41" s="30" t="s">
        <v>541</v>
      </c>
      <c r="AE41" s="26" t="s">
        <v>542</v>
      </c>
      <c r="AF41" s="30"/>
      <c r="AG41" s="28"/>
    </row>
    <row r="42" spans="2:33" ht="30">
      <c r="B42" s="47">
        <v>38</v>
      </c>
      <c r="C42" s="385" t="s">
        <v>3578</v>
      </c>
      <c r="D42" s="389" t="s">
        <v>299</v>
      </c>
      <c r="E42" s="389">
        <f t="shared" si="3"/>
        <v>15</v>
      </c>
      <c r="F42" s="387" t="str" cm="1">
        <f t="array" ref="F42" xml:space="preserve"> IF($E42=0, "", INDEX($Q$5:$AG$54, $E42, F$1))</f>
        <v>高</v>
      </c>
      <c r="G42" s="350" t="str" cm="1">
        <f t="array" ref="G42" xml:space="preserve"> IF($E42=0, "", INDEX($Q$5:$AG$54, $E42, G$1))</f>
        <v>ㄜ</v>
      </c>
      <c r="H42" s="350" t="str" cm="1">
        <f t="array" ref="H42" xml:space="preserve"> IF($E42=0, "", INDEX($Q$5:$AG$54, $E42, H$1))</f>
        <v>ㄜㆷ</v>
      </c>
      <c r="I42" s="350" t="str" cm="1">
        <f t="array" ref="I42" xml:space="preserve"> IF($E42=0, "", INDEX($Q$5:$AG$54, $E42, I$1))</f>
        <v>o</v>
      </c>
      <c r="J42" s="350" t="str" cm="1">
        <f t="array" ref="J42" xml:space="preserve"> IF($E42=0, "", INDEX($Q$5:$AG$54, $E42, J$1))</f>
        <v>oh</v>
      </c>
      <c r="K42" s="362"/>
      <c r="L42" s="362">
        <f t="shared" si="2"/>
        <v>43</v>
      </c>
      <c r="M42" s="366" t="str">
        <f t="shared" si="4"/>
        <v/>
      </c>
      <c r="N42" s="25" t="str" cm="1">
        <f t="array" ref="N42">IF($L42=0, INDEX($AC$5:$AC$54,$Q42,1), "")</f>
        <v/>
      </c>
      <c r="O42" s="25" t="str" cm="1">
        <f t="array" ref="O42">IF($L42=0, INDEX($Y$5:$Y$54,$Q42,1), "")</f>
        <v/>
      </c>
      <c r="Q42" s="47">
        <v>38</v>
      </c>
      <c r="R42" s="381" t="s">
        <v>488</v>
      </c>
      <c r="S42" s="26" t="s">
        <v>79</v>
      </c>
      <c r="T42" s="111" t="s">
        <v>545</v>
      </c>
      <c r="U42" s="26" t="s">
        <v>546</v>
      </c>
      <c r="V42" s="111" t="s">
        <v>547</v>
      </c>
      <c r="W42" s="150" t="s">
        <v>79</v>
      </c>
      <c r="X42" s="111" t="s">
        <v>548</v>
      </c>
      <c r="Y42" s="26" t="s">
        <v>79</v>
      </c>
      <c r="Z42" s="111" t="s">
        <v>545</v>
      </c>
      <c r="AA42" s="26" t="s">
        <v>79</v>
      </c>
      <c r="AB42" s="111" t="s">
        <v>548</v>
      </c>
      <c r="AC42" s="26" t="s">
        <v>549</v>
      </c>
      <c r="AD42" s="111" t="s">
        <v>550</v>
      </c>
      <c r="AE42" s="26" t="s">
        <v>551</v>
      </c>
      <c r="AF42" s="30"/>
      <c r="AG42" s="28"/>
    </row>
    <row r="43" spans="2:33" ht="30">
      <c r="B43" s="47">
        <v>39</v>
      </c>
      <c r="C43" s="385" t="s">
        <v>3579</v>
      </c>
      <c r="D43" s="389" t="s">
        <v>3592</v>
      </c>
      <c r="E43" s="389">
        <f t="shared" si="3"/>
        <v>0</v>
      </c>
      <c r="F43" s="387" t="str" cm="1">
        <f t="array" ref="F43" xml:space="preserve"> IF($E43=0, "", INDEX($Q$5:$AG$54, $E43, F$1))</f>
        <v/>
      </c>
      <c r="G43" s="350" t="str" cm="1">
        <f t="array" ref="G43" xml:space="preserve"> IF($E43=0, "", INDEX($Q$5:$AG$54, $E43, G$1))</f>
        <v/>
      </c>
      <c r="H43" s="350" t="str" cm="1">
        <f t="array" ref="H43" xml:space="preserve"> IF($E43=0, "", INDEX($Q$5:$AG$54, $E43, H$1))</f>
        <v/>
      </c>
      <c r="I43" s="350" t="str" cm="1">
        <f t="array" ref="I43" xml:space="preserve"> IF($E43=0, "", INDEX($Q$5:$AG$54, $E43, I$1))</f>
        <v/>
      </c>
      <c r="J43" s="350" t="str" cm="1">
        <f t="array" ref="J43" xml:space="preserve"> IF($E43=0, "", INDEX($Q$5:$AG$54, $E43, J$1))</f>
        <v/>
      </c>
      <c r="K43" s="362"/>
      <c r="L43" s="362">
        <f t="shared" si="2"/>
        <v>21</v>
      </c>
      <c r="M43" s="366" t="str">
        <f t="shared" si="4"/>
        <v/>
      </c>
      <c r="N43" s="25" t="str" cm="1">
        <f t="array" ref="N43">IF($L43=0, INDEX($AC$5:$AC$54,$Q43,1), "")</f>
        <v/>
      </c>
      <c r="O43" s="25" t="str" cm="1">
        <f t="array" ref="O43">IF($L43=0, INDEX($Y$5:$Y$54,$Q43,1), "")</f>
        <v/>
      </c>
      <c r="Q43" s="47">
        <v>39</v>
      </c>
      <c r="R43" s="382" t="s">
        <v>553</v>
      </c>
      <c r="S43" s="26" t="s">
        <v>278</v>
      </c>
      <c r="T43" s="27" t="s">
        <v>189</v>
      </c>
      <c r="U43" s="26" t="s">
        <v>278</v>
      </c>
      <c r="V43" s="27" t="s">
        <v>554</v>
      </c>
      <c r="W43" s="150" t="s">
        <v>278</v>
      </c>
      <c r="X43" s="27" t="s">
        <v>189</v>
      </c>
      <c r="Y43" s="26" t="s">
        <v>278</v>
      </c>
      <c r="Z43" s="27" t="s">
        <v>189</v>
      </c>
      <c r="AA43" s="26" t="s">
        <v>278</v>
      </c>
      <c r="AB43" s="27" t="s">
        <v>189</v>
      </c>
      <c r="AC43" s="26" t="s">
        <v>555</v>
      </c>
      <c r="AD43" s="27" t="s">
        <v>556</v>
      </c>
      <c r="AE43" s="26" t="s">
        <v>197</v>
      </c>
      <c r="AF43" s="44" t="s">
        <v>198</v>
      </c>
      <c r="AG43" s="28"/>
    </row>
    <row r="44" spans="2:33" ht="34">
      <c r="B44" s="47">
        <v>40</v>
      </c>
      <c r="C44" s="385" t="s">
        <v>3580</v>
      </c>
      <c r="D44" s="389" t="s">
        <v>64</v>
      </c>
      <c r="E44" s="389">
        <f t="shared" si="3"/>
        <v>42</v>
      </c>
      <c r="F44" s="387" t="str" cm="1">
        <f t="array" ref="F44" xml:space="preserve"> IF($E44=0, "", INDEX($Q$5:$AG$54, $E44, F$1))</f>
        <v>姆</v>
      </c>
      <c r="G44" s="350" t="str" cm="1">
        <f t="array" ref="G44" xml:space="preserve"> IF($E44=0, "", INDEX($Q$5:$AG$54, $E44, G$1))</f>
        <v>ㆬ</v>
      </c>
      <c r="H44" s="350" t="str" cm="1">
        <f t="array" ref="H44" xml:space="preserve"> IF($E44=0, "", INDEX($Q$5:$AG$54, $E44, H$1))</f>
        <v>ㆬㆷ</v>
      </c>
      <c r="I44" s="350" t="str" cm="1">
        <f t="array" ref="I44" xml:space="preserve"> IF($E44=0, "", INDEX($Q$5:$AG$54, $E44, I$1))</f>
        <v>m</v>
      </c>
      <c r="J44" s="350" t="str" cm="1">
        <f t="array" ref="J44" xml:space="preserve"> IF($E44=0, "", INDEX($Q$5:$AG$54, $E44, J$1))</f>
        <v>mh</v>
      </c>
      <c r="K44" s="362"/>
      <c r="L44" s="362">
        <f t="shared" si="2"/>
        <v>49</v>
      </c>
      <c r="M44" s="366" t="str">
        <f t="shared" si="4"/>
        <v/>
      </c>
      <c r="N44" s="25" t="str" cm="1">
        <f t="array" ref="N44">IF($L44=0, INDEX($AC$5:$AC$54,$Q44,1), "")</f>
        <v/>
      </c>
      <c r="O44" s="25" t="str" cm="1">
        <f t="array" ref="O44">IF($L44=0, INDEX($Y$5:$Y$54,$Q44,1), "")</f>
        <v/>
      </c>
      <c r="Q44" s="47">
        <v>40</v>
      </c>
      <c r="R44" s="384" t="s">
        <v>502</v>
      </c>
      <c r="S44" s="26" t="s">
        <v>559</v>
      </c>
      <c r="T44" s="30" t="s">
        <v>560</v>
      </c>
      <c r="U44" s="26" t="s">
        <v>561</v>
      </c>
      <c r="V44" s="30" t="s">
        <v>562</v>
      </c>
      <c r="W44" s="153" t="s">
        <v>563</v>
      </c>
      <c r="X44" s="30" t="s">
        <v>564</v>
      </c>
      <c r="Y44" s="26" t="s">
        <v>559</v>
      </c>
      <c r="Z44" s="30" t="s">
        <v>560</v>
      </c>
      <c r="AA44" s="26" t="s">
        <v>565</v>
      </c>
      <c r="AB44" s="30" t="s">
        <v>566</v>
      </c>
      <c r="AC44" s="26" t="s">
        <v>567</v>
      </c>
      <c r="AD44" s="30" t="s">
        <v>568</v>
      </c>
      <c r="AE44" s="26" t="s">
        <v>569</v>
      </c>
      <c r="AF44" s="30"/>
      <c r="AG44" s="33" t="s">
        <v>570</v>
      </c>
    </row>
    <row r="45" spans="2:33" ht="30">
      <c r="B45" s="47">
        <v>41</v>
      </c>
      <c r="C45" s="385" t="s">
        <v>2007</v>
      </c>
      <c r="D45" s="389" t="s">
        <v>519</v>
      </c>
      <c r="E45" s="389">
        <f t="shared" si="3"/>
        <v>36</v>
      </c>
      <c r="F45" s="387" t="str" cm="1">
        <f t="array" ref="F45" xml:space="preserve"> IF($E45=0, "", INDEX($Q$5:$AG$54, $E45, F$1))</f>
        <v>驚</v>
      </c>
      <c r="G45" s="350" t="str" cm="1">
        <f t="array" ref="G45" xml:space="preserve"> IF($E45=0, "", INDEX($Q$5:$AG$54, $E45, G$1))</f>
        <v>ㄧㆩ</v>
      </c>
      <c r="H45" s="350" t="str" cm="1">
        <f t="array" ref="H45" xml:space="preserve"> IF($E45=0, "", INDEX($Q$5:$AG$54, $E45, H$1))</f>
        <v>ㄧㆩㆷ</v>
      </c>
      <c r="I45" s="350" t="str" cm="1">
        <f t="array" ref="I45" xml:space="preserve"> IF($E45=0, "", INDEX($Q$5:$AG$54, $E45, I$1))</f>
        <v>iann</v>
      </c>
      <c r="J45" s="350" t="str" cm="1">
        <f t="array" ref="J45" xml:space="preserve"> IF($E45=0, "", INDEX($Q$5:$AG$54, $E45, J$1))</f>
        <v>iannh</v>
      </c>
      <c r="K45" s="362"/>
      <c r="L45" s="362">
        <f t="shared" si="2"/>
        <v>18</v>
      </c>
      <c r="M45" s="366" t="str">
        <f t="shared" si="4"/>
        <v/>
      </c>
      <c r="N45" s="25" t="str" cm="1">
        <f t="array" ref="N45">IF($L45=0, INDEX($AC$5:$AC$54,$Q45,1), "")</f>
        <v/>
      </c>
      <c r="O45" s="25" t="str" cm="1">
        <f t="array" ref="O45">IF($L45=0, INDEX($Y$5:$Y$54,$Q45,1), "")</f>
        <v/>
      </c>
      <c r="Q45" s="47">
        <v>41</v>
      </c>
      <c r="R45" s="382" t="s">
        <v>572</v>
      </c>
      <c r="S45" s="26" t="s">
        <v>573</v>
      </c>
      <c r="T45" s="30" t="s">
        <v>574</v>
      </c>
      <c r="U45" s="26" t="s">
        <v>575</v>
      </c>
      <c r="V45" s="30" t="s">
        <v>576</v>
      </c>
      <c r="W45" s="153" t="s">
        <v>577</v>
      </c>
      <c r="X45" s="30" t="s">
        <v>578</v>
      </c>
      <c r="Y45" s="26" t="s">
        <v>579</v>
      </c>
      <c r="Z45" s="30" t="s">
        <v>580</v>
      </c>
      <c r="AA45" s="26" t="s">
        <v>581</v>
      </c>
      <c r="AB45" s="30" t="s">
        <v>582</v>
      </c>
      <c r="AC45" s="26" t="s">
        <v>583</v>
      </c>
      <c r="AD45" s="30" t="s">
        <v>584</v>
      </c>
      <c r="AE45" s="26" t="s">
        <v>585</v>
      </c>
      <c r="AF45" s="30"/>
      <c r="AG45" s="33" t="s">
        <v>586</v>
      </c>
    </row>
    <row r="46" spans="2:33" ht="30">
      <c r="B46" s="47">
        <v>42</v>
      </c>
      <c r="C46" s="385" t="s">
        <v>3581</v>
      </c>
      <c r="D46" s="389" t="s">
        <v>3593</v>
      </c>
      <c r="E46" s="389">
        <f t="shared" si="3"/>
        <v>0</v>
      </c>
      <c r="F46" s="387" t="str" cm="1">
        <f t="array" ref="F46" xml:space="preserve"> IF($E46=0, "", INDEX($Q$5:$AG$54, $E46, F$1))</f>
        <v/>
      </c>
      <c r="G46" s="350" t="str" cm="1">
        <f t="array" ref="G46" xml:space="preserve"> IF($E46=0, "", INDEX($Q$5:$AG$54, $E46, G$1))</f>
        <v/>
      </c>
      <c r="H46" s="350" t="str" cm="1">
        <f t="array" ref="H46" xml:space="preserve"> IF($E46=0, "", INDEX($Q$5:$AG$54, $E46, H$1))</f>
        <v/>
      </c>
      <c r="I46" s="350" t="str" cm="1">
        <f t="array" ref="I46" xml:space="preserve"> IF($E46=0, "", INDEX($Q$5:$AG$54, $E46, I$1))</f>
        <v/>
      </c>
      <c r="J46" s="350" t="str" cm="1">
        <f t="array" ref="J46" xml:space="preserve"> IF($E46=0, "", INDEX($Q$5:$AG$54, $E46, J$1))</f>
        <v/>
      </c>
      <c r="K46" s="362"/>
      <c r="L46" s="362">
        <f t="shared" si="2"/>
        <v>40</v>
      </c>
      <c r="M46" s="366" t="str">
        <f t="shared" si="4"/>
        <v/>
      </c>
      <c r="N46" s="25" t="str" cm="1">
        <f t="array" ref="N46">IF($L46=0, INDEX($AC$5:$AC$54,$Q46,1), "")</f>
        <v/>
      </c>
      <c r="O46" s="25" t="str" cm="1">
        <f t="array" ref="O46">IF($L46=0, INDEX($Y$5:$Y$54,$Q46,1), "")</f>
        <v/>
      </c>
      <c r="Q46" s="47">
        <v>42</v>
      </c>
      <c r="R46" s="381" t="s">
        <v>544</v>
      </c>
      <c r="S46" s="26" t="s">
        <v>64</v>
      </c>
      <c r="T46" s="111" t="s">
        <v>588</v>
      </c>
      <c r="U46" s="26" t="s">
        <v>589</v>
      </c>
      <c r="V46" s="111" t="s">
        <v>590</v>
      </c>
      <c r="W46" s="150" t="s">
        <v>64</v>
      </c>
      <c r="X46" s="111" t="s">
        <v>591</v>
      </c>
      <c r="Y46" s="26" t="s">
        <v>64</v>
      </c>
      <c r="Z46" s="111" t="s">
        <v>588</v>
      </c>
      <c r="AA46" s="26" t="s">
        <v>64</v>
      </c>
      <c r="AB46" s="111" t="s">
        <v>591</v>
      </c>
      <c r="AC46" s="26" t="s">
        <v>592</v>
      </c>
      <c r="AD46" s="111" t="s">
        <v>593</v>
      </c>
      <c r="AE46" s="31" t="s">
        <v>594</v>
      </c>
      <c r="AF46" s="30"/>
      <c r="AG46" s="28"/>
    </row>
    <row r="47" spans="2:33" ht="30">
      <c r="B47" s="47">
        <v>43</v>
      </c>
      <c r="C47" s="385" t="s">
        <v>2393</v>
      </c>
      <c r="D47" s="389" t="s">
        <v>79</v>
      </c>
      <c r="E47" s="389">
        <f t="shared" si="3"/>
        <v>38</v>
      </c>
      <c r="F47" s="387" t="str" cm="1">
        <f t="array" ref="F47" xml:space="preserve"> IF($E47=0, "", INDEX($Q$5:$AG$54, $E47, F$1))</f>
        <v>鋼</v>
      </c>
      <c r="G47" s="350" t="str" cm="1">
        <f t="array" ref="G47" xml:space="preserve"> IF($E47=0, "", INDEX($Q$5:$AG$54, $E47, G$1))</f>
        <v>ㆭ</v>
      </c>
      <c r="H47" s="350" t="str" cm="1">
        <f t="array" ref="H47" xml:space="preserve"> IF($E47=0, "", INDEX($Q$5:$AG$54, $E47, H$1))</f>
        <v>ㆭㆷ</v>
      </c>
      <c r="I47" s="350" t="str" cm="1">
        <f t="array" ref="I47" xml:space="preserve"> IF($E47=0, "", INDEX($Q$5:$AG$54, $E47, I$1))</f>
        <v>ng</v>
      </c>
      <c r="J47" s="350" t="str" cm="1">
        <f t="array" ref="J47" xml:space="preserve"> IF($E47=0, "", INDEX($Q$5:$AG$54, $E47, J$1))</f>
        <v>ngh</v>
      </c>
      <c r="K47" s="362"/>
      <c r="L47" s="362">
        <f t="shared" si="2"/>
        <v>46</v>
      </c>
      <c r="M47" s="366" t="str">
        <f t="shared" si="4"/>
        <v/>
      </c>
      <c r="N47" s="25" t="str" cm="1">
        <f t="array" ref="N47">IF($L47=0, INDEX($AC$5:$AC$54,$Q47,1), "")</f>
        <v/>
      </c>
      <c r="O47" s="25" t="str" cm="1">
        <f t="array" ref="O47">IF($L47=0, INDEX($Y$5:$Y$54,$Q47,1), "")</f>
        <v/>
      </c>
      <c r="Q47" s="47">
        <v>43</v>
      </c>
      <c r="R47" s="380" t="s">
        <v>597</v>
      </c>
      <c r="S47" s="26" t="s">
        <v>598</v>
      </c>
      <c r="T47" s="41" t="s">
        <v>599</v>
      </c>
      <c r="U47" s="31" t="s">
        <v>600</v>
      </c>
      <c r="V47" s="40" t="s">
        <v>601</v>
      </c>
      <c r="W47" s="151" t="s">
        <v>602</v>
      </c>
      <c r="X47" s="40" t="s">
        <v>603</v>
      </c>
      <c r="Y47" s="26" t="s">
        <v>598</v>
      </c>
      <c r="Z47" s="27" t="s">
        <v>599</v>
      </c>
      <c r="AA47" s="26" t="s">
        <v>598</v>
      </c>
      <c r="AB47" s="27" t="s">
        <v>599</v>
      </c>
      <c r="AC47" s="26" t="s">
        <v>604</v>
      </c>
      <c r="AD47" s="27" t="s">
        <v>605</v>
      </c>
      <c r="AE47" s="26" t="s">
        <v>606</v>
      </c>
      <c r="AF47" s="44" t="s">
        <v>607</v>
      </c>
      <c r="AG47" s="28"/>
    </row>
    <row r="48" spans="2:33" ht="30">
      <c r="B48" s="47">
        <v>44</v>
      </c>
      <c r="C48" s="385" t="s">
        <v>3582</v>
      </c>
      <c r="D48" s="389" t="s">
        <v>490</v>
      </c>
      <c r="E48" s="389">
        <f t="shared" si="3"/>
        <v>34</v>
      </c>
      <c r="F48" s="387" t="str" cm="1">
        <f t="array" ref="F48" xml:space="preserve"> IF($E48=0, "", INDEX($Q$5:$AG$54, $E48, F$1))</f>
        <v>梔</v>
      </c>
      <c r="G48" s="350" t="str" cm="1">
        <f t="array" ref="G48" xml:space="preserve"> IF($E48=0, "", INDEX($Q$5:$AG$54, $E48, G$1))</f>
        <v>ㆪ</v>
      </c>
      <c r="H48" s="350" t="str" cm="1">
        <f t="array" ref="H48" xml:space="preserve"> IF($E48=0, "", INDEX($Q$5:$AG$54, $E48, H$1))</f>
        <v>ㆪ</v>
      </c>
      <c r="I48" s="350" t="str" cm="1">
        <f t="array" ref="I48" xml:space="preserve"> IF($E48=0, "", INDEX($Q$5:$AG$54, $E48, I$1))</f>
        <v>inn</v>
      </c>
      <c r="J48" s="350" t="str" cm="1">
        <f t="array" ref="J48" xml:space="preserve"> IF($E48=0, "", INDEX($Q$5:$AG$54, $E48, J$1))</f>
        <v>innh</v>
      </c>
      <c r="K48" s="362"/>
      <c r="L48" s="362">
        <f t="shared" si="2"/>
        <v>0</v>
      </c>
      <c r="M48" s="366" t="str">
        <f t="shared" si="4"/>
        <v>閂</v>
      </c>
      <c r="N48" s="25" t="str" cm="1">
        <f t="array" ref="N48">IF($L48=0, INDEX($AC$5:$AC$54,$Q48,1), "")</f>
        <v>ㄨㆮ</v>
      </c>
      <c r="O48" s="25" t="str" cm="1">
        <f t="array" ref="O48">IF($L48=0, INDEX($Y$5:$Y$54,$Q48,1), "")</f>
        <v>uainn</v>
      </c>
      <c r="Q48" s="47">
        <v>44</v>
      </c>
      <c r="R48" s="381" t="s">
        <v>558</v>
      </c>
      <c r="S48" s="26" t="s">
        <v>610</v>
      </c>
      <c r="T48" s="41" t="s">
        <v>611</v>
      </c>
      <c r="U48" s="31" t="s">
        <v>612</v>
      </c>
      <c r="V48" s="40" t="s">
        <v>613</v>
      </c>
      <c r="W48" s="151" t="s">
        <v>614</v>
      </c>
      <c r="X48" s="40" t="s">
        <v>615</v>
      </c>
      <c r="Y48" s="31" t="s">
        <v>610</v>
      </c>
      <c r="Z48" s="27" t="s">
        <v>611</v>
      </c>
      <c r="AA48" s="26" t="s">
        <v>616</v>
      </c>
      <c r="AB48" s="27" t="s">
        <v>617</v>
      </c>
      <c r="AC48" s="31" t="s">
        <v>618</v>
      </c>
      <c r="AD48" s="40" t="s">
        <v>619</v>
      </c>
      <c r="AE48" s="31" t="s">
        <v>620</v>
      </c>
      <c r="AF48" s="45" t="s">
        <v>621</v>
      </c>
      <c r="AG48" s="33" t="s">
        <v>622</v>
      </c>
    </row>
    <row r="49" spans="2:33" ht="30">
      <c r="B49" s="47">
        <v>45</v>
      </c>
      <c r="C49" s="385" t="s">
        <v>3583</v>
      </c>
      <c r="D49" s="389" t="s">
        <v>480</v>
      </c>
      <c r="E49" s="389">
        <f t="shared" si="3"/>
        <v>33</v>
      </c>
      <c r="F49" s="387" t="str" cm="1">
        <f t="array" ref="F49" xml:space="preserve"> IF($E49=0, "", INDEX($Q$5:$AG$54, $E49, F$1))</f>
        <v>茄</v>
      </c>
      <c r="G49" s="350" t="str" cm="1">
        <f t="array" ref="G49" xml:space="preserve"> IF($E49=0, "", INDEX($Q$5:$AG$54, $E49, G$1))</f>
        <v>ㄧㄜ</v>
      </c>
      <c r="H49" s="350" t="str" cm="1">
        <f t="array" ref="H49" xml:space="preserve"> IF($E49=0, "", INDEX($Q$5:$AG$54, $E49, H$1))</f>
        <v>ㄧㄜㆷ</v>
      </c>
      <c r="I49" s="350" t="str" cm="1">
        <f t="array" ref="I49" xml:space="preserve"> IF($E49=0, "", INDEX($Q$5:$AG$54, $E49, I$1))</f>
        <v>io</v>
      </c>
      <c r="J49" s="350" t="str" cm="1">
        <f t="array" ref="J49" xml:space="preserve"> IF($E49=0, "", INDEX($Q$5:$AG$54, $E49, J$1))</f>
        <v>ioh</v>
      </c>
      <c r="K49" s="362"/>
      <c r="L49" s="362">
        <f t="shared" si="2"/>
        <v>34</v>
      </c>
      <c r="M49" s="366" t="str">
        <f t="shared" si="4"/>
        <v/>
      </c>
      <c r="N49" s="25" t="str" cm="1">
        <f t="array" ref="N49">IF($L49=0, INDEX($AC$5:$AC$54,$Q49,1), "")</f>
        <v/>
      </c>
      <c r="O49" s="25" t="str" cm="1">
        <f t="array" ref="O49">IF($L49=0, INDEX($Y$5:$Y$54,$Q49,1), "")</f>
        <v/>
      </c>
      <c r="Q49" s="47">
        <v>45</v>
      </c>
      <c r="R49" s="381" t="s">
        <v>623</v>
      </c>
      <c r="S49" s="26" t="s">
        <v>624</v>
      </c>
      <c r="T49" s="30" t="s">
        <v>625</v>
      </c>
      <c r="U49" s="31" t="s">
        <v>626</v>
      </c>
      <c r="V49" s="30" t="s">
        <v>627</v>
      </c>
      <c r="W49" s="153" t="s">
        <v>628</v>
      </c>
      <c r="X49" s="30" t="s">
        <v>629</v>
      </c>
      <c r="Y49" s="31" t="s">
        <v>624</v>
      </c>
      <c r="Z49" s="30" t="s">
        <v>625</v>
      </c>
      <c r="AA49" s="31" t="s">
        <v>630</v>
      </c>
      <c r="AB49" s="30" t="s">
        <v>631</v>
      </c>
      <c r="AC49" s="31" t="s">
        <v>632</v>
      </c>
      <c r="AD49" s="30" t="s">
        <v>633</v>
      </c>
      <c r="AE49" s="31" t="s">
        <v>634</v>
      </c>
      <c r="AF49" s="30"/>
      <c r="AG49" s="42" t="s">
        <v>635</v>
      </c>
    </row>
    <row r="50" spans="2:33" ht="30">
      <c r="B50" s="47">
        <v>46</v>
      </c>
      <c r="C50" s="385" t="s">
        <v>3584</v>
      </c>
      <c r="D50" s="389" t="s">
        <v>598</v>
      </c>
      <c r="E50" s="389">
        <f t="shared" si="3"/>
        <v>43</v>
      </c>
      <c r="F50" s="387" t="str" cm="1">
        <f t="array" ref="F50" xml:space="preserve"> IF($E50=0, "", INDEX($Q$5:$AG$54, $E50, F$1))</f>
        <v>光</v>
      </c>
      <c r="G50" s="350" t="str" cm="1">
        <f t="array" ref="G50" xml:space="preserve"> IF($E50=0, "", INDEX($Q$5:$AG$54, $E50, G$1))</f>
        <v>ㄨㄤ</v>
      </c>
      <c r="H50" s="350" t="str" cm="1">
        <f t="array" ref="H50" xml:space="preserve"> IF($E50=0, "", INDEX($Q$5:$AG$54, $E50, H$1))</f>
        <v>ㄨㄚㆻ</v>
      </c>
      <c r="I50" s="350" t="str" cm="1">
        <f t="array" ref="I50" xml:space="preserve"> IF($E50=0, "", INDEX($Q$5:$AG$54, $E50, I$1))</f>
        <v>uang</v>
      </c>
      <c r="J50" s="350" t="str" cm="1">
        <f t="array" ref="J50" xml:space="preserve"> IF($E50=0, "", INDEX($Q$5:$AG$54, $E50, J$1))</f>
        <v>uak</v>
      </c>
      <c r="K50" s="362"/>
      <c r="L50" s="362">
        <f t="shared" si="2"/>
        <v>37</v>
      </c>
      <c r="M50" s="366" t="str">
        <f t="shared" si="4"/>
        <v/>
      </c>
      <c r="N50" s="25" t="str" cm="1">
        <f t="array" ref="N50">IF($L50=0, INDEX($AC$5:$AC$54,$Q50,1), "")</f>
        <v/>
      </c>
      <c r="O50" s="25" t="str" cm="1">
        <f t="array" ref="O50">IF($L50=0, INDEX($Y$5:$Y$54,$Q50,1), "")</f>
        <v/>
      </c>
      <c r="Q50" s="47">
        <v>46</v>
      </c>
      <c r="R50" s="380" t="s">
        <v>636</v>
      </c>
      <c r="S50" s="26" t="s">
        <v>637</v>
      </c>
      <c r="T50" s="41" t="s">
        <v>638</v>
      </c>
      <c r="U50" s="26" t="s">
        <v>639</v>
      </c>
      <c r="V50" s="27" t="s">
        <v>640</v>
      </c>
      <c r="W50" s="150" t="s">
        <v>641</v>
      </c>
      <c r="X50" s="27" t="s">
        <v>642</v>
      </c>
      <c r="Y50" s="26" t="s">
        <v>637</v>
      </c>
      <c r="Z50" s="27" t="s">
        <v>638</v>
      </c>
      <c r="AA50" s="26" t="s">
        <v>643</v>
      </c>
      <c r="AB50" s="27" t="s">
        <v>644</v>
      </c>
      <c r="AC50" s="26" t="s">
        <v>645</v>
      </c>
      <c r="AD50" s="27" t="s">
        <v>646</v>
      </c>
      <c r="AE50" s="26" t="s">
        <v>647</v>
      </c>
      <c r="AF50" s="44" t="s">
        <v>648</v>
      </c>
      <c r="AG50" s="28"/>
    </row>
    <row r="51" spans="2:33" ht="34">
      <c r="B51" s="47">
        <v>47</v>
      </c>
      <c r="C51" s="385" t="s">
        <v>3585</v>
      </c>
      <c r="D51" s="389" t="s">
        <v>677</v>
      </c>
      <c r="E51" s="389">
        <f t="shared" si="3"/>
        <v>50</v>
      </c>
      <c r="F51" s="387" t="str" cm="1">
        <f t="array" ref="F51" xml:space="preserve"> IF($E51=0, "", INDEX($Q$5:$AG$54, $E51, F$1))</f>
        <v>牛</v>
      </c>
      <c r="G51" s="350" t="str" cm="1">
        <f t="array" ref="G51" xml:space="preserve"> IF($E51=0, "", INDEX($Q$5:$AG$54, $E51, G$1))</f>
        <v>ㄧㆫ</v>
      </c>
      <c r="H51" s="350" t="str" cm="1">
        <f t="array" ref="H51" xml:space="preserve"> IF($E51=0, "", INDEX($Q$5:$AG$54, $E51, H$1))</f>
        <v>ㄧㆫㆷ</v>
      </c>
      <c r="I51" s="350" t="str" cm="1">
        <f t="array" ref="I51" xml:space="preserve"> IF($E51=0, "", INDEX($Q$5:$AG$54, $E51, I$1))</f>
        <v>iunn</v>
      </c>
      <c r="J51" s="350" t="str" cm="1">
        <f t="array" ref="J51" xml:space="preserve"> IF($E51=0, "", INDEX($Q$5:$AG$54, $E51, J$1))</f>
        <v>iunnh</v>
      </c>
      <c r="K51" s="362"/>
      <c r="L51" s="362">
        <f t="shared" si="2"/>
        <v>25</v>
      </c>
      <c r="M51" s="366" t="str">
        <f t="shared" si="4"/>
        <v/>
      </c>
      <c r="N51" s="25" t="str" cm="1">
        <f t="array" ref="N51">IF($L51=0, INDEX($AC$5:$AC$54,$Q51,1), "")</f>
        <v/>
      </c>
      <c r="O51" s="25" t="str" cm="1">
        <f t="array" ref="O51">IF($L51=0, INDEX($Y$5:$Y$54,$Q51,1), "")</f>
        <v/>
      </c>
      <c r="Q51" s="47">
        <v>47</v>
      </c>
      <c r="R51" s="384" t="s">
        <v>423</v>
      </c>
      <c r="S51" s="26" t="s">
        <v>649</v>
      </c>
      <c r="T51" s="41" t="s">
        <v>650</v>
      </c>
      <c r="U51" s="31" t="s">
        <v>651</v>
      </c>
      <c r="V51" s="27" t="s">
        <v>652</v>
      </c>
      <c r="W51" s="150" t="s">
        <v>649</v>
      </c>
      <c r="X51" s="27" t="s">
        <v>650</v>
      </c>
      <c r="Y51" s="26" t="s">
        <v>649</v>
      </c>
      <c r="Z51" s="27" t="s">
        <v>650</v>
      </c>
      <c r="AA51" s="26" t="s">
        <v>649</v>
      </c>
      <c r="AB51" s="27" t="s">
        <v>650</v>
      </c>
      <c r="AC51" s="26" t="s">
        <v>653</v>
      </c>
      <c r="AD51" s="27" t="s">
        <v>654</v>
      </c>
      <c r="AE51" s="26" t="s">
        <v>649</v>
      </c>
      <c r="AF51" s="44" t="s">
        <v>655</v>
      </c>
      <c r="AG51" s="28"/>
    </row>
    <row r="52" spans="2:33" ht="30">
      <c r="B52" s="47">
        <v>48</v>
      </c>
      <c r="C52" s="385" t="s">
        <v>3586</v>
      </c>
      <c r="D52" s="389" t="s">
        <v>400</v>
      </c>
      <c r="E52" s="389">
        <f t="shared" si="3"/>
        <v>26</v>
      </c>
      <c r="F52" s="387" t="str" cm="1">
        <f t="array" ref="F52" xml:space="preserve"> IF($E52=0, "", INDEX($Q$5:$AG$54, $E52, F$1))</f>
        <v>監</v>
      </c>
      <c r="G52" s="350" t="str" cm="1">
        <f t="array" ref="G52" xml:space="preserve"> IF($E52=0, "", INDEX($Q$5:$AG$54, $E52, G$1))</f>
        <v>ㆩ</v>
      </c>
      <c r="H52" s="350" t="str" cm="1">
        <f t="array" ref="H52" xml:space="preserve"> IF($E52=0, "", INDEX($Q$5:$AG$54, $E52, H$1))</f>
        <v>ㆩㆷ</v>
      </c>
      <c r="I52" s="350" t="str" cm="1">
        <f t="array" ref="I52" xml:space="preserve"> IF($E52=0, "", INDEX($Q$5:$AG$54, $E52, I$1))</f>
        <v>ann</v>
      </c>
      <c r="J52" s="350" t="str" cm="1">
        <f t="array" ref="J52" xml:space="preserve"> IF($E52=0, "", INDEX($Q$5:$AG$54, $E52, J$1))</f>
        <v>annh</v>
      </c>
      <c r="K52" s="362"/>
      <c r="L52" s="362">
        <f t="shared" si="2"/>
        <v>50</v>
      </c>
      <c r="M52" s="366" t="str">
        <f t="shared" si="4"/>
        <v/>
      </c>
      <c r="N52" s="25" t="str" cm="1">
        <f t="array" ref="N52">IF($L52=0, INDEX($AC$5:$AC$54,$Q52,1), "")</f>
        <v/>
      </c>
      <c r="O52" s="25" t="str" cm="1">
        <f t="array" ref="O52">IF($L52=0, INDEX($Y$5:$Y$54,$Q52,1), "")</f>
        <v/>
      </c>
      <c r="Q52" s="47">
        <v>48</v>
      </c>
      <c r="R52" s="380" t="s">
        <v>656</v>
      </c>
      <c r="S52" s="26" t="s">
        <v>657</v>
      </c>
      <c r="T52" s="30" t="s">
        <v>658</v>
      </c>
      <c r="U52" s="26" t="s">
        <v>659</v>
      </c>
      <c r="V52" s="30" t="s">
        <v>660</v>
      </c>
      <c r="W52" s="150" t="s">
        <v>661</v>
      </c>
      <c r="X52" s="30" t="s">
        <v>662</v>
      </c>
      <c r="Y52" s="150" t="s">
        <v>657</v>
      </c>
      <c r="Z52" s="30" t="s">
        <v>658</v>
      </c>
      <c r="AA52" s="26" t="s">
        <v>663</v>
      </c>
      <c r="AB52" s="30" t="s">
        <v>664</v>
      </c>
      <c r="AC52" s="26" t="s">
        <v>665</v>
      </c>
      <c r="AD52" s="30" t="s">
        <v>666</v>
      </c>
      <c r="AE52" s="26" t="s">
        <v>667</v>
      </c>
      <c r="AF52" s="30"/>
      <c r="AG52" s="28"/>
    </row>
    <row r="53" spans="2:33" ht="30">
      <c r="B53" s="47">
        <v>49</v>
      </c>
      <c r="C53" s="385" t="s">
        <v>3587</v>
      </c>
      <c r="D53" s="389" t="s">
        <v>559</v>
      </c>
      <c r="E53" s="389">
        <f t="shared" si="3"/>
        <v>40</v>
      </c>
      <c r="F53" s="387" t="str" cm="1">
        <f t="array" ref="F53" xml:space="preserve"> IF($E53=0, "", INDEX($Q$5:$AG$54, $E53, F$1))</f>
        <v>閒</v>
      </c>
      <c r="G53" s="350" t="str" cm="1">
        <f t="array" ref="G53" xml:space="preserve"> IF($E53=0, "", INDEX($Q$5:$AG$54, $E53, G$1))</f>
        <v>ㆮ</v>
      </c>
      <c r="H53" s="350" t="str" cm="1">
        <f t="array" ref="H53" xml:space="preserve"> IF($E53=0, "", INDEX($Q$5:$AG$54, $E53, H$1))</f>
        <v>ㆮㆷ</v>
      </c>
      <c r="I53" s="350" t="str" cm="1">
        <f t="array" ref="I53" xml:space="preserve"> IF($E53=0, "", INDEX($Q$5:$AG$54, $E53, I$1))</f>
        <v>ainn</v>
      </c>
      <c r="J53" s="350" t="str" cm="1">
        <f t="array" ref="J53" xml:space="preserve"> IF($E53=0, "", INDEX($Q$5:$AG$54, $E53, J$1))</f>
        <v>ainnh</v>
      </c>
      <c r="K53" s="362"/>
      <c r="L53" s="362">
        <f t="shared" si="2"/>
        <v>18</v>
      </c>
      <c r="M53" s="366" t="str">
        <f t="shared" si="4"/>
        <v/>
      </c>
      <c r="N53" s="25" t="str" cm="1">
        <f t="array" ref="N53">IF($L53=0, INDEX($AC$5:$AC$54,$Q53,1), "")</f>
        <v/>
      </c>
      <c r="O53" s="25" t="str" cm="1">
        <f t="array" ref="O53">IF($L53=0, INDEX($Y$5:$Y$54,$Q53,1), "")</f>
        <v/>
      </c>
      <c r="Q53" s="47">
        <v>49</v>
      </c>
      <c r="R53" s="382" t="s">
        <v>668</v>
      </c>
      <c r="S53" s="26" t="s">
        <v>573</v>
      </c>
      <c r="T53" s="41" t="s">
        <v>574</v>
      </c>
      <c r="U53" s="26" t="s">
        <v>669</v>
      </c>
      <c r="V53" s="27" t="s">
        <v>670</v>
      </c>
      <c r="W53" s="150" t="s">
        <v>577</v>
      </c>
      <c r="X53" s="27" t="s">
        <v>578</v>
      </c>
      <c r="Y53" s="361" t="s">
        <v>579</v>
      </c>
      <c r="Z53" s="361" t="s">
        <v>580</v>
      </c>
      <c r="AA53" s="26" t="s">
        <v>671</v>
      </c>
      <c r="AB53" s="27" t="s">
        <v>672</v>
      </c>
      <c r="AC53" s="26" t="s">
        <v>583</v>
      </c>
      <c r="AD53" s="27" t="s">
        <v>584</v>
      </c>
      <c r="AE53" s="26" t="s">
        <v>673</v>
      </c>
      <c r="AF53" s="44" t="s">
        <v>674</v>
      </c>
      <c r="AG53" s="33" t="s">
        <v>675</v>
      </c>
    </row>
    <row r="54" spans="2:33" ht="30">
      <c r="B54" s="47">
        <v>50</v>
      </c>
      <c r="C54" s="385" t="s">
        <v>3588</v>
      </c>
      <c r="D54" s="389" t="s">
        <v>657</v>
      </c>
      <c r="E54" s="389">
        <f t="shared" si="3"/>
        <v>48</v>
      </c>
      <c r="F54" s="387" t="str" cm="1">
        <f t="array" ref="F54" xml:space="preserve"> IF($E54=0, "", INDEX($Q$5:$AG$54, $E54, F$1))</f>
        <v>爻</v>
      </c>
      <c r="G54" s="350" t="str" cm="1">
        <f t="array" ref="G54" xml:space="preserve"> IF($E54=0, "", INDEX($Q$5:$AG$54, $E54, G$1))</f>
        <v>ㆯ</v>
      </c>
      <c r="H54" s="350" t="str" cm="1">
        <f t="array" ref="H54" xml:space="preserve"> IF($E54=0, "", INDEX($Q$5:$AG$54, $E54, H$1))</f>
        <v>ㆯㆷ</v>
      </c>
      <c r="I54" s="350" t="str" cm="1">
        <f t="array" ref="I54" xml:space="preserve"> IF($E54=0, "", INDEX($Q$5:$AG$54, $E54, I$1))</f>
        <v>aunn</v>
      </c>
      <c r="J54" s="350" t="str" cm="1">
        <f t="array" ref="J54" xml:space="preserve"> IF($E54=0, "", INDEX($Q$5:$AG$54, $E54, J$1))</f>
        <v>aunnh</v>
      </c>
      <c r="K54" s="362"/>
      <c r="L54" s="362">
        <f t="shared" si="2"/>
        <v>47</v>
      </c>
      <c r="M54" s="366" t="str">
        <f t="shared" si="4"/>
        <v/>
      </c>
      <c r="N54" s="25" t="str" cm="1">
        <f t="array" ref="N54">IF($L54=0, INDEX($AC$5:$AC$54,$Q54,1), "")</f>
        <v/>
      </c>
      <c r="O54" s="25" t="str" cm="1">
        <f t="array" ref="O54">IF($L54=0, INDEX($Y$5:$Y$54,$Q54,1), "")</f>
        <v/>
      </c>
      <c r="Q54" s="47">
        <v>50</v>
      </c>
      <c r="R54" s="382" t="s">
        <v>676</v>
      </c>
      <c r="S54" s="26" t="s">
        <v>677</v>
      </c>
      <c r="T54" s="111" t="s">
        <v>678</v>
      </c>
      <c r="U54" s="26" t="s">
        <v>679</v>
      </c>
      <c r="V54" s="111" t="s">
        <v>680</v>
      </c>
      <c r="W54" s="150" t="s">
        <v>681</v>
      </c>
      <c r="X54" s="111" t="s">
        <v>682</v>
      </c>
      <c r="Y54" s="26" t="s">
        <v>677</v>
      </c>
      <c r="Z54" s="111" t="s">
        <v>678</v>
      </c>
      <c r="AA54" s="26" t="s">
        <v>683</v>
      </c>
      <c r="AB54" s="111" t="s">
        <v>684</v>
      </c>
      <c r="AC54" s="26" t="s">
        <v>685</v>
      </c>
      <c r="AD54" s="111" t="s">
        <v>686</v>
      </c>
      <c r="AE54" s="26" t="s">
        <v>687</v>
      </c>
      <c r="AF54" s="46"/>
      <c r="AG54" s="28"/>
    </row>
  </sheetData>
  <phoneticPr fontId="1" type="noConversion"/>
  <conditionalFormatting sqref="C5:C54">
    <cfRule type="expression" dxfId="19" priority="1">
      <formula>$C5&lt;&gt;$F5</formula>
    </cfRule>
  </conditionalFormatting>
  <conditionalFormatting sqref="F5:J54">
    <cfRule type="expression" dxfId="18" priority="2">
      <formula>AND($C5&lt;&gt;"", $E5=0)</formula>
    </cfRule>
  </conditionalFormatting>
  <conditionalFormatting sqref="M5:O54">
    <cfRule type="cellIs" dxfId="17" priority="4" operator="notEqual">
      <formula>""</formula>
    </cfRule>
  </conditionalFormatting>
  <dataValidations count="1">
    <dataValidation allowBlank="1" showInputMessage="1" showErrorMessage="1" sqref="K1:K1048576 P1:P1048576" xr:uid="{8E0F0488-533F-6342-A7B8-606DD2F44DF5}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67A74-2D84-2C4F-AAF1-A1CE92B645E3}">
  <sheetPr>
    <tabColor rgb="FF00B0F0"/>
  </sheetPr>
  <dimension ref="B1:AG54"/>
  <sheetViews>
    <sheetView showGridLines="0" topLeftCell="A3" workbookViewId="0">
      <pane xSplit="5" ySplit="2" topLeftCell="F5" activePane="bottomRight" state="frozen"/>
      <selection activeCell="A3" sqref="A3"/>
      <selection pane="topRight" activeCell="F3" sqref="F3"/>
      <selection pane="bottomLeft" activeCell="A5" sqref="A5"/>
      <selection pane="bottomRight" activeCell="F5" sqref="F5"/>
    </sheetView>
  </sheetViews>
  <sheetFormatPr baseColWidth="10" defaultColWidth="10.8984375" defaultRowHeight="25.5" customHeight="1" outlineLevelRow="1" outlineLevelCol="1"/>
  <cols>
    <col min="1" max="1" width="2.69921875" customWidth="1"/>
    <col min="2" max="2" width="5" style="6" customWidth="1"/>
    <col min="3" max="3" width="7.19921875" style="24" customWidth="1"/>
    <col min="4" max="4" width="8.69921875" style="24" customWidth="1"/>
    <col min="5" max="5" width="9.8984375" style="24" hidden="1" customWidth="1" outlineLevel="1"/>
    <col min="6" max="6" width="9.8984375" style="6" customWidth="1" collapsed="1"/>
    <col min="7" max="10" width="10.296875" style="6" customWidth="1"/>
    <col min="11" max="11" width="5.09765625" style="6" customWidth="1"/>
    <col min="12" max="12" width="9.8984375" style="6" hidden="1" customWidth="1" outlineLevel="1"/>
    <col min="13" max="13" width="12.796875" style="363" customWidth="1" collapsed="1"/>
    <col min="14" max="14" width="12.796875" style="363" customWidth="1"/>
    <col min="15" max="15" width="12.796875" style="6" customWidth="1"/>
    <col min="16" max="16" width="4.8984375" customWidth="1"/>
    <col min="17" max="17" width="5" style="6" customWidth="1"/>
    <col min="18" max="18" width="12.09765625" style="6" customWidth="1"/>
    <col min="19" max="24" width="12.59765625" style="6" hidden="1" customWidth="1" outlineLevel="1"/>
    <col min="25" max="25" width="12.59765625" customWidth="1" collapsed="1"/>
    <col min="26" max="26" width="12.59765625" customWidth="1"/>
    <col min="27" max="28" width="12.59765625" hidden="1" customWidth="1" outlineLevel="1"/>
    <col min="29" max="29" width="12.59765625" customWidth="1" collapsed="1"/>
    <col min="30" max="30" width="12.59765625" customWidth="1"/>
    <col min="31" max="31" width="10.69921875" style="6" hidden="1" customWidth="1" outlineLevel="1"/>
    <col min="32" max="32" width="10.69921875" hidden="1" customWidth="1" outlineLevel="1"/>
    <col min="33" max="33" width="53" customWidth="1" collapsed="1"/>
  </cols>
  <sheetData>
    <row r="1" spans="2:33" ht="22" hidden="1" outlineLevel="1">
      <c r="D1" s="24">
        <v>9</v>
      </c>
      <c r="F1" s="6">
        <v>2</v>
      </c>
      <c r="G1" s="6">
        <v>13</v>
      </c>
      <c r="H1" s="6">
        <v>14</v>
      </c>
      <c r="I1" s="6">
        <v>9</v>
      </c>
      <c r="J1" s="6">
        <v>10</v>
      </c>
    </row>
    <row r="2" spans="2:33" s="51" customFormat="1" ht="22" hidden="1" outlineLevel="1">
      <c r="B2" s="102" cm="1">
        <f t="array" ref="B2">COLUMN()-COLUMN(($A:$A))</f>
        <v>1</v>
      </c>
      <c r="C2" s="379"/>
      <c r="D2" s="379"/>
      <c r="E2" s="379"/>
      <c r="F2" s="102"/>
      <c r="G2" s="102"/>
      <c r="H2" s="102"/>
      <c r="I2" s="102"/>
      <c r="J2" s="102"/>
      <c r="K2" s="128"/>
      <c r="L2" s="102"/>
      <c r="M2" s="364"/>
      <c r="N2" s="364"/>
      <c r="O2" s="102"/>
      <c r="Q2" s="102" cm="1">
        <f t="array" ref="Q2">COLUMN()-COLUMN(($P:$P))</f>
        <v>1</v>
      </c>
      <c r="R2" s="102" cm="1">
        <f t="array" ref="R2">COLUMN()-COLUMN(($P:$P))</f>
        <v>2</v>
      </c>
      <c r="S2" s="102" cm="1">
        <f t="array" ref="S2">COLUMN()-COLUMN(($P:$P))</f>
        <v>3</v>
      </c>
      <c r="T2" s="102" cm="1">
        <f t="array" ref="T2">COLUMN()-COLUMN(($P:$P))</f>
        <v>4</v>
      </c>
      <c r="U2" s="102" cm="1">
        <f t="array" ref="U2">COLUMN()-COLUMN(($P:$P))</f>
        <v>5</v>
      </c>
      <c r="V2" s="102" cm="1">
        <f t="array" ref="V2">COLUMN()-COLUMN(($P:$P))</f>
        <v>6</v>
      </c>
      <c r="W2" s="102" cm="1">
        <f t="array" ref="W2">COLUMN()-COLUMN(($P:$P))</f>
        <v>7</v>
      </c>
      <c r="X2" s="102" cm="1">
        <f t="array" ref="X2">COLUMN()-COLUMN(($P:$P))</f>
        <v>8</v>
      </c>
      <c r="Y2" s="102" cm="1">
        <f t="array" ref="Y2">COLUMN()-COLUMN(($P:$P))</f>
        <v>9</v>
      </c>
      <c r="Z2" s="102" cm="1">
        <f t="array" ref="Z2">COLUMN()-COLUMN(($P:$P))</f>
        <v>10</v>
      </c>
      <c r="AA2" s="102" cm="1">
        <f t="array" ref="AA2">COLUMN()-COLUMN(($P:$P))</f>
        <v>11</v>
      </c>
      <c r="AB2" s="102" cm="1">
        <f t="array" ref="AB2">COLUMN()-COLUMN(($P:$P))</f>
        <v>12</v>
      </c>
      <c r="AC2" s="102" cm="1">
        <f t="array" ref="AC2">COLUMN()-COLUMN(($P:$P))</f>
        <v>13</v>
      </c>
      <c r="AD2" s="102" cm="1">
        <f t="array" ref="AD2">COLUMN()-COLUMN(($P:$P))</f>
        <v>14</v>
      </c>
      <c r="AE2" s="102" cm="1">
        <f t="array" ref="AE2">COLUMN()-COLUMN(($P:$P))</f>
        <v>15</v>
      </c>
      <c r="AF2" s="102" cm="1">
        <f t="array" ref="AF2">COLUMN()-COLUMN(($P:$P))</f>
        <v>16</v>
      </c>
      <c r="AG2" s="102" cm="1">
        <f t="array" ref="AG2">COLUMN()-COLUMN(($P:$P))</f>
        <v>17</v>
      </c>
    </row>
    <row r="3" spans="2:33" ht="11" customHeight="1" collapsed="1"/>
    <row r="4" spans="2:33" s="376" customFormat="1" ht="18" customHeight="1">
      <c r="B4" s="371" t="s">
        <v>123</v>
      </c>
      <c r="C4" s="371" t="s">
        <v>3611</v>
      </c>
      <c r="D4" s="388" t="s">
        <v>127</v>
      </c>
      <c r="E4" s="388" t="s">
        <v>3594</v>
      </c>
      <c r="F4" s="373" t="s">
        <v>129</v>
      </c>
      <c r="G4" s="371" t="s">
        <v>125</v>
      </c>
      <c r="H4" s="371" t="s">
        <v>126</v>
      </c>
      <c r="I4" s="372" t="s">
        <v>127</v>
      </c>
      <c r="J4" s="372" t="s">
        <v>128</v>
      </c>
      <c r="K4" s="374"/>
      <c r="L4" s="375" t="s">
        <v>131</v>
      </c>
      <c r="M4" s="375" t="s">
        <v>132</v>
      </c>
      <c r="N4" s="375" t="s">
        <v>133</v>
      </c>
      <c r="O4" s="375" t="s">
        <v>134</v>
      </c>
      <c r="Q4" s="371" t="s">
        <v>123</v>
      </c>
      <c r="R4" s="371" t="s">
        <v>135</v>
      </c>
      <c r="S4" s="373" t="s">
        <v>136</v>
      </c>
      <c r="T4" s="373" t="s">
        <v>137</v>
      </c>
      <c r="U4" s="377" t="s">
        <v>138</v>
      </c>
      <c r="V4" s="377" t="s">
        <v>139</v>
      </c>
      <c r="W4" s="373" t="s">
        <v>140</v>
      </c>
      <c r="X4" s="373" t="s">
        <v>141</v>
      </c>
      <c r="Y4" s="377" t="s">
        <v>142</v>
      </c>
      <c r="Z4" s="377" t="s">
        <v>143</v>
      </c>
      <c r="AA4" s="373" t="s">
        <v>144</v>
      </c>
      <c r="AB4" s="373" t="s">
        <v>145</v>
      </c>
      <c r="AC4" s="377" t="s">
        <v>146</v>
      </c>
      <c r="AD4" s="377" t="s">
        <v>147</v>
      </c>
      <c r="AE4" s="373" t="s">
        <v>148</v>
      </c>
      <c r="AF4" s="373" t="s">
        <v>149</v>
      </c>
      <c r="AG4" s="378" t="s">
        <v>150</v>
      </c>
    </row>
    <row r="5" spans="2:33" ht="30">
      <c r="B5" s="47">
        <v>1</v>
      </c>
      <c r="C5" s="385" t="s">
        <v>152</v>
      </c>
      <c r="D5" s="389" t="s">
        <v>153</v>
      </c>
      <c r="E5" s="389">
        <f t="shared" ref="E5:E36" si="0" xml:space="preserve"> IFERROR( MATCH($D5,$Y$5:$Y$54,0), 0)</f>
        <v>1</v>
      </c>
      <c r="F5" s="387" t="str" cm="1">
        <f t="array" ref="F5" xml:space="preserve"> IF($E5=0, "", INDEX($Q$5:$AG$54, $E5, F$1))</f>
        <v>君</v>
      </c>
      <c r="G5" s="350" t="str" cm="1">
        <f t="array" ref="G5" xml:space="preserve"> IF($E5=0, "", INDEX($Q$5:$AG$54, $E5, G$1))</f>
        <v>ㄨㄣ</v>
      </c>
      <c r="H5" s="350" t="str" cm="1">
        <f t="array" ref="H5" xml:space="preserve"> IF($E5=0, "", INDEX($Q$5:$AG$54, $E5, H$1))</f>
        <v>ㄨㆵ</v>
      </c>
      <c r="I5" s="350" t="str" cm="1">
        <f t="array" ref="I5" xml:space="preserve"> IF($E5=0, "", INDEX($Q$5:$AG$54, $E5, I$1))</f>
        <v>un</v>
      </c>
      <c r="J5" s="350" t="str" cm="1">
        <f t="array" ref="J5" xml:space="preserve"> IF($E5=0, "", INDEX($Q$5:$AG$54, $E5, J$1))</f>
        <v>ut</v>
      </c>
      <c r="K5" s="362"/>
      <c r="L5" s="362">
        <f xml:space="preserve"> IFERROR( MATCH(Y5,$I$5:$I$54,0), 0)</f>
        <v>1</v>
      </c>
      <c r="M5" s="365" t="str">
        <f t="shared" ref="M5:M36" si="1" xml:space="preserve"> IF(L5=0, R5, "")</f>
        <v/>
      </c>
      <c r="N5" s="25" t="str" cm="1">
        <f t="array" ref="N5">IF($L5=0, INDEX($AC$5:$AC$54,$Q5,1), "")</f>
        <v/>
      </c>
      <c r="O5" s="25" t="str" cm="1">
        <f t="array" ref="O5">IF($L5=0, INDEX($Y$5:$Y$54,$Q5,1), "")</f>
        <v/>
      </c>
      <c r="Q5" s="47">
        <v>1</v>
      </c>
      <c r="R5" s="380" t="s">
        <v>152</v>
      </c>
      <c r="S5" s="26" t="s">
        <v>153</v>
      </c>
      <c r="T5" s="27" t="s">
        <v>154</v>
      </c>
      <c r="U5" s="26" t="s">
        <v>153</v>
      </c>
      <c r="V5" s="27" t="s">
        <v>155</v>
      </c>
      <c r="W5" s="150" t="s">
        <v>153</v>
      </c>
      <c r="X5" s="27" t="s">
        <v>154</v>
      </c>
      <c r="Y5" s="26" t="s">
        <v>153</v>
      </c>
      <c r="Z5" s="27" t="s">
        <v>154</v>
      </c>
      <c r="AA5" s="26" t="s">
        <v>153</v>
      </c>
      <c r="AB5" s="27" t="s">
        <v>154</v>
      </c>
      <c r="AC5" s="26" t="s">
        <v>156</v>
      </c>
      <c r="AD5" s="27" t="s">
        <v>157</v>
      </c>
      <c r="AE5" s="26" t="s">
        <v>158</v>
      </c>
      <c r="AF5" s="44" t="s">
        <v>159</v>
      </c>
      <c r="AG5" s="28"/>
    </row>
    <row r="6" spans="2:33" ht="30">
      <c r="B6" s="47">
        <v>2</v>
      </c>
      <c r="C6" s="385" t="s">
        <v>161</v>
      </c>
      <c r="D6" s="389" t="s">
        <v>162</v>
      </c>
      <c r="E6" s="389">
        <f t="shared" si="0"/>
        <v>2</v>
      </c>
      <c r="F6" s="387" t="str" cm="1">
        <f t="array" ref="F6" xml:space="preserve"> IF($E6=0, "", INDEX($Q$5:$AG$54, $E6, F$1))</f>
        <v>堅</v>
      </c>
      <c r="G6" s="350" t="str" cm="1">
        <f t="array" ref="G6" xml:space="preserve"> IF($E6=0, "", INDEX($Q$5:$AG$54, $E6, G$1))</f>
        <v>ㄧㄢ</v>
      </c>
      <c r="H6" s="350" t="str" cm="1">
        <f t="array" ref="H6" xml:space="preserve"> IF($E6=0, "", INDEX($Q$5:$AG$54, $E6, H$1))</f>
        <v>ㄧㄚㆵ</v>
      </c>
      <c r="I6" s="350" t="str" cm="1">
        <f t="array" ref="I6" xml:space="preserve"> IF($E6=0, "", INDEX($Q$5:$AG$54, $E6, I$1))</f>
        <v>ian</v>
      </c>
      <c r="J6" s="350" t="str" cm="1">
        <f t="array" ref="J6" xml:space="preserve"> IF($E6=0, "", INDEX($Q$5:$AG$54, $E6, J$1))</f>
        <v>iat</v>
      </c>
      <c r="K6" s="362"/>
      <c r="L6" s="362">
        <f xml:space="preserve"> IFERROR( MATCH(Y6,$I$5:$I$54,0), 0)</f>
        <v>2</v>
      </c>
      <c r="M6" s="366" t="str">
        <f t="shared" si="1"/>
        <v/>
      </c>
      <c r="N6" s="25" t="str" cm="1">
        <f t="array" ref="N6">IF($L6=0, INDEX($AC$5:$AC$54,$Q6,1), "")</f>
        <v/>
      </c>
      <c r="O6" s="25" t="str" cm="1">
        <f t="array" ref="O6">IF($L6=0, INDEX($Y$5:$Y$54,$Q6,1), "")</f>
        <v/>
      </c>
      <c r="Q6" s="47">
        <v>2</v>
      </c>
      <c r="R6" s="380" t="s">
        <v>161</v>
      </c>
      <c r="S6" s="26" t="s">
        <v>162</v>
      </c>
      <c r="T6" s="27" t="s">
        <v>163</v>
      </c>
      <c r="U6" s="26" t="s">
        <v>162</v>
      </c>
      <c r="V6" s="27" t="s">
        <v>164</v>
      </c>
      <c r="W6" s="150" t="s">
        <v>162</v>
      </c>
      <c r="X6" s="27" t="s">
        <v>163</v>
      </c>
      <c r="Y6" s="26" t="s">
        <v>162</v>
      </c>
      <c r="Z6" s="27" t="s">
        <v>163</v>
      </c>
      <c r="AA6" s="26" t="s">
        <v>162</v>
      </c>
      <c r="AB6" s="27" t="s">
        <v>163</v>
      </c>
      <c r="AC6" s="26" t="s">
        <v>165</v>
      </c>
      <c r="AD6" s="27" t="s">
        <v>166</v>
      </c>
      <c r="AE6" s="26" t="s">
        <v>167</v>
      </c>
      <c r="AF6" s="44" t="s">
        <v>168</v>
      </c>
      <c r="AG6" s="28"/>
    </row>
    <row r="7" spans="2:33" ht="30">
      <c r="B7" s="47">
        <v>3</v>
      </c>
      <c r="C7" s="385" t="s">
        <v>170</v>
      </c>
      <c r="D7" s="389" t="s">
        <v>171</v>
      </c>
      <c r="E7" s="389">
        <f t="shared" si="0"/>
        <v>3</v>
      </c>
      <c r="F7" s="387" t="str" cm="1">
        <f t="array" ref="F7" xml:space="preserve"> IF($E7=0, "", INDEX($Q$5:$AG$54, $E7, F$1))</f>
        <v>金</v>
      </c>
      <c r="G7" s="350" t="str" cm="1">
        <f t="array" ref="G7" xml:space="preserve"> IF($E7=0, "", INDEX($Q$5:$AG$54, $E7, G$1))</f>
        <v>ㄧㆬ</v>
      </c>
      <c r="H7" s="350" t="str" cm="1">
        <f t="array" ref="H7" xml:space="preserve"> IF($E7=0, "", INDEX($Q$5:$AG$54, $E7, H$1))</f>
        <v>ㄧㆴ</v>
      </c>
      <c r="I7" s="350" t="str" cm="1">
        <f t="array" ref="I7" xml:space="preserve"> IF($E7=0, "", INDEX($Q$5:$AG$54, $E7, I$1))</f>
        <v>im</v>
      </c>
      <c r="J7" s="350" t="str" cm="1">
        <f t="array" ref="J7" xml:space="preserve"> IF($E7=0, "", INDEX($Q$5:$AG$54, $E7, J$1))</f>
        <v>ip</v>
      </c>
      <c r="K7" s="362"/>
      <c r="L7" s="362">
        <f t="shared" ref="L7:L54" si="2" xml:space="preserve"> IFERROR( MATCH(Y7,$I$5:$I$54,0), 0)</f>
        <v>3</v>
      </c>
      <c r="M7" s="366" t="str">
        <f t="shared" si="1"/>
        <v/>
      </c>
      <c r="N7" s="25" t="str" cm="1">
        <f t="array" ref="N7">IF($L7=0, INDEX($AC$5:$AC$54,$Q7,1), "")</f>
        <v/>
      </c>
      <c r="O7" s="25" t="str" cm="1">
        <f t="array" ref="O7">IF($L7=0, INDEX($Y$5:$Y$54,$Q7,1), "")</f>
        <v/>
      </c>
      <c r="Q7" s="47">
        <v>3</v>
      </c>
      <c r="R7" s="380" t="s">
        <v>170</v>
      </c>
      <c r="S7" s="26" t="s">
        <v>171</v>
      </c>
      <c r="T7" s="27" t="s">
        <v>172</v>
      </c>
      <c r="U7" s="26" t="s">
        <v>171</v>
      </c>
      <c r="V7" s="27" t="s">
        <v>173</v>
      </c>
      <c r="W7" s="150" t="s">
        <v>171</v>
      </c>
      <c r="X7" s="27" t="s">
        <v>172</v>
      </c>
      <c r="Y7" s="26" t="s">
        <v>171</v>
      </c>
      <c r="Z7" s="27" t="s">
        <v>172</v>
      </c>
      <c r="AA7" s="26" t="s">
        <v>171</v>
      </c>
      <c r="AB7" s="27" t="s">
        <v>172</v>
      </c>
      <c r="AC7" s="26" t="s">
        <v>174</v>
      </c>
      <c r="AD7" s="27" t="s">
        <v>175</v>
      </c>
      <c r="AE7" s="26" t="s">
        <v>171</v>
      </c>
      <c r="AF7" s="44" t="s">
        <v>172</v>
      </c>
      <c r="AG7" s="28"/>
    </row>
    <row r="8" spans="2:33" ht="30">
      <c r="B8" s="47">
        <v>4</v>
      </c>
      <c r="C8" s="385" t="s">
        <v>2004</v>
      </c>
      <c r="D8" s="389" t="s">
        <v>178</v>
      </c>
      <c r="E8" s="389">
        <f t="shared" si="0"/>
        <v>4</v>
      </c>
      <c r="F8" s="387" t="str" cm="1">
        <f t="array" ref="F8" xml:space="preserve"> IF($E8=0, "", INDEX($Q$5:$AG$54, $E8, F$1))</f>
        <v>規</v>
      </c>
      <c r="G8" s="350" t="str" cm="1">
        <f t="array" ref="G8" xml:space="preserve"> IF($E8=0, "", INDEX($Q$5:$AG$54, $E8, G$1))</f>
        <v>ㄨㄧ</v>
      </c>
      <c r="H8" s="350" t="str" cm="1">
        <f t="array" ref="H8" xml:space="preserve"> IF($E8=0, "", INDEX($Q$5:$AG$54, $E8, H$1))</f>
        <v>ㄨㄧㆷ</v>
      </c>
      <c r="I8" s="350" t="str" cm="1">
        <f t="array" ref="I8" xml:space="preserve"> IF($E8=0, "", INDEX($Q$5:$AG$54, $E8, I$1))</f>
        <v>ui</v>
      </c>
      <c r="J8" s="350" t="str" cm="1">
        <f t="array" ref="J8" xml:space="preserve"> IF($E8=0, "", INDEX($Q$5:$AG$54, $E8, J$1))</f>
        <v>uih</v>
      </c>
      <c r="K8" s="362"/>
      <c r="L8" s="362">
        <f t="shared" si="2"/>
        <v>4</v>
      </c>
      <c r="M8" s="366" t="str">
        <f t="shared" si="1"/>
        <v/>
      </c>
      <c r="N8" s="25" t="str" cm="1">
        <f t="array" ref="N8">IF($L8=0, INDEX($AC$5:$AC$54,$Q8,1), "")</f>
        <v/>
      </c>
      <c r="O8" s="25" t="str" cm="1">
        <f t="array" ref="O8">IF($L8=0, INDEX($Y$5:$Y$54,$Q8,1), "")</f>
        <v/>
      </c>
      <c r="Q8" s="47">
        <v>4</v>
      </c>
      <c r="R8" s="381" t="s">
        <v>177</v>
      </c>
      <c r="S8" s="26" t="s">
        <v>178</v>
      </c>
      <c r="T8" s="30" t="s">
        <v>179</v>
      </c>
      <c r="U8" s="31" t="s">
        <v>178</v>
      </c>
      <c r="V8" s="30" t="s">
        <v>180</v>
      </c>
      <c r="W8" s="150" t="s">
        <v>181</v>
      </c>
      <c r="X8" s="30" t="s">
        <v>182</v>
      </c>
      <c r="Y8" s="31" t="s">
        <v>178</v>
      </c>
      <c r="Z8" s="30" t="s">
        <v>179</v>
      </c>
      <c r="AA8" s="31" t="s">
        <v>178</v>
      </c>
      <c r="AB8" s="30" t="s">
        <v>182</v>
      </c>
      <c r="AC8" s="31" t="s">
        <v>183</v>
      </c>
      <c r="AD8" s="30" t="s">
        <v>184</v>
      </c>
      <c r="AE8" s="31" t="s">
        <v>185</v>
      </c>
      <c r="AF8" s="30"/>
      <c r="AG8" s="28"/>
    </row>
    <row r="9" spans="2:33" ht="30">
      <c r="B9" s="47">
        <v>5</v>
      </c>
      <c r="C9" s="385" t="s">
        <v>2005</v>
      </c>
      <c r="D9" s="389" t="s">
        <v>188</v>
      </c>
      <c r="E9" s="389">
        <f t="shared" si="0"/>
        <v>5</v>
      </c>
      <c r="F9" s="387" t="str" cm="1">
        <f t="array" ref="F9" xml:space="preserve"> IF($E9=0, "", INDEX($Q$5:$AG$54, $E9, F$1))</f>
        <v>嘉</v>
      </c>
      <c r="G9" s="350" t="str" cm="1">
        <f t="array" ref="G9" xml:space="preserve"> IF($E9=0, "", INDEX($Q$5:$AG$54, $E9, G$1))</f>
        <v>ㄝ</v>
      </c>
      <c r="H9" s="350" t="str" cm="1">
        <f t="array" ref="H9" xml:space="preserve"> IF($E9=0, "", INDEX($Q$5:$AG$54, $E9, H$1))</f>
        <v>ㄝㆷ</v>
      </c>
      <c r="I9" s="350" t="str" cm="1">
        <f t="array" ref="I9" xml:space="preserve"> IF($E9=0, "", INDEX($Q$5:$AG$54, $E9, I$1))</f>
        <v>ee</v>
      </c>
      <c r="J9" s="350" t="str" cm="1">
        <f t="array" ref="J9" xml:space="preserve"> IF($E9=0, "", INDEX($Q$5:$AG$54, $E9, J$1))</f>
        <v>eh</v>
      </c>
      <c r="K9" s="362"/>
      <c r="L9" s="362">
        <f t="shared" si="2"/>
        <v>5</v>
      </c>
      <c r="M9" s="366" t="str">
        <f t="shared" si="1"/>
        <v/>
      </c>
      <c r="N9" s="25" t="str" cm="1">
        <f t="array" ref="N9">IF($L9=0, INDEX($AC$5:$AC$54,$Q9,1), "")</f>
        <v/>
      </c>
      <c r="O9" s="25" t="str" cm="1">
        <f t="array" ref="O9">IF($L9=0, INDEX($Y$5:$Y$54,$Q9,1), "")</f>
        <v/>
      </c>
      <c r="Q9" s="47">
        <v>5</v>
      </c>
      <c r="R9" s="382" t="s">
        <v>187</v>
      </c>
      <c r="S9" s="26" t="s">
        <v>188</v>
      </c>
      <c r="T9" s="27" t="s">
        <v>189</v>
      </c>
      <c r="U9" s="26" t="s">
        <v>190</v>
      </c>
      <c r="V9" s="27" t="s">
        <v>191</v>
      </c>
      <c r="W9" s="150" t="s">
        <v>188</v>
      </c>
      <c r="X9" s="27" t="s">
        <v>192</v>
      </c>
      <c r="Y9" s="26" t="s">
        <v>188</v>
      </c>
      <c r="Z9" s="27" t="s">
        <v>189</v>
      </c>
      <c r="AA9" s="320" t="s">
        <v>193</v>
      </c>
      <c r="AB9" s="320" t="s">
        <v>194</v>
      </c>
      <c r="AC9" s="26" t="s">
        <v>195</v>
      </c>
      <c r="AD9" s="27" t="s">
        <v>196</v>
      </c>
      <c r="AE9" s="26" t="s">
        <v>197</v>
      </c>
      <c r="AF9" s="44" t="s">
        <v>198</v>
      </c>
      <c r="AG9" s="33" t="s">
        <v>199</v>
      </c>
    </row>
    <row r="10" spans="2:33" ht="30">
      <c r="B10" s="47">
        <v>6</v>
      </c>
      <c r="C10" s="385" t="s">
        <v>201</v>
      </c>
      <c r="D10" s="389" t="s">
        <v>202</v>
      </c>
      <c r="E10" s="389">
        <f t="shared" si="0"/>
        <v>6</v>
      </c>
      <c r="F10" s="387" t="str" cm="1">
        <f t="array" ref="F10" xml:space="preserve"> IF($E10=0, "", INDEX($Q$5:$AG$54, $E10, F$1))</f>
        <v>干</v>
      </c>
      <c r="G10" s="350" t="str" cm="1">
        <f t="array" ref="G10" xml:space="preserve"> IF($E10=0, "", INDEX($Q$5:$AG$54, $E10, G$1))</f>
        <v>ㄢ</v>
      </c>
      <c r="H10" s="350" t="str" cm="1">
        <f t="array" ref="H10" xml:space="preserve"> IF($E10=0, "", INDEX($Q$5:$AG$54, $E10, H$1))</f>
        <v>ㄚㆵ</v>
      </c>
      <c r="I10" s="350" t="str" cm="1">
        <f t="array" ref="I10" xml:space="preserve"> IF($E10=0, "", INDEX($Q$5:$AG$54, $E10, I$1))</f>
        <v>an</v>
      </c>
      <c r="J10" s="350" t="str" cm="1">
        <f t="array" ref="J10" xml:space="preserve"> IF($E10=0, "", INDEX($Q$5:$AG$54, $E10, J$1))</f>
        <v>ap</v>
      </c>
      <c r="K10" s="362"/>
      <c r="L10" s="362">
        <f t="shared" si="2"/>
        <v>6</v>
      </c>
      <c r="M10" s="366" t="str">
        <f t="shared" si="1"/>
        <v/>
      </c>
      <c r="N10" s="25" t="str" cm="1">
        <f t="array" ref="N10">IF($L10=0, INDEX($AC$5:$AC$54,$Q10,1), "")</f>
        <v/>
      </c>
      <c r="O10" s="25" t="str" cm="1">
        <f t="array" ref="O10">IF($L10=0, INDEX($Y$5:$Y$54,$Q10,1), "")</f>
        <v/>
      </c>
      <c r="Q10" s="47">
        <v>6</v>
      </c>
      <c r="R10" s="380" t="s">
        <v>201</v>
      </c>
      <c r="S10" s="26" t="s">
        <v>202</v>
      </c>
      <c r="T10" s="27" t="s">
        <v>203</v>
      </c>
      <c r="U10" s="26" t="s">
        <v>202</v>
      </c>
      <c r="V10" s="27" t="s">
        <v>204</v>
      </c>
      <c r="W10" s="150" t="s">
        <v>202</v>
      </c>
      <c r="X10" s="27" t="s">
        <v>205</v>
      </c>
      <c r="Y10" s="26" t="s">
        <v>202</v>
      </c>
      <c r="Z10" s="27" t="s">
        <v>206</v>
      </c>
      <c r="AA10" s="26" t="s">
        <v>202</v>
      </c>
      <c r="AB10" s="27" t="s">
        <v>205</v>
      </c>
      <c r="AC10" s="34" t="s">
        <v>207</v>
      </c>
      <c r="AD10" s="27" t="s">
        <v>208</v>
      </c>
      <c r="AE10" s="26" t="s">
        <v>202</v>
      </c>
      <c r="AF10" s="44" t="s">
        <v>205</v>
      </c>
      <c r="AG10" s="28"/>
    </row>
    <row r="11" spans="2:33" ht="34">
      <c r="B11" s="47">
        <v>7</v>
      </c>
      <c r="C11" s="385" t="s">
        <v>597</v>
      </c>
      <c r="D11" s="389" t="s">
        <v>211</v>
      </c>
      <c r="E11" s="389">
        <f t="shared" si="0"/>
        <v>7</v>
      </c>
      <c r="F11" s="387" t="str" cm="1">
        <f t="array" ref="F11" xml:space="preserve"> IF($E11=0, "", INDEX($Q$5:$AG$54, $E11, F$1))</f>
        <v>公</v>
      </c>
      <c r="G11" s="350" t="str" cm="1">
        <f t="array" ref="G11" xml:space="preserve"> IF($E11=0, "", INDEX($Q$5:$AG$54, $E11, G$1))</f>
        <v>ㆲ</v>
      </c>
      <c r="H11" s="350" t="str" cm="1">
        <f t="array" ref="H11" xml:space="preserve"> IF($E11=0, "", INDEX($Q$5:$AG$54, $E11, H$1))</f>
        <v>ㆦㆻ</v>
      </c>
      <c r="I11" s="350" t="str" cm="1">
        <f t="array" ref="I11" xml:space="preserve"> IF($E11=0, "", INDEX($Q$5:$AG$54, $E11, I$1))</f>
        <v>ong</v>
      </c>
      <c r="J11" s="350" t="str" cm="1">
        <f t="array" ref="J11" xml:space="preserve"> IF($E11=0, "", INDEX($Q$5:$AG$54, $E11, J$1))</f>
        <v>ok</v>
      </c>
      <c r="K11" s="362"/>
      <c r="L11" s="362">
        <f t="shared" si="2"/>
        <v>7</v>
      </c>
      <c r="M11" s="366" t="str">
        <f t="shared" si="1"/>
        <v/>
      </c>
      <c r="N11" s="25" t="str" cm="1">
        <f t="array" ref="N11">IF($L11=0, INDEX($AC$5:$AC$54,$Q11,1), "")</f>
        <v/>
      </c>
      <c r="O11" s="25" t="str" cm="1">
        <f t="array" ref="O11">IF($L11=0, INDEX($Y$5:$Y$54,$Q11,1), "")</f>
        <v/>
      </c>
      <c r="Q11" s="47">
        <v>7</v>
      </c>
      <c r="R11" s="380" t="s">
        <v>210</v>
      </c>
      <c r="S11" s="26" t="s">
        <v>211</v>
      </c>
      <c r="T11" s="27" t="s">
        <v>212</v>
      </c>
      <c r="U11" s="26" t="s">
        <v>213</v>
      </c>
      <c r="V11" s="27" t="s">
        <v>214</v>
      </c>
      <c r="W11" s="150" t="s">
        <v>211</v>
      </c>
      <c r="X11" s="27" t="s">
        <v>212</v>
      </c>
      <c r="Y11" s="26" t="s">
        <v>211</v>
      </c>
      <c r="Z11" s="27" t="s">
        <v>212</v>
      </c>
      <c r="AA11" s="26" t="s">
        <v>211</v>
      </c>
      <c r="AB11" s="27" t="s">
        <v>212</v>
      </c>
      <c r="AC11" s="26" t="s">
        <v>215</v>
      </c>
      <c r="AD11" s="27" t="s">
        <v>216</v>
      </c>
      <c r="AE11" s="26" t="s">
        <v>211</v>
      </c>
      <c r="AF11" s="44" t="s">
        <v>212</v>
      </c>
      <c r="AG11" s="353" t="s">
        <v>217</v>
      </c>
    </row>
    <row r="12" spans="2:33" ht="30">
      <c r="B12" s="47">
        <v>8</v>
      </c>
      <c r="C12" s="385" t="s">
        <v>219</v>
      </c>
      <c r="D12" s="389" t="s">
        <v>220</v>
      </c>
      <c r="E12" s="389">
        <f t="shared" si="0"/>
        <v>8</v>
      </c>
      <c r="F12" s="387" t="str" cm="1">
        <f t="array" ref="F12" xml:space="preserve"> IF($E12=0, "", INDEX($Q$5:$AG$54, $E12, F$1))</f>
        <v>乖</v>
      </c>
      <c r="G12" s="350" t="str" cm="1">
        <f t="array" ref="G12" xml:space="preserve"> IF($E12=0, "", INDEX($Q$5:$AG$54, $E12, G$1))</f>
        <v>ㄨㄞ</v>
      </c>
      <c r="H12" s="350" t="str" cm="1">
        <f t="array" ref="H12" xml:space="preserve"> IF($E12=0, "", INDEX($Q$5:$AG$54, $E12, H$1))</f>
        <v>ㄨㄞㆷ</v>
      </c>
      <c r="I12" s="350" t="str" cm="1">
        <f t="array" ref="I12" xml:space="preserve"> IF($E12=0, "", INDEX($Q$5:$AG$54, $E12, I$1))</f>
        <v>uai</v>
      </c>
      <c r="J12" s="350" t="str" cm="1">
        <f t="array" ref="J12" xml:space="preserve"> IF($E12=0, "", INDEX($Q$5:$AG$54, $E12, J$1))</f>
        <v>uaih</v>
      </c>
      <c r="K12" s="362"/>
      <c r="L12" s="362">
        <f t="shared" si="2"/>
        <v>8</v>
      </c>
      <c r="M12" s="366" t="str">
        <f t="shared" si="1"/>
        <v/>
      </c>
      <c r="N12" s="25" t="str" cm="1">
        <f t="array" ref="N12">IF($L12=0, INDEX($AC$5:$AC$54,$Q12,1), "")</f>
        <v/>
      </c>
      <c r="O12" s="25" t="str" cm="1">
        <f t="array" ref="O12">IF($L12=0, INDEX($Y$5:$Y$54,$Q12,1), "")</f>
        <v/>
      </c>
      <c r="Q12" s="47">
        <v>8</v>
      </c>
      <c r="R12" s="380" t="s">
        <v>219</v>
      </c>
      <c r="S12" s="26" t="s">
        <v>220</v>
      </c>
      <c r="T12" s="27" t="s">
        <v>221</v>
      </c>
      <c r="U12" s="26" t="s">
        <v>220</v>
      </c>
      <c r="V12" s="40" t="s">
        <v>222</v>
      </c>
      <c r="W12" s="151" t="s">
        <v>223</v>
      </c>
      <c r="X12" s="40" t="s">
        <v>224</v>
      </c>
      <c r="Y12" s="26" t="s">
        <v>220</v>
      </c>
      <c r="Z12" s="27" t="s">
        <v>221</v>
      </c>
      <c r="AA12" s="26" t="s">
        <v>220</v>
      </c>
      <c r="AB12" s="27" t="s">
        <v>221</v>
      </c>
      <c r="AC12" s="351" t="s">
        <v>225</v>
      </c>
      <c r="AD12" s="27" t="s">
        <v>226</v>
      </c>
      <c r="AE12" s="26" t="s">
        <v>227</v>
      </c>
      <c r="AF12" s="44" t="s">
        <v>228</v>
      </c>
      <c r="AG12" s="28"/>
    </row>
    <row r="13" spans="2:33" ht="34">
      <c r="B13" s="47">
        <v>9</v>
      </c>
      <c r="C13" s="385" t="s">
        <v>2007</v>
      </c>
      <c r="D13" s="389" t="s">
        <v>231</v>
      </c>
      <c r="E13" s="389">
        <f t="shared" si="0"/>
        <v>9</v>
      </c>
      <c r="F13" s="387" t="str" cm="1">
        <f t="array" ref="F13" xml:space="preserve"> IF($E13=0, "", INDEX($Q$5:$AG$54, $E13, F$1))</f>
        <v>經</v>
      </c>
      <c r="G13" s="350" t="str" cm="1">
        <f t="array" ref="G13" xml:space="preserve"> IF($E13=0, "", INDEX($Q$5:$AG$54, $E13, G$1))</f>
        <v>ㄧㄥ</v>
      </c>
      <c r="H13" s="350" t="str" cm="1">
        <f t="array" ref="H13" xml:space="preserve"> IF($E13=0, "", INDEX($Q$5:$AG$54, $E13, H$1))</f>
        <v>ㄧㆻ</v>
      </c>
      <c r="I13" s="350" t="str" cm="1">
        <f t="array" ref="I13" xml:space="preserve"> IF($E13=0, "", INDEX($Q$5:$AG$54, $E13, I$1))</f>
        <v>ing</v>
      </c>
      <c r="J13" s="350" t="str" cm="1">
        <f t="array" ref="J13" xml:space="preserve"> IF($E13=0, "", INDEX($Q$5:$AG$54, $E13, J$1))</f>
        <v>ik</v>
      </c>
      <c r="K13" s="362"/>
      <c r="L13" s="362">
        <f t="shared" si="2"/>
        <v>9</v>
      </c>
      <c r="M13" s="366" t="str">
        <f t="shared" si="1"/>
        <v/>
      </c>
      <c r="N13" s="25" t="str" cm="1">
        <f t="array" ref="N13">IF($L13=0, INDEX($AC$5:$AC$54,$Q13,1), "")</f>
        <v/>
      </c>
      <c r="O13" s="25" t="str" cm="1">
        <f t="array" ref="O13">IF($L13=0, INDEX($Y$5:$Y$54,$Q13,1), "")</f>
        <v/>
      </c>
      <c r="Q13" s="47">
        <v>9</v>
      </c>
      <c r="R13" s="380" t="s">
        <v>230</v>
      </c>
      <c r="S13" s="26" t="s">
        <v>231</v>
      </c>
      <c r="T13" s="27" t="s">
        <v>232</v>
      </c>
      <c r="U13" s="26" t="s">
        <v>233</v>
      </c>
      <c r="V13" s="27" t="s">
        <v>234</v>
      </c>
      <c r="W13" s="150" t="s">
        <v>235</v>
      </c>
      <c r="X13" s="27" t="s">
        <v>236</v>
      </c>
      <c r="Y13" s="26" t="s">
        <v>231</v>
      </c>
      <c r="Z13" s="27" t="s">
        <v>232</v>
      </c>
      <c r="AA13" s="26" t="s">
        <v>231</v>
      </c>
      <c r="AB13" s="27" t="s">
        <v>232</v>
      </c>
      <c r="AC13" s="352" t="s">
        <v>237</v>
      </c>
      <c r="AD13" s="251" t="s">
        <v>238</v>
      </c>
      <c r="AE13" s="26" t="s">
        <v>235</v>
      </c>
      <c r="AF13" s="44" t="s">
        <v>236</v>
      </c>
      <c r="AG13" s="28"/>
    </row>
    <row r="14" spans="2:33" ht="30">
      <c r="B14" s="47">
        <v>10</v>
      </c>
      <c r="C14" s="385" t="s">
        <v>463</v>
      </c>
      <c r="D14" s="389" t="s">
        <v>241</v>
      </c>
      <c r="E14" s="389">
        <f t="shared" si="0"/>
        <v>10</v>
      </c>
      <c r="F14" s="387" t="str" cm="1">
        <f t="array" ref="F14" xml:space="preserve"> IF($E14=0, "", INDEX($Q$5:$AG$54, $E14, F$1))</f>
        <v>觀</v>
      </c>
      <c r="G14" s="350" t="str" cm="1">
        <f t="array" ref="G14" xml:space="preserve"> IF($E14=0, "", INDEX($Q$5:$AG$54, $E14, G$1))</f>
        <v>ㄨㄢ</v>
      </c>
      <c r="H14" s="350" t="str" cm="1">
        <f t="array" ref="H14" xml:space="preserve"> IF($E14=0, "", INDEX($Q$5:$AG$54, $E14, H$1))</f>
        <v>ㄨㄚㆵ</v>
      </c>
      <c r="I14" s="350" t="str" cm="1">
        <f t="array" ref="I14" xml:space="preserve"> IF($E14=0, "", INDEX($Q$5:$AG$54, $E14, I$1))</f>
        <v>uan</v>
      </c>
      <c r="J14" s="350" t="str" cm="1">
        <f t="array" ref="J14" xml:space="preserve"> IF($E14=0, "", INDEX($Q$5:$AG$54, $E14, J$1))</f>
        <v>uat</v>
      </c>
      <c r="K14" s="362"/>
      <c r="L14" s="362">
        <f t="shared" si="2"/>
        <v>10</v>
      </c>
      <c r="M14" s="366" t="str">
        <f t="shared" si="1"/>
        <v/>
      </c>
      <c r="N14" s="25" t="str" cm="1">
        <f t="array" ref="N14">IF($L14=0, INDEX($AC$5:$AC$54,$Q14,1), "")</f>
        <v/>
      </c>
      <c r="O14" s="25" t="str" cm="1">
        <f t="array" ref="O14">IF($L14=0, INDEX($Y$5:$Y$54,$Q14,1), "")</f>
        <v/>
      </c>
      <c r="Q14" s="47">
        <v>10</v>
      </c>
      <c r="R14" s="380" t="s">
        <v>240</v>
      </c>
      <c r="S14" s="26" t="s">
        <v>241</v>
      </c>
      <c r="T14" s="27" t="s">
        <v>242</v>
      </c>
      <c r="U14" s="26" t="s">
        <v>241</v>
      </c>
      <c r="V14" s="40" t="s">
        <v>243</v>
      </c>
      <c r="W14" s="151" t="s">
        <v>244</v>
      </c>
      <c r="X14" s="40" t="s">
        <v>245</v>
      </c>
      <c r="Y14" s="26" t="s">
        <v>241</v>
      </c>
      <c r="Z14" s="27" t="s">
        <v>242</v>
      </c>
      <c r="AA14" s="26" t="s">
        <v>241</v>
      </c>
      <c r="AB14" s="27" t="s">
        <v>242</v>
      </c>
      <c r="AC14" s="26" t="s">
        <v>246</v>
      </c>
      <c r="AD14" s="27" t="s">
        <v>247</v>
      </c>
      <c r="AE14" s="26" t="s">
        <v>248</v>
      </c>
      <c r="AF14" s="44" t="s">
        <v>249</v>
      </c>
      <c r="AG14" s="28"/>
    </row>
    <row r="15" spans="2:33" ht="30">
      <c r="B15" s="47">
        <v>11</v>
      </c>
      <c r="C15" s="385" t="s">
        <v>572</v>
      </c>
      <c r="D15" s="389" t="s">
        <v>252</v>
      </c>
      <c r="E15" s="389">
        <f t="shared" si="0"/>
        <v>11</v>
      </c>
      <c r="F15" s="387" t="str" cm="1">
        <f t="array" ref="F15" xml:space="preserve"> IF($E15=0, "", INDEX($Q$5:$AG$54, $E15, F$1))</f>
        <v>沽</v>
      </c>
      <c r="G15" s="350" t="str" cm="1">
        <f t="array" ref="G15" xml:space="preserve"> IF($E15=0, "", INDEX($Q$5:$AG$54, $E15, G$1))</f>
        <v>ㆦ</v>
      </c>
      <c r="H15" s="350" t="str" cm="1">
        <f t="array" ref="H15" xml:space="preserve"> IF($E15=0, "", INDEX($Q$5:$AG$54, $E15, H$1))</f>
        <v>ㆦㆷ</v>
      </c>
      <c r="I15" s="350" t="str" cm="1">
        <f t="array" ref="I15" xml:space="preserve"> IF($E15=0, "", INDEX($Q$5:$AG$54, $E15, I$1))</f>
        <v>oo</v>
      </c>
      <c r="J15" s="350" t="str" cm="1">
        <f t="array" ref="J15" xml:space="preserve"> IF($E15=0, "", INDEX($Q$5:$AG$54, $E15, J$1))</f>
        <v>ooh</v>
      </c>
      <c r="K15" s="362"/>
      <c r="L15" s="362">
        <f t="shared" si="2"/>
        <v>11</v>
      </c>
      <c r="M15" s="366" t="str">
        <f t="shared" si="1"/>
        <v/>
      </c>
      <c r="N15" s="25" t="str" cm="1">
        <f t="array" ref="N15">IF($L15=0, INDEX($AC$5:$AC$54,$Q15,1), "")</f>
        <v/>
      </c>
      <c r="O15" s="25" t="str" cm="1">
        <f t="array" ref="O15">IF($L15=0, INDEX($Y$5:$Y$54,$Q15,1), "")</f>
        <v/>
      </c>
      <c r="Q15" s="47">
        <v>11</v>
      </c>
      <c r="R15" s="380" t="s">
        <v>251</v>
      </c>
      <c r="S15" s="26" t="s">
        <v>252</v>
      </c>
      <c r="T15" s="26" t="s">
        <v>253</v>
      </c>
      <c r="U15" s="26" t="s">
        <v>254</v>
      </c>
      <c r="V15" s="26" t="s">
        <v>255</v>
      </c>
      <c r="W15" s="150" t="s">
        <v>256</v>
      </c>
      <c r="X15" s="26" t="s">
        <v>257</v>
      </c>
      <c r="Y15" s="26" t="s">
        <v>252</v>
      </c>
      <c r="Z15" s="26" t="s">
        <v>253</v>
      </c>
      <c r="AA15" s="26" t="s">
        <v>252</v>
      </c>
      <c r="AB15" s="26" t="s">
        <v>258</v>
      </c>
      <c r="AC15" s="26" t="s">
        <v>259</v>
      </c>
      <c r="AD15" s="26" t="s">
        <v>260</v>
      </c>
      <c r="AE15" s="26" t="s">
        <v>261</v>
      </c>
      <c r="AF15" s="35"/>
      <c r="AG15" s="33" t="s">
        <v>262</v>
      </c>
    </row>
    <row r="16" spans="2:33" ht="30">
      <c r="B16" s="47">
        <v>12</v>
      </c>
      <c r="C16" s="385" t="s">
        <v>264</v>
      </c>
      <c r="D16" s="389" t="s">
        <v>265</v>
      </c>
      <c r="E16" s="389">
        <f t="shared" si="0"/>
        <v>12</v>
      </c>
      <c r="F16" s="387" t="str" cm="1">
        <f t="array" ref="F16" xml:space="preserve"> IF($E16=0, "", INDEX($Q$5:$AG$54, $E16, F$1))</f>
        <v>嬌</v>
      </c>
      <c r="G16" s="350" t="str" cm="1">
        <f t="array" ref="G16" xml:space="preserve"> IF($E16=0, "", INDEX($Q$5:$AG$54, $E16, G$1))</f>
        <v>ㄧㄠ</v>
      </c>
      <c r="H16" s="350" t="str" cm="1">
        <f t="array" ref="H16" xml:space="preserve"> IF($E16=0, "", INDEX($Q$5:$AG$54, $E16, H$1))</f>
        <v>ㄧㄠㆷ</v>
      </c>
      <c r="I16" s="350" t="str" cm="1">
        <f t="array" ref="I16" xml:space="preserve"> IF($E16=0, "", INDEX($Q$5:$AG$54, $E16, I$1))</f>
        <v>iau</v>
      </c>
      <c r="J16" s="350" t="str" cm="1">
        <f t="array" ref="J16" xml:space="preserve"> IF($E16=0, "", INDEX($Q$5:$AG$54, $E16, J$1))</f>
        <v>iauh</v>
      </c>
      <c r="K16" s="362"/>
      <c r="L16" s="362">
        <f t="shared" si="2"/>
        <v>12</v>
      </c>
      <c r="M16" s="366" t="str">
        <f t="shared" si="1"/>
        <v/>
      </c>
      <c r="N16" s="25" t="str" cm="1">
        <f t="array" ref="N16">IF($L16=0, INDEX($AC$5:$AC$54,$Q16,1), "")</f>
        <v/>
      </c>
      <c r="O16" s="25" t="str" cm="1">
        <f t="array" ref="O16">IF($L16=0, INDEX($Y$5:$Y$54,$Q16,1), "")</f>
        <v/>
      </c>
      <c r="Q16" s="47">
        <v>12</v>
      </c>
      <c r="R16" s="380" t="s">
        <v>264</v>
      </c>
      <c r="S16" s="26" t="s">
        <v>265</v>
      </c>
      <c r="T16" s="27" t="s">
        <v>266</v>
      </c>
      <c r="U16" s="26" t="s">
        <v>267</v>
      </c>
      <c r="V16" s="40" t="s">
        <v>268</v>
      </c>
      <c r="W16" s="151" t="s">
        <v>265</v>
      </c>
      <c r="X16" s="40" t="s">
        <v>266</v>
      </c>
      <c r="Y16" s="26" t="s">
        <v>265</v>
      </c>
      <c r="Z16" s="27" t="s">
        <v>266</v>
      </c>
      <c r="AA16" s="26" t="s">
        <v>269</v>
      </c>
      <c r="AB16" s="27" t="s">
        <v>270</v>
      </c>
      <c r="AC16" s="26" t="s">
        <v>271</v>
      </c>
      <c r="AD16" s="27" t="s">
        <v>272</v>
      </c>
      <c r="AE16" s="26" t="s">
        <v>273</v>
      </c>
      <c r="AF16" s="44" t="s">
        <v>274</v>
      </c>
      <c r="AG16" s="28"/>
    </row>
    <row r="17" spans="2:33" ht="30">
      <c r="B17" s="47">
        <v>13</v>
      </c>
      <c r="C17" s="385" t="s">
        <v>277</v>
      </c>
      <c r="D17" s="389" t="s">
        <v>278</v>
      </c>
      <c r="E17" s="389">
        <f t="shared" si="0"/>
        <v>39</v>
      </c>
      <c r="F17" s="387" t="str" cm="1">
        <f t="array" ref="F17" xml:space="preserve"> IF($E17=0, "", INDEX($Q$5:$AG$54, $E17, F$1))</f>
        <v>伽</v>
      </c>
      <c r="G17" s="350" t="str" cm="1">
        <f t="array" ref="G17" xml:space="preserve"> IF($E17=0, "", INDEX($Q$5:$AG$54, $E17, G$1))</f>
        <v>ㆤ</v>
      </c>
      <c r="H17" s="350" t="str" cm="1">
        <f t="array" ref="H17" xml:space="preserve"> IF($E17=0, "", INDEX($Q$5:$AG$54, $E17, H$1))</f>
        <v>ㆤㆷ</v>
      </c>
      <c r="I17" s="350" t="str" cm="1">
        <f t="array" ref="I17" xml:space="preserve"> IF($E17=0, "", INDEX($Q$5:$AG$54, $E17, I$1))</f>
        <v>e</v>
      </c>
      <c r="J17" s="350" t="str" cm="1">
        <f t="array" ref="J17" xml:space="preserve"> IF($E17=0, "", INDEX($Q$5:$AG$54, $E17, J$1))</f>
        <v>eh</v>
      </c>
      <c r="K17" s="362"/>
      <c r="L17" s="362">
        <f t="shared" si="2"/>
        <v>0</v>
      </c>
      <c r="M17" s="366" t="str">
        <f t="shared" si="1"/>
        <v>稽</v>
      </c>
      <c r="N17" s="25" t="str" cm="1">
        <f t="array" ref="N17">IF($L17=0, INDEX($AC$5:$AC$54,$Q17,1), "")</f>
        <v>ㄟ</v>
      </c>
      <c r="O17" s="25" t="str" cm="1">
        <f t="array" ref="O17">IF($L17=0, INDEX($Y$5:$Y$54,$Q17,1), "")</f>
        <v>ei</v>
      </c>
      <c r="Q17" s="47">
        <v>13</v>
      </c>
      <c r="R17" s="382" t="s">
        <v>277</v>
      </c>
      <c r="S17" s="26" t="s">
        <v>278</v>
      </c>
      <c r="T17" s="30" t="s">
        <v>189</v>
      </c>
      <c r="U17" s="26" t="s">
        <v>279</v>
      </c>
      <c r="V17" s="30" t="s">
        <v>280</v>
      </c>
      <c r="W17" s="151" t="s">
        <v>279</v>
      </c>
      <c r="X17" s="129" t="s">
        <v>281</v>
      </c>
      <c r="Y17" s="36" t="s">
        <v>282</v>
      </c>
      <c r="Z17" s="30" t="s">
        <v>281</v>
      </c>
      <c r="AA17" s="320" t="s">
        <v>193</v>
      </c>
      <c r="AB17" s="320" t="s">
        <v>194</v>
      </c>
      <c r="AC17" s="36" t="s">
        <v>283</v>
      </c>
      <c r="AD17" s="30" t="s">
        <v>284</v>
      </c>
      <c r="AE17" s="26" t="s">
        <v>285</v>
      </c>
      <c r="AF17" s="30"/>
      <c r="AG17" s="33" t="s">
        <v>286</v>
      </c>
    </row>
    <row r="18" spans="2:33" ht="30">
      <c r="B18" s="47">
        <v>14</v>
      </c>
      <c r="C18" s="385" t="s">
        <v>2010</v>
      </c>
      <c r="D18" s="389" t="s">
        <v>289</v>
      </c>
      <c r="E18" s="389">
        <f t="shared" si="0"/>
        <v>14</v>
      </c>
      <c r="F18" s="387" t="str" cm="1">
        <f t="array" ref="F18" xml:space="preserve"> IF($E18=0, "", INDEX($Q$5:$AG$54, $E18, F$1))</f>
        <v>恭</v>
      </c>
      <c r="G18" s="350" t="str" cm="1">
        <f t="array" ref="G18" xml:space="preserve"> IF($E18=0, "", INDEX($Q$5:$AG$54, $E18, G$1))</f>
        <v>ㄧㆲ</v>
      </c>
      <c r="H18" s="350" t="str" cm="1">
        <f t="array" ref="H18" xml:space="preserve"> IF($E18=0, "", INDEX($Q$5:$AG$54, $E18, H$1))</f>
        <v>ㄧㆦㆻ</v>
      </c>
      <c r="I18" s="350" t="str" cm="1">
        <f t="array" ref="I18" xml:space="preserve"> IF($E18=0, "", INDEX($Q$5:$AG$54, $E18, I$1))</f>
        <v>iong</v>
      </c>
      <c r="J18" s="350" t="str" cm="1">
        <f t="array" ref="J18" xml:space="preserve"> IF($E18=0, "", INDEX($Q$5:$AG$54, $E18, J$1))</f>
        <v>iok</v>
      </c>
      <c r="K18" s="362"/>
      <c r="L18" s="362">
        <f t="shared" si="2"/>
        <v>14</v>
      </c>
      <c r="M18" s="366" t="str">
        <f t="shared" si="1"/>
        <v/>
      </c>
      <c r="N18" s="25" t="str" cm="1">
        <f t="array" ref="N18">IF($L18=0, INDEX($AC$5:$AC$54,$Q18,1), "")</f>
        <v/>
      </c>
      <c r="O18" s="25" t="str" cm="1">
        <f t="array" ref="O18">IF($L18=0, INDEX($Y$5:$Y$54,$Q18,1), "")</f>
        <v/>
      </c>
      <c r="Q18" s="47">
        <v>14</v>
      </c>
      <c r="R18" s="380" t="s">
        <v>288</v>
      </c>
      <c r="S18" s="26" t="s">
        <v>289</v>
      </c>
      <c r="T18" s="27" t="s">
        <v>290</v>
      </c>
      <c r="U18" s="26" t="s">
        <v>291</v>
      </c>
      <c r="V18" s="27" t="s">
        <v>292</v>
      </c>
      <c r="W18" s="152" t="s">
        <v>289</v>
      </c>
      <c r="X18" s="38" t="s">
        <v>290</v>
      </c>
      <c r="Y18" s="37" t="s">
        <v>289</v>
      </c>
      <c r="Z18" s="38" t="s">
        <v>290</v>
      </c>
      <c r="AA18" s="26" t="s">
        <v>289</v>
      </c>
      <c r="AB18" s="27" t="s">
        <v>290</v>
      </c>
      <c r="AC18" s="37" t="s">
        <v>293</v>
      </c>
      <c r="AD18" s="252" t="s">
        <v>294</v>
      </c>
      <c r="AE18" s="26" t="s">
        <v>295</v>
      </c>
      <c r="AF18" s="44" t="s">
        <v>296</v>
      </c>
      <c r="AG18" s="28"/>
    </row>
    <row r="19" spans="2:33" ht="30">
      <c r="B19" s="47">
        <v>15</v>
      </c>
      <c r="C19" s="385" t="s">
        <v>298</v>
      </c>
      <c r="D19" s="389" t="s">
        <v>299</v>
      </c>
      <c r="E19" s="389">
        <f t="shared" si="0"/>
        <v>15</v>
      </c>
      <c r="F19" s="387" t="str" cm="1">
        <f t="array" ref="F19" xml:space="preserve"> IF($E19=0, "", INDEX($Q$5:$AG$54, $E19, F$1))</f>
        <v>高</v>
      </c>
      <c r="G19" s="350" t="str" cm="1">
        <f t="array" ref="G19" xml:space="preserve"> IF($E19=0, "", INDEX($Q$5:$AG$54, $E19, G$1))</f>
        <v>ㄜ</v>
      </c>
      <c r="H19" s="350" t="str" cm="1">
        <f t="array" ref="H19" xml:space="preserve"> IF($E19=0, "", INDEX($Q$5:$AG$54, $E19, H$1))</f>
        <v>ㄜㆷ</v>
      </c>
      <c r="I19" s="350" t="str" cm="1">
        <f t="array" ref="I19" xml:space="preserve"> IF($E19=0, "", INDEX($Q$5:$AG$54, $E19, I$1))</f>
        <v>o</v>
      </c>
      <c r="J19" s="350" t="str" cm="1">
        <f t="array" ref="J19" xml:space="preserve"> IF($E19=0, "", INDEX($Q$5:$AG$54, $E19, J$1))</f>
        <v>oh</v>
      </c>
      <c r="K19" s="362"/>
      <c r="L19" s="362">
        <f t="shared" si="2"/>
        <v>15</v>
      </c>
      <c r="M19" s="366" t="str">
        <f t="shared" si="1"/>
        <v/>
      </c>
      <c r="N19" s="25" t="str" cm="1">
        <f t="array" ref="N19">IF($L19=0, INDEX($AC$5:$AC$54,$Q19,1), "")</f>
        <v/>
      </c>
      <c r="O19" s="25" t="str" cm="1">
        <f t="array" ref="O19">IF($L19=0, INDEX($Y$5:$Y$54,$Q19,1), "")</f>
        <v/>
      </c>
      <c r="Q19" s="47">
        <v>15</v>
      </c>
      <c r="R19" s="380" t="s">
        <v>298</v>
      </c>
      <c r="S19" s="26" t="s">
        <v>299</v>
      </c>
      <c r="T19" s="27" t="s">
        <v>300</v>
      </c>
      <c r="U19" s="26" t="s">
        <v>299</v>
      </c>
      <c r="V19" s="40" t="s">
        <v>301</v>
      </c>
      <c r="W19" s="151" t="s">
        <v>299</v>
      </c>
      <c r="X19" s="40" t="s">
        <v>300</v>
      </c>
      <c r="Y19" s="26" t="s">
        <v>299</v>
      </c>
      <c r="Z19" s="27" t="s">
        <v>300</v>
      </c>
      <c r="AA19" s="26" t="s">
        <v>299</v>
      </c>
      <c r="AB19" s="27" t="s">
        <v>300</v>
      </c>
      <c r="AC19" s="26" t="s">
        <v>302</v>
      </c>
      <c r="AD19" s="27" t="s">
        <v>303</v>
      </c>
      <c r="AE19" s="26" t="s">
        <v>299</v>
      </c>
      <c r="AF19" s="44" t="s">
        <v>304</v>
      </c>
      <c r="AG19" s="28"/>
    </row>
    <row r="20" spans="2:33" ht="30">
      <c r="B20" s="47">
        <v>16</v>
      </c>
      <c r="C20" s="385" t="s">
        <v>306</v>
      </c>
      <c r="D20" s="389" t="s">
        <v>307</v>
      </c>
      <c r="E20" s="389">
        <f t="shared" si="0"/>
        <v>16</v>
      </c>
      <c r="F20" s="387" t="str" cm="1">
        <f t="array" ref="F20" xml:space="preserve"> IF($E20=0, "", INDEX($Q$5:$AG$54, $E20, F$1))</f>
        <v>皆</v>
      </c>
      <c r="G20" s="350" t="str" cm="1">
        <f t="array" ref="G20" xml:space="preserve"> IF($E20=0, "", INDEX($Q$5:$AG$54, $E20, G$1))</f>
        <v>ㄞ</v>
      </c>
      <c r="H20" s="350" t="str" cm="1">
        <f t="array" ref="H20" xml:space="preserve"> IF($E20=0, "", INDEX($Q$5:$AG$54, $E20, H$1))</f>
        <v>ㄞㆷ</v>
      </c>
      <c r="I20" s="350" t="str" cm="1">
        <f t="array" ref="I20" xml:space="preserve"> IF($E20=0, "", INDEX($Q$5:$AG$54, $E20, I$1))</f>
        <v>ai</v>
      </c>
      <c r="J20" s="350" t="str" cm="1">
        <f t="array" ref="J20" xml:space="preserve"> IF($E20=0, "", INDEX($Q$5:$AG$54, $E20, J$1))</f>
        <v>aih</v>
      </c>
      <c r="K20" s="362"/>
      <c r="L20" s="362">
        <f t="shared" si="2"/>
        <v>16</v>
      </c>
      <c r="M20" s="366" t="str">
        <f t="shared" si="1"/>
        <v/>
      </c>
      <c r="N20" s="25" t="str" cm="1">
        <f t="array" ref="N20">IF($L20=0, INDEX($AC$5:$AC$54,$Q20,1), "")</f>
        <v/>
      </c>
      <c r="O20" s="25" t="str" cm="1">
        <f t="array" ref="O20">IF($L20=0, INDEX($Y$5:$Y$54,$Q20,1), "")</f>
        <v/>
      </c>
      <c r="Q20" s="47">
        <v>16</v>
      </c>
      <c r="R20" s="380" t="s">
        <v>306</v>
      </c>
      <c r="S20" s="26" t="s">
        <v>307</v>
      </c>
      <c r="T20" s="30" t="s">
        <v>308</v>
      </c>
      <c r="U20" s="26" t="s">
        <v>309</v>
      </c>
      <c r="V20" s="30" t="s">
        <v>310</v>
      </c>
      <c r="W20" s="151" t="s">
        <v>307</v>
      </c>
      <c r="X20" s="30" t="s">
        <v>311</v>
      </c>
      <c r="Y20" s="26" t="s">
        <v>307</v>
      </c>
      <c r="Z20" s="30" t="s">
        <v>308</v>
      </c>
      <c r="AA20" s="26" t="s">
        <v>307</v>
      </c>
      <c r="AB20" s="30" t="s">
        <v>311</v>
      </c>
      <c r="AC20" s="26" t="s">
        <v>312</v>
      </c>
      <c r="AD20" s="30" t="s">
        <v>313</v>
      </c>
      <c r="AE20" s="26" t="s">
        <v>314</v>
      </c>
      <c r="AF20" s="30"/>
      <c r="AG20" s="28"/>
    </row>
    <row r="21" spans="2:33" ht="30">
      <c r="B21" s="47">
        <v>17</v>
      </c>
      <c r="C21" s="385" t="s">
        <v>2011</v>
      </c>
      <c r="D21" s="389" t="s">
        <v>317</v>
      </c>
      <c r="E21" s="389">
        <f t="shared" si="0"/>
        <v>17</v>
      </c>
      <c r="F21" s="387" t="str" cm="1">
        <f t="array" ref="F21" xml:space="preserve"> IF($E21=0, "", INDEX($Q$5:$AG$54, $E21, F$1))</f>
        <v>巾</v>
      </c>
      <c r="G21" s="350" t="str" cm="1">
        <f t="array" ref="G21" xml:space="preserve"> IF($E21=0, "", INDEX($Q$5:$AG$54, $E21, G$1))</f>
        <v>ㄧㄣ</v>
      </c>
      <c r="H21" s="350" t="str" cm="1">
        <f t="array" ref="H21" xml:space="preserve"> IF($E21=0, "", INDEX($Q$5:$AG$54, $E21, H$1))</f>
        <v>ㄧㆵ</v>
      </c>
      <c r="I21" s="350" t="str" cm="1">
        <f t="array" ref="I21" xml:space="preserve"> IF($E21=0, "", INDEX($Q$5:$AG$54, $E21, I$1))</f>
        <v>in</v>
      </c>
      <c r="J21" s="350" t="str" cm="1">
        <f t="array" ref="J21" xml:space="preserve"> IF($E21=0, "", INDEX($Q$5:$AG$54, $E21, J$1))</f>
        <v>it</v>
      </c>
      <c r="K21" s="362"/>
      <c r="L21" s="362">
        <f t="shared" si="2"/>
        <v>17</v>
      </c>
      <c r="M21" s="366" t="str">
        <f t="shared" si="1"/>
        <v/>
      </c>
      <c r="N21" s="25" t="str" cm="1">
        <f t="array" ref="N21">IF($L21=0, INDEX($AC$5:$AC$54,$Q21,1), "")</f>
        <v/>
      </c>
      <c r="O21" s="25" t="str" cm="1">
        <f t="array" ref="O21">IF($L21=0, INDEX($Y$5:$Y$54,$Q21,1), "")</f>
        <v/>
      </c>
      <c r="Q21" s="47">
        <v>17</v>
      </c>
      <c r="R21" s="380" t="s">
        <v>316</v>
      </c>
      <c r="S21" s="26" t="s">
        <v>317</v>
      </c>
      <c r="T21" s="27" t="s">
        <v>318</v>
      </c>
      <c r="U21" s="26" t="s">
        <v>317</v>
      </c>
      <c r="V21" s="27" t="s">
        <v>319</v>
      </c>
      <c r="W21" s="150" t="s">
        <v>317</v>
      </c>
      <c r="X21" s="27" t="s">
        <v>318</v>
      </c>
      <c r="Y21" s="26" t="s">
        <v>317</v>
      </c>
      <c r="Z21" s="27" t="s">
        <v>318</v>
      </c>
      <c r="AA21" s="26" t="s">
        <v>317</v>
      </c>
      <c r="AB21" s="27" t="s">
        <v>318</v>
      </c>
      <c r="AC21" s="26" t="s">
        <v>320</v>
      </c>
      <c r="AD21" s="27" t="s">
        <v>321</v>
      </c>
      <c r="AE21" s="26" t="s">
        <v>317</v>
      </c>
      <c r="AF21" s="44" t="s">
        <v>318</v>
      </c>
      <c r="AG21" s="28"/>
    </row>
    <row r="22" spans="2:33" ht="30">
      <c r="B22" s="47">
        <v>18</v>
      </c>
      <c r="C22" s="385" t="s">
        <v>323</v>
      </c>
      <c r="D22" s="389" t="s">
        <v>324</v>
      </c>
      <c r="E22" s="389">
        <f t="shared" si="0"/>
        <v>18</v>
      </c>
      <c r="F22" s="387" t="str" cm="1">
        <f t="array" ref="F22" xml:space="preserve"> IF($E22=0, "", INDEX($Q$5:$AG$54, $E22, F$1))</f>
        <v>姜</v>
      </c>
      <c r="G22" s="350" t="str" cm="1">
        <f t="array" ref="G22" xml:space="preserve"> IF($E22=0, "", INDEX($Q$5:$AG$54, $E22, G$1))</f>
        <v>ㄧㄤ</v>
      </c>
      <c r="H22" s="350" t="str" cm="1">
        <f t="array" ref="H22" xml:space="preserve"> IF($E22=0, "", INDEX($Q$5:$AG$54, $E22, H$1))</f>
        <v>ㄧㄚㆻ</v>
      </c>
      <c r="I22" s="350" t="str" cm="1">
        <f t="array" ref="I22" xml:space="preserve"> IF($E22=0, "", INDEX($Q$5:$AG$54, $E22, I$1))</f>
        <v>iang</v>
      </c>
      <c r="J22" s="350" t="str" cm="1">
        <f t="array" ref="J22" xml:space="preserve"> IF($E22=0, "", INDEX($Q$5:$AG$54, $E22, J$1))</f>
        <v>iak</v>
      </c>
      <c r="K22" s="362"/>
      <c r="L22" s="362">
        <f t="shared" si="2"/>
        <v>18</v>
      </c>
      <c r="M22" s="366" t="str">
        <f t="shared" si="1"/>
        <v/>
      </c>
      <c r="N22" s="25" t="str" cm="1">
        <f t="array" ref="N22">IF($L22=0, INDEX($AC$5:$AC$54,$Q22,1), "")</f>
        <v/>
      </c>
      <c r="O22" s="25" t="str" cm="1">
        <f t="array" ref="O22">IF($L22=0, INDEX($Y$5:$Y$54,$Q22,1), "")</f>
        <v/>
      </c>
      <c r="Q22" s="47">
        <v>18</v>
      </c>
      <c r="R22" s="380" t="s">
        <v>323</v>
      </c>
      <c r="S22" s="26" t="s">
        <v>324</v>
      </c>
      <c r="T22" s="27" t="s">
        <v>325</v>
      </c>
      <c r="U22" s="26" t="s">
        <v>326</v>
      </c>
      <c r="V22" s="40" t="s">
        <v>327</v>
      </c>
      <c r="W22" s="151" t="s">
        <v>324</v>
      </c>
      <c r="X22" s="40" t="s">
        <v>325</v>
      </c>
      <c r="Y22" s="26" t="s">
        <v>324</v>
      </c>
      <c r="Z22" s="27" t="s">
        <v>325</v>
      </c>
      <c r="AA22" s="26" t="s">
        <v>324</v>
      </c>
      <c r="AB22" s="27" t="s">
        <v>325</v>
      </c>
      <c r="AC22" s="26" t="s">
        <v>328</v>
      </c>
      <c r="AD22" s="27" t="s">
        <v>329</v>
      </c>
      <c r="AE22" s="26" t="s">
        <v>330</v>
      </c>
      <c r="AF22" s="44" t="s">
        <v>331</v>
      </c>
      <c r="AG22" s="28"/>
    </row>
    <row r="23" spans="2:33" ht="30">
      <c r="B23" s="47">
        <v>19</v>
      </c>
      <c r="C23" s="385" t="s">
        <v>333</v>
      </c>
      <c r="D23" s="389" t="s">
        <v>334</v>
      </c>
      <c r="E23" s="389">
        <f t="shared" si="0"/>
        <v>19</v>
      </c>
      <c r="F23" s="387" t="str" cm="1">
        <f t="array" ref="F23" xml:space="preserve"> IF($E23=0, "", INDEX($Q$5:$AG$54, $E23, F$1))</f>
        <v>甘</v>
      </c>
      <c r="G23" s="350" t="str" cm="1">
        <f t="array" ref="G23" xml:space="preserve"> IF($E23=0, "", INDEX($Q$5:$AG$54, $E23, G$1))</f>
        <v>ㆰ</v>
      </c>
      <c r="H23" s="350" t="str" cm="1">
        <f t="array" ref="H23" xml:space="preserve"> IF($E23=0, "", INDEX($Q$5:$AG$54, $E23, H$1))</f>
        <v>ㄚㆴ</v>
      </c>
      <c r="I23" s="350" t="str" cm="1">
        <f t="array" ref="I23" xml:space="preserve"> IF($E23=0, "", INDEX($Q$5:$AG$54, $E23, I$1))</f>
        <v>am</v>
      </c>
      <c r="J23" s="350" t="str" cm="1">
        <f t="array" ref="J23" xml:space="preserve"> IF($E23=0, "", INDEX($Q$5:$AG$54, $E23, J$1))</f>
        <v>ap</v>
      </c>
      <c r="K23" s="362"/>
      <c r="L23" s="362">
        <f t="shared" si="2"/>
        <v>19</v>
      </c>
      <c r="M23" s="366" t="str">
        <f t="shared" si="1"/>
        <v/>
      </c>
      <c r="N23" s="25" t="str" cm="1">
        <f t="array" ref="N23">IF($L23=0, INDEX($AC$5:$AC$54,$Q23,1), "")</f>
        <v/>
      </c>
      <c r="O23" s="25" t="str" cm="1">
        <f t="array" ref="O23">IF($L23=0, INDEX($Y$5:$Y$54,$Q23,1), "")</f>
        <v/>
      </c>
      <c r="Q23" s="47">
        <v>19</v>
      </c>
      <c r="R23" s="380" t="s">
        <v>333</v>
      </c>
      <c r="S23" s="26" t="s">
        <v>334</v>
      </c>
      <c r="T23" s="27" t="s">
        <v>203</v>
      </c>
      <c r="U23" s="26" t="s">
        <v>334</v>
      </c>
      <c r="V23" s="27" t="s">
        <v>335</v>
      </c>
      <c r="W23" s="150" t="s">
        <v>334</v>
      </c>
      <c r="X23" s="27" t="s">
        <v>203</v>
      </c>
      <c r="Y23" s="26" t="s">
        <v>334</v>
      </c>
      <c r="Z23" s="27" t="s">
        <v>203</v>
      </c>
      <c r="AA23" s="26" t="s">
        <v>334</v>
      </c>
      <c r="AB23" s="27" t="s">
        <v>203</v>
      </c>
      <c r="AC23" s="26" t="s">
        <v>336</v>
      </c>
      <c r="AD23" s="27" t="s">
        <v>337</v>
      </c>
      <c r="AE23" s="26" t="s">
        <v>334</v>
      </c>
      <c r="AF23" s="44" t="s">
        <v>203</v>
      </c>
      <c r="AG23" s="28"/>
    </row>
    <row r="24" spans="2:33" ht="30">
      <c r="B24" s="47">
        <v>20</v>
      </c>
      <c r="C24" s="385" t="s">
        <v>339</v>
      </c>
      <c r="D24" s="389" t="s">
        <v>340</v>
      </c>
      <c r="E24" s="389">
        <f t="shared" si="0"/>
        <v>20</v>
      </c>
      <c r="F24" s="387" t="str" cm="1">
        <f t="array" ref="F24" xml:space="preserve"> IF($E24=0, "", INDEX($Q$5:$AG$54, $E24, F$1))</f>
        <v>瓜</v>
      </c>
      <c r="G24" s="350" t="str" cm="1">
        <f t="array" ref="G24" xml:space="preserve"> IF($E24=0, "", INDEX($Q$5:$AG$54, $E24, G$1))</f>
        <v>ㄨㄚ</v>
      </c>
      <c r="H24" s="350" t="str" cm="1">
        <f t="array" ref="H24" xml:space="preserve"> IF($E24=0, "", INDEX($Q$5:$AG$54, $E24, H$1))</f>
        <v>ㄨㄚㆷ</v>
      </c>
      <c r="I24" s="350" t="str" cm="1">
        <f t="array" ref="I24" xml:space="preserve"> IF($E24=0, "", INDEX($Q$5:$AG$54, $E24, I$1))</f>
        <v>ua</v>
      </c>
      <c r="J24" s="350" t="str" cm="1">
        <f t="array" ref="J24" xml:space="preserve"> IF($E24=0, "", INDEX($Q$5:$AG$54, $E24, J$1))</f>
        <v>uah</v>
      </c>
      <c r="K24" s="362"/>
      <c r="L24" s="362">
        <f t="shared" si="2"/>
        <v>20</v>
      </c>
      <c r="M24" s="366" t="str">
        <f t="shared" si="1"/>
        <v/>
      </c>
      <c r="N24" s="25" t="str" cm="1">
        <f t="array" ref="N24">IF($L24=0, INDEX($AC$5:$AC$54,$Q24,1), "")</f>
        <v/>
      </c>
      <c r="O24" s="25" t="str" cm="1">
        <f t="array" ref="O24">IF($L24=0, INDEX($Y$5:$Y$54,$Q24,1), "")</f>
        <v/>
      </c>
      <c r="Q24" s="47">
        <v>20</v>
      </c>
      <c r="R24" s="380" t="s">
        <v>339</v>
      </c>
      <c r="S24" s="26" t="s">
        <v>340</v>
      </c>
      <c r="T24" s="27" t="s">
        <v>341</v>
      </c>
      <c r="U24" s="26" t="s">
        <v>340</v>
      </c>
      <c r="V24" s="40" t="s">
        <v>342</v>
      </c>
      <c r="W24" s="151" t="s">
        <v>343</v>
      </c>
      <c r="X24" s="40" t="s">
        <v>344</v>
      </c>
      <c r="Y24" s="26" t="s">
        <v>340</v>
      </c>
      <c r="Z24" s="27" t="s">
        <v>341</v>
      </c>
      <c r="AA24" s="26" t="s">
        <v>340</v>
      </c>
      <c r="AB24" s="27" t="s">
        <v>341</v>
      </c>
      <c r="AC24" s="26" t="s">
        <v>345</v>
      </c>
      <c r="AD24" s="27" t="s">
        <v>346</v>
      </c>
      <c r="AE24" s="26" t="s">
        <v>347</v>
      </c>
      <c r="AF24" s="44" t="s">
        <v>348</v>
      </c>
      <c r="AG24" s="28"/>
    </row>
    <row r="25" spans="2:33" ht="34">
      <c r="B25" s="47">
        <v>21</v>
      </c>
      <c r="C25" s="385" t="s">
        <v>350</v>
      </c>
      <c r="D25" s="389" t="s">
        <v>351</v>
      </c>
      <c r="E25" s="389">
        <f t="shared" si="0"/>
        <v>21</v>
      </c>
      <c r="F25" s="387" t="str" cm="1">
        <f t="array" ref="F25" xml:space="preserve"> IF($E25=0, "", INDEX($Q$5:$AG$54, $E25, F$1))</f>
        <v>江</v>
      </c>
      <c r="G25" s="350" t="str" cm="1">
        <f t="array" ref="G25" xml:space="preserve"> IF($E25=0, "", INDEX($Q$5:$AG$54, $E25, G$1))</f>
        <v>ㄤ</v>
      </c>
      <c r="H25" s="350" t="str" cm="1">
        <f t="array" ref="H25" xml:space="preserve"> IF($E25=0, "", INDEX($Q$5:$AG$54, $E25, H$1))</f>
        <v>ㄚㆻ</v>
      </c>
      <c r="I25" s="350" t="str" cm="1">
        <f t="array" ref="I25" xml:space="preserve"> IF($E25=0, "", INDEX($Q$5:$AG$54, $E25, I$1))</f>
        <v>ang</v>
      </c>
      <c r="J25" s="350" t="str" cm="1">
        <f t="array" ref="J25" xml:space="preserve"> IF($E25=0, "", INDEX($Q$5:$AG$54, $E25, J$1))</f>
        <v>ak</v>
      </c>
      <c r="K25" s="362"/>
      <c r="L25" s="362">
        <f t="shared" si="2"/>
        <v>21</v>
      </c>
      <c r="M25" s="366" t="str">
        <f t="shared" si="1"/>
        <v/>
      </c>
      <c r="N25" s="25" t="str" cm="1">
        <f t="array" ref="N25">IF($L25=0, INDEX($AC$5:$AC$54,$Q25,1), "")</f>
        <v/>
      </c>
      <c r="O25" s="25" t="str" cm="1">
        <f t="array" ref="O25">IF($L25=0, INDEX($Y$5:$Y$54,$Q25,1), "")</f>
        <v/>
      </c>
      <c r="Q25" s="47">
        <v>21</v>
      </c>
      <c r="R25" s="380" t="s">
        <v>350</v>
      </c>
      <c r="S25" s="26" t="s">
        <v>351</v>
      </c>
      <c r="T25" s="27" t="s">
        <v>352</v>
      </c>
      <c r="U25" s="26" t="s">
        <v>353</v>
      </c>
      <c r="V25" s="27" t="s">
        <v>354</v>
      </c>
      <c r="W25" s="150" t="s">
        <v>351</v>
      </c>
      <c r="X25" s="27" t="s">
        <v>352</v>
      </c>
      <c r="Y25" s="26" t="s">
        <v>351</v>
      </c>
      <c r="Z25" s="27" t="s">
        <v>352</v>
      </c>
      <c r="AA25" s="26" t="s">
        <v>351</v>
      </c>
      <c r="AB25" s="27" t="s">
        <v>352</v>
      </c>
      <c r="AC25" s="26" t="s">
        <v>355</v>
      </c>
      <c r="AD25" s="250" t="s">
        <v>356</v>
      </c>
      <c r="AE25" s="26" t="s">
        <v>351</v>
      </c>
      <c r="AF25" s="44" t="s">
        <v>352</v>
      </c>
      <c r="AG25" s="28"/>
    </row>
    <row r="26" spans="2:33" ht="30">
      <c r="B26" s="47">
        <v>22</v>
      </c>
      <c r="C26" s="385" t="s">
        <v>358</v>
      </c>
      <c r="D26" s="389" t="s">
        <v>359</v>
      </c>
      <c r="E26" s="389">
        <f t="shared" si="0"/>
        <v>22</v>
      </c>
      <c r="F26" s="387" t="str" cm="1">
        <f t="array" ref="F26" xml:space="preserve"> IF($E26=0, "", INDEX($Q$5:$AG$54, $E26, F$1))</f>
        <v>兼</v>
      </c>
      <c r="G26" s="350" t="str" cm="1">
        <f t="array" ref="G26" xml:space="preserve"> IF($E26=0, "", INDEX($Q$5:$AG$54, $E26, G$1))</f>
        <v>ㄧㆰ</v>
      </c>
      <c r="H26" s="350" t="str" cm="1">
        <f t="array" ref="H26" xml:space="preserve"> IF($E26=0, "", INDEX($Q$5:$AG$54, $E26, H$1))</f>
        <v>ㄧㄚㆴ</v>
      </c>
      <c r="I26" s="350" t="str" cm="1">
        <f t="array" ref="I26" xml:space="preserve"> IF($E26=0, "", INDEX($Q$5:$AG$54, $E26, I$1))</f>
        <v>iam</v>
      </c>
      <c r="J26" s="350" t="str" cm="1">
        <f t="array" ref="J26" xml:space="preserve"> IF($E26=0, "", INDEX($Q$5:$AG$54, $E26, J$1))</f>
        <v>iap</v>
      </c>
      <c r="K26" s="362"/>
      <c r="L26" s="362">
        <f t="shared" si="2"/>
        <v>22</v>
      </c>
      <c r="M26" s="366" t="str">
        <f t="shared" si="1"/>
        <v/>
      </c>
      <c r="N26" s="25" t="str" cm="1">
        <f t="array" ref="N26">IF($L26=0, INDEX($AC$5:$AC$54,$Q26,1), "")</f>
        <v/>
      </c>
      <c r="O26" s="25" t="str" cm="1">
        <f t="array" ref="O26">IF($L26=0, INDEX($Y$5:$Y$54,$Q26,1), "")</f>
        <v/>
      </c>
      <c r="Q26" s="47">
        <v>22</v>
      </c>
      <c r="R26" s="380" t="s">
        <v>358</v>
      </c>
      <c r="S26" s="26" t="s">
        <v>359</v>
      </c>
      <c r="T26" s="27" t="s">
        <v>360</v>
      </c>
      <c r="U26" s="26" t="s">
        <v>359</v>
      </c>
      <c r="V26" s="27" t="s">
        <v>361</v>
      </c>
      <c r="W26" s="150" t="s">
        <v>359</v>
      </c>
      <c r="X26" s="27" t="s">
        <v>360</v>
      </c>
      <c r="Y26" s="26" t="s">
        <v>359</v>
      </c>
      <c r="Z26" s="27" t="s">
        <v>360</v>
      </c>
      <c r="AA26" s="26" t="s">
        <v>359</v>
      </c>
      <c r="AB26" s="27" t="s">
        <v>360</v>
      </c>
      <c r="AC26" s="26" t="s">
        <v>362</v>
      </c>
      <c r="AD26" s="27" t="s">
        <v>363</v>
      </c>
      <c r="AE26" s="26" t="s">
        <v>364</v>
      </c>
      <c r="AF26" s="44" t="s">
        <v>365</v>
      </c>
      <c r="AG26" s="28"/>
    </row>
    <row r="27" spans="2:33" ht="30">
      <c r="B27" s="47">
        <v>23</v>
      </c>
      <c r="C27" s="385" t="s">
        <v>367</v>
      </c>
      <c r="D27" s="389" t="s">
        <v>368</v>
      </c>
      <c r="E27" s="389">
        <f t="shared" si="0"/>
        <v>23</v>
      </c>
      <c r="F27" s="387" t="str" cm="1">
        <f t="array" ref="F27" xml:space="preserve"> IF($E27=0, "", INDEX($Q$5:$AG$54, $E27, F$1))</f>
        <v>交</v>
      </c>
      <c r="G27" s="350" t="str" cm="1">
        <f t="array" ref="G27" xml:space="preserve"> IF($E27=0, "", INDEX($Q$5:$AG$54, $E27, G$1))</f>
        <v>ㄠ</v>
      </c>
      <c r="H27" s="350" t="str" cm="1">
        <f t="array" ref="H27" xml:space="preserve"> IF($E27=0, "", INDEX($Q$5:$AG$54, $E27, H$1))</f>
        <v>ㄠㆷ</v>
      </c>
      <c r="I27" s="350" t="str" cm="1">
        <f t="array" ref="I27" xml:space="preserve"> IF($E27=0, "", INDEX($Q$5:$AG$54, $E27, I$1))</f>
        <v>au</v>
      </c>
      <c r="J27" s="350" t="str" cm="1">
        <f t="array" ref="J27" xml:space="preserve"> IF($E27=0, "", INDEX($Q$5:$AG$54, $E27, J$1))</f>
        <v>auh</v>
      </c>
      <c r="K27" s="362"/>
      <c r="L27" s="362">
        <f t="shared" si="2"/>
        <v>23</v>
      </c>
      <c r="M27" s="366" t="str">
        <f t="shared" si="1"/>
        <v/>
      </c>
      <c r="N27" s="25" t="str" cm="1">
        <f t="array" ref="N27">IF($L27=0, INDEX($AC$5:$AC$54,$Q27,1), "")</f>
        <v/>
      </c>
      <c r="O27" s="25" t="str" cm="1">
        <f t="array" ref="O27">IF($L27=0, INDEX($Y$5:$Y$54,$Q27,1), "")</f>
        <v/>
      </c>
      <c r="Q27" s="47">
        <v>23</v>
      </c>
      <c r="R27" s="380" t="s">
        <v>367</v>
      </c>
      <c r="S27" s="26" t="s">
        <v>368</v>
      </c>
      <c r="T27" s="27" t="s">
        <v>369</v>
      </c>
      <c r="U27" s="26" t="s">
        <v>370</v>
      </c>
      <c r="V27" s="27" t="s">
        <v>371</v>
      </c>
      <c r="W27" s="150" t="s">
        <v>368</v>
      </c>
      <c r="X27" s="27" t="s">
        <v>369</v>
      </c>
      <c r="Y27" s="26" t="s">
        <v>368</v>
      </c>
      <c r="Z27" s="27" t="s">
        <v>369</v>
      </c>
      <c r="AA27" s="26" t="s">
        <v>372</v>
      </c>
      <c r="AB27" s="27" t="s">
        <v>373</v>
      </c>
      <c r="AC27" s="26" t="s">
        <v>374</v>
      </c>
      <c r="AD27" s="27" t="s">
        <v>375</v>
      </c>
      <c r="AE27" s="26" t="s">
        <v>376</v>
      </c>
      <c r="AF27" s="44" t="s">
        <v>377</v>
      </c>
      <c r="AG27" s="39" t="s">
        <v>370</v>
      </c>
    </row>
    <row r="28" spans="2:33" ht="30">
      <c r="B28" s="47">
        <v>24</v>
      </c>
      <c r="C28" s="385" t="s">
        <v>553</v>
      </c>
      <c r="D28" s="389" t="s">
        <v>379</v>
      </c>
      <c r="E28" s="389">
        <f t="shared" si="0"/>
        <v>24</v>
      </c>
      <c r="F28" s="387" t="str" cm="1">
        <f t="array" ref="F28" xml:space="preserve"> IF($E28=0, "", INDEX($Q$5:$AG$54, $E28, F$1))</f>
        <v>迦</v>
      </c>
      <c r="G28" s="350" t="str" cm="1">
        <f t="array" ref="G28" xml:space="preserve"> IF($E28=0, "", INDEX($Q$5:$AG$54, $E28, G$1))</f>
        <v>ㄧㄚ</v>
      </c>
      <c r="H28" s="350" t="str" cm="1">
        <f t="array" ref="H28" xml:space="preserve"> IF($E28=0, "", INDEX($Q$5:$AG$54, $E28, H$1))</f>
        <v>ㄧㄚㆷ</v>
      </c>
      <c r="I28" s="350" t="str" cm="1">
        <f t="array" ref="I28" xml:space="preserve"> IF($E28=0, "", INDEX($Q$5:$AG$54, $E28, I$1))</f>
        <v>ia</v>
      </c>
      <c r="J28" s="350" t="str" cm="1">
        <f t="array" ref="J28" xml:space="preserve"> IF($E28=0, "", INDEX($Q$5:$AG$54, $E28, J$1))</f>
        <v>iah</v>
      </c>
      <c r="K28" s="362"/>
      <c r="L28" s="362">
        <f t="shared" si="2"/>
        <v>24</v>
      </c>
      <c r="M28" s="366" t="str">
        <f t="shared" si="1"/>
        <v/>
      </c>
      <c r="N28" s="25" t="str" cm="1">
        <f t="array" ref="N28">IF($L28=0, INDEX($AC$5:$AC$54,$Q28,1), "")</f>
        <v/>
      </c>
      <c r="O28" s="25" t="str" cm="1">
        <f t="array" ref="O28">IF($L28=0, INDEX($Y$5:$Y$54,$Q28,1), "")</f>
        <v/>
      </c>
      <c r="Q28" s="47">
        <v>24</v>
      </c>
      <c r="R28" s="380" t="s">
        <v>378</v>
      </c>
      <c r="S28" s="26" t="s">
        <v>379</v>
      </c>
      <c r="T28" s="27" t="s">
        <v>380</v>
      </c>
      <c r="U28" s="26" t="s">
        <v>379</v>
      </c>
      <c r="V28" s="27" t="s">
        <v>381</v>
      </c>
      <c r="W28" s="150" t="s">
        <v>379</v>
      </c>
      <c r="X28" s="27" t="s">
        <v>380</v>
      </c>
      <c r="Y28" s="26" t="s">
        <v>379</v>
      </c>
      <c r="Z28" s="27" t="s">
        <v>380</v>
      </c>
      <c r="AA28" s="26" t="s">
        <v>379</v>
      </c>
      <c r="AB28" s="27" t="s">
        <v>380</v>
      </c>
      <c r="AC28" s="26" t="s">
        <v>382</v>
      </c>
      <c r="AD28" s="27" t="s">
        <v>383</v>
      </c>
      <c r="AE28" s="26" t="s">
        <v>384</v>
      </c>
      <c r="AF28" s="44" t="s">
        <v>385</v>
      </c>
      <c r="AG28" s="33" t="s">
        <v>386</v>
      </c>
    </row>
    <row r="29" spans="2:33" ht="34">
      <c r="B29" s="47">
        <v>25</v>
      </c>
      <c r="C29" s="385" t="s">
        <v>2083</v>
      </c>
      <c r="D29" s="389" t="s">
        <v>389</v>
      </c>
      <c r="E29" s="389">
        <f t="shared" si="0"/>
        <v>25</v>
      </c>
      <c r="F29" s="387" t="str" cm="1">
        <f t="array" ref="F29" xml:space="preserve"> IF($E29=0, "", INDEX($Q$5:$AG$54, $E29, F$1))</f>
        <v>檜</v>
      </c>
      <c r="G29" s="350" t="str" cm="1">
        <f t="array" ref="G29" xml:space="preserve"> IF($E29=0, "", INDEX($Q$5:$AG$54, $E29, G$1))</f>
        <v>ㄨㆤ</v>
      </c>
      <c r="H29" s="350" t="str" cm="1">
        <f t="array" ref="H29" xml:space="preserve"> IF($E29=0, "", INDEX($Q$5:$AG$54, $E29, H$1))</f>
        <v>ㄨㆤㆷ</v>
      </c>
      <c r="I29" s="350" t="str" cm="1">
        <f t="array" ref="I29" xml:space="preserve"> IF($E29=0, "", INDEX($Q$5:$AG$54, $E29, I$1))</f>
        <v>ue</v>
      </c>
      <c r="J29" s="350" t="str" cm="1">
        <f t="array" ref="J29" xml:space="preserve"> IF($E29=0, "", INDEX($Q$5:$AG$54, $E29, J$1))</f>
        <v>ueh</v>
      </c>
      <c r="K29" s="362"/>
      <c r="L29" s="362">
        <f t="shared" si="2"/>
        <v>25</v>
      </c>
      <c r="M29" s="366" t="str">
        <f t="shared" si="1"/>
        <v/>
      </c>
      <c r="N29" s="25" t="str" cm="1">
        <f t="array" ref="N29">IF($L29=0, INDEX($AC$5:$AC$54,$Q29,1), "")</f>
        <v/>
      </c>
      <c r="O29" s="25" t="str" cm="1">
        <f t="array" ref="O29">IF($L29=0, INDEX($Y$5:$Y$54,$Q29,1), "")</f>
        <v/>
      </c>
      <c r="Q29" s="47">
        <v>25</v>
      </c>
      <c r="R29" s="380" t="s">
        <v>388</v>
      </c>
      <c r="S29" s="26" t="s">
        <v>389</v>
      </c>
      <c r="T29" s="40" t="s">
        <v>390</v>
      </c>
      <c r="U29" s="31" t="s">
        <v>389</v>
      </c>
      <c r="V29" s="40" t="s">
        <v>391</v>
      </c>
      <c r="W29" s="151" t="s">
        <v>261</v>
      </c>
      <c r="X29" s="40" t="s">
        <v>392</v>
      </c>
      <c r="Y29" s="31" t="s">
        <v>389</v>
      </c>
      <c r="Z29" s="40" t="s">
        <v>390</v>
      </c>
      <c r="AA29" s="31" t="s">
        <v>389</v>
      </c>
      <c r="AB29" s="40" t="s">
        <v>390</v>
      </c>
      <c r="AC29" s="247" t="s">
        <v>393</v>
      </c>
      <c r="AD29" s="248" t="s">
        <v>394</v>
      </c>
      <c r="AE29" s="31" t="s">
        <v>395</v>
      </c>
      <c r="AF29" s="45" t="s">
        <v>396</v>
      </c>
      <c r="AG29" s="28"/>
    </row>
    <row r="30" spans="2:33" ht="30">
      <c r="B30" s="47">
        <v>26</v>
      </c>
      <c r="C30" s="385" t="s">
        <v>2012</v>
      </c>
      <c r="D30" s="389" t="s">
        <v>424</v>
      </c>
      <c r="E30" s="389">
        <f t="shared" si="0"/>
        <v>28</v>
      </c>
      <c r="F30" s="387" t="str" cm="1">
        <f t="array" ref="F30" xml:space="preserve"> IF($E30=0, "", INDEX($Q$5:$AG$54, $E30, F$1))</f>
        <v>膠</v>
      </c>
      <c r="G30" s="350" t="str" cm="1">
        <f t="array" ref="G30" xml:space="preserve"> IF($E30=0, "", INDEX($Q$5:$AG$54, $E30, G$1))</f>
        <v>ㄚ</v>
      </c>
      <c r="H30" s="350" t="str" cm="1">
        <f t="array" ref="H30" xml:space="preserve"> IF($E30=0, "", INDEX($Q$5:$AG$54, $E30, H$1))</f>
        <v>ㄚㆷ</v>
      </c>
      <c r="I30" s="350" t="str" cm="1">
        <f t="array" ref="I30" xml:space="preserve"> IF($E30=0, "", INDEX($Q$5:$AG$54, $E30, I$1))</f>
        <v>a</v>
      </c>
      <c r="J30" s="350" t="str" cm="1">
        <f t="array" ref="J30" xml:space="preserve"> IF($E30=0, "", INDEX($Q$5:$AG$54, $E30, J$1))</f>
        <v>ah</v>
      </c>
      <c r="K30" s="362"/>
      <c r="L30" s="362">
        <f t="shared" si="2"/>
        <v>39</v>
      </c>
      <c r="M30" s="366" t="str">
        <f t="shared" si="1"/>
        <v/>
      </c>
      <c r="N30" s="25" t="str" cm="1">
        <f t="array" ref="N30">IF($L30=0, INDEX($AC$5:$AC$54,$Q30,1), "")</f>
        <v/>
      </c>
      <c r="O30" s="25" t="str" cm="1">
        <f t="array" ref="O30">IF($L30=0, INDEX($Y$5:$Y$54,$Q30,1), "")</f>
        <v/>
      </c>
      <c r="Q30" s="47">
        <v>26</v>
      </c>
      <c r="R30" s="380" t="s">
        <v>399</v>
      </c>
      <c r="S30" s="26" t="s">
        <v>400</v>
      </c>
      <c r="T30" s="40" t="s">
        <v>401</v>
      </c>
      <c r="U30" s="26" t="s">
        <v>402</v>
      </c>
      <c r="V30" s="27" t="s">
        <v>403</v>
      </c>
      <c r="W30" s="150" t="s">
        <v>404</v>
      </c>
      <c r="X30" s="27" t="s">
        <v>405</v>
      </c>
      <c r="Y30" s="26" t="s">
        <v>400</v>
      </c>
      <c r="Z30" s="27" t="s">
        <v>401</v>
      </c>
      <c r="AA30" s="26" t="s">
        <v>406</v>
      </c>
      <c r="AB30" s="27" t="s">
        <v>407</v>
      </c>
      <c r="AC30" s="26" t="s">
        <v>408</v>
      </c>
      <c r="AD30" s="27" t="s">
        <v>409</v>
      </c>
      <c r="AE30" s="26" t="s">
        <v>410</v>
      </c>
      <c r="AF30" s="44" t="s">
        <v>411</v>
      </c>
      <c r="AG30" s="28" t="s">
        <v>412</v>
      </c>
    </row>
    <row r="31" spans="2:33" ht="30">
      <c r="B31" s="47">
        <v>27</v>
      </c>
      <c r="C31" s="385" t="s">
        <v>3595</v>
      </c>
      <c r="D31" s="389" t="s">
        <v>415</v>
      </c>
      <c r="E31" s="389">
        <f t="shared" si="0"/>
        <v>27</v>
      </c>
      <c r="F31" s="387" t="str" cm="1">
        <f t="array" ref="F31" xml:space="preserve"> IF($E31=0, "", INDEX($Q$5:$AG$54, $E31, F$1))</f>
        <v>艍</v>
      </c>
      <c r="G31" s="350" t="str" cm="1">
        <f t="array" ref="G31" xml:space="preserve"> IF($E31=0, "", INDEX($Q$5:$AG$54, $E31, G$1))</f>
        <v>ㄨ</v>
      </c>
      <c r="H31" s="350" t="str" cm="1">
        <f t="array" ref="H31" xml:space="preserve"> IF($E31=0, "", INDEX($Q$5:$AG$54, $E31, H$1))</f>
        <v>ㄨㆷ</v>
      </c>
      <c r="I31" s="350" t="str" cm="1">
        <f t="array" ref="I31" xml:space="preserve"> IF($E31=0, "", INDEX($Q$5:$AG$54, $E31, I$1))</f>
        <v>u</v>
      </c>
      <c r="J31" s="350" t="str" cm="1">
        <f t="array" ref="J31" xml:space="preserve"> IF($E31=0, "", INDEX($Q$5:$AG$54, $E31, J$1))</f>
        <v>uh</v>
      </c>
      <c r="K31" s="362"/>
      <c r="L31" s="362">
        <f t="shared" si="2"/>
        <v>27</v>
      </c>
      <c r="M31" s="366" t="str">
        <f t="shared" si="1"/>
        <v/>
      </c>
      <c r="N31" s="25" t="str" cm="1">
        <f t="array" ref="N31">IF($L31=0, INDEX($AC$5:$AC$54,$Q31,1), "")</f>
        <v/>
      </c>
      <c r="O31" s="25" t="str" cm="1">
        <f t="array" ref="O31">IF($L31=0, INDEX($Y$5:$Y$54,$Q31,1), "")</f>
        <v/>
      </c>
      <c r="Q31" s="47">
        <v>27</v>
      </c>
      <c r="R31" s="380" t="s">
        <v>414</v>
      </c>
      <c r="S31" s="26" t="s">
        <v>415</v>
      </c>
      <c r="T31" s="27" t="s">
        <v>416</v>
      </c>
      <c r="U31" s="26" t="s">
        <v>415</v>
      </c>
      <c r="V31" s="27" t="s">
        <v>417</v>
      </c>
      <c r="W31" s="150" t="s">
        <v>415</v>
      </c>
      <c r="X31" s="27" t="s">
        <v>416</v>
      </c>
      <c r="Y31" s="26" t="s">
        <v>415</v>
      </c>
      <c r="Z31" s="27" t="s">
        <v>416</v>
      </c>
      <c r="AA31" s="26" t="s">
        <v>415</v>
      </c>
      <c r="AB31" s="27" t="s">
        <v>416</v>
      </c>
      <c r="AC31" s="26" t="s">
        <v>418</v>
      </c>
      <c r="AD31" s="27" t="s">
        <v>419</v>
      </c>
      <c r="AE31" s="26" t="s">
        <v>252</v>
      </c>
      <c r="AF31" s="44" t="s">
        <v>420</v>
      </c>
      <c r="AG31" s="33" t="s">
        <v>421</v>
      </c>
    </row>
    <row r="32" spans="2:33" ht="30">
      <c r="B32" s="47">
        <v>28</v>
      </c>
      <c r="C32" s="385" t="s">
        <v>3596</v>
      </c>
      <c r="D32" s="389" t="s">
        <v>649</v>
      </c>
      <c r="E32" s="389">
        <f t="shared" si="0"/>
        <v>47</v>
      </c>
      <c r="F32" s="387" t="str" cm="1">
        <f t="array" ref="F32" xml:space="preserve"> IF($E32=0, "", INDEX($Q$5:$AG$54, $E32, F$1))</f>
        <v>箴</v>
      </c>
      <c r="G32" s="350" t="str" cm="1">
        <f t="array" ref="G32" xml:space="preserve"> IF($E32=0, "", INDEX($Q$5:$AG$54, $E32, G$1))</f>
        <v>ㆱ</v>
      </c>
      <c r="H32" s="350" t="str" cm="1">
        <f t="array" ref="H32" xml:space="preserve"> IF($E32=0, "", INDEX($Q$5:$AG$54, $E32, H$1))</f>
        <v>ㆦㆴ</v>
      </c>
      <c r="I32" s="350" t="str" cm="1">
        <f t="array" ref="I32" xml:space="preserve"> IF($E32=0, "", INDEX($Q$5:$AG$54, $E32, I$1))</f>
        <v>om</v>
      </c>
      <c r="J32" s="350" t="str" cm="1">
        <f t="array" ref="J32" xml:space="preserve"> IF($E32=0, "", INDEX($Q$5:$AG$54, $E32, J$1))</f>
        <v>op</v>
      </c>
      <c r="K32" s="362"/>
      <c r="L32" s="362">
        <f t="shared" si="2"/>
        <v>26</v>
      </c>
      <c r="M32" s="366" t="str">
        <f t="shared" si="1"/>
        <v/>
      </c>
      <c r="N32" s="25" t="str" cm="1">
        <f t="array" ref="N32">IF($L32=0, INDEX($AC$5:$AC$54,$Q32,1), "")</f>
        <v/>
      </c>
      <c r="O32" s="25" t="str" cm="1">
        <f t="array" ref="O32">IF($L32=0, INDEX($Y$5:$Y$54,$Q32,1), "")</f>
        <v/>
      </c>
      <c r="Q32" s="47">
        <v>28</v>
      </c>
      <c r="R32" s="380" t="s">
        <v>398</v>
      </c>
      <c r="S32" s="26" t="s">
        <v>424</v>
      </c>
      <c r="T32" s="27" t="s">
        <v>425</v>
      </c>
      <c r="U32" s="26" t="s">
        <v>424</v>
      </c>
      <c r="V32" s="27" t="s">
        <v>426</v>
      </c>
      <c r="W32" s="150" t="s">
        <v>424</v>
      </c>
      <c r="X32" s="27" t="s">
        <v>425</v>
      </c>
      <c r="Y32" s="26" t="s">
        <v>424</v>
      </c>
      <c r="Z32" s="27" t="s">
        <v>425</v>
      </c>
      <c r="AA32" s="26" t="s">
        <v>424</v>
      </c>
      <c r="AB32" s="27" t="s">
        <v>425</v>
      </c>
      <c r="AC32" s="26" t="s">
        <v>427</v>
      </c>
      <c r="AD32" s="27" t="s">
        <v>428</v>
      </c>
      <c r="AE32" s="26" t="s">
        <v>424</v>
      </c>
      <c r="AF32" s="44" t="s">
        <v>429</v>
      </c>
      <c r="AG32" s="28"/>
    </row>
    <row r="33" spans="2:33" ht="30">
      <c r="B33" s="47">
        <v>29</v>
      </c>
      <c r="C33" s="385" t="s">
        <v>2014</v>
      </c>
      <c r="D33" s="389" t="s">
        <v>432</v>
      </c>
      <c r="E33" s="389">
        <f t="shared" si="0"/>
        <v>29</v>
      </c>
      <c r="F33" s="387" t="str" cm="1">
        <f t="array" ref="F33" xml:space="preserve"> IF($E33=0, "", INDEX($Q$5:$AG$54, $E33, F$1))</f>
        <v>居</v>
      </c>
      <c r="G33" s="350" t="str" cm="1">
        <f t="array" ref="G33" xml:space="preserve"> IF($E33=0, "", INDEX($Q$5:$AG$54, $E33, G$1))</f>
        <v>ㄧ</v>
      </c>
      <c r="H33" s="350" t="str" cm="1">
        <f t="array" ref="H33" xml:space="preserve"> IF($E33=0, "", INDEX($Q$5:$AG$54, $E33, H$1))</f>
        <v>ㄧㆷ</v>
      </c>
      <c r="I33" s="350" t="str" cm="1">
        <f t="array" ref="I33" xml:space="preserve"> IF($E33=0, "", INDEX($Q$5:$AG$54, $E33, I$1))</f>
        <v>i</v>
      </c>
      <c r="J33" s="350" t="str" cm="1">
        <f t="array" ref="J33" xml:space="preserve"> IF($E33=0, "", INDEX($Q$5:$AG$54, $E33, J$1))</f>
        <v>ih</v>
      </c>
      <c r="K33" s="362"/>
      <c r="L33" s="362">
        <f t="shared" si="2"/>
        <v>29</v>
      </c>
      <c r="M33" s="366" t="str">
        <f t="shared" si="1"/>
        <v/>
      </c>
      <c r="N33" s="25" t="str" cm="1">
        <f t="array" ref="N33">IF($L33=0, INDEX($AC$5:$AC$54,$Q33,1), "")</f>
        <v/>
      </c>
      <c r="O33" s="25" t="str" cm="1">
        <f t="array" ref="O33">IF($L33=0, INDEX($Y$5:$Y$54,$Q33,1), "")</f>
        <v/>
      </c>
      <c r="Q33" s="47">
        <v>29</v>
      </c>
      <c r="R33" s="380" t="s">
        <v>431</v>
      </c>
      <c r="S33" s="26" t="s">
        <v>432</v>
      </c>
      <c r="T33" s="27" t="s">
        <v>433</v>
      </c>
      <c r="U33" s="26" t="s">
        <v>432</v>
      </c>
      <c r="V33" s="27" t="s">
        <v>434</v>
      </c>
      <c r="W33" s="150" t="s">
        <v>432</v>
      </c>
      <c r="X33" s="27" t="s">
        <v>433</v>
      </c>
      <c r="Y33" s="26" t="s">
        <v>432</v>
      </c>
      <c r="Z33" s="27" t="s">
        <v>433</v>
      </c>
      <c r="AA33" s="26" t="s">
        <v>432</v>
      </c>
      <c r="AB33" s="27" t="s">
        <v>433</v>
      </c>
      <c r="AC33" s="26" t="s">
        <v>435</v>
      </c>
      <c r="AD33" s="27" t="s">
        <v>436</v>
      </c>
      <c r="AE33" s="26" t="s">
        <v>278</v>
      </c>
      <c r="AF33" s="44" t="s">
        <v>437</v>
      </c>
      <c r="AG33" s="28"/>
    </row>
    <row r="34" spans="2:33" ht="30">
      <c r="B34" s="47">
        <v>30</v>
      </c>
      <c r="C34" s="385" t="s">
        <v>438</v>
      </c>
      <c r="D34" s="389" t="s">
        <v>439</v>
      </c>
      <c r="E34" s="389">
        <f t="shared" si="0"/>
        <v>30</v>
      </c>
      <c r="F34" s="387" t="str" cm="1">
        <f t="array" ref="F34" xml:space="preserve"> IF($E34=0, "", INDEX($Q$5:$AG$54, $E34, F$1))</f>
        <v>丩</v>
      </c>
      <c r="G34" s="350" t="str" cm="1">
        <f t="array" ref="G34" xml:space="preserve"> IF($E34=0, "", INDEX($Q$5:$AG$54, $E34, G$1))</f>
        <v>ㄧㄨ</v>
      </c>
      <c r="H34" s="350" t="str" cm="1">
        <f t="array" ref="H34" xml:space="preserve"> IF($E34=0, "", INDEX($Q$5:$AG$54, $E34, H$1))</f>
        <v>ㄧㄨㆷ</v>
      </c>
      <c r="I34" s="350" t="str" cm="1">
        <f t="array" ref="I34" xml:space="preserve"> IF($E34=0, "", INDEX($Q$5:$AG$54, $E34, I$1))</f>
        <v>iu</v>
      </c>
      <c r="J34" s="350" t="str" cm="1">
        <f t="array" ref="J34" xml:space="preserve"> IF($E34=0, "", INDEX($Q$5:$AG$54, $E34, J$1))</f>
        <v>iuh</v>
      </c>
      <c r="K34" s="362"/>
      <c r="L34" s="362">
        <f t="shared" si="2"/>
        <v>30</v>
      </c>
      <c r="M34" s="366" t="str">
        <f t="shared" si="1"/>
        <v/>
      </c>
      <c r="N34" s="25" t="str" cm="1">
        <f t="array" ref="N34">IF($L34=0, INDEX($AC$5:$AC$54,$Q34,1), "")</f>
        <v/>
      </c>
      <c r="O34" s="25" t="str" cm="1">
        <f t="array" ref="O34">IF($L34=0, INDEX($Y$5:$Y$54,$Q34,1), "")</f>
        <v/>
      </c>
      <c r="Q34" s="47">
        <v>30</v>
      </c>
      <c r="R34" s="380" t="s">
        <v>438</v>
      </c>
      <c r="S34" s="26" t="s">
        <v>439</v>
      </c>
      <c r="T34" s="30" t="s">
        <v>440</v>
      </c>
      <c r="U34" s="26" t="s">
        <v>439</v>
      </c>
      <c r="V34" s="30" t="s">
        <v>441</v>
      </c>
      <c r="W34" s="153" t="s">
        <v>439</v>
      </c>
      <c r="X34" s="30" t="s">
        <v>442</v>
      </c>
      <c r="Y34" s="26" t="s">
        <v>439</v>
      </c>
      <c r="Z34" s="30" t="s">
        <v>440</v>
      </c>
      <c r="AA34" s="26" t="s">
        <v>439</v>
      </c>
      <c r="AB34" s="30" t="s">
        <v>442</v>
      </c>
      <c r="AC34" s="26" t="s">
        <v>443</v>
      </c>
      <c r="AD34" s="30" t="s">
        <v>444</v>
      </c>
      <c r="AE34" s="26" t="s">
        <v>445</v>
      </c>
      <c r="AF34" s="30"/>
      <c r="AG34" s="28"/>
    </row>
    <row r="35" spans="2:33" ht="34">
      <c r="B35" s="47">
        <v>31</v>
      </c>
      <c r="C35" s="386" t="s">
        <v>3597</v>
      </c>
      <c r="D35" s="389" t="s">
        <v>519</v>
      </c>
      <c r="E35" s="389">
        <f t="shared" si="0"/>
        <v>36</v>
      </c>
      <c r="F35" s="387" t="str" cm="1">
        <f t="array" ref="F35" xml:space="preserve"> IF($E35=0, "", INDEX($Q$5:$AG$54, $E35, F$1))</f>
        <v>驚</v>
      </c>
      <c r="G35" s="350" t="str" cm="1">
        <f t="array" ref="G35" xml:space="preserve"> IF($E35=0, "", INDEX($Q$5:$AG$54, $E35, G$1))</f>
        <v>ㄧㆩ</v>
      </c>
      <c r="H35" s="350" t="str" cm="1">
        <f t="array" ref="H35" xml:space="preserve"> IF($E35=0, "", INDEX($Q$5:$AG$54, $E35, H$1))</f>
        <v>ㄧㆩㆷ</v>
      </c>
      <c r="I35" s="350" t="str" cm="1">
        <f t="array" ref="I35" xml:space="preserve"> IF($E35=0, "", INDEX($Q$5:$AG$54, $E35, I$1))</f>
        <v>iann</v>
      </c>
      <c r="J35" s="350" t="str" cm="1">
        <f t="array" ref="J35" xml:space="preserve"> IF($E35=0, "", INDEX($Q$5:$AG$54, $E35, J$1))</f>
        <v>iannh</v>
      </c>
      <c r="K35" s="362"/>
      <c r="L35" s="362">
        <f t="shared" si="2"/>
        <v>41</v>
      </c>
      <c r="M35" s="366" t="str">
        <f t="shared" si="1"/>
        <v/>
      </c>
      <c r="N35" s="25" t="str" cm="1">
        <f t="array" ref="N35">IF($L35=0, INDEX($AC$5:$AC$54,$Q35,1), "")</f>
        <v/>
      </c>
      <c r="O35" s="25" t="str" cm="1">
        <f t="array" ref="O35">IF($L35=0, INDEX($Y$5:$Y$54,$Q35,1), "")</f>
        <v/>
      </c>
      <c r="Q35" s="47">
        <v>31</v>
      </c>
      <c r="R35" s="380" t="s">
        <v>448</v>
      </c>
      <c r="S35" s="26" t="s">
        <v>449</v>
      </c>
      <c r="T35" s="40" t="s">
        <v>450</v>
      </c>
      <c r="U35" s="26" t="s">
        <v>451</v>
      </c>
      <c r="V35" s="27" t="s">
        <v>452</v>
      </c>
      <c r="W35" s="150" t="s">
        <v>453</v>
      </c>
      <c r="X35" s="27" t="s">
        <v>454</v>
      </c>
      <c r="Y35" s="26" t="s">
        <v>449</v>
      </c>
      <c r="Z35" s="27" t="s">
        <v>450</v>
      </c>
      <c r="AA35" s="26" t="s">
        <v>455</v>
      </c>
      <c r="AB35" s="27" t="s">
        <v>456</v>
      </c>
      <c r="AC35" s="26" t="s">
        <v>457</v>
      </c>
      <c r="AD35" s="27" t="s">
        <v>458</v>
      </c>
      <c r="AE35" s="26" t="s">
        <v>459</v>
      </c>
      <c r="AF35" s="44" t="s">
        <v>460</v>
      </c>
      <c r="AG35" s="33" t="s">
        <v>461</v>
      </c>
    </row>
    <row r="36" spans="2:33" ht="30">
      <c r="B36" s="47">
        <v>32</v>
      </c>
      <c r="C36" s="385" t="s">
        <v>3598</v>
      </c>
      <c r="D36" s="389" t="s">
        <v>532</v>
      </c>
      <c r="E36" s="389">
        <f t="shared" si="0"/>
        <v>37</v>
      </c>
      <c r="F36" s="387" t="str" cm="1">
        <f t="array" ref="F36" xml:space="preserve"> IF($E36=0, "", INDEX($Q$5:$AG$54, $E36, F$1))</f>
        <v>官</v>
      </c>
      <c r="G36" s="350" t="str" cm="1">
        <f t="array" ref="G36" xml:space="preserve"> IF($E36=0, "", INDEX($Q$5:$AG$54, $E36, G$1))</f>
        <v>ㄨㆩ</v>
      </c>
      <c r="H36" s="350" t="str" cm="1">
        <f t="array" ref="H36" xml:space="preserve"> IF($E36=0, "", INDEX($Q$5:$AG$54, $E36, H$1))</f>
        <v>ㄨㆩㆷ</v>
      </c>
      <c r="I36" s="350" t="str" cm="1">
        <f t="array" ref="I36" xml:space="preserve"> IF($E36=0, "", INDEX($Q$5:$AG$54, $E36, I$1))</f>
        <v>uann</v>
      </c>
      <c r="J36" s="350" t="str" cm="1">
        <f t="array" ref="J36" xml:space="preserve"> IF($E36=0, "", INDEX($Q$5:$AG$54, $E36, J$1))</f>
        <v>uannh</v>
      </c>
      <c r="K36" s="362"/>
      <c r="L36" s="362">
        <f t="shared" si="2"/>
        <v>0</v>
      </c>
      <c r="M36" s="366" t="str">
        <f t="shared" si="1"/>
        <v>褌</v>
      </c>
      <c r="N36" s="25" t="str" cm="1">
        <f t="array" ref="N36">IF($L36=0, INDEX($AC$5:$AC$54,$Q36,1), "")</f>
        <v>ㄨㆪ</v>
      </c>
      <c r="O36" s="25" t="str" cm="1">
        <f t="array" ref="O36">IF($L36=0, INDEX($Y$5:$Y$54,$Q36,1), "")</f>
        <v>uinn</v>
      </c>
      <c r="Q36" s="47">
        <v>32</v>
      </c>
      <c r="R36" s="381" t="s">
        <v>464</v>
      </c>
      <c r="S36" s="26" t="s">
        <v>465</v>
      </c>
      <c r="T36" s="30" t="s">
        <v>466</v>
      </c>
      <c r="U36" s="31" t="s">
        <v>467</v>
      </c>
      <c r="V36" s="30" t="s">
        <v>468</v>
      </c>
      <c r="W36" s="153" t="s">
        <v>469</v>
      </c>
      <c r="X36" s="30" t="s">
        <v>470</v>
      </c>
      <c r="Y36" s="31" t="s">
        <v>465</v>
      </c>
      <c r="Z36" s="30" t="s">
        <v>466</v>
      </c>
      <c r="AA36" s="31" t="s">
        <v>471</v>
      </c>
      <c r="AB36" s="30" t="s">
        <v>472</v>
      </c>
      <c r="AC36" s="31" t="s">
        <v>473</v>
      </c>
      <c r="AD36" s="30" t="s">
        <v>474</v>
      </c>
      <c r="AE36" s="31" t="s">
        <v>475</v>
      </c>
      <c r="AF36" s="30"/>
      <c r="AG36" s="33" t="s">
        <v>476</v>
      </c>
    </row>
    <row r="37" spans="2:33" ht="34">
      <c r="B37" s="47">
        <v>33</v>
      </c>
      <c r="C37" s="386" t="s">
        <v>3599</v>
      </c>
      <c r="D37" s="389" t="s">
        <v>490</v>
      </c>
      <c r="E37" s="389">
        <f t="shared" ref="E37:E54" si="3" xml:space="preserve"> IFERROR( MATCH($D37,$Y$5:$Y$54,0), 0)</f>
        <v>34</v>
      </c>
      <c r="F37" s="387" t="str" cm="1">
        <f t="array" ref="F37" xml:space="preserve"> IF($E37=0, "", INDEX($Q$5:$AG$54, $E37, F$1))</f>
        <v>梔</v>
      </c>
      <c r="G37" s="350" t="str" cm="1">
        <f t="array" ref="G37" xml:space="preserve"> IF($E37=0, "", INDEX($Q$5:$AG$54, $E37, G$1))</f>
        <v>ㆪ</v>
      </c>
      <c r="H37" s="350" t="str" cm="1">
        <f t="array" ref="H37" xml:space="preserve"> IF($E37=0, "", INDEX($Q$5:$AG$54, $E37, H$1))</f>
        <v>ㆪ</v>
      </c>
      <c r="I37" s="350" t="str" cm="1">
        <f t="array" ref="I37" xml:space="preserve"> IF($E37=0, "", INDEX($Q$5:$AG$54, $E37, I$1))</f>
        <v>inn</v>
      </c>
      <c r="J37" s="350" t="str" cm="1">
        <f t="array" ref="J37" xml:space="preserve"> IF($E37=0, "", INDEX($Q$5:$AG$54, $E37, J$1))</f>
        <v>innh</v>
      </c>
      <c r="K37" s="362"/>
      <c r="L37" s="362">
        <f t="shared" si="2"/>
        <v>0</v>
      </c>
      <c r="M37" s="366" t="str">
        <f t="shared" ref="M37:M54" si="4" xml:space="preserve"> IF(L37=0, R37, "")</f>
        <v>茄</v>
      </c>
      <c r="N37" s="25" t="str" cm="1">
        <f t="array" ref="N37">IF($L37=0, INDEX($AC$5:$AC$54,$Q37,1), "")</f>
        <v>ㄧㄜ</v>
      </c>
      <c r="O37" s="25" t="str" cm="1">
        <f t="array" ref="O37">IF($L37=0, INDEX($Y$5:$Y$54,$Q37,1), "")</f>
        <v>io</v>
      </c>
      <c r="Q37" s="47">
        <v>33</v>
      </c>
      <c r="R37" s="380" t="s">
        <v>479</v>
      </c>
      <c r="S37" s="26" t="s">
        <v>480</v>
      </c>
      <c r="T37" s="27" t="s">
        <v>481</v>
      </c>
      <c r="U37" s="31" t="s">
        <v>480</v>
      </c>
      <c r="V37" s="27" t="s">
        <v>482</v>
      </c>
      <c r="W37" s="150" t="s">
        <v>480</v>
      </c>
      <c r="X37" s="27" t="s">
        <v>481</v>
      </c>
      <c r="Y37" s="26" t="s">
        <v>480</v>
      </c>
      <c r="Z37" s="27" t="s">
        <v>481</v>
      </c>
      <c r="AA37" s="26" t="s">
        <v>480</v>
      </c>
      <c r="AB37" s="27" t="s">
        <v>481</v>
      </c>
      <c r="AC37" s="26" t="s">
        <v>483</v>
      </c>
      <c r="AD37" s="27" t="s">
        <v>484</v>
      </c>
      <c r="AE37" s="26" t="s">
        <v>485</v>
      </c>
      <c r="AF37" s="44" t="s">
        <v>486</v>
      </c>
      <c r="AG37" s="28"/>
    </row>
    <row r="38" spans="2:33" ht="30">
      <c r="B38" s="47">
        <v>34</v>
      </c>
      <c r="C38" s="385" t="s">
        <v>3600</v>
      </c>
      <c r="D38" s="389" t="s">
        <v>79</v>
      </c>
      <c r="E38" s="389">
        <f t="shared" si="3"/>
        <v>38</v>
      </c>
      <c r="F38" s="387" t="str" cm="1">
        <f t="array" ref="F38" xml:space="preserve"> IF($E38=0, "", INDEX($Q$5:$AG$54, $E38, F$1))</f>
        <v>鋼</v>
      </c>
      <c r="G38" s="350" t="str" cm="1">
        <f t="array" ref="G38" xml:space="preserve"> IF($E38=0, "", INDEX($Q$5:$AG$54, $E38, G$1))</f>
        <v>ㆭ</v>
      </c>
      <c r="H38" s="350" t="str" cm="1">
        <f t="array" ref="H38" xml:space="preserve"> IF($E38=0, "", INDEX($Q$5:$AG$54, $E38, H$1))</f>
        <v>ㆭㆷ</v>
      </c>
      <c r="I38" s="350" t="str" cm="1">
        <f t="array" ref="I38" xml:space="preserve"> IF($E38=0, "", INDEX($Q$5:$AG$54, $E38, I$1))</f>
        <v>ng</v>
      </c>
      <c r="J38" s="350" t="str" cm="1">
        <f t="array" ref="J38" xml:space="preserve"> IF($E38=0, "", INDEX($Q$5:$AG$54, $E38, J$1))</f>
        <v>ngh</v>
      </c>
      <c r="K38" s="362"/>
      <c r="L38" s="362">
        <f t="shared" si="2"/>
        <v>33</v>
      </c>
      <c r="M38" s="366" t="str">
        <f t="shared" si="4"/>
        <v/>
      </c>
      <c r="N38" s="25" t="str" cm="1">
        <f t="array" ref="N38">IF($L38=0, INDEX($AC$5:$AC$54,$Q38,1), "")</f>
        <v/>
      </c>
      <c r="O38" s="25" t="str" cm="1">
        <f t="array" ref="O38">IF($L38=0, INDEX($Y$5:$Y$54,$Q38,1), "")</f>
        <v/>
      </c>
      <c r="Q38" s="47">
        <v>34</v>
      </c>
      <c r="R38" s="380" t="s">
        <v>489</v>
      </c>
      <c r="S38" s="26" t="s">
        <v>490</v>
      </c>
      <c r="T38" s="27" t="s">
        <v>491</v>
      </c>
      <c r="U38" s="26" t="s">
        <v>492</v>
      </c>
      <c r="V38" s="27" t="s">
        <v>493</v>
      </c>
      <c r="W38" s="150" t="s">
        <v>494</v>
      </c>
      <c r="X38" s="27" t="s">
        <v>495</v>
      </c>
      <c r="Y38" s="26" t="s">
        <v>490</v>
      </c>
      <c r="Z38" s="27" t="s">
        <v>491</v>
      </c>
      <c r="AA38" s="26" t="s">
        <v>496</v>
      </c>
      <c r="AB38" s="27" t="s">
        <v>497</v>
      </c>
      <c r="AC38" s="26" t="s">
        <v>498</v>
      </c>
      <c r="AD38" s="27" t="s">
        <v>498</v>
      </c>
      <c r="AE38" s="26" t="s">
        <v>499</v>
      </c>
      <c r="AF38" s="44" t="s">
        <v>500</v>
      </c>
      <c r="AG38" s="28"/>
    </row>
    <row r="39" spans="2:33" ht="34">
      <c r="B39" s="47">
        <v>35</v>
      </c>
      <c r="C39" s="385" t="s">
        <v>3601</v>
      </c>
      <c r="D39" s="389" t="s">
        <v>559</v>
      </c>
      <c r="E39" s="389">
        <f t="shared" si="3"/>
        <v>40</v>
      </c>
      <c r="F39" s="387" t="str" cm="1">
        <f t="array" ref="F39" xml:space="preserve"> IF($E39=0, "", INDEX($Q$5:$AG$54, $E39, F$1))</f>
        <v>閒</v>
      </c>
      <c r="G39" s="350" t="str" cm="1">
        <f t="array" ref="G39" xml:space="preserve"> IF($E39=0, "", INDEX($Q$5:$AG$54, $E39, G$1))</f>
        <v>ㆮ</v>
      </c>
      <c r="H39" s="350" t="str" cm="1">
        <f t="array" ref="H39" xml:space="preserve"> IF($E39=0, "", INDEX($Q$5:$AG$54, $E39, H$1))</f>
        <v>ㆮㆷ</v>
      </c>
      <c r="I39" s="350" t="str" cm="1">
        <f t="array" ref="I39" xml:space="preserve"> IF($E39=0, "", INDEX($Q$5:$AG$54, $E39, I$1))</f>
        <v>ainn</v>
      </c>
      <c r="J39" s="350" t="str" cm="1">
        <f t="array" ref="J39" xml:space="preserve"> IF($E39=0, "", INDEX($Q$5:$AG$54, $E39, J$1))</f>
        <v>ainnh</v>
      </c>
      <c r="K39" s="362"/>
      <c r="L39" s="362">
        <f t="shared" si="2"/>
        <v>37</v>
      </c>
      <c r="M39" s="366" t="str">
        <f t="shared" si="4"/>
        <v/>
      </c>
      <c r="N39" s="25" t="str" cm="1">
        <f t="array" ref="N39">IF($L39=0, INDEX($AC$5:$AC$54,$Q39,1), "")</f>
        <v/>
      </c>
      <c r="O39" s="25" t="str" cm="1">
        <f t="array" ref="O39">IF($L39=0, INDEX($Y$5:$Y$54,$Q39,1), "")</f>
        <v/>
      </c>
      <c r="Q39" s="47">
        <v>35</v>
      </c>
      <c r="R39" s="383" t="s">
        <v>503</v>
      </c>
      <c r="S39" s="26" t="s">
        <v>504</v>
      </c>
      <c r="T39" s="30" t="s">
        <v>505</v>
      </c>
      <c r="U39" s="43" t="s">
        <v>506</v>
      </c>
      <c r="V39" s="30" t="s">
        <v>507</v>
      </c>
      <c r="W39" s="153" t="s">
        <v>508</v>
      </c>
      <c r="X39" s="30" t="s">
        <v>509</v>
      </c>
      <c r="Y39" s="26" t="s">
        <v>504</v>
      </c>
      <c r="Z39" s="30" t="s">
        <v>505</v>
      </c>
      <c r="AA39" s="26" t="s">
        <v>510</v>
      </c>
      <c r="AB39" s="30" t="s">
        <v>511</v>
      </c>
      <c r="AC39" s="26" t="s">
        <v>512</v>
      </c>
      <c r="AD39" s="30" t="s">
        <v>513</v>
      </c>
      <c r="AE39" s="26" t="s">
        <v>514</v>
      </c>
      <c r="AF39" s="30"/>
      <c r="AG39" s="33" t="s">
        <v>515</v>
      </c>
    </row>
    <row r="40" spans="2:33" ht="30">
      <c r="B40" s="47">
        <v>36</v>
      </c>
      <c r="C40" s="385" t="s">
        <v>3602</v>
      </c>
      <c r="D40" s="389" t="s">
        <v>677</v>
      </c>
      <c r="E40" s="389">
        <f t="shared" si="3"/>
        <v>50</v>
      </c>
      <c r="F40" s="387" t="str" cm="1">
        <f t="array" ref="F40" xml:space="preserve"> IF($E40=0, "", INDEX($Q$5:$AG$54, $E40, F$1))</f>
        <v>牛</v>
      </c>
      <c r="G40" s="350" t="str" cm="1">
        <f t="array" ref="G40" xml:space="preserve"> IF($E40=0, "", INDEX($Q$5:$AG$54, $E40, G$1))</f>
        <v>ㄧㆫ</v>
      </c>
      <c r="H40" s="350" t="str" cm="1">
        <f t="array" ref="H40" xml:space="preserve"> IF($E40=0, "", INDEX($Q$5:$AG$54, $E40, H$1))</f>
        <v>ㄧㆫㆷ</v>
      </c>
      <c r="I40" s="350" t="str" cm="1">
        <f t="array" ref="I40" xml:space="preserve"> IF($E40=0, "", INDEX($Q$5:$AG$54, $E40, I$1))</f>
        <v>iunn</v>
      </c>
      <c r="J40" s="350" t="str" cm="1">
        <f t="array" ref="J40" xml:space="preserve"> IF($E40=0, "", INDEX($Q$5:$AG$54, $E40, J$1))</f>
        <v>iunnh</v>
      </c>
      <c r="K40" s="362"/>
      <c r="L40" s="362">
        <f t="shared" si="2"/>
        <v>31</v>
      </c>
      <c r="M40" s="366" t="str">
        <f t="shared" si="4"/>
        <v/>
      </c>
      <c r="N40" s="25" t="str" cm="1">
        <f t="array" ref="N40">IF($L40=0, INDEX($AC$5:$AC$54,$Q40,1), "")</f>
        <v/>
      </c>
      <c r="O40" s="25" t="str" cm="1">
        <f t="array" ref="O40">IF($L40=0, INDEX($Y$5:$Y$54,$Q40,1), "")</f>
        <v/>
      </c>
      <c r="Q40" s="47">
        <v>36</v>
      </c>
      <c r="R40" s="380" t="s">
        <v>518</v>
      </c>
      <c r="S40" s="26" t="s">
        <v>519</v>
      </c>
      <c r="T40" s="111" t="s">
        <v>520</v>
      </c>
      <c r="U40" s="26" t="s">
        <v>521</v>
      </c>
      <c r="V40" s="111" t="s">
        <v>522</v>
      </c>
      <c r="W40" s="150" t="s">
        <v>523</v>
      </c>
      <c r="X40" s="111" t="s">
        <v>524</v>
      </c>
      <c r="Y40" s="26" t="s">
        <v>519</v>
      </c>
      <c r="Z40" s="111" t="s">
        <v>520</v>
      </c>
      <c r="AA40" s="26" t="s">
        <v>525</v>
      </c>
      <c r="AB40" s="111" t="s">
        <v>526</v>
      </c>
      <c r="AC40" s="26" t="s">
        <v>527</v>
      </c>
      <c r="AD40" s="111" t="s">
        <v>528</v>
      </c>
      <c r="AE40" s="26" t="s">
        <v>529</v>
      </c>
      <c r="AF40" s="111"/>
      <c r="AG40" s="33" t="s">
        <v>530</v>
      </c>
    </row>
    <row r="41" spans="2:33" ht="30">
      <c r="B41" s="47">
        <v>37</v>
      </c>
      <c r="C41" s="385" t="s">
        <v>3603</v>
      </c>
      <c r="D41" s="389" t="s">
        <v>504</v>
      </c>
      <c r="E41" s="389">
        <f t="shared" si="3"/>
        <v>35</v>
      </c>
      <c r="F41" s="387" t="str" cm="1">
        <f t="array" ref="F41" xml:space="preserve"> IF($E41=0, "", INDEX($Q$5:$AG$54, $E41, F$1))</f>
        <v>薑</v>
      </c>
      <c r="G41" s="350" t="str" cm="1">
        <f t="array" ref="G41" xml:space="preserve"> IF($E41=0, "", INDEX($Q$5:$AG$54, $E41, G$1))</f>
        <v>ㄧㆧ</v>
      </c>
      <c r="H41" s="350" t="str" cm="1">
        <f t="array" ref="H41" xml:space="preserve"> IF($E41=0, "", INDEX($Q$5:$AG$54, $E41, H$1))</f>
        <v>ㄧㆧㆷ</v>
      </c>
      <c r="I41" s="350" t="str" cm="1">
        <f t="array" ref="I41" xml:space="preserve"> IF($E41=0, "", INDEX($Q$5:$AG$54, $E41, I$1))</f>
        <v>ionn</v>
      </c>
      <c r="J41" s="350" t="str" cm="1">
        <f t="array" ref="J41" xml:space="preserve"> IF($E41=0, "", INDEX($Q$5:$AG$54, $E41, J$1))</f>
        <v>ionnh</v>
      </c>
      <c r="K41" s="362"/>
      <c r="L41" s="362">
        <f t="shared" si="2"/>
        <v>32</v>
      </c>
      <c r="M41" s="366" t="str">
        <f t="shared" si="4"/>
        <v/>
      </c>
      <c r="N41" s="25" t="str" cm="1">
        <f t="array" ref="N41">IF($L41=0, INDEX($AC$5:$AC$54,$Q41,1), "")</f>
        <v/>
      </c>
      <c r="O41" s="25" t="str" cm="1">
        <f t="array" ref="O41">IF($L41=0, INDEX($Y$5:$Y$54,$Q41,1), "")</f>
        <v/>
      </c>
      <c r="Q41" s="47">
        <v>37</v>
      </c>
      <c r="R41" s="380" t="s">
        <v>463</v>
      </c>
      <c r="S41" s="26" t="s">
        <v>532</v>
      </c>
      <c r="T41" s="30" t="s">
        <v>533</v>
      </c>
      <c r="U41" s="26" t="s">
        <v>534</v>
      </c>
      <c r="V41" s="30" t="s">
        <v>535</v>
      </c>
      <c r="W41" s="153" t="s">
        <v>536</v>
      </c>
      <c r="X41" s="30" t="s">
        <v>537</v>
      </c>
      <c r="Y41" s="26" t="s">
        <v>532</v>
      </c>
      <c r="Z41" s="30" t="s">
        <v>533</v>
      </c>
      <c r="AA41" s="26" t="s">
        <v>538</v>
      </c>
      <c r="AB41" s="30" t="s">
        <v>539</v>
      </c>
      <c r="AC41" s="26" t="s">
        <v>540</v>
      </c>
      <c r="AD41" s="30" t="s">
        <v>541</v>
      </c>
      <c r="AE41" s="26" t="s">
        <v>542</v>
      </c>
      <c r="AF41" s="30"/>
      <c r="AG41" s="28"/>
    </row>
    <row r="42" spans="2:33" ht="30">
      <c r="B42" s="47">
        <v>38</v>
      </c>
      <c r="C42" s="385" t="s">
        <v>3604</v>
      </c>
      <c r="D42" s="389" t="s">
        <v>64</v>
      </c>
      <c r="E42" s="389">
        <f t="shared" si="3"/>
        <v>42</v>
      </c>
      <c r="F42" s="387" t="str" cm="1">
        <f t="array" ref="F42" xml:space="preserve"> IF($E42=0, "", INDEX($Q$5:$AG$54, $E42, F$1))</f>
        <v>姆</v>
      </c>
      <c r="G42" s="350" t="str" cm="1">
        <f t="array" ref="G42" xml:space="preserve"> IF($E42=0, "", INDEX($Q$5:$AG$54, $E42, G$1))</f>
        <v>ㆬ</v>
      </c>
      <c r="H42" s="350" t="str" cm="1">
        <f t="array" ref="H42" xml:space="preserve"> IF($E42=0, "", INDEX($Q$5:$AG$54, $E42, H$1))</f>
        <v>ㆬㆷ</v>
      </c>
      <c r="I42" s="350" t="str" cm="1">
        <f t="array" ref="I42" xml:space="preserve"> IF($E42=0, "", INDEX($Q$5:$AG$54, $E42, I$1))</f>
        <v>m</v>
      </c>
      <c r="J42" s="350" t="str" cm="1">
        <f t="array" ref="J42" xml:space="preserve"> IF($E42=0, "", INDEX($Q$5:$AG$54, $E42, J$1))</f>
        <v>mh</v>
      </c>
      <c r="K42" s="362"/>
      <c r="L42" s="362">
        <f t="shared" si="2"/>
        <v>34</v>
      </c>
      <c r="M42" s="366" t="str">
        <f t="shared" si="4"/>
        <v/>
      </c>
      <c r="N42" s="25" t="str" cm="1">
        <f t="array" ref="N42">IF($L42=0, INDEX($AC$5:$AC$54,$Q42,1), "")</f>
        <v/>
      </c>
      <c r="O42" s="25" t="str" cm="1">
        <f t="array" ref="O42">IF($L42=0, INDEX($Y$5:$Y$54,$Q42,1), "")</f>
        <v/>
      </c>
      <c r="Q42" s="47">
        <v>38</v>
      </c>
      <c r="R42" s="381" t="s">
        <v>488</v>
      </c>
      <c r="S42" s="26" t="s">
        <v>79</v>
      </c>
      <c r="T42" s="111" t="s">
        <v>545</v>
      </c>
      <c r="U42" s="26" t="s">
        <v>546</v>
      </c>
      <c r="V42" s="111" t="s">
        <v>547</v>
      </c>
      <c r="W42" s="150" t="s">
        <v>79</v>
      </c>
      <c r="X42" s="111" t="s">
        <v>548</v>
      </c>
      <c r="Y42" s="26" t="s">
        <v>79</v>
      </c>
      <c r="Z42" s="111" t="s">
        <v>545</v>
      </c>
      <c r="AA42" s="26" t="s">
        <v>79</v>
      </c>
      <c r="AB42" s="111" t="s">
        <v>548</v>
      </c>
      <c r="AC42" s="26" t="s">
        <v>549</v>
      </c>
      <c r="AD42" s="111" t="s">
        <v>550</v>
      </c>
      <c r="AE42" s="26" t="s">
        <v>551</v>
      </c>
      <c r="AF42" s="30"/>
      <c r="AG42" s="28"/>
    </row>
    <row r="43" spans="2:33" ht="30">
      <c r="B43" s="47">
        <v>39</v>
      </c>
      <c r="C43" s="385" t="s">
        <v>3605</v>
      </c>
      <c r="D43" s="389" t="s">
        <v>400</v>
      </c>
      <c r="E43" s="389">
        <f t="shared" si="3"/>
        <v>26</v>
      </c>
      <c r="F43" s="387" t="str" cm="1">
        <f t="array" ref="F43" xml:space="preserve"> IF($E43=0, "", INDEX($Q$5:$AG$54, $E43, F$1))</f>
        <v>監</v>
      </c>
      <c r="G43" s="350" t="str" cm="1">
        <f t="array" ref="G43" xml:space="preserve"> IF($E43=0, "", INDEX($Q$5:$AG$54, $E43, G$1))</f>
        <v>ㆩ</v>
      </c>
      <c r="H43" s="350" t="str" cm="1">
        <f t="array" ref="H43" xml:space="preserve"> IF($E43=0, "", INDEX($Q$5:$AG$54, $E43, H$1))</f>
        <v>ㆩㆷ</v>
      </c>
      <c r="I43" s="350" t="str" cm="1">
        <f t="array" ref="I43" xml:space="preserve"> IF($E43=0, "", INDEX($Q$5:$AG$54, $E43, I$1))</f>
        <v>ann</v>
      </c>
      <c r="J43" s="350" t="str" cm="1">
        <f t="array" ref="J43" xml:space="preserve"> IF($E43=0, "", INDEX($Q$5:$AG$54, $E43, J$1))</f>
        <v>annh</v>
      </c>
      <c r="K43" s="362"/>
      <c r="L43" s="362">
        <f t="shared" si="2"/>
        <v>13</v>
      </c>
      <c r="M43" s="366" t="str">
        <f t="shared" si="4"/>
        <v/>
      </c>
      <c r="N43" s="25" t="str" cm="1">
        <f t="array" ref="N43">IF($L43=0, INDEX($AC$5:$AC$54,$Q43,1), "")</f>
        <v/>
      </c>
      <c r="O43" s="25" t="str" cm="1">
        <f t="array" ref="O43">IF($L43=0, INDEX($Y$5:$Y$54,$Q43,1), "")</f>
        <v/>
      </c>
      <c r="Q43" s="47">
        <v>39</v>
      </c>
      <c r="R43" s="382" t="s">
        <v>553</v>
      </c>
      <c r="S43" s="26" t="s">
        <v>278</v>
      </c>
      <c r="T43" s="27" t="s">
        <v>189</v>
      </c>
      <c r="U43" s="26" t="s">
        <v>278</v>
      </c>
      <c r="V43" s="27" t="s">
        <v>554</v>
      </c>
      <c r="W43" s="150" t="s">
        <v>278</v>
      </c>
      <c r="X43" s="27" t="s">
        <v>189</v>
      </c>
      <c r="Y43" s="26" t="s">
        <v>278</v>
      </c>
      <c r="Z43" s="27" t="s">
        <v>189</v>
      </c>
      <c r="AA43" s="26" t="s">
        <v>278</v>
      </c>
      <c r="AB43" s="27" t="s">
        <v>189</v>
      </c>
      <c r="AC43" s="26" t="s">
        <v>555</v>
      </c>
      <c r="AD43" s="27" t="s">
        <v>556</v>
      </c>
      <c r="AE43" s="26" t="s">
        <v>197</v>
      </c>
      <c r="AF43" s="44" t="s">
        <v>198</v>
      </c>
      <c r="AG43" s="28"/>
    </row>
    <row r="44" spans="2:33" ht="34">
      <c r="B44" s="47">
        <v>40</v>
      </c>
      <c r="C44" s="385" t="s">
        <v>3606</v>
      </c>
      <c r="D44" s="389" t="s">
        <v>610</v>
      </c>
      <c r="E44" s="389">
        <f t="shared" si="3"/>
        <v>44</v>
      </c>
      <c r="F44" s="387" t="str" cm="1">
        <f t="array" ref="F44" xml:space="preserve"> IF($E44=0, "", INDEX($Q$5:$AG$54, $E44, F$1))</f>
        <v>閂</v>
      </c>
      <c r="G44" s="350" t="str" cm="1">
        <f t="array" ref="G44" xml:space="preserve"> IF($E44=0, "", INDEX($Q$5:$AG$54, $E44, G$1))</f>
        <v>ㄨㆮ</v>
      </c>
      <c r="H44" s="350" t="str" cm="1">
        <f t="array" ref="H44" xml:space="preserve"> IF($E44=0, "", INDEX($Q$5:$AG$54, $E44, H$1))</f>
        <v>ㄨㆮㆷ</v>
      </c>
      <c r="I44" s="350" t="str" cm="1">
        <f t="array" ref="I44" xml:space="preserve"> IF($E44=0, "", INDEX($Q$5:$AG$54, $E44, I$1))</f>
        <v>uainn</v>
      </c>
      <c r="J44" s="350" t="str" cm="1">
        <f t="array" ref="J44" xml:space="preserve"> IF($E44=0, "", INDEX($Q$5:$AG$54, $E44, J$1))</f>
        <v>uainnh</v>
      </c>
      <c r="K44" s="362"/>
      <c r="L44" s="362">
        <f t="shared" si="2"/>
        <v>35</v>
      </c>
      <c r="M44" s="366" t="str">
        <f t="shared" si="4"/>
        <v/>
      </c>
      <c r="N44" s="25" t="str" cm="1">
        <f t="array" ref="N44">IF($L44=0, INDEX($AC$5:$AC$54,$Q44,1), "")</f>
        <v/>
      </c>
      <c r="O44" s="25" t="str" cm="1">
        <f t="array" ref="O44">IF($L44=0, INDEX($Y$5:$Y$54,$Q44,1), "")</f>
        <v/>
      </c>
      <c r="Q44" s="47">
        <v>40</v>
      </c>
      <c r="R44" s="384" t="s">
        <v>502</v>
      </c>
      <c r="S44" s="26" t="s">
        <v>559</v>
      </c>
      <c r="T44" s="30" t="s">
        <v>560</v>
      </c>
      <c r="U44" s="26" t="s">
        <v>561</v>
      </c>
      <c r="V44" s="30" t="s">
        <v>562</v>
      </c>
      <c r="W44" s="153" t="s">
        <v>563</v>
      </c>
      <c r="X44" s="30" t="s">
        <v>564</v>
      </c>
      <c r="Y44" s="26" t="s">
        <v>559</v>
      </c>
      <c r="Z44" s="30" t="s">
        <v>560</v>
      </c>
      <c r="AA44" s="26" t="s">
        <v>565</v>
      </c>
      <c r="AB44" s="30" t="s">
        <v>566</v>
      </c>
      <c r="AC44" s="26" t="s">
        <v>567</v>
      </c>
      <c r="AD44" s="30" t="s">
        <v>568</v>
      </c>
      <c r="AE44" s="26" t="s">
        <v>569</v>
      </c>
      <c r="AF44" s="30"/>
      <c r="AG44" s="33" t="s">
        <v>570</v>
      </c>
    </row>
    <row r="45" spans="2:33" ht="30">
      <c r="B45" s="47">
        <v>41</v>
      </c>
      <c r="C45" s="385" t="s">
        <v>3607</v>
      </c>
      <c r="D45" s="389" t="s">
        <v>449</v>
      </c>
      <c r="E45" s="389">
        <f t="shared" si="3"/>
        <v>31</v>
      </c>
      <c r="F45" s="387" t="str" cm="1">
        <f t="array" ref="F45" xml:space="preserve"> IF($E45=0, "", INDEX($Q$5:$AG$54, $E45, F$1))</f>
        <v>更</v>
      </c>
      <c r="G45" s="350" t="str" cm="1">
        <f t="array" ref="G45" xml:space="preserve"> IF($E45=0, "", INDEX($Q$5:$AG$54, $E45, G$1))</f>
        <v>ㆥ</v>
      </c>
      <c r="H45" s="350" t="str" cm="1">
        <f t="array" ref="H45" xml:space="preserve"> IF($E45=0, "", INDEX($Q$5:$AG$54, $E45, H$1))</f>
        <v>ㆥㆷ</v>
      </c>
      <c r="I45" s="350" t="str" cm="1">
        <f t="array" ref="I45" xml:space="preserve"> IF($E45=0, "", INDEX($Q$5:$AG$54, $E45, I$1))</f>
        <v>enn</v>
      </c>
      <c r="J45" s="350" t="str" cm="1">
        <f t="array" ref="J45" xml:space="preserve"> IF($E45=0, "", INDEX($Q$5:$AG$54, $E45, J$1))</f>
        <v>ennh</v>
      </c>
      <c r="K45" s="362"/>
      <c r="L45" s="362">
        <f t="shared" si="2"/>
        <v>42</v>
      </c>
      <c r="M45" s="366" t="str">
        <f t="shared" si="4"/>
        <v/>
      </c>
      <c r="N45" s="25" t="str" cm="1">
        <f t="array" ref="N45">IF($L45=0, INDEX($AC$5:$AC$54,$Q45,1), "")</f>
        <v/>
      </c>
      <c r="O45" s="25" t="str" cm="1">
        <f t="array" ref="O45">IF($L45=0, INDEX($Y$5:$Y$54,$Q45,1), "")</f>
        <v/>
      </c>
      <c r="Q45" s="47">
        <v>41</v>
      </c>
      <c r="R45" s="382" t="s">
        <v>572</v>
      </c>
      <c r="S45" s="26" t="s">
        <v>573</v>
      </c>
      <c r="T45" s="30" t="s">
        <v>574</v>
      </c>
      <c r="U45" s="26" t="s">
        <v>575</v>
      </c>
      <c r="V45" s="30" t="s">
        <v>576</v>
      </c>
      <c r="W45" s="153" t="s">
        <v>577</v>
      </c>
      <c r="X45" s="30" t="s">
        <v>578</v>
      </c>
      <c r="Y45" s="26" t="s">
        <v>579</v>
      </c>
      <c r="Z45" s="30" t="s">
        <v>580</v>
      </c>
      <c r="AA45" s="26" t="s">
        <v>581</v>
      </c>
      <c r="AB45" s="30" t="s">
        <v>582</v>
      </c>
      <c r="AC45" s="26" t="s">
        <v>583</v>
      </c>
      <c r="AD45" s="30" t="s">
        <v>584</v>
      </c>
      <c r="AE45" s="26" t="s">
        <v>585</v>
      </c>
      <c r="AF45" s="30"/>
      <c r="AG45" s="33" t="s">
        <v>586</v>
      </c>
    </row>
    <row r="46" spans="2:33" ht="30">
      <c r="B46" s="47">
        <v>42</v>
      </c>
      <c r="C46" s="385" t="s">
        <v>3608</v>
      </c>
      <c r="D46" s="389" t="s">
        <v>573</v>
      </c>
      <c r="E46" s="389">
        <f t="shared" si="3"/>
        <v>41</v>
      </c>
      <c r="F46" s="387" t="str" cm="1">
        <f t="array" ref="F46" xml:space="preserve"> IF($E46=0, "", INDEX($Q$5:$AG$54, $E46, F$1))</f>
        <v>姑</v>
      </c>
      <c r="G46" s="350" t="str" cm="1">
        <f t="array" ref="G46" xml:space="preserve"> IF($E46=0, "", INDEX($Q$5:$AG$54, $E46, G$1))</f>
        <v>ㆧ</v>
      </c>
      <c r="H46" s="350" t="str" cm="1">
        <f t="array" ref="H46" xml:space="preserve"> IF($E46=0, "", INDEX($Q$5:$AG$54, $E46, H$1))</f>
        <v>ㆧㆷ</v>
      </c>
      <c r="I46" s="350" t="str" cm="1">
        <f t="array" ref="I46" xml:space="preserve"> IF($E46=0, "", INDEX($Q$5:$AG$54, $E46, I$1))</f>
        <v>onn</v>
      </c>
      <c r="J46" s="350" t="str" cm="1">
        <f t="array" ref="J46" xml:space="preserve"> IF($E46=0, "", INDEX($Q$5:$AG$54, $E46, J$1))</f>
        <v>onnh</v>
      </c>
      <c r="K46" s="362"/>
      <c r="L46" s="362">
        <f t="shared" si="2"/>
        <v>38</v>
      </c>
      <c r="M46" s="366" t="str">
        <f t="shared" si="4"/>
        <v/>
      </c>
      <c r="N46" s="25" t="str" cm="1">
        <f t="array" ref="N46">IF($L46=0, INDEX($AC$5:$AC$54,$Q46,1), "")</f>
        <v/>
      </c>
      <c r="O46" s="25" t="str" cm="1">
        <f t="array" ref="O46">IF($L46=0, INDEX($Y$5:$Y$54,$Q46,1), "")</f>
        <v/>
      </c>
      <c r="Q46" s="47">
        <v>42</v>
      </c>
      <c r="R46" s="381" t="s">
        <v>544</v>
      </c>
      <c r="S46" s="26" t="s">
        <v>64</v>
      </c>
      <c r="T46" s="111" t="s">
        <v>588</v>
      </c>
      <c r="U46" s="26" t="s">
        <v>589</v>
      </c>
      <c r="V46" s="111" t="s">
        <v>590</v>
      </c>
      <c r="W46" s="150" t="s">
        <v>64</v>
      </c>
      <c r="X46" s="111" t="s">
        <v>591</v>
      </c>
      <c r="Y46" s="26" t="s">
        <v>64</v>
      </c>
      <c r="Z46" s="111" t="s">
        <v>588</v>
      </c>
      <c r="AA46" s="26" t="s">
        <v>64</v>
      </c>
      <c r="AB46" s="111" t="s">
        <v>591</v>
      </c>
      <c r="AC46" s="26" t="s">
        <v>592</v>
      </c>
      <c r="AD46" s="111" t="s">
        <v>593</v>
      </c>
      <c r="AE46" s="31" t="s">
        <v>594</v>
      </c>
      <c r="AF46" s="30"/>
      <c r="AG46" s="28"/>
    </row>
    <row r="47" spans="2:33" ht="30">
      <c r="B47" s="47">
        <v>43</v>
      </c>
      <c r="C47" s="385" t="s">
        <v>3609</v>
      </c>
      <c r="D47" s="389" t="s">
        <v>657</v>
      </c>
      <c r="E47" s="389">
        <f t="shared" si="3"/>
        <v>48</v>
      </c>
      <c r="F47" s="387" t="str" cm="1">
        <f t="array" ref="F47" xml:space="preserve"> IF($E47=0, "", INDEX($Q$5:$AG$54, $E47, F$1))</f>
        <v>爻</v>
      </c>
      <c r="G47" s="350" t="str" cm="1">
        <f t="array" ref="G47" xml:space="preserve"> IF($E47=0, "", INDEX($Q$5:$AG$54, $E47, G$1))</f>
        <v>ㆯ</v>
      </c>
      <c r="H47" s="350" t="str" cm="1">
        <f t="array" ref="H47" xml:space="preserve"> IF($E47=0, "", INDEX($Q$5:$AG$54, $E47, H$1))</f>
        <v>ㆯㆷ</v>
      </c>
      <c r="I47" s="350" t="str" cm="1">
        <f t="array" ref="I47" xml:space="preserve"> IF($E47=0, "", INDEX($Q$5:$AG$54, $E47, I$1))</f>
        <v>aunn</v>
      </c>
      <c r="J47" s="350" t="str" cm="1">
        <f t="array" ref="J47" xml:space="preserve"> IF($E47=0, "", INDEX($Q$5:$AG$54, $E47, J$1))</f>
        <v>aunnh</v>
      </c>
      <c r="K47" s="362"/>
      <c r="L47" s="362">
        <f t="shared" si="2"/>
        <v>0</v>
      </c>
      <c r="M47" s="366" t="str">
        <f t="shared" si="4"/>
        <v>光</v>
      </c>
      <c r="N47" s="25" t="str" cm="1">
        <f t="array" ref="N47">IF($L47=0, INDEX($AC$5:$AC$54,$Q47,1), "")</f>
        <v>ㄨㄤ</v>
      </c>
      <c r="O47" s="25" t="str" cm="1">
        <f t="array" ref="O47">IF($L47=0, INDEX($Y$5:$Y$54,$Q47,1), "")</f>
        <v>uang</v>
      </c>
      <c r="Q47" s="47">
        <v>43</v>
      </c>
      <c r="R47" s="380" t="s">
        <v>597</v>
      </c>
      <c r="S47" s="26" t="s">
        <v>598</v>
      </c>
      <c r="T47" s="41" t="s">
        <v>599</v>
      </c>
      <c r="U47" s="31" t="s">
        <v>600</v>
      </c>
      <c r="V47" s="40" t="s">
        <v>601</v>
      </c>
      <c r="W47" s="151" t="s">
        <v>602</v>
      </c>
      <c r="X47" s="40" t="s">
        <v>603</v>
      </c>
      <c r="Y47" s="26" t="s">
        <v>598</v>
      </c>
      <c r="Z47" s="27" t="s">
        <v>599</v>
      </c>
      <c r="AA47" s="26" t="s">
        <v>598</v>
      </c>
      <c r="AB47" s="27" t="s">
        <v>599</v>
      </c>
      <c r="AC47" s="26" t="s">
        <v>604</v>
      </c>
      <c r="AD47" s="27" t="s">
        <v>605</v>
      </c>
      <c r="AE47" s="26" t="s">
        <v>606</v>
      </c>
      <c r="AF47" s="44" t="s">
        <v>607</v>
      </c>
      <c r="AG47" s="28"/>
    </row>
    <row r="48" spans="2:33" ht="30">
      <c r="B48" s="47">
        <v>44</v>
      </c>
      <c r="C48" s="385" t="s">
        <v>3610</v>
      </c>
      <c r="D48" s="389" t="s">
        <v>637</v>
      </c>
      <c r="E48" s="389">
        <f t="shared" si="3"/>
        <v>46</v>
      </c>
      <c r="F48" s="387" t="str" cm="1">
        <f t="array" ref="F48" xml:space="preserve"> IF($E48=0, "", INDEX($Q$5:$AG$54, $E48, F$1))</f>
        <v>嘄</v>
      </c>
      <c r="G48" s="350" t="str" cm="1">
        <f t="array" ref="G48" xml:space="preserve"> IF($E48=0, "", INDEX($Q$5:$AG$54, $E48, G$1))</f>
        <v>ㄧㆯ</v>
      </c>
      <c r="H48" s="350" t="str" cm="1">
        <f t="array" ref="H48" xml:space="preserve"> IF($E48=0, "", INDEX($Q$5:$AG$54, $E48, H$1))</f>
        <v>ㄧㆯㆷ</v>
      </c>
      <c r="I48" s="350" t="str" cm="1">
        <f t="array" ref="I48" xml:space="preserve"> IF($E48=0, "", INDEX($Q$5:$AG$54, $E48, I$1))</f>
        <v>iaunn</v>
      </c>
      <c r="J48" s="350" t="str" cm="1">
        <f t="array" ref="J48" xml:space="preserve"> IF($E48=0, "", INDEX($Q$5:$AG$54, $E48, J$1))</f>
        <v>iaunnh</v>
      </c>
      <c r="K48" s="362"/>
      <c r="L48" s="362">
        <f t="shared" si="2"/>
        <v>40</v>
      </c>
      <c r="M48" s="366" t="str">
        <f t="shared" si="4"/>
        <v/>
      </c>
      <c r="N48" s="25" t="str" cm="1">
        <f t="array" ref="N48">IF($L48=0, INDEX($AC$5:$AC$54,$Q48,1), "")</f>
        <v/>
      </c>
      <c r="O48" s="25" t="str" cm="1">
        <f t="array" ref="O48">IF($L48=0, INDEX($Y$5:$Y$54,$Q48,1), "")</f>
        <v/>
      </c>
      <c r="Q48" s="47">
        <v>44</v>
      </c>
      <c r="R48" s="381" t="s">
        <v>558</v>
      </c>
      <c r="S48" s="26" t="s">
        <v>610</v>
      </c>
      <c r="T48" s="41" t="s">
        <v>611</v>
      </c>
      <c r="U48" s="31" t="s">
        <v>612</v>
      </c>
      <c r="V48" s="40" t="s">
        <v>613</v>
      </c>
      <c r="W48" s="151" t="s">
        <v>614</v>
      </c>
      <c r="X48" s="40" t="s">
        <v>615</v>
      </c>
      <c r="Y48" s="31" t="s">
        <v>610</v>
      </c>
      <c r="Z48" s="27" t="s">
        <v>611</v>
      </c>
      <c r="AA48" s="26" t="s">
        <v>616</v>
      </c>
      <c r="AB48" s="27" t="s">
        <v>617</v>
      </c>
      <c r="AC48" s="31" t="s">
        <v>618</v>
      </c>
      <c r="AD48" s="40" t="s">
        <v>619</v>
      </c>
      <c r="AE48" s="31" t="s">
        <v>620</v>
      </c>
      <c r="AF48" s="45" t="s">
        <v>621</v>
      </c>
      <c r="AG48" s="33" t="s">
        <v>622</v>
      </c>
    </row>
    <row r="49" spans="2:33" ht="30">
      <c r="B49" s="47">
        <v>45</v>
      </c>
      <c r="C49" s="385"/>
      <c r="D49" s="389"/>
      <c r="E49" s="389">
        <f t="shared" si="3"/>
        <v>0</v>
      </c>
      <c r="F49" s="387" t="str" cm="1">
        <f t="array" ref="F49" xml:space="preserve"> IF($E49=0, "", INDEX($Q$5:$AG$54, $E49, F$1))</f>
        <v/>
      </c>
      <c r="G49" s="350" t="str" cm="1">
        <f t="array" ref="G49" xml:space="preserve"> IF($E49=0, "", INDEX($Q$5:$AG$54, $E49, G$1))</f>
        <v/>
      </c>
      <c r="H49" s="350" t="str" cm="1">
        <f t="array" ref="H49" xml:space="preserve"> IF($E49=0, "", INDEX($Q$5:$AG$54, $E49, H$1))</f>
        <v/>
      </c>
      <c r="I49" s="350" t="str" cm="1">
        <f t="array" ref="I49" xml:space="preserve"> IF($E49=0, "", INDEX($Q$5:$AG$54, $E49, I$1))</f>
        <v/>
      </c>
      <c r="J49" s="350" t="str" cm="1">
        <f t="array" ref="J49" xml:space="preserve"> IF($E49=0, "", INDEX($Q$5:$AG$54, $E49, J$1))</f>
        <v/>
      </c>
      <c r="K49" s="362"/>
      <c r="L49" s="362">
        <f t="shared" si="2"/>
        <v>0</v>
      </c>
      <c r="M49" s="366" t="str">
        <f t="shared" si="4"/>
        <v>糜</v>
      </c>
      <c r="N49" s="25" t="str" cm="1">
        <f t="array" ref="N49">IF($L49=0, INDEX($AC$5:$AC$54,$Q49,1), "")</f>
        <v>ㄨㆥ</v>
      </c>
      <c r="O49" s="25" t="str" cm="1">
        <f t="array" ref="O49">IF($L49=0, INDEX($Y$5:$Y$54,$Q49,1), "")</f>
        <v>uenn</v>
      </c>
      <c r="Q49" s="47">
        <v>45</v>
      </c>
      <c r="R49" s="381" t="s">
        <v>623</v>
      </c>
      <c r="S49" s="26" t="s">
        <v>624</v>
      </c>
      <c r="T49" s="30" t="s">
        <v>625</v>
      </c>
      <c r="U49" s="31" t="s">
        <v>626</v>
      </c>
      <c r="V49" s="30" t="s">
        <v>627</v>
      </c>
      <c r="W49" s="153" t="s">
        <v>628</v>
      </c>
      <c r="X49" s="30" t="s">
        <v>629</v>
      </c>
      <c r="Y49" s="31" t="s">
        <v>624</v>
      </c>
      <c r="Z49" s="30" t="s">
        <v>625</v>
      </c>
      <c r="AA49" s="31" t="s">
        <v>630</v>
      </c>
      <c r="AB49" s="30" t="s">
        <v>631</v>
      </c>
      <c r="AC49" s="31" t="s">
        <v>632</v>
      </c>
      <c r="AD49" s="30" t="s">
        <v>633</v>
      </c>
      <c r="AE49" s="31" t="s">
        <v>634</v>
      </c>
      <c r="AF49" s="30"/>
      <c r="AG49" s="42" t="s">
        <v>635</v>
      </c>
    </row>
    <row r="50" spans="2:33" ht="30">
      <c r="B50" s="47">
        <v>46</v>
      </c>
      <c r="C50" s="385"/>
      <c r="D50" s="389"/>
      <c r="E50" s="389">
        <f t="shared" si="3"/>
        <v>0</v>
      </c>
      <c r="F50" s="387" t="str" cm="1">
        <f t="array" ref="F50" xml:space="preserve"> IF($E50=0, "", INDEX($Q$5:$AG$54, $E50, F$1))</f>
        <v/>
      </c>
      <c r="G50" s="350" t="str" cm="1">
        <f t="array" ref="G50" xml:space="preserve"> IF($E50=0, "", INDEX($Q$5:$AG$54, $E50, G$1))</f>
        <v/>
      </c>
      <c r="H50" s="350" t="str" cm="1">
        <f t="array" ref="H50" xml:space="preserve"> IF($E50=0, "", INDEX($Q$5:$AG$54, $E50, H$1))</f>
        <v/>
      </c>
      <c r="I50" s="350" t="str" cm="1">
        <f t="array" ref="I50" xml:space="preserve"> IF($E50=0, "", INDEX($Q$5:$AG$54, $E50, I$1))</f>
        <v/>
      </c>
      <c r="J50" s="350" t="str" cm="1">
        <f t="array" ref="J50" xml:space="preserve"> IF($E50=0, "", INDEX($Q$5:$AG$54, $E50, J$1))</f>
        <v/>
      </c>
      <c r="K50" s="362"/>
      <c r="L50" s="362">
        <f t="shared" si="2"/>
        <v>44</v>
      </c>
      <c r="M50" s="366" t="str">
        <f t="shared" si="4"/>
        <v/>
      </c>
      <c r="N50" s="25" t="str" cm="1">
        <f t="array" ref="N50">IF($L50=0, INDEX($AC$5:$AC$54,$Q50,1), "")</f>
        <v/>
      </c>
      <c r="O50" s="25" t="str" cm="1">
        <f t="array" ref="O50">IF($L50=0, INDEX($Y$5:$Y$54,$Q50,1), "")</f>
        <v/>
      </c>
      <c r="Q50" s="47">
        <v>46</v>
      </c>
      <c r="R50" s="380" t="s">
        <v>636</v>
      </c>
      <c r="S50" s="26" t="s">
        <v>637</v>
      </c>
      <c r="T50" s="41" t="s">
        <v>638</v>
      </c>
      <c r="U50" s="26" t="s">
        <v>639</v>
      </c>
      <c r="V50" s="27" t="s">
        <v>640</v>
      </c>
      <c r="W50" s="150" t="s">
        <v>641</v>
      </c>
      <c r="X50" s="27" t="s">
        <v>642</v>
      </c>
      <c r="Y50" s="26" t="s">
        <v>637</v>
      </c>
      <c r="Z50" s="27" t="s">
        <v>638</v>
      </c>
      <c r="AA50" s="26" t="s">
        <v>643</v>
      </c>
      <c r="AB50" s="27" t="s">
        <v>644</v>
      </c>
      <c r="AC50" s="26" t="s">
        <v>645</v>
      </c>
      <c r="AD50" s="27" t="s">
        <v>646</v>
      </c>
      <c r="AE50" s="26" t="s">
        <v>647</v>
      </c>
      <c r="AF50" s="44" t="s">
        <v>648</v>
      </c>
      <c r="AG50" s="28"/>
    </row>
    <row r="51" spans="2:33" ht="34">
      <c r="B51" s="47">
        <v>47</v>
      </c>
      <c r="C51" s="385"/>
      <c r="D51" s="389"/>
      <c r="E51" s="389">
        <f t="shared" si="3"/>
        <v>0</v>
      </c>
      <c r="F51" s="387" t="str" cm="1">
        <f t="array" ref="F51" xml:space="preserve"> IF($E51=0, "", INDEX($Q$5:$AG$54, $E51, F$1))</f>
        <v/>
      </c>
      <c r="G51" s="350" t="str" cm="1">
        <f t="array" ref="G51" xml:space="preserve"> IF($E51=0, "", INDEX($Q$5:$AG$54, $E51, G$1))</f>
        <v/>
      </c>
      <c r="H51" s="350" t="str" cm="1">
        <f t="array" ref="H51" xml:space="preserve"> IF($E51=0, "", INDEX($Q$5:$AG$54, $E51, H$1))</f>
        <v/>
      </c>
      <c r="I51" s="350" t="str" cm="1">
        <f t="array" ref="I51" xml:space="preserve"> IF($E51=0, "", INDEX($Q$5:$AG$54, $E51, I$1))</f>
        <v/>
      </c>
      <c r="J51" s="350" t="str" cm="1">
        <f t="array" ref="J51" xml:space="preserve"> IF($E51=0, "", INDEX($Q$5:$AG$54, $E51, J$1))</f>
        <v/>
      </c>
      <c r="K51" s="362"/>
      <c r="L51" s="362">
        <f t="shared" si="2"/>
        <v>28</v>
      </c>
      <c r="M51" s="366" t="str">
        <f t="shared" si="4"/>
        <v/>
      </c>
      <c r="N51" s="25" t="str" cm="1">
        <f t="array" ref="N51">IF($L51=0, INDEX($AC$5:$AC$54,$Q51,1), "")</f>
        <v/>
      </c>
      <c r="O51" s="25" t="str" cm="1">
        <f t="array" ref="O51">IF($L51=0, INDEX($Y$5:$Y$54,$Q51,1), "")</f>
        <v/>
      </c>
      <c r="Q51" s="47">
        <v>47</v>
      </c>
      <c r="R51" s="384" t="s">
        <v>423</v>
      </c>
      <c r="S51" s="26" t="s">
        <v>649</v>
      </c>
      <c r="T51" s="41" t="s">
        <v>650</v>
      </c>
      <c r="U51" s="31" t="s">
        <v>651</v>
      </c>
      <c r="V51" s="27" t="s">
        <v>652</v>
      </c>
      <c r="W51" s="150" t="s">
        <v>649</v>
      </c>
      <c r="X51" s="27" t="s">
        <v>650</v>
      </c>
      <c r="Y51" s="26" t="s">
        <v>649</v>
      </c>
      <c r="Z51" s="27" t="s">
        <v>650</v>
      </c>
      <c r="AA51" s="26" t="s">
        <v>649</v>
      </c>
      <c r="AB51" s="27" t="s">
        <v>650</v>
      </c>
      <c r="AC51" s="26" t="s">
        <v>653</v>
      </c>
      <c r="AD51" s="27" t="s">
        <v>654</v>
      </c>
      <c r="AE51" s="26" t="s">
        <v>649</v>
      </c>
      <c r="AF51" s="44" t="s">
        <v>655</v>
      </c>
      <c r="AG51" s="28"/>
    </row>
    <row r="52" spans="2:33" ht="30">
      <c r="B52" s="47">
        <v>48</v>
      </c>
      <c r="C52" s="385"/>
      <c r="D52" s="389"/>
      <c r="E52" s="389">
        <f t="shared" si="3"/>
        <v>0</v>
      </c>
      <c r="F52" s="387" t="str" cm="1">
        <f t="array" ref="F52" xml:space="preserve"> IF($E52=0, "", INDEX($Q$5:$AG$54, $E52, F$1))</f>
        <v/>
      </c>
      <c r="G52" s="350" t="str" cm="1">
        <f t="array" ref="G52" xml:space="preserve"> IF($E52=0, "", INDEX($Q$5:$AG$54, $E52, G$1))</f>
        <v/>
      </c>
      <c r="H52" s="350" t="str" cm="1">
        <f t="array" ref="H52" xml:space="preserve"> IF($E52=0, "", INDEX($Q$5:$AG$54, $E52, H$1))</f>
        <v/>
      </c>
      <c r="I52" s="350" t="str" cm="1">
        <f t="array" ref="I52" xml:space="preserve"> IF($E52=0, "", INDEX($Q$5:$AG$54, $E52, I$1))</f>
        <v/>
      </c>
      <c r="J52" s="350" t="str" cm="1">
        <f t="array" ref="J52" xml:space="preserve"> IF($E52=0, "", INDEX($Q$5:$AG$54, $E52, J$1))</f>
        <v/>
      </c>
      <c r="K52" s="362"/>
      <c r="L52" s="362">
        <f t="shared" si="2"/>
        <v>43</v>
      </c>
      <c r="M52" s="366" t="str">
        <f t="shared" si="4"/>
        <v/>
      </c>
      <c r="N52" s="25" t="str" cm="1">
        <f t="array" ref="N52">IF($L52=0, INDEX($AC$5:$AC$54,$Q52,1), "")</f>
        <v/>
      </c>
      <c r="O52" s="25" t="str" cm="1">
        <f t="array" ref="O52">IF($L52=0, INDEX($Y$5:$Y$54,$Q52,1), "")</f>
        <v/>
      </c>
      <c r="Q52" s="47">
        <v>48</v>
      </c>
      <c r="R52" s="380" t="s">
        <v>656</v>
      </c>
      <c r="S52" s="26" t="s">
        <v>657</v>
      </c>
      <c r="T52" s="30" t="s">
        <v>658</v>
      </c>
      <c r="U52" s="26" t="s">
        <v>659</v>
      </c>
      <c r="V52" s="30" t="s">
        <v>660</v>
      </c>
      <c r="W52" s="150" t="s">
        <v>661</v>
      </c>
      <c r="X52" s="30" t="s">
        <v>662</v>
      </c>
      <c r="Y52" s="150" t="s">
        <v>657</v>
      </c>
      <c r="Z52" s="30" t="s">
        <v>658</v>
      </c>
      <c r="AA52" s="26" t="s">
        <v>663</v>
      </c>
      <c r="AB52" s="30" t="s">
        <v>664</v>
      </c>
      <c r="AC52" s="26" t="s">
        <v>665</v>
      </c>
      <c r="AD52" s="30" t="s">
        <v>666</v>
      </c>
      <c r="AE52" s="26" t="s">
        <v>667</v>
      </c>
      <c r="AF52" s="30"/>
      <c r="AG52" s="28"/>
    </row>
    <row r="53" spans="2:33" ht="30">
      <c r="B53" s="47">
        <v>49</v>
      </c>
      <c r="C53" s="385"/>
      <c r="D53" s="389"/>
      <c r="E53" s="389">
        <f t="shared" si="3"/>
        <v>0</v>
      </c>
      <c r="F53" s="387" t="str" cm="1">
        <f t="array" ref="F53" xml:space="preserve"> IF($E53=0, "", INDEX($Q$5:$AG$54, $E53, F$1))</f>
        <v/>
      </c>
      <c r="G53" s="350" t="str" cm="1">
        <f t="array" ref="G53" xml:space="preserve"> IF($E53=0, "", INDEX($Q$5:$AG$54, $E53, G$1))</f>
        <v/>
      </c>
      <c r="H53" s="350" t="str" cm="1">
        <f t="array" ref="H53" xml:space="preserve"> IF($E53=0, "", INDEX($Q$5:$AG$54, $E53, H$1))</f>
        <v/>
      </c>
      <c r="I53" s="350" t="str" cm="1">
        <f t="array" ref="I53" xml:space="preserve"> IF($E53=0, "", INDEX($Q$5:$AG$54, $E53, I$1))</f>
        <v/>
      </c>
      <c r="J53" s="350" t="str" cm="1">
        <f t="array" ref="J53" xml:space="preserve"> IF($E53=0, "", INDEX($Q$5:$AG$54, $E53, J$1))</f>
        <v/>
      </c>
      <c r="K53" s="362"/>
      <c r="L53" s="362">
        <f t="shared" si="2"/>
        <v>42</v>
      </c>
      <c r="M53" s="366" t="str">
        <f t="shared" si="4"/>
        <v/>
      </c>
      <c r="N53" s="25" t="str" cm="1">
        <f t="array" ref="N53">IF($L53=0, INDEX($AC$5:$AC$54,$Q53,1), "")</f>
        <v/>
      </c>
      <c r="O53" s="25" t="str" cm="1">
        <f t="array" ref="O53">IF($L53=0, INDEX($Y$5:$Y$54,$Q53,1), "")</f>
        <v/>
      </c>
      <c r="Q53" s="47">
        <v>49</v>
      </c>
      <c r="R53" s="382" t="s">
        <v>668</v>
      </c>
      <c r="S53" s="26" t="s">
        <v>573</v>
      </c>
      <c r="T53" s="41" t="s">
        <v>574</v>
      </c>
      <c r="U53" s="26" t="s">
        <v>669</v>
      </c>
      <c r="V53" s="27" t="s">
        <v>670</v>
      </c>
      <c r="W53" s="150" t="s">
        <v>577</v>
      </c>
      <c r="X53" s="27" t="s">
        <v>578</v>
      </c>
      <c r="Y53" s="361" t="s">
        <v>579</v>
      </c>
      <c r="Z53" s="361" t="s">
        <v>580</v>
      </c>
      <c r="AA53" s="26" t="s">
        <v>671</v>
      </c>
      <c r="AB53" s="27" t="s">
        <v>672</v>
      </c>
      <c r="AC53" s="26" t="s">
        <v>583</v>
      </c>
      <c r="AD53" s="27" t="s">
        <v>584</v>
      </c>
      <c r="AE53" s="26" t="s">
        <v>673</v>
      </c>
      <c r="AF53" s="44" t="s">
        <v>674</v>
      </c>
      <c r="AG53" s="33" t="s">
        <v>675</v>
      </c>
    </row>
    <row r="54" spans="2:33" ht="30">
      <c r="B54" s="47">
        <v>50</v>
      </c>
      <c r="C54" s="385"/>
      <c r="D54" s="389"/>
      <c r="E54" s="389">
        <f t="shared" si="3"/>
        <v>0</v>
      </c>
      <c r="F54" s="387" t="str" cm="1">
        <f t="array" ref="F54" xml:space="preserve"> IF($E54=0, "", INDEX($Q$5:$AG$54, $E54, F$1))</f>
        <v/>
      </c>
      <c r="G54" s="350" t="str" cm="1">
        <f t="array" ref="G54" xml:space="preserve"> IF($E54=0, "", INDEX($Q$5:$AG$54, $E54, G$1))</f>
        <v/>
      </c>
      <c r="H54" s="350" t="str" cm="1">
        <f t="array" ref="H54" xml:space="preserve"> IF($E54=0, "", INDEX($Q$5:$AG$54, $E54, H$1))</f>
        <v/>
      </c>
      <c r="I54" s="350" t="str" cm="1">
        <f t="array" ref="I54" xml:space="preserve"> IF($E54=0, "", INDEX($Q$5:$AG$54, $E54, I$1))</f>
        <v/>
      </c>
      <c r="J54" s="350" t="str" cm="1">
        <f t="array" ref="J54" xml:space="preserve"> IF($E54=0, "", INDEX($Q$5:$AG$54, $E54, J$1))</f>
        <v/>
      </c>
      <c r="K54" s="362"/>
      <c r="L54" s="362">
        <f t="shared" si="2"/>
        <v>36</v>
      </c>
      <c r="M54" s="366" t="str">
        <f t="shared" si="4"/>
        <v/>
      </c>
      <c r="N54" s="25" t="str" cm="1">
        <f t="array" ref="N54">IF($L54=0, INDEX($AC$5:$AC$54,$Q54,1), "")</f>
        <v/>
      </c>
      <c r="O54" s="25" t="str" cm="1">
        <f t="array" ref="O54">IF($L54=0, INDEX($Y$5:$Y$54,$Q54,1), "")</f>
        <v/>
      </c>
      <c r="Q54" s="47">
        <v>50</v>
      </c>
      <c r="R54" s="382" t="s">
        <v>676</v>
      </c>
      <c r="S54" s="26" t="s">
        <v>677</v>
      </c>
      <c r="T54" s="111" t="s">
        <v>678</v>
      </c>
      <c r="U54" s="26" t="s">
        <v>679</v>
      </c>
      <c r="V54" s="111" t="s">
        <v>680</v>
      </c>
      <c r="W54" s="150" t="s">
        <v>681</v>
      </c>
      <c r="X54" s="111" t="s">
        <v>682</v>
      </c>
      <c r="Y54" s="26" t="s">
        <v>677</v>
      </c>
      <c r="Z54" s="111" t="s">
        <v>678</v>
      </c>
      <c r="AA54" s="26" t="s">
        <v>683</v>
      </c>
      <c r="AB54" s="111" t="s">
        <v>684</v>
      </c>
      <c r="AC54" s="26" t="s">
        <v>685</v>
      </c>
      <c r="AD54" s="111" t="s">
        <v>686</v>
      </c>
      <c r="AE54" s="26" t="s">
        <v>687</v>
      </c>
      <c r="AF54" s="46"/>
      <c r="AG54" s="28"/>
    </row>
  </sheetData>
  <phoneticPr fontId="1" type="noConversion"/>
  <conditionalFormatting sqref="C5:C54">
    <cfRule type="expression" dxfId="16" priority="1">
      <formula>$C5&lt;&gt;$F5</formula>
    </cfRule>
  </conditionalFormatting>
  <conditionalFormatting sqref="F5:J54">
    <cfRule type="expression" dxfId="15" priority="2">
      <formula>AND($C5&lt;&gt;"", $E5=0)</formula>
    </cfRule>
  </conditionalFormatting>
  <conditionalFormatting sqref="M5:O54">
    <cfRule type="cellIs" dxfId="14" priority="4" operator="notEqual">
      <formula>""</formula>
    </cfRule>
  </conditionalFormatting>
  <dataValidations count="1">
    <dataValidation allowBlank="1" showInputMessage="1" showErrorMessage="1" sqref="K1:K1048576 P1:P1048576" xr:uid="{51F03FE8-E923-964C-BBD9-266045865F46}"/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2B09-AE37-7340-88F9-A72995A14748}">
  <sheetPr>
    <tabColor rgb="FF00B0F0"/>
  </sheetPr>
  <dimension ref="B1:AF54"/>
  <sheetViews>
    <sheetView showGridLines="0" topLeftCell="A3" workbookViewId="0">
      <pane xSplit="7" ySplit="2" topLeftCell="H5" activePane="bottomRight" state="frozen"/>
      <selection pane="topRight" activeCell="H3" sqref="H3"/>
      <selection pane="bottomLeft" activeCell="A5" sqref="A5"/>
      <selection pane="bottomRight" activeCell="F54" sqref="F5:F54"/>
    </sheetView>
  </sheetViews>
  <sheetFormatPr baseColWidth="10" defaultColWidth="10.8984375" defaultRowHeight="25.5" customHeight="1" outlineLevelRow="1" outlineLevelCol="1"/>
  <cols>
    <col min="1" max="1" width="2.69921875" customWidth="1"/>
    <col min="2" max="2" width="5" style="6" customWidth="1"/>
    <col min="3" max="7" width="10.296875" style="6" customWidth="1"/>
    <col min="8" max="9" width="9.8984375" style="6" customWidth="1" outlineLevel="1"/>
    <col min="10" max="10" width="5.09765625" style="6" customWidth="1"/>
    <col min="11" max="11" width="9.8984375" style="6" hidden="1" customWidth="1" outlineLevel="1"/>
    <col min="12" max="12" width="12.796875" style="363" customWidth="1" collapsed="1"/>
    <col min="13" max="13" width="12.796875" style="363" customWidth="1"/>
    <col min="14" max="14" width="12.796875" style="6" customWidth="1"/>
    <col min="15" max="15" width="4.8984375" customWidth="1"/>
    <col min="16" max="16" width="5" style="6" customWidth="1"/>
    <col min="17" max="17" width="12.09765625" style="6" customWidth="1"/>
    <col min="18" max="23" width="12.59765625" style="6" hidden="1" customWidth="1" outlineLevel="1"/>
    <col min="24" max="24" width="12.59765625" customWidth="1" collapsed="1"/>
    <col min="25" max="25" width="12.59765625" customWidth="1"/>
    <col min="26" max="27" width="12.59765625" hidden="1" customWidth="1" outlineLevel="1"/>
    <col min="28" max="28" width="12.59765625" customWidth="1" collapsed="1"/>
    <col min="29" max="29" width="12.59765625" customWidth="1"/>
    <col min="30" max="30" width="10.69921875" style="6" hidden="1" customWidth="1" outlineLevel="1"/>
    <col min="31" max="31" width="10.69921875" hidden="1" customWidth="1" outlineLevel="1"/>
    <col min="32" max="32" width="53" customWidth="1" collapsed="1"/>
  </cols>
  <sheetData>
    <row r="1" spans="2:32" ht="22" hidden="1" outlineLevel="1">
      <c r="D1" s="6">
        <v>13</v>
      </c>
      <c r="E1" s="6">
        <v>14</v>
      </c>
      <c r="F1" s="6">
        <v>9</v>
      </c>
      <c r="G1" s="6">
        <v>10</v>
      </c>
    </row>
    <row r="2" spans="2:32" s="51" customFormat="1" ht="22" hidden="1" outlineLevel="1">
      <c r="B2" s="102" cm="1">
        <f t="array" ref="B2">COLUMN()-COLUMN(($A:$A))</f>
        <v>1</v>
      </c>
      <c r="C2" s="102"/>
      <c r="D2" s="102"/>
      <c r="E2" s="102"/>
      <c r="F2" s="102"/>
      <c r="G2" s="102"/>
      <c r="H2" s="102"/>
      <c r="I2" s="102"/>
      <c r="J2" s="128"/>
      <c r="K2" s="102"/>
      <c r="L2" s="364"/>
      <c r="M2" s="364"/>
      <c r="N2" s="102"/>
      <c r="P2" s="102" cm="1">
        <f t="array" ref="P2">COLUMN()-COLUMN(($O:$O))</f>
        <v>1</v>
      </c>
      <c r="Q2" s="102" cm="1">
        <f t="array" ref="Q2">COLUMN()-COLUMN(($O:$O))</f>
        <v>2</v>
      </c>
      <c r="R2" s="102" cm="1">
        <f t="array" ref="R2">COLUMN()-COLUMN(($O:$O))</f>
        <v>3</v>
      </c>
      <c r="S2" s="102" cm="1">
        <f t="array" ref="S2">COLUMN()-COLUMN(($O:$O))</f>
        <v>4</v>
      </c>
      <c r="T2" s="102" cm="1">
        <f t="array" ref="T2">COLUMN()-COLUMN(($O:$O))</f>
        <v>5</v>
      </c>
      <c r="U2" s="102" cm="1">
        <f t="array" ref="U2">COLUMN()-COLUMN(($O:$O))</f>
        <v>6</v>
      </c>
      <c r="V2" s="102" cm="1">
        <f t="array" ref="V2">COLUMN()-COLUMN(($O:$O))</f>
        <v>7</v>
      </c>
      <c r="W2" s="102" cm="1">
        <f t="array" ref="W2">COLUMN()-COLUMN(($O:$O))</f>
        <v>8</v>
      </c>
      <c r="X2" s="102" cm="1">
        <f t="array" ref="X2">COLUMN()-COLUMN(($O:$O))</f>
        <v>9</v>
      </c>
      <c r="Y2" s="102" cm="1">
        <f t="array" ref="Y2">COLUMN()-COLUMN(($O:$O))</f>
        <v>10</v>
      </c>
      <c r="Z2" s="102" cm="1">
        <f t="array" ref="Z2">COLUMN()-COLUMN(($O:$O))</f>
        <v>11</v>
      </c>
      <c r="AA2" s="102" cm="1">
        <f t="array" ref="AA2">COLUMN()-COLUMN(($O:$O))</f>
        <v>12</v>
      </c>
      <c r="AB2" s="102" cm="1">
        <f t="array" ref="AB2">COLUMN()-COLUMN(($O:$O))</f>
        <v>13</v>
      </c>
      <c r="AC2" s="102" cm="1">
        <f t="array" ref="AC2">COLUMN()-COLUMN(($O:$O))</f>
        <v>14</v>
      </c>
      <c r="AD2" s="102" cm="1">
        <f t="array" ref="AD2">COLUMN()-COLUMN(($O:$O))</f>
        <v>15</v>
      </c>
      <c r="AE2" s="102" cm="1">
        <f t="array" ref="AE2">COLUMN()-COLUMN(($O:$O))</f>
        <v>16</v>
      </c>
      <c r="AF2" s="102" cm="1">
        <f t="array" ref="AF2">COLUMN()-COLUMN(($O:$O))</f>
        <v>17</v>
      </c>
    </row>
    <row r="3" spans="2:32" ht="11" customHeight="1" collapsed="1"/>
    <row r="4" spans="2:32" s="376" customFormat="1" ht="18" customHeight="1">
      <c r="B4" s="371" t="s">
        <v>123</v>
      </c>
      <c r="C4" s="371" t="s">
        <v>124</v>
      </c>
      <c r="D4" s="371" t="s">
        <v>125</v>
      </c>
      <c r="E4" s="371" t="s">
        <v>126</v>
      </c>
      <c r="F4" s="372" t="s">
        <v>127</v>
      </c>
      <c r="G4" s="372" t="s">
        <v>128</v>
      </c>
      <c r="H4" s="373" t="s">
        <v>129</v>
      </c>
      <c r="I4" s="373" t="s">
        <v>130</v>
      </c>
      <c r="J4" s="374"/>
      <c r="K4" s="375" t="s">
        <v>131</v>
      </c>
      <c r="L4" s="375" t="s">
        <v>132</v>
      </c>
      <c r="M4" s="375" t="s">
        <v>133</v>
      </c>
      <c r="N4" s="375" t="s">
        <v>134</v>
      </c>
      <c r="P4" s="371" t="s">
        <v>123</v>
      </c>
      <c r="Q4" s="371" t="s">
        <v>135</v>
      </c>
      <c r="R4" s="373" t="s">
        <v>136</v>
      </c>
      <c r="S4" s="373" t="s">
        <v>137</v>
      </c>
      <c r="T4" s="377" t="s">
        <v>138</v>
      </c>
      <c r="U4" s="377" t="s">
        <v>139</v>
      </c>
      <c r="V4" s="373" t="s">
        <v>140</v>
      </c>
      <c r="W4" s="373" t="s">
        <v>141</v>
      </c>
      <c r="X4" s="377" t="s">
        <v>142</v>
      </c>
      <c r="Y4" s="377" t="s">
        <v>143</v>
      </c>
      <c r="Z4" s="373" t="s">
        <v>144</v>
      </c>
      <c r="AA4" s="373" t="s">
        <v>145</v>
      </c>
      <c r="AB4" s="377" t="s">
        <v>146</v>
      </c>
      <c r="AC4" s="377" t="s">
        <v>147</v>
      </c>
      <c r="AD4" s="373" t="s">
        <v>148</v>
      </c>
      <c r="AE4" s="373" t="s">
        <v>149</v>
      </c>
      <c r="AF4" s="378" t="s">
        <v>150</v>
      </c>
    </row>
    <row r="5" spans="2:32" ht="30">
      <c r="B5" s="47">
        <v>1</v>
      </c>
      <c r="C5" s="355" t="s">
        <v>151</v>
      </c>
      <c r="D5" s="350" t="str" cm="1">
        <f t="array" ref="D5" xml:space="preserve"> IFERROR( INDEX($P$5:$AF$54, $I5, D$1), "")</f>
        <v>ㄨㄣ</v>
      </c>
      <c r="E5" s="350" t="str" cm="1">
        <f t="array" ref="E5" xml:space="preserve"> IFERROR( INDEX($P$5:$AF$54, $I5, E$1), "")</f>
        <v>ㄨㆵ</v>
      </c>
      <c r="F5" s="350" t="str" cm="1">
        <f t="array" ref="F5" xml:space="preserve"> IFERROR( INDEX($P$5:$AF$54, $I5, F$1), "")</f>
        <v>un</v>
      </c>
      <c r="G5" s="350" t="str" cm="1">
        <f t="array" ref="G5" xml:space="preserve"> IFERROR( INDEX($P$5:$AF$54, $I5, G$1), "")</f>
        <v>ut</v>
      </c>
      <c r="H5" s="25" t="s">
        <v>152</v>
      </c>
      <c r="I5" s="26">
        <f t="shared" ref="I5:I48" si="0" xml:space="preserve"> MATCH(H5,十五音韻母,0)</f>
        <v>1</v>
      </c>
      <c r="J5" s="362"/>
      <c r="K5" s="362">
        <f xml:space="preserve"> IFERROR( MATCH(X5,$F$5:$F$54,0), 0)</f>
        <v>1</v>
      </c>
      <c r="L5" s="365" t="str">
        <f xml:space="preserve"> IF(K5=0, Q5, "")</f>
        <v/>
      </c>
      <c r="M5" s="25" t="str" cm="1">
        <f t="array" ref="M5">IF($K5=0, INDEX($AB$5:$AB$54,$P5,1), "")</f>
        <v/>
      </c>
      <c r="N5" s="25" t="str" cm="1">
        <f t="array" ref="N5">IF($K5=0, INDEX($X$5:$X$54,$P5,1), "")</f>
        <v/>
      </c>
      <c r="P5" s="47">
        <v>1</v>
      </c>
      <c r="Q5" s="366" t="s">
        <v>152</v>
      </c>
      <c r="R5" s="26" t="s">
        <v>153</v>
      </c>
      <c r="S5" s="27" t="s">
        <v>154</v>
      </c>
      <c r="T5" s="26" t="s">
        <v>153</v>
      </c>
      <c r="U5" s="27" t="s">
        <v>155</v>
      </c>
      <c r="V5" s="150" t="s">
        <v>153</v>
      </c>
      <c r="W5" s="27" t="s">
        <v>154</v>
      </c>
      <c r="X5" s="26" t="s">
        <v>153</v>
      </c>
      <c r="Y5" s="27" t="s">
        <v>154</v>
      </c>
      <c r="Z5" s="26" t="s">
        <v>153</v>
      </c>
      <c r="AA5" s="27" t="s">
        <v>154</v>
      </c>
      <c r="AB5" s="26" t="s">
        <v>156</v>
      </c>
      <c r="AC5" s="27" t="s">
        <v>157</v>
      </c>
      <c r="AD5" s="26" t="s">
        <v>158</v>
      </c>
      <c r="AE5" s="44" t="s">
        <v>159</v>
      </c>
      <c r="AF5" s="28"/>
    </row>
    <row r="6" spans="2:32" ht="30">
      <c r="B6" s="47">
        <v>2</v>
      </c>
      <c r="C6" s="355" t="s">
        <v>160</v>
      </c>
      <c r="D6" s="350" t="str" cm="1">
        <f t="array" ref="D6" xml:space="preserve"> IFERROR( INDEX($P$5:$AF$54, $I6, D$1), "")</f>
        <v>ㄧㄢ</v>
      </c>
      <c r="E6" s="350" t="str" cm="1">
        <f t="array" ref="E6" xml:space="preserve"> IFERROR( INDEX($P$5:$AF$54, $I6, E$1), "")</f>
        <v>ㄧㄚㆵ</v>
      </c>
      <c r="F6" s="350" t="str" cm="1">
        <f t="array" ref="F6" xml:space="preserve"> IFERROR( INDEX($P$5:$AF$54, $I6, F$1), "")</f>
        <v>ian</v>
      </c>
      <c r="G6" s="350" t="str" cm="1">
        <f t="array" ref="G6" xml:space="preserve"> IFERROR( INDEX($P$5:$AF$54, $I6, G$1), "")</f>
        <v>iat</v>
      </c>
      <c r="H6" s="25" t="str">
        <f>C6</f>
        <v>堅</v>
      </c>
      <c r="I6" s="26">
        <f t="shared" si="0"/>
        <v>2</v>
      </c>
      <c r="J6" s="362"/>
      <c r="K6" s="362">
        <f xml:space="preserve"> IFERROR( MATCH(X6,$F$5:$F$54,0), 0)</f>
        <v>2</v>
      </c>
      <c r="L6" s="366" t="str">
        <f t="shared" ref="L6:L54" si="1" xml:space="preserve"> IF(K6=0, Q6, "")</f>
        <v/>
      </c>
      <c r="M6" s="25" t="str" cm="1">
        <f t="array" ref="M6">IF($K6=0, INDEX($AB$5:$AB$54,$P6,1), "")</f>
        <v/>
      </c>
      <c r="N6" s="25" t="str" cm="1">
        <f t="array" ref="N6">IF($K6=0, INDEX($X$5:$X$54,$P6,1), "")</f>
        <v/>
      </c>
      <c r="P6" s="47">
        <v>2</v>
      </c>
      <c r="Q6" s="366" t="s">
        <v>161</v>
      </c>
      <c r="R6" s="26" t="s">
        <v>162</v>
      </c>
      <c r="S6" s="27" t="s">
        <v>163</v>
      </c>
      <c r="T6" s="26" t="s">
        <v>162</v>
      </c>
      <c r="U6" s="27" t="s">
        <v>164</v>
      </c>
      <c r="V6" s="150" t="s">
        <v>162</v>
      </c>
      <c r="W6" s="27" t="s">
        <v>163</v>
      </c>
      <c r="X6" s="26" t="s">
        <v>162</v>
      </c>
      <c r="Y6" s="27" t="s">
        <v>163</v>
      </c>
      <c r="Z6" s="26" t="s">
        <v>162</v>
      </c>
      <c r="AA6" s="27" t="s">
        <v>163</v>
      </c>
      <c r="AB6" s="26" t="s">
        <v>165</v>
      </c>
      <c r="AC6" s="27" t="s">
        <v>166</v>
      </c>
      <c r="AD6" s="26" t="s">
        <v>167</v>
      </c>
      <c r="AE6" s="44" t="s">
        <v>168</v>
      </c>
      <c r="AF6" s="28"/>
    </row>
    <row r="7" spans="2:32" ht="30">
      <c r="B7" s="47">
        <v>3</v>
      </c>
      <c r="C7" s="355" t="s">
        <v>169</v>
      </c>
      <c r="D7" s="350" t="str" cm="1">
        <f t="array" ref="D7" xml:space="preserve"> IFERROR( INDEX($P$5:$AF$54, $I7, D$1), "")</f>
        <v>ㄧㆬ</v>
      </c>
      <c r="E7" s="350" t="str" cm="1">
        <f t="array" ref="E7" xml:space="preserve"> IFERROR( INDEX($P$5:$AF$54, $I7, E$1), "")</f>
        <v>ㄧㆴ</v>
      </c>
      <c r="F7" s="350" t="str" cm="1">
        <f t="array" ref="F7" xml:space="preserve"> IFERROR( INDEX($P$5:$AF$54, $I7, F$1), "")</f>
        <v>im</v>
      </c>
      <c r="G7" s="350" t="str" cm="1">
        <f t="array" ref="G7" xml:space="preserve"> IFERROR( INDEX($P$5:$AF$54, $I7, G$1), "")</f>
        <v>ip</v>
      </c>
      <c r="H7" s="25" t="s">
        <v>170</v>
      </c>
      <c r="I7" s="26">
        <f t="shared" si="0"/>
        <v>3</v>
      </c>
      <c r="J7" s="362"/>
      <c r="K7" s="362">
        <f t="shared" ref="K7:K54" si="2" xml:space="preserve"> IFERROR( MATCH(X7,$F$5:$F$54,0), 0)</f>
        <v>3</v>
      </c>
      <c r="L7" s="366" t="str">
        <f t="shared" si="1"/>
        <v/>
      </c>
      <c r="M7" s="25" t="str" cm="1">
        <f t="array" ref="M7">IF($K7=0, INDEX($AB$5:$AB$54,$P7,1), "")</f>
        <v/>
      </c>
      <c r="N7" s="25" t="str" cm="1">
        <f t="array" ref="N7">IF($K7=0, INDEX($X$5:$X$54,$P7,1), "")</f>
        <v/>
      </c>
      <c r="P7" s="47">
        <v>3</v>
      </c>
      <c r="Q7" s="366" t="s">
        <v>170</v>
      </c>
      <c r="R7" s="26" t="s">
        <v>171</v>
      </c>
      <c r="S7" s="27" t="s">
        <v>172</v>
      </c>
      <c r="T7" s="26" t="s">
        <v>171</v>
      </c>
      <c r="U7" s="27" t="s">
        <v>173</v>
      </c>
      <c r="V7" s="150" t="s">
        <v>171</v>
      </c>
      <c r="W7" s="27" t="s">
        <v>172</v>
      </c>
      <c r="X7" s="26" t="s">
        <v>171</v>
      </c>
      <c r="Y7" s="27" t="s">
        <v>172</v>
      </c>
      <c r="Z7" s="26" t="s">
        <v>171</v>
      </c>
      <c r="AA7" s="27" t="s">
        <v>172</v>
      </c>
      <c r="AB7" s="26" t="s">
        <v>174</v>
      </c>
      <c r="AC7" s="27" t="s">
        <v>175</v>
      </c>
      <c r="AD7" s="26" t="s">
        <v>171</v>
      </c>
      <c r="AE7" s="44" t="s">
        <v>172</v>
      </c>
      <c r="AF7" s="28"/>
    </row>
    <row r="8" spans="2:32" ht="30">
      <c r="B8" s="47">
        <v>4</v>
      </c>
      <c r="C8" s="356" t="s">
        <v>176</v>
      </c>
      <c r="D8" s="350" t="str" cm="1">
        <f t="array" ref="D8" xml:space="preserve"> IFERROR( INDEX($P$5:$AF$54, $I8, D$1), "")</f>
        <v>ㄨㄧ</v>
      </c>
      <c r="E8" s="350" t="str" cm="1">
        <f t="array" ref="E8" xml:space="preserve"> IFERROR( INDEX($P$5:$AF$54, $I8, E$1), "")</f>
        <v>ㄨㄧㆷ</v>
      </c>
      <c r="F8" s="350" t="str" cm="1">
        <f t="array" ref="F8" xml:space="preserve"> IFERROR( INDEX($P$5:$AF$54, $I8, F$1), "")</f>
        <v>ui</v>
      </c>
      <c r="G8" s="350" t="str" cm="1">
        <f t="array" ref="G8" xml:space="preserve"> IFERROR( INDEX($P$5:$AF$54, $I8, G$1), "")</f>
        <v>uih</v>
      </c>
      <c r="H8" s="25" t="s">
        <v>177</v>
      </c>
      <c r="I8" s="26">
        <f t="shared" si="0"/>
        <v>4</v>
      </c>
      <c r="J8" s="362"/>
      <c r="K8" s="362">
        <f t="shared" si="2"/>
        <v>4</v>
      </c>
      <c r="L8" s="366" t="str">
        <f t="shared" si="1"/>
        <v/>
      </c>
      <c r="M8" s="25" t="str" cm="1">
        <f t="array" ref="M8">IF($K8=0, INDEX($AB$5:$AB$54,$P8,1), "")</f>
        <v/>
      </c>
      <c r="N8" s="25" t="str" cm="1">
        <f t="array" ref="N8">IF($K8=0, INDEX($X$5:$X$54,$P8,1), "")</f>
        <v/>
      </c>
      <c r="P8" s="47">
        <v>4</v>
      </c>
      <c r="Q8" s="367" t="s">
        <v>177</v>
      </c>
      <c r="R8" s="26" t="s">
        <v>178</v>
      </c>
      <c r="S8" s="30" t="s">
        <v>179</v>
      </c>
      <c r="T8" s="31" t="s">
        <v>178</v>
      </c>
      <c r="U8" s="30" t="s">
        <v>180</v>
      </c>
      <c r="V8" s="150" t="s">
        <v>181</v>
      </c>
      <c r="W8" s="30" t="s">
        <v>182</v>
      </c>
      <c r="X8" s="31" t="s">
        <v>178</v>
      </c>
      <c r="Y8" s="30" t="s">
        <v>179</v>
      </c>
      <c r="Z8" s="31" t="s">
        <v>178</v>
      </c>
      <c r="AA8" s="30" t="s">
        <v>182</v>
      </c>
      <c r="AB8" s="31" t="s">
        <v>183</v>
      </c>
      <c r="AC8" s="30" t="s">
        <v>184</v>
      </c>
      <c r="AD8" s="31" t="s">
        <v>185</v>
      </c>
      <c r="AE8" s="30"/>
      <c r="AF8" s="28"/>
    </row>
    <row r="9" spans="2:32" ht="30">
      <c r="B9" s="47">
        <v>5</v>
      </c>
      <c r="C9" s="357" t="s">
        <v>186</v>
      </c>
      <c r="D9" s="350" t="str" cm="1">
        <f t="array" ref="D9" xml:space="preserve"> IFERROR( INDEX($P$5:$AF$54, $I9, D$1), "")</f>
        <v>ㄝ</v>
      </c>
      <c r="E9" s="350" t="str" cm="1">
        <f t="array" ref="E9" xml:space="preserve"> IFERROR( INDEX($P$5:$AF$54, $I9, E$1), "")</f>
        <v>ㄝㆷ</v>
      </c>
      <c r="F9" s="350" t="str" cm="1">
        <f t="array" ref="F9" xml:space="preserve"> IFERROR( INDEX($P$5:$AF$54, $I9, F$1), "")</f>
        <v>ee</v>
      </c>
      <c r="G9" s="350" t="str" cm="1">
        <f t="array" ref="G9" xml:space="preserve"> IFERROR( INDEX($P$5:$AF$54, $I9, G$1), "")</f>
        <v>eh</v>
      </c>
      <c r="H9" s="25" t="s">
        <v>187</v>
      </c>
      <c r="I9" s="26">
        <f t="shared" si="0"/>
        <v>5</v>
      </c>
      <c r="J9" s="362"/>
      <c r="K9" s="362">
        <f t="shared" si="2"/>
        <v>5</v>
      </c>
      <c r="L9" s="366" t="str">
        <f t="shared" si="1"/>
        <v/>
      </c>
      <c r="M9" s="25" t="str" cm="1">
        <f t="array" ref="M9">IF($K9=0, INDEX($AB$5:$AB$54,$P9,1), "")</f>
        <v/>
      </c>
      <c r="N9" s="25" t="str" cm="1">
        <f t="array" ref="N9">IF($K9=0, INDEX($X$5:$X$54,$P9,1), "")</f>
        <v/>
      </c>
      <c r="P9" s="47">
        <v>5</v>
      </c>
      <c r="Q9" s="368" t="s">
        <v>187</v>
      </c>
      <c r="R9" s="26" t="s">
        <v>188</v>
      </c>
      <c r="S9" s="27" t="s">
        <v>189</v>
      </c>
      <c r="T9" s="26" t="s">
        <v>190</v>
      </c>
      <c r="U9" s="27" t="s">
        <v>191</v>
      </c>
      <c r="V9" s="150" t="s">
        <v>188</v>
      </c>
      <c r="W9" s="27" t="s">
        <v>192</v>
      </c>
      <c r="X9" s="26" t="s">
        <v>188</v>
      </c>
      <c r="Y9" s="27" t="s">
        <v>189</v>
      </c>
      <c r="Z9" s="320" t="s">
        <v>193</v>
      </c>
      <c r="AA9" s="320" t="s">
        <v>194</v>
      </c>
      <c r="AB9" s="26" t="s">
        <v>195</v>
      </c>
      <c r="AC9" s="27" t="s">
        <v>196</v>
      </c>
      <c r="AD9" s="26" t="s">
        <v>197</v>
      </c>
      <c r="AE9" s="44" t="s">
        <v>198</v>
      </c>
      <c r="AF9" s="33" t="s">
        <v>199</v>
      </c>
    </row>
    <row r="10" spans="2:32" ht="30">
      <c r="B10" s="47">
        <v>6</v>
      </c>
      <c r="C10" s="355" t="s">
        <v>200</v>
      </c>
      <c r="D10" s="350" t="str" cm="1">
        <f t="array" ref="D10" xml:space="preserve"> IFERROR( INDEX($P$5:$AF$54, $I10, D$1), "")</f>
        <v>ㄢ</v>
      </c>
      <c r="E10" s="350" t="str" cm="1">
        <f t="array" ref="E10" xml:space="preserve"> IFERROR( INDEX($P$5:$AF$54, $I10, E$1), "")</f>
        <v>ㄚㆵ</v>
      </c>
      <c r="F10" s="350" t="str" cm="1">
        <f t="array" ref="F10" xml:space="preserve"> IFERROR( INDEX($P$5:$AF$54, $I10, F$1), "")</f>
        <v>an</v>
      </c>
      <c r="G10" s="350" t="str" cm="1">
        <f t="array" ref="G10" xml:space="preserve"> IFERROR( INDEX($P$5:$AF$54, $I10, G$1), "")</f>
        <v>ap</v>
      </c>
      <c r="H10" s="25" t="s">
        <v>201</v>
      </c>
      <c r="I10" s="26">
        <f t="shared" si="0"/>
        <v>6</v>
      </c>
      <c r="J10" s="362"/>
      <c r="K10" s="362">
        <f t="shared" si="2"/>
        <v>6</v>
      </c>
      <c r="L10" s="366" t="str">
        <f t="shared" si="1"/>
        <v/>
      </c>
      <c r="M10" s="25" t="str" cm="1">
        <f t="array" ref="M10">IF($K10=0, INDEX($AB$5:$AB$54,$P10,1), "")</f>
        <v/>
      </c>
      <c r="N10" s="25" t="str" cm="1">
        <f t="array" ref="N10">IF($K10=0, INDEX($X$5:$X$54,$P10,1), "")</f>
        <v/>
      </c>
      <c r="P10" s="47">
        <v>6</v>
      </c>
      <c r="Q10" s="366" t="s">
        <v>201</v>
      </c>
      <c r="R10" s="26" t="s">
        <v>202</v>
      </c>
      <c r="S10" s="27" t="s">
        <v>203</v>
      </c>
      <c r="T10" s="26" t="s">
        <v>202</v>
      </c>
      <c r="U10" s="27" t="s">
        <v>204</v>
      </c>
      <c r="V10" s="150" t="s">
        <v>202</v>
      </c>
      <c r="W10" s="27" t="s">
        <v>205</v>
      </c>
      <c r="X10" s="26" t="s">
        <v>202</v>
      </c>
      <c r="Y10" s="27" t="s">
        <v>206</v>
      </c>
      <c r="Z10" s="26" t="s">
        <v>202</v>
      </c>
      <c r="AA10" s="27" t="s">
        <v>205</v>
      </c>
      <c r="AB10" s="34" t="s">
        <v>207</v>
      </c>
      <c r="AC10" s="27" t="s">
        <v>208</v>
      </c>
      <c r="AD10" s="26" t="s">
        <v>202</v>
      </c>
      <c r="AE10" s="44" t="s">
        <v>205</v>
      </c>
      <c r="AF10" s="28"/>
    </row>
    <row r="11" spans="2:32" ht="34">
      <c r="B11" s="47">
        <v>7</v>
      </c>
      <c r="C11" s="355" t="s">
        <v>209</v>
      </c>
      <c r="D11" s="350" t="str" cm="1">
        <f t="array" ref="D11" xml:space="preserve"> IFERROR( INDEX($P$5:$AF$54, $I11, D$1), "")</f>
        <v>ㆲ</v>
      </c>
      <c r="E11" s="350" t="str" cm="1">
        <f t="array" ref="E11" xml:space="preserve"> IFERROR( INDEX($P$5:$AF$54, $I11, E$1), "")</f>
        <v>ㆦㆻ</v>
      </c>
      <c r="F11" s="350" t="str" cm="1">
        <f t="array" ref="F11" xml:space="preserve"> IFERROR( INDEX($P$5:$AF$54, $I11, F$1), "")</f>
        <v>ong</v>
      </c>
      <c r="G11" s="350" t="str" cm="1">
        <f t="array" ref="G11" xml:space="preserve"> IFERROR( INDEX($P$5:$AF$54, $I11, G$1), "")</f>
        <v>ok</v>
      </c>
      <c r="H11" s="25" t="s">
        <v>210</v>
      </c>
      <c r="I11" s="26">
        <f t="shared" si="0"/>
        <v>7</v>
      </c>
      <c r="J11" s="362"/>
      <c r="K11" s="362">
        <f t="shared" si="2"/>
        <v>7</v>
      </c>
      <c r="L11" s="366" t="str">
        <f t="shared" si="1"/>
        <v/>
      </c>
      <c r="M11" s="25" t="str" cm="1">
        <f t="array" ref="M11">IF($K11=0, INDEX($AB$5:$AB$54,$P11,1), "")</f>
        <v/>
      </c>
      <c r="N11" s="25" t="str" cm="1">
        <f t="array" ref="N11">IF($K11=0, INDEX($X$5:$X$54,$P11,1), "")</f>
        <v/>
      </c>
      <c r="P11" s="47">
        <v>7</v>
      </c>
      <c r="Q11" s="366" t="s">
        <v>210</v>
      </c>
      <c r="R11" s="26" t="s">
        <v>211</v>
      </c>
      <c r="S11" s="27" t="s">
        <v>212</v>
      </c>
      <c r="T11" s="26" t="s">
        <v>213</v>
      </c>
      <c r="U11" s="27" t="s">
        <v>214</v>
      </c>
      <c r="V11" s="150" t="s">
        <v>211</v>
      </c>
      <c r="W11" s="27" t="s">
        <v>212</v>
      </c>
      <c r="X11" s="26" t="s">
        <v>211</v>
      </c>
      <c r="Y11" s="27" t="s">
        <v>212</v>
      </c>
      <c r="Z11" s="26" t="s">
        <v>211</v>
      </c>
      <c r="AA11" s="27" t="s">
        <v>212</v>
      </c>
      <c r="AB11" s="26" t="s">
        <v>215</v>
      </c>
      <c r="AC11" s="27" t="s">
        <v>216</v>
      </c>
      <c r="AD11" s="26" t="s">
        <v>211</v>
      </c>
      <c r="AE11" s="44" t="s">
        <v>212</v>
      </c>
      <c r="AF11" s="353" t="s">
        <v>217</v>
      </c>
    </row>
    <row r="12" spans="2:32" ht="30">
      <c r="B12" s="47">
        <v>8</v>
      </c>
      <c r="C12" s="355" t="s">
        <v>218</v>
      </c>
      <c r="D12" s="350" t="str" cm="1">
        <f t="array" ref="D12" xml:space="preserve"> IFERROR( INDEX($P$5:$AF$54, $I12, D$1), "")</f>
        <v>ㄨㄞ</v>
      </c>
      <c r="E12" s="350" t="str" cm="1">
        <f t="array" ref="E12" xml:space="preserve"> IFERROR( INDEX($P$5:$AF$54, $I12, E$1), "")</f>
        <v>ㄨㄞㆷ</v>
      </c>
      <c r="F12" s="350" t="str" cm="1">
        <f t="array" ref="F12" xml:space="preserve"> IFERROR( INDEX($P$5:$AF$54, $I12, F$1), "")</f>
        <v>uai</v>
      </c>
      <c r="G12" s="350" t="str" cm="1">
        <f t="array" ref="G12" xml:space="preserve"> IFERROR( INDEX($P$5:$AF$54, $I12, G$1), "")</f>
        <v>uaih</v>
      </c>
      <c r="H12" s="25" t="s">
        <v>219</v>
      </c>
      <c r="I12" s="26">
        <f t="shared" si="0"/>
        <v>8</v>
      </c>
      <c r="J12" s="362"/>
      <c r="K12" s="362">
        <f t="shared" si="2"/>
        <v>8</v>
      </c>
      <c r="L12" s="366" t="str">
        <f t="shared" si="1"/>
        <v/>
      </c>
      <c r="M12" s="25" t="str" cm="1">
        <f t="array" ref="M12">IF($K12=0, INDEX($AB$5:$AB$54,$P12,1), "")</f>
        <v/>
      </c>
      <c r="N12" s="25" t="str" cm="1">
        <f t="array" ref="N12">IF($K12=0, INDEX($X$5:$X$54,$P12,1), "")</f>
        <v/>
      </c>
      <c r="P12" s="47">
        <v>8</v>
      </c>
      <c r="Q12" s="366" t="s">
        <v>219</v>
      </c>
      <c r="R12" s="26" t="s">
        <v>220</v>
      </c>
      <c r="S12" s="27" t="s">
        <v>221</v>
      </c>
      <c r="T12" s="26" t="s">
        <v>220</v>
      </c>
      <c r="U12" s="40" t="s">
        <v>222</v>
      </c>
      <c r="V12" s="151" t="s">
        <v>223</v>
      </c>
      <c r="W12" s="40" t="s">
        <v>224</v>
      </c>
      <c r="X12" s="26" t="s">
        <v>220</v>
      </c>
      <c r="Y12" s="27" t="s">
        <v>221</v>
      </c>
      <c r="Z12" s="26" t="s">
        <v>220</v>
      </c>
      <c r="AA12" s="27" t="s">
        <v>221</v>
      </c>
      <c r="AB12" s="351" t="s">
        <v>225</v>
      </c>
      <c r="AC12" s="27" t="s">
        <v>226</v>
      </c>
      <c r="AD12" s="26" t="s">
        <v>227</v>
      </c>
      <c r="AE12" s="44" t="s">
        <v>228</v>
      </c>
      <c r="AF12" s="28"/>
    </row>
    <row r="13" spans="2:32" ht="34">
      <c r="B13" s="47">
        <v>9</v>
      </c>
      <c r="C13" s="355" t="s">
        <v>229</v>
      </c>
      <c r="D13" s="350" t="str" cm="1">
        <f t="array" ref="D13" xml:space="preserve"> IFERROR( INDEX($P$5:$AF$54, $I13, D$1), "")</f>
        <v>ㄧㄥ</v>
      </c>
      <c r="E13" s="350" t="str" cm="1">
        <f t="array" ref="E13" xml:space="preserve"> IFERROR( INDEX($P$5:$AF$54, $I13, E$1), "")</f>
        <v>ㄧㆻ</v>
      </c>
      <c r="F13" s="350" t="str" cm="1">
        <f t="array" ref="F13" xml:space="preserve"> IFERROR( INDEX($P$5:$AF$54, $I13, F$1), "")</f>
        <v>ing</v>
      </c>
      <c r="G13" s="350" t="str" cm="1">
        <f t="array" ref="G13" xml:space="preserve"> IFERROR( INDEX($P$5:$AF$54, $I13, G$1), "")</f>
        <v>ik</v>
      </c>
      <c r="H13" s="25" t="s">
        <v>230</v>
      </c>
      <c r="I13" s="26">
        <f t="shared" si="0"/>
        <v>9</v>
      </c>
      <c r="J13" s="362"/>
      <c r="K13" s="362">
        <f t="shared" si="2"/>
        <v>9</v>
      </c>
      <c r="L13" s="366" t="str">
        <f t="shared" si="1"/>
        <v/>
      </c>
      <c r="M13" s="25" t="str" cm="1">
        <f t="array" ref="M13">IF($K13=0, INDEX($AB$5:$AB$54,$P13,1), "")</f>
        <v/>
      </c>
      <c r="N13" s="25" t="str" cm="1">
        <f t="array" ref="N13">IF($K13=0, INDEX($X$5:$X$54,$P13,1), "")</f>
        <v/>
      </c>
      <c r="P13" s="47">
        <v>9</v>
      </c>
      <c r="Q13" s="366" t="s">
        <v>230</v>
      </c>
      <c r="R13" s="26" t="s">
        <v>231</v>
      </c>
      <c r="S13" s="27" t="s">
        <v>232</v>
      </c>
      <c r="T13" s="26" t="s">
        <v>233</v>
      </c>
      <c r="U13" s="27" t="s">
        <v>234</v>
      </c>
      <c r="V13" s="150" t="s">
        <v>235</v>
      </c>
      <c r="W13" s="27" t="s">
        <v>236</v>
      </c>
      <c r="X13" s="26" t="s">
        <v>231</v>
      </c>
      <c r="Y13" s="27" t="s">
        <v>232</v>
      </c>
      <c r="Z13" s="26" t="s">
        <v>231</v>
      </c>
      <c r="AA13" s="27" t="s">
        <v>232</v>
      </c>
      <c r="AB13" s="352" t="s">
        <v>237</v>
      </c>
      <c r="AC13" s="251" t="s">
        <v>238</v>
      </c>
      <c r="AD13" s="26" t="s">
        <v>235</v>
      </c>
      <c r="AE13" s="44" t="s">
        <v>236</v>
      </c>
      <c r="AF13" s="28"/>
    </row>
    <row r="14" spans="2:32" ht="30">
      <c r="B14" s="47">
        <v>10</v>
      </c>
      <c r="C14" s="355" t="s">
        <v>239</v>
      </c>
      <c r="D14" s="350" t="str" cm="1">
        <f t="array" ref="D14" xml:space="preserve"> IFERROR( INDEX($P$5:$AF$54, $I14, D$1), "")</f>
        <v>ㄨㄢ</v>
      </c>
      <c r="E14" s="350" t="str" cm="1">
        <f t="array" ref="E14" xml:space="preserve"> IFERROR( INDEX($P$5:$AF$54, $I14, E$1), "")</f>
        <v>ㄨㄚㆵ</v>
      </c>
      <c r="F14" s="350" t="str" cm="1">
        <f t="array" ref="F14" xml:space="preserve"> IFERROR( INDEX($P$5:$AF$54, $I14, F$1), "")</f>
        <v>uan</v>
      </c>
      <c r="G14" s="350" t="str" cm="1">
        <f t="array" ref="G14" xml:space="preserve"> IFERROR( INDEX($P$5:$AF$54, $I14, G$1), "")</f>
        <v>uat</v>
      </c>
      <c r="H14" s="25" t="s">
        <v>240</v>
      </c>
      <c r="I14" s="26">
        <f t="shared" si="0"/>
        <v>10</v>
      </c>
      <c r="J14" s="362"/>
      <c r="K14" s="362">
        <f t="shared" si="2"/>
        <v>10</v>
      </c>
      <c r="L14" s="366" t="str">
        <f t="shared" si="1"/>
        <v/>
      </c>
      <c r="M14" s="25" t="str" cm="1">
        <f t="array" ref="M14">IF($K14=0, INDEX($AB$5:$AB$54,$P14,1), "")</f>
        <v/>
      </c>
      <c r="N14" s="25" t="str" cm="1">
        <f t="array" ref="N14">IF($K14=0, INDEX($X$5:$X$54,$P14,1), "")</f>
        <v/>
      </c>
      <c r="P14" s="47">
        <v>10</v>
      </c>
      <c r="Q14" s="366" t="s">
        <v>240</v>
      </c>
      <c r="R14" s="26" t="s">
        <v>241</v>
      </c>
      <c r="S14" s="27" t="s">
        <v>242</v>
      </c>
      <c r="T14" s="26" t="s">
        <v>241</v>
      </c>
      <c r="U14" s="40" t="s">
        <v>243</v>
      </c>
      <c r="V14" s="151" t="s">
        <v>244</v>
      </c>
      <c r="W14" s="40" t="s">
        <v>245</v>
      </c>
      <c r="X14" s="26" t="s">
        <v>241</v>
      </c>
      <c r="Y14" s="27" t="s">
        <v>242</v>
      </c>
      <c r="Z14" s="26" t="s">
        <v>241</v>
      </c>
      <c r="AA14" s="27" t="s">
        <v>242</v>
      </c>
      <c r="AB14" s="26" t="s">
        <v>246</v>
      </c>
      <c r="AC14" s="27" t="s">
        <v>247</v>
      </c>
      <c r="AD14" s="26" t="s">
        <v>248</v>
      </c>
      <c r="AE14" s="44" t="s">
        <v>249</v>
      </c>
      <c r="AF14" s="28"/>
    </row>
    <row r="15" spans="2:32" ht="30">
      <c r="B15" s="47">
        <v>11</v>
      </c>
      <c r="C15" s="355" t="s">
        <v>250</v>
      </c>
      <c r="D15" s="350" t="str" cm="1">
        <f t="array" ref="D15" xml:space="preserve"> IFERROR( INDEX($P$5:$AF$54, $I15, D$1), "")</f>
        <v>ㆦ</v>
      </c>
      <c r="E15" s="350" t="str" cm="1">
        <f t="array" ref="E15" xml:space="preserve"> IFERROR( INDEX($P$5:$AF$54, $I15, E$1), "")</f>
        <v>ㆦㆷ</v>
      </c>
      <c r="F15" s="350" t="str" cm="1">
        <f t="array" ref="F15" xml:space="preserve"> IFERROR( INDEX($P$5:$AF$54, $I15, F$1), "")</f>
        <v>oo</v>
      </c>
      <c r="G15" s="350" t="str" cm="1">
        <f t="array" ref="G15" xml:space="preserve"> IFERROR( INDEX($P$5:$AF$54, $I15, G$1), "")</f>
        <v>ooh</v>
      </c>
      <c r="H15" s="25" t="s">
        <v>251</v>
      </c>
      <c r="I15" s="26">
        <f t="shared" si="0"/>
        <v>11</v>
      </c>
      <c r="J15" s="362"/>
      <c r="K15" s="362">
        <f t="shared" si="2"/>
        <v>11</v>
      </c>
      <c r="L15" s="366" t="str">
        <f t="shared" si="1"/>
        <v/>
      </c>
      <c r="M15" s="25" t="str" cm="1">
        <f t="array" ref="M15">IF($K15=0, INDEX($AB$5:$AB$54,$P15,1), "")</f>
        <v/>
      </c>
      <c r="N15" s="25" t="str" cm="1">
        <f t="array" ref="N15">IF($K15=0, INDEX($X$5:$X$54,$P15,1), "")</f>
        <v/>
      </c>
      <c r="P15" s="47">
        <v>11</v>
      </c>
      <c r="Q15" s="366" t="s">
        <v>251</v>
      </c>
      <c r="R15" s="26" t="s">
        <v>252</v>
      </c>
      <c r="S15" s="26" t="s">
        <v>253</v>
      </c>
      <c r="T15" s="26" t="s">
        <v>254</v>
      </c>
      <c r="U15" s="26" t="s">
        <v>255</v>
      </c>
      <c r="V15" s="150" t="s">
        <v>256</v>
      </c>
      <c r="W15" s="26" t="s">
        <v>257</v>
      </c>
      <c r="X15" s="26" t="s">
        <v>252</v>
      </c>
      <c r="Y15" s="26" t="s">
        <v>253</v>
      </c>
      <c r="Z15" s="26" t="s">
        <v>252</v>
      </c>
      <c r="AA15" s="26" t="s">
        <v>258</v>
      </c>
      <c r="AB15" s="26" t="s">
        <v>259</v>
      </c>
      <c r="AC15" s="26" t="s">
        <v>260</v>
      </c>
      <c r="AD15" s="26" t="s">
        <v>261</v>
      </c>
      <c r="AE15" s="35"/>
      <c r="AF15" s="33" t="s">
        <v>262</v>
      </c>
    </row>
    <row r="16" spans="2:32" ht="30">
      <c r="B16" s="47">
        <v>12</v>
      </c>
      <c r="C16" s="355" t="s">
        <v>263</v>
      </c>
      <c r="D16" s="350" t="str" cm="1">
        <f t="array" ref="D16" xml:space="preserve"> IFERROR( INDEX($P$5:$AF$54, $I16, D$1), "")</f>
        <v>ㄧㄠ</v>
      </c>
      <c r="E16" s="350" t="str" cm="1">
        <f t="array" ref="E16" xml:space="preserve"> IFERROR( INDEX($P$5:$AF$54, $I16, E$1), "")</f>
        <v>ㄧㄠㆷ</v>
      </c>
      <c r="F16" s="350" t="str" cm="1">
        <f t="array" ref="F16" xml:space="preserve"> IFERROR( INDEX($P$5:$AF$54, $I16, F$1), "")</f>
        <v>iau</v>
      </c>
      <c r="G16" s="350" t="str" cm="1">
        <f t="array" ref="G16" xml:space="preserve"> IFERROR( INDEX($P$5:$AF$54, $I16, G$1), "")</f>
        <v>iauh</v>
      </c>
      <c r="H16" s="25" t="s">
        <v>264</v>
      </c>
      <c r="I16" s="26">
        <f t="shared" si="0"/>
        <v>12</v>
      </c>
      <c r="J16" s="362"/>
      <c r="K16" s="362">
        <f t="shared" si="2"/>
        <v>12</v>
      </c>
      <c r="L16" s="366" t="str">
        <f t="shared" si="1"/>
        <v/>
      </c>
      <c r="M16" s="25" t="str" cm="1">
        <f t="array" ref="M16">IF($K16=0, INDEX($AB$5:$AB$54,$P16,1), "")</f>
        <v/>
      </c>
      <c r="N16" s="25" t="str" cm="1">
        <f t="array" ref="N16">IF($K16=0, INDEX($X$5:$X$54,$P16,1), "")</f>
        <v/>
      </c>
      <c r="P16" s="47">
        <v>12</v>
      </c>
      <c r="Q16" s="366" t="s">
        <v>264</v>
      </c>
      <c r="R16" s="26" t="s">
        <v>265</v>
      </c>
      <c r="S16" s="27" t="s">
        <v>266</v>
      </c>
      <c r="T16" s="26" t="s">
        <v>267</v>
      </c>
      <c r="U16" s="40" t="s">
        <v>268</v>
      </c>
      <c r="V16" s="151" t="s">
        <v>265</v>
      </c>
      <c r="W16" s="40" t="s">
        <v>266</v>
      </c>
      <c r="X16" s="26" t="s">
        <v>265</v>
      </c>
      <c r="Y16" s="27" t="s">
        <v>266</v>
      </c>
      <c r="Z16" s="26" t="s">
        <v>269</v>
      </c>
      <c r="AA16" s="27" t="s">
        <v>270</v>
      </c>
      <c r="AB16" s="26" t="s">
        <v>271</v>
      </c>
      <c r="AC16" s="27" t="s">
        <v>272</v>
      </c>
      <c r="AD16" s="26" t="s">
        <v>273</v>
      </c>
      <c r="AE16" s="44" t="s">
        <v>274</v>
      </c>
      <c r="AF16" s="28"/>
    </row>
    <row r="17" spans="2:32" ht="34">
      <c r="B17" s="47">
        <v>13</v>
      </c>
      <c r="C17" s="357" t="s">
        <v>275</v>
      </c>
      <c r="D17" s="350" t="str" cm="1">
        <f t="array" ref="D17" xml:space="preserve"> IFERROR( INDEX($P$5:$AF$54, $I17, D$1), "")</f>
        <v>ㆤ</v>
      </c>
      <c r="E17" s="350" t="str" cm="1">
        <f t="array" ref="E17" xml:space="preserve"> IFERROR( INDEX($P$5:$AF$54, $I17, E$1), "")</f>
        <v>ㆤㆷ</v>
      </c>
      <c r="F17" s="350" t="str" cm="1">
        <f t="array" ref="F17" xml:space="preserve"> IFERROR( INDEX($P$5:$AF$54, $I17, F$1), "")</f>
        <v>e</v>
      </c>
      <c r="G17" s="350" t="str" cm="1">
        <f t="array" ref="G17" xml:space="preserve"> IFERROR( INDEX($P$5:$AF$54, $I17, G$1), "")</f>
        <v>eh</v>
      </c>
      <c r="H17" s="354" t="s">
        <v>276</v>
      </c>
      <c r="I17" s="26">
        <f t="shared" si="0"/>
        <v>39</v>
      </c>
      <c r="J17" s="362"/>
      <c r="K17" s="362">
        <f t="shared" si="2"/>
        <v>0</v>
      </c>
      <c r="L17" s="366" t="str">
        <f t="shared" si="1"/>
        <v>稽</v>
      </c>
      <c r="M17" s="25" t="str" cm="1">
        <f t="array" ref="M17">IF($K17=0, INDEX($AB$5:$AB$54,$P17,1), "")</f>
        <v>ㄟ</v>
      </c>
      <c r="N17" s="25" t="str" cm="1">
        <f t="array" ref="N17">IF($K17=0, INDEX($X$5:$X$54,$P17,1), "")</f>
        <v>ei</v>
      </c>
      <c r="P17" s="47">
        <v>13</v>
      </c>
      <c r="Q17" s="368" t="s">
        <v>277</v>
      </c>
      <c r="R17" s="26" t="s">
        <v>278</v>
      </c>
      <c r="S17" s="30" t="s">
        <v>189</v>
      </c>
      <c r="T17" s="26" t="s">
        <v>279</v>
      </c>
      <c r="U17" s="30" t="s">
        <v>280</v>
      </c>
      <c r="V17" s="151" t="s">
        <v>279</v>
      </c>
      <c r="W17" s="129" t="s">
        <v>281</v>
      </c>
      <c r="X17" s="36" t="s">
        <v>282</v>
      </c>
      <c r="Y17" s="30" t="s">
        <v>281</v>
      </c>
      <c r="Z17" s="320" t="s">
        <v>193</v>
      </c>
      <c r="AA17" s="320" t="s">
        <v>194</v>
      </c>
      <c r="AB17" s="36" t="s">
        <v>283</v>
      </c>
      <c r="AC17" s="30" t="s">
        <v>284</v>
      </c>
      <c r="AD17" s="26" t="s">
        <v>285</v>
      </c>
      <c r="AE17" s="30"/>
      <c r="AF17" s="33" t="s">
        <v>286</v>
      </c>
    </row>
    <row r="18" spans="2:32" ht="30">
      <c r="B18" s="47">
        <v>14</v>
      </c>
      <c r="C18" s="355" t="s">
        <v>287</v>
      </c>
      <c r="D18" s="350" t="str" cm="1">
        <f t="array" ref="D18" xml:space="preserve"> IFERROR( INDEX($P$5:$AF$54, $I18, D$1), "")</f>
        <v>ㄧㆲ</v>
      </c>
      <c r="E18" s="350" t="str" cm="1">
        <f t="array" ref="E18" xml:space="preserve"> IFERROR( INDEX($P$5:$AF$54, $I18, E$1), "")</f>
        <v>ㄧㆦㆻ</v>
      </c>
      <c r="F18" s="350" t="str" cm="1">
        <f t="array" ref="F18" xml:space="preserve"> IFERROR( INDEX($P$5:$AF$54, $I18, F$1), "")</f>
        <v>iong</v>
      </c>
      <c r="G18" s="350" t="str" cm="1">
        <f t="array" ref="G18" xml:space="preserve"> IFERROR( INDEX($P$5:$AF$54, $I18, G$1), "")</f>
        <v>iok</v>
      </c>
      <c r="H18" s="25" t="s">
        <v>288</v>
      </c>
      <c r="I18" s="26">
        <f t="shared" si="0"/>
        <v>14</v>
      </c>
      <c r="J18" s="362"/>
      <c r="K18" s="362">
        <f t="shared" si="2"/>
        <v>14</v>
      </c>
      <c r="L18" s="366" t="str">
        <f t="shared" si="1"/>
        <v/>
      </c>
      <c r="M18" s="25" t="str" cm="1">
        <f t="array" ref="M18">IF($K18=0, INDEX($AB$5:$AB$54,$P18,1), "")</f>
        <v/>
      </c>
      <c r="N18" s="25" t="str" cm="1">
        <f t="array" ref="N18">IF($K18=0, INDEX($X$5:$X$54,$P18,1), "")</f>
        <v/>
      </c>
      <c r="P18" s="47">
        <v>14</v>
      </c>
      <c r="Q18" s="366" t="s">
        <v>288</v>
      </c>
      <c r="R18" s="26" t="s">
        <v>289</v>
      </c>
      <c r="S18" s="27" t="s">
        <v>290</v>
      </c>
      <c r="T18" s="26" t="s">
        <v>291</v>
      </c>
      <c r="U18" s="27" t="s">
        <v>292</v>
      </c>
      <c r="V18" s="152" t="s">
        <v>289</v>
      </c>
      <c r="W18" s="38" t="s">
        <v>290</v>
      </c>
      <c r="X18" s="37" t="s">
        <v>289</v>
      </c>
      <c r="Y18" s="38" t="s">
        <v>290</v>
      </c>
      <c r="Z18" s="26" t="s">
        <v>289</v>
      </c>
      <c r="AA18" s="27" t="s">
        <v>290</v>
      </c>
      <c r="AB18" s="37" t="s">
        <v>293</v>
      </c>
      <c r="AC18" s="252" t="s">
        <v>294</v>
      </c>
      <c r="AD18" s="26" t="s">
        <v>295</v>
      </c>
      <c r="AE18" s="44" t="s">
        <v>296</v>
      </c>
      <c r="AF18" s="28"/>
    </row>
    <row r="19" spans="2:32" ht="30">
      <c r="B19" s="47">
        <v>15</v>
      </c>
      <c r="C19" s="355" t="s">
        <v>297</v>
      </c>
      <c r="D19" s="350" t="str" cm="1">
        <f t="array" ref="D19" xml:space="preserve"> IFERROR( INDEX($P$5:$AF$54, $I19, D$1), "")</f>
        <v>ㄜ</v>
      </c>
      <c r="E19" s="350" t="str" cm="1">
        <f t="array" ref="E19" xml:space="preserve"> IFERROR( INDEX($P$5:$AF$54, $I19, E$1), "")</f>
        <v>ㄜㆷ</v>
      </c>
      <c r="F19" s="350" t="str" cm="1">
        <f t="array" ref="F19" xml:space="preserve"> IFERROR( INDEX($P$5:$AF$54, $I19, F$1), "")</f>
        <v>o</v>
      </c>
      <c r="G19" s="350" t="str" cm="1">
        <f t="array" ref="G19" xml:space="preserve"> IFERROR( INDEX($P$5:$AF$54, $I19, G$1), "")</f>
        <v>oh</v>
      </c>
      <c r="H19" s="25" t="s">
        <v>298</v>
      </c>
      <c r="I19" s="26">
        <f t="shared" si="0"/>
        <v>15</v>
      </c>
      <c r="J19" s="362"/>
      <c r="K19" s="362">
        <f t="shared" si="2"/>
        <v>15</v>
      </c>
      <c r="L19" s="366" t="str">
        <f t="shared" si="1"/>
        <v/>
      </c>
      <c r="M19" s="25" t="str" cm="1">
        <f t="array" ref="M19">IF($K19=0, INDEX($AB$5:$AB$54,$P19,1), "")</f>
        <v/>
      </c>
      <c r="N19" s="25" t="str" cm="1">
        <f t="array" ref="N19">IF($K19=0, INDEX($X$5:$X$54,$P19,1), "")</f>
        <v/>
      </c>
      <c r="P19" s="47">
        <v>15</v>
      </c>
      <c r="Q19" s="366" t="s">
        <v>298</v>
      </c>
      <c r="R19" s="26" t="s">
        <v>299</v>
      </c>
      <c r="S19" s="27" t="s">
        <v>300</v>
      </c>
      <c r="T19" s="26" t="s">
        <v>299</v>
      </c>
      <c r="U19" s="40" t="s">
        <v>301</v>
      </c>
      <c r="V19" s="151" t="s">
        <v>299</v>
      </c>
      <c r="W19" s="40" t="s">
        <v>300</v>
      </c>
      <c r="X19" s="26" t="s">
        <v>299</v>
      </c>
      <c r="Y19" s="27" t="s">
        <v>300</v>
      </c>
      <c r="Z19" s="26" t="s">
        <v>299</v>
      </c>
      <c r="AA19" s="27" t="s">
        <v>300</v>
      </c>
      <c r="AB19" s="26" t="s">
        <v>302</v>
      </c>
      <c r="AC19" s="27" t="s">
        <v>303</v>
      </c>
      <c r="AD19" s="26" t="s">
        <v>299</v>
      </c>
      <c r="AE19" s="44" t="s">
        <v>304</v>
      </c>
      <c r="AF19" s="28"/>
    </row>
    <row r="20" spans="2:32" ht="30">
      <c r="B20" s="47">
        <v>16</v>
      </c>
      <c r="C20" s="355" t="s">
        <v>305</v>
      </c>
      <c r="D20" s="350" t="str" cm="1">
        <f t="array" ref="D20" xml:space="preserve"> IFERROR( INDEX($P$5:$AF$54, $I20, D$1), "")</f>
        <v>ㄞ</v>
      </c>
      <c r="E20" s="350" t="str" cm="1">
        <f t="array" ref="E20" xml:space="preserve"> IFERROR( INDEX($P$5:$AF$54, $I20, E$1), "")</f>
        <v>ㄞㆷ</v>
      </c>
      <c r="F20" s="350" t="str" cm="1">
        <f t="array" ref="F20" xml:space="preserve"> IFERROR( INDEX($P$5:$AF$54, $I20, F$1), "")</f>
        <v>ai</v>
      </c>
      <c r="G20" s="350" t="str" cm="1">
        <f t="array" ref="G20" xml:space="preserve"> IFERROR( INDEX($P$5:$AF$54, $I20, G$1), "")</f>
        <v>aih</v>
      </c>
      <c r="H20" s="25" t="s">
        <v>306</v>
      </c>
      <c r="I20" s="26">
        <f t="shared" si="0"/>
        <v>16</v>
      </c>
      <c r="J20" s="362"/>
      <c r="K20" s="362">
        <f t="shared" si="2"/>
        <v>16</v>
      </c>
      <c r="L20" s="366" t="str">
        <f t="shared" si="1"/>
        <v/>
      </c>
      <c r="M20" s="25" t="str" cm="1">
        <f t="array" ref="M20">IF($K20=0, INDEX($AB$5:$AB$54,$P20,1), "")</f>
        <v/>
      </c>
      <c r="N20" s="25" t="str" cm="1">
        <f t="array" ref="N20">IF($K20=0, INDEX($X$5:$X$54,$P20,1), "")</f>
        <v/>
      </c>
      <c r="P20" s="47">
        <v>16</v>
      </c>
      <c r="Q20" s="366" t="s">
        <v>306</v>
      </c>
      <c r="R20" s="26" t="s">
        <v>307</v>
      </c>
      <c r="S20" s="30" t="s">
        <v>308</v>
      </c>
      <c r="T20" s="26" t="s">
        <v>309</v>
      </c>
      <c r="U20" s="30" t="s">
        <v>310</v>
      </c>
      <c r="V20" s="151" t="s">
        <v>307</v>
      </c>
      <c r="W20" s="30" t="s">
        <v>311</v>
      </c>
      <c r="X20" s="26" t="s">
        <v>307</v>
      </c>
      <c r="Y20" s="30" t="s">
        <v>308</v>
      </c>
      <c r="Z20" s="26" t="s">
        <v>307</v>
      </c>
      <c r="AA20" s="30" t="s">
        <v>311</v>
      </c>
      <c r="AB20" s="26" t="s">
        <v>312</v>
      </c>
      <c r="AC20" s="30" t="s">
        <v>313</v>
      </c>
      <c r="AD20" s="26" t="s">
        <v>314</v>
      </c>
      <c r="AE20" s="30"/>
      <c r="AF20" s="28"/>
    </row>
    <row r="21" spans="2:32" ht="30">
      <c r="B21" s="47">
        <v>17</v>
      </c>
      <c r="C21" s="355" t="s">
        <v>315</v>
      </c>
      <c r="D21" s="350" t="str" cm="1">
        <f t="array" ref="D21" xml:space="preserve"> IFERROR( INDEX($P$5:$AF$54, $I21, D$1), "")</f>
        <v>ㄧㄣ</v>
      </c>
      <c r="E21" s="350" t="str" cm="1">
        <f t="array" ref="E21" xml:space="preserve"> IFERROR( INDEX($P$5:$AF$54, $I21, E$1), "")</f>
        <v>ㄧㆵ</v>
      </c>
      <c r="F21" s="350" t="str" cm="1">
        <f t="array" ref="F21" xml:space="preserve"> IFERROR( INDEX($P$5:$AF$54, $I21, F$1), "")</f>
        <v>in</v>
      </c>
      <c r="G21" s="350" t="str" cm="1">
        <f t="array" ref="G21" xml:space="preserve"> IFERROR( INDEX($P$5:$AF$54, $I21, G$1), "")</f>
        <v>it</v>
      </c>
      <c r="H21" s="25" t="s">
        <v>316</v>
      </c>
      <c r="I21" s="26">
        <f t="shared" si="0"/>
        <v>17</v>
      </c>
      <c r="J21" s="362"/>
      <c r="K21" s="362">
        <f t="shared" si="2"/>
        <v>17</v>
      </c>
      <c r="L21" s="366" t="str">
        <f t="shared" si="1"/>
        <v/>
      </c>
      <c r="M21" s="25" t="str" cm="1">
        <f t="array" ref="M21">IF($K21=0, INDEX($AB$5:$AB$54,$P21,1), "")</f>
        <v/>
      </c>
      <c r="N21" s="25" t="str" cm="1">
        <f t="array" ref="N21">IF($K21=0, INDEX($X$5:$X$54,$P21,1), "")</f>
        <v/>
      </c>
      <c r="P21" s="47">
        <v>17</v>
      </c>
      <c r="Q21" s="366" t="s">
        <v>316</v>
      </c>
      <c r="R21" s="26" t="s">
        <v>317</v>
      </c>
      <c r="S21" s="27" t="s">
        <v>318</v>
      </c>
      <c r="T21" s="26" t="s">
        <v>317</v>
      </c>
      <c r="U21" s="27" t="s">
        <v>319</v>
      </c>
      <c r="V21" s="150" t="s">
        <v>317</v>
      </c>
      <c r="W21" s="27" t="s">
        <v>318</v>
      </c>
      <c r="X21" s="26" t="s">
        <v>317</v>
      </c>
      <c r="Y21" s="27" t="s">
        <v>318</v>
      </c>
      <c r="Z21" s="26" t="s">
        <v>317</v>
      </c>
      <c r="AA21" s="27" t="s">
        <v>318</v>
      </c>
      <c r="AB21" s="26" t="s">
        <v>320</v>
      </c>
      <c r="AC21" s="27" t="s">
        <v>321</v>
      </c>
      <c r="AD21" s="26" t="s">
        <v>317</v>
      </c>
      <c r="AE21" s="44" t="s">
        <v>318</v>
      </c>
      <c r="AF21" s="28"/>
    </row>
    <row r="22" spans="2:32" ht="30">
      <c r="B22" s="47">
        <v>18</v>
      </c>
      <c r="C22" s="355" t="s">
        <v>322</v>
      </c>
      <c r="D22" s="350" t="str" cm="1">
        <f t="array" ref="D22" xml:space="preserve"> IFERROR( INDEX($P$5:$AF$54, $I22, D$1), "")</f>
        <v>ㄧㄤ</v>
      </c>
      <c r="E22" s="350" t="str" cm="1">
        <f t="array" ref="E22" xml:space="preserve"> IFERROR( INDEX($P$5:$AF$54, $I22, E$1), "")</f>
        <v>ㄧㄚㆻ</v>
      </c>
      <c r="F22" s="350" t="str" cm="1">
        <f t="array" ref="F22" xml:space="preserve"> IFERROR( INDEX($P$5:$AF$54, $I22, F$1), "")</f>
        <v>iang</v>
      </c>
      <c r="G22" s="350" t="str" cm="1">
        <f t="array" ref="G22" xml:space="preserve"> IFERROR( INDEX($P$5:$AF$54, $I22, G$1), "")</f>
        <v>iak</v>
      </c>
      <c r="H22" s="25" t="s">
        <v>323</v>
      </c>
      <c r="I22" s="26">
        <f t="shared" si="0"/>
        <v>18</v>
      </c>
      <c r="J22" s="362"/>
      <c r="K22" s="362">
        <f t="shared" si="2"/>
        <v>18</v>
      </c>
      <c r="L22" s="366" t="str">
        <f t="shared" si="1"/>
        <v/>
      </c>
      <c r="M22" s="25" t="str" cm="1">
        <f t="array" ref="M22">IF($K22=0, INDEX($AB$5:$AB$54,$P22,1), "")</f>
        <v/>
      </c>
      <c r="N22" s="25" t="str" cm="1">
        <f t="array" ref="N22">IF($K22=0, INDEX($X$5:$X$54,$P22,1), "")</f>
        <v/>
      </c>
      <c r="P22" s="47">
        <v>18</v>
      </c>
      <c r="Q22" s="366" t="s">
        <v>323</v>
      </c>
      <c r="R22" s="26" t="s">
        <v>324</v>
      </c>
      <c r="S22" s="27" t="s">
        <v>325</v>
      </c>
      <c r="T22" s="26" t="s">
        <v>326</v>
      </c>
      <c r="U22" s="40" t="s">
        <v>327</v>
      </c>
      <c r="V22" s="151" t="s">
        <v>324</v>
      </c>
      <c r="W22" s="40" t="s">
        <v>325</v>
      </c>
      <c r="X22" s="26" t="s">
        <v>324</v>
      </c>
      <c r="Y22" s="27" t="s">
        <v>325</v>
      </c>
      <c r="Z22" s="26" t="s">
        <v>324</v>
      </c>
      <c r="AA22" s="27" t="s">
        <v>325</v>
      </c>
      <c r="AB22" s="26" t="s">
        <v>328</v>
      </c>
      <c r="AC22" s="27" t="s">
        <v>329</v>
      </c>
      <c r="AD22" s="26" t="s">
        <v>330</v>
      </c>
      <c r="AE22" s="44" t="s">
        <v>331</v>
      </c>
      <c r="AF22" s="28"/>
    </row>
    <row r="23" spans="2:32" ht="30">
      <c r="B23" s="47">
        <v>19</v>
      </c>
      <c r="C23" s="355" t="s">
        <v>332</v>
      </c>
      <c r="D23" s="350" t="str" cm="1">
        <f t="array" ref="D23" xml:space="preserve"> IFERROR( INDEX($P$5:$AF$54, $I23, D$1), "")</f>
        <v>ㆰ</v>
      </c>
      <c r="E23" s="350" t="str" cm="1">
        <f t="array" ref="E23" xml:space="preserve"> IFERROR( INDEX($P$5:$AF$54, $I23, E$1), "")</f>
        <v>ㄚㆴ</v>
      </c>
      <c r="F23" s="350" t="str" cm="1">
        <f t="array" ref="F23" xml:space="preserve"> IFERROR( INDEX($P$5:$AF$54, $I23, F$1), "")</f>
        <v>am</v>
      </c>
      <c r="G23" s="350" t="str" cm="1">
        <f t="array" ref="G23" xml:space="preserve"> IFERROR( INDEX($P$5:$AF$54, $I23, G$1), "")</f>
        <v>ap</v>
      </c>
      <c r="H23" s="25" t="s">
        <v>333</v>
      </c>
      <c r="I23" s="26">
        <f t="shared" si="0"/>
        <v>19</v>
      </c>
      <c r="J23" s="362"/>
      <c r="K23" s="362">
        <f t="shared" si="2"/>
        <v>19</v>
      </c>
      <c r="L23" s="366" t="str">
        <f t="shared" si="1"/>
        <v/>
      </c>
      <c r="M23" s="25" t="str" cm="1">
        <f t="array" ref="M23">IF($K23=0, INDEX($AB$5:$AB$54,$P23,1), "")</f>
        <v/>
      </c>
      <c r="N23" s="25" t="str" cm="1">
        <f t="array" ref="N23">IF($K23=0, INDEX($X$5:$X$54,$P23,1), "")</f>
        <v/>
      </c>
      <c r="P23" s="47">
        <v>19</v>
      </c>
      <c r="Q23" s="366" t="s">
        <v>333</v>
      </c>
      <c r="R23" s="26" t="s">
        <v>334</v>
      </c>
      <c r="S23" s="27" t="s">
        <v>203</v>
      </c>
      <c r="T23" s="26" t="s">
        <v>334</v>
      </c>
      <c r="U23" s="27" t="s">
        <v>335</v>
      </c>
      <c r="V23" s="150" t="s">
        <v>334</v>
      </c>
      <c r="W23" s="27" t="s">
        <v>203</v>
      </c>
      <c r="X23" s="26" t="s">
        <v>334</v>
      </c>
      <c r="Y23" s="27" t="s">
        <v>203</v>
      </c>
      <c r="Z23" s="26" t="s">
        <v>334</v>
      </c>
      <c r="AA23" s="27" t="s">
        <v>203</v>
      </c>
      <c r="AB23" s="26" t="s">
        <v>336</v>
      </c>
      <c r="AC23" s="27" t="s">
        <v>337</v>
      </c>
      <c r="AD23" s="26" t="s">
        <v>334</v>
      </c>
      <c r="AE23" s="44" t="s">
        <v>203</v>
      </c>
      <c r="AF23" s="28"/>
    </row>
    <row r="24" spans="2:32" ht="30">
      <c r="B24" s="47">
        <v>20</v>
      </c>
      <c r="C24" s="355" t="s">
        <v>338</v>
      </c>
      <c r="D24" s="350" t="str" cm="1">
        <f t="array" ref="D24" xml:space="preserve"> IFERROR( INDEX($P$5:$AF$54, $I24, D$1), "")</f>
        <v>ㄨㄚ</v>
      </c>
      <c r="E24" s="350" t="str" cm="1">
        <f t="array" ref="E24" xml:space="preserve"> IFERROR( INDEX($P$5:$AF$54, $I24, E$1), "")</f>
        <v>ㄨㄚㆷ</v>
      </c>
      <c r="F24" s="350" t="str" cm="1">
        <f t="array" ref="F24" xml:space="preserve"> IFERROR( INDEX($P$5:$AF$54, $I24, F$1), "")</f>
        <v>ua</v>
      </c>
      <c r="G24" s="350" t="str" cm="1">
        <f t="array" ref="G24" xml:space="preserve"> IFERROR( INDEX($P$5:$AF$54, $I24, G$1), "")</f>
        <v>uah</v>
      </c>
      <c r="H24" s="25" t="s">
        <v>339</v>
      </c>
      <c r="I24" s="26">
        <f t="shared" si="0"/>
        <v>20</v>
      </c>
      <c r="J24" s="362"/>
      <c r="K24" s="362">
        <f t="shared" si="2"/>
        <v>20</v>
      </c>
      <c r="L24" s="366" t="str">
        <f t="shared" si="1"/>
        <v/>
      </c>
      <c r="M24" s="25" t="str" cm="1">
        <f t="array" ref="M24">IF($K24=0, INDEX($AB$5:$AB$54,$P24,1), "")</f>
        <v/>
      </c>
      <c r="N24" s="25" t="str" cm="1">
        <f t="array" ref="N24">IF($K24=0, INDEX($X$5:$X$54,$P24,1), "")</f>
        <v/>
      </c>
      <c r="P24" s="47">
        <v>20</v>
      </c>
      <c r="Q24" s="366" t="s">
        <v>339</v>
      </c>
      <c r="R24" s="26" t="s">
        <v>340</v>
      </c>
      <c r="S24" s="27" t="s">
        <v>341</v>
      </c>
      <c r="T24" s="26" t="s">
        <v>340</v>
      </c>
      <c r="U24" s="40" t="s">
        <v>342</v>
      </c>
      <c r="V24" s="151" t="s">
        <v>343</v>
      </c>
      <c r="W24" s="40" t="s">
        <v>344</v>
      </c>
      <c r="X24" s="26" t="s">
        <v>340</v>
      </c>
      <c r="Y24" s="27" t="s">
        <v>341</v>
      </c>
      <c r="Z24" s="26" t="s">
        <v>340</v>
      </c>
      <c r="AA24" s="27" t="s">
        <v>341</v>
      </c>
      <c r="AB24" s="26" t="s">
        <v>345</v>
      </c>
      <c r="AC24" s="27" t="s">
        <v>346</v>
      </c>
      <c r="AD24" s="26" t="s">
        <v>347</v>
      </c>
      <c r="AE24" s="44" t="s">
        <v>348</v>
      </c>
      <c r="AF24" s="28"/>
    </row>
    <row r="25" spans="2:32" ht="34">
      <c r="B25" s="47">
        <v>21</v>
      </c>
      <c r="C25" s="355" t="s">
        <v>349</v>
      </c>
      <c r="D25" s="350" t="str" cm="1">
        <f t="array" ref="D25" xml:space="preserve"> IFERROR( INDEX($P$5:$AF$54, $I25, D$1), "")</f>
        <v>ㄤ</v>
      </c>
      <c r="E25" s="350" t="str" cm="1">
        <f t="array" ref="E25" xml:space="preserve"> IFERROR( INDEX($P$5:$AF$54, $I25, E$1), "")</f>
        <v>ㄚㆻ</v>
      </c>
      <c r="F25" s="350" t="str" cm="1">
        <f t="array" ref="F25" xml:space="preserve"> IFERROR( INDEX($P$5:$AF$54, $I25, F$1), "")</f>
        <v>ang</v>
      </c>
      <c r="G25" s="350" t="str" cm="1">
        <f t="array" ref="G25" xml:space="preserve"> IFERROR( INDEX($P$5:$AF$54, $I25, G$1), "")</f>
        <v>ak</v>
      </c>
      <c r="H25" s="25" t="s">
        <v>350</v>
      </c>
      <c r="I25" s="26">
        <f t="shared" si="0"/>
        <v>21</v>
      </c>
      <c r="J25" s="362"/>
      <c r="K25" s="362">
        <f t="shared" si="2"/>
        <v>21</v>
      </c>
      <c r="L25" s="366" t="str">
        <f t="shared" si="1"/>
        <v/>
      </c>
      <c r="M25" s="25" t="str" cm="1">
        <f t="array" ref="M25">IF($K25=0, INDEX($AB$5:$AB$54,$P25,1), "")</f>
        <v/>
      </c>
      <c r="N25" s="25" t="str" cm="1">
        <f t="array" ref="N25">IF($K25=0, INDEX($X$5:$X$54,$P25,1), "")</f>
        <v/>
      </c>
      <c r="P25" s="47">
        <v>21</v>
      </c>
      <c r="Q25" s="366" t="s">
        <v>350</v>
      </c>
      <c r="R25" s="26" t="s">
        <v>351</v>
      </c>
      <c r="S25" s="27" t="s">
        <v>352</v>
      </c>
      <c r="T25" s="26" t="s">
        <v>353</v>
      </c>
      <c r="U25" s="27" t="s">
        <v>354</v>
      </c>
      <c r="V25" s="150" t="s">
        <v>351</v>
      </c>
      <c r="W25" s="27" t="s">
        <v>352</v>
      </c>
      <c r="X25" s="26" t="s">
        <v>351</v>
      </c>
      <c r="Y25" s="27" t="s">
        <v>352</v>
      </c>
      <c r="Z25" s="26" t="s">
        <v>351</v>
      </c>
      <c r="AA25" s="27" t="s">
        <v>352</v>
      </c>
      <c r="AB25" s="26" t="s">
        <v>355</v>
      </c>
      <c r="AC25" s="250" t="s">
        <v>356</v>
      </c>
      <c r="AD25" s="26" t="s">
        <v>351</v>
      </c>
      <c r="AE25" s="44" t="s">
        <v>352</v>
      </c>
      <c r="AF25" s="28"/>
    </row>
    <row r="26" spans="2:32" ht="30">
      <c r="B26" s="47">
        <v>22</v>
      </c>
      <c r="C26" s="355" t="s">
        <v>357</v>
      </c>
      <c r="D26" s="350" t="str" cm="1">
        <f t="array" ref="D26" xml:space="preserve"> IFERROR( INDEX($P$5:$AF$54, $I26, D$1), "")</f>
        <v>ㄧㆰ</v>
      </c>
      <c r="E26" s="350" t="str" cm="1">
        <f t="array" ref="E26" xml:space="preserve"> IFERROR( INDEX($P$5:$AF$54, $I26, E$1), "")</f>
        <v>ㄧㄚㆴ</v>
      </c>
      <c r="F26" s="350" t="str" cm="1">
        <f t="array" ref="F26" xml:space="preserve"> IFERROR( INDEX($P$5:$AF$54, $I26, F$1), "")</f>
        <v>iam</v>
      </c>
      <c r="G26" s="350" t="str" cm="1">
        <f t="array" ref="G26" xml:space="preserve"> IFERROR( INDEX($P$5:$AF$54, $I26, G$1), "")</f>
        <v>iap</v>
      </c>
      <c r="H26" s="25" t="s">
        <v>358</v>
      </c>
      <c r="I26" s="26">
        <f t="shared" si="0"/>
        <v>22</v>
      </c>
      <c r="J26" s="362"/>
      <c r="K26" s="362">
        <f t="shared" si="2"/>
        <v>22</v>
      </c>
      <c r="L26" s="366" t="str">
        <f t="shared" si="1"/>
        <v/>
      </c>
      <c r="M26" s="25" t="str" cm="1">
        <f t="array" ref="M26">IF($K26=0, INDEX($AB$5:$AB$54,$P26,1), "")</f>
        <v/>
      </c>
      <c r="N26" s="25" t="str" cm="1">
        <f t="array" ref="N26">IF($K26=0, INDEX($X$5:$X$54,$P26,1), "")</f>
        <v/>
      </c>
      <c r="P26" s="47">
        <v>22</v>
      </c>
      <c r="Q26" s="366" t="s">
        <v>358</v>
      </c>
      <c r="R26" s="26" t="s">
        <v>359</v>
      </c>
      <c r="S26" s="27" t="s">
        <v>360</v>
      </c>
      <c r="T26" s="26" t="s">
        <v>359</v>
      </c>
      <c r="U26" s="27" t="s">
        <v>361</v>
      </c>
      <c r="V26" s="150" t="s">
        <v>359</v>
      </c>
      <c r="W26" s="27" t="s">
        <v>360</v>
      </c>
      <c r="X26" s="26" t="s">
        <v>359</v>
      </c>
      <c r="Y26" s="27" t="s">
        <v>360</v>
      </c>
      <c r="Z26" s="26" t="s">
        <v>359</v>
      </c>
      <c r="AA26" s="27" t="s">
        <v>360</v>
      </c>
      <c r="AB26" s="26" t="s">
        <v>362</v>
      </c>
      <c r="AC26" s="27" t="s">
        <v>363</v>
      </c>
      <c r="AD26" s="26" t="s">
        <v>364</v>
      </c>
      <c r="AE26" s="44" t="s">
        <v>365</v>
      </c>
      <c r="AF26" s="28"/>
    </row>
    <row r="27" spans="2:32" ht="30">
      <c r="B27" s="47">
        <v>23</v>
      </c>
      <c r="C27" s="355" t="s">
        <v>366</v>
      </c>
      <c r="D27" s="350" t="str" cm="1">
        <f t="array" ref="D27" xml:space="preserve"> IFERROR( INDEX($P$5:$AF$54, $I27, D$1), "")</f>
        <v>ㄠ</v>
      </c>
      <c r="E27" s="350" t="str" cm="1">
        <f t="array" ref="E27" xml:space="preserve"> IFERROR( INDEX($P$5:$AF$54, $I27, E$1), "")</f>
        <v>ㄠㆷ</v>
      </c>
      <c r="F27" s="350" t="str" cm="1">
        <f t="array" ref="F27" xml:space="preserve"> IFERROR( INDEX($P$5:$AF$54, $I27, F$1), "")</f>
        <v>au</v>
      </c>
      <c r="G27" s="350" t="str" cm="1">
        <f t="array" ref="G27" xml:space="preserve"> IFERROR( INDEX($P$5:$AF$54, $I27, G$1), "")</f>
        <v>auh</v>
      </c>
      <c r="H27" s="25" t="s">
        <v>367</v>
      </c>
      <c r="I27" s="26">
        <f t="shared" si="0"/>
        <v>23</v>
      </c>
      <c r="J27" s="362"/>
      <c r="K27" s="362">
        <f t="shared" si="2"/>
        <v>23</v>
      </c>
      <c r="L27" s="366" t="str">
        <f t="shared" si="1"/>
        <v/>
      </c>
      <c r="M27" s="25" t="str" cm="1">
        <f t="array" ref="M27">IF($K27=0, INDEX($AB$5:$AB$54,$P27,1), "")</f>
        <v/>
      </c>
      <c r="N27" s="25" t="str" cm="1">
        <f t="array" ref="N27">IF($K27=0, INDEX($X$5:$X$54,$P27,1), "")</f>
        <v/>
      </c>
      <c r="P27" s="47">
        <v>23</v>
      </c>
      <c r="Q27" s="366" t="s">
        <v>367</v>
      </c>
      <c r="R27" s="26" t="s">
        <v>368</v>
      </c>
      <c r="S27" s="27" t="s">
        <v>369</v>
      </c>
      <c r="T27" s="26" t="s">
        <v>370</v>
      </c>
      <c r="U27" s="27" t="s">
        <v>371</v>
      </c>
      <c r="V27" s="150" t="s">
        <v>368</v>
      </c>
      <c r="W27" s="27" t="s">
        <v>369</v>
      </c>
      <c r="X27" s="26" t="s">
        <v>368</v>
      </c>
      <c r="Y27" s="27" t="s">
        <v>369</v>
      </c>
      <c r="Z27" s="26" t="s">
        <v>372</v>
      </c>
      <c r="AA27" s="27" t="s">
        <v>373</v>
      </c>
      <c r="AB27" s="26" t="s">
        <v>374</v>
      </c>
      <c r="AC27" s="27" t="s">
        <v>375</v>
      </c>
      <c r="AD27" s="26" t="s">
        <v>376</v>
      </c>
      <c r="AE27" s="44" t="s">
        <v>377</v>
      </c>
      <c r="AF27" s="39" t="s">
        <v>370</v>
      </c>
    </row>
    <row r="28" spans="2:32" ht="30">
      <c r="B28" s="47">
        <v>24</v>
      </c>
      <c r="C28" s="355" t="s">
        <v>276</v>
      </c>
      <c r="D28" s="350" t="str" cm="1">
        <f t="array" ref="D28" xml:space="preserve"> IFERROR( INDEX($P$5:$AF$54, $I28, D$1), "")</f>
        <v>ㄧㄚ</v>
      </c>
      <c r="E28" s="350" t="str" cm="1">
        <f t="array" ref="E28" xml:space="preserve"> IFERROR( INDEX($P$5:$AF$54, $I28, E$1), "")</f>
        <v>ㄧㄚㆷ</v>
      </c>
      <c r="F28" s="350" t="str" cm="1">
        <f t="array" ref="F28" xml:space="preserve"> IFERROR( INDEX($P$5:$AF$54, $I28, F$1), "")</f>
        <v>ia</v>
      </c>
      <c r="G28" s="350" t="str" cm="1">
        <f t="array" ref="G28" xml:space="preserve"> IFERROR( INDEX($P$5:$AF$54, $I28, G$1), "")</f>
        <v>iah</v>
      </c>
      <c r="H28" s="25" t="s">
        <v>378</v>
      </c>
      <c r="I28" s="26">
        <f t="shared" si="0"/>
        <v>24</v>
      </c>
      <c r="J28" s="362"/>
      <c r="K28" s="362">
        <f t="shared" si="2"/>
        <v>24</v>
      </c>
      <c r="L28" s="366" t="str">
        <f t="shared" si="1"/>
        <v/>
      </c>
      <c r="M28" s="25" t="str" cm="1">
        <f t="array" ref="M28">IF($K28=0, INDEX($AB$5:$AB$54,$P28,1), "")</f>
        <v/>
      </c>
      <c r="N28" s="25" t="str" cm="1">
        <f t="array" ref="N28">IF($K28=0, INDEX($X$5:$X$54,$P28,1), "")</f>
        <v/>
      </c>
      <c r="P28" s="47">
        <v>24</v>
      </c>
      <c r="Q28" s="366" t="s">
        <v>378</v>
      </c>
      <c r="R28" s="26" t="s">
        <v>379</v>
      </c>
      <c r="S28" s="27" t="s">
        <v>380</v>
      </c>
      <c r="T28" s="26" t="s">
        <v>379</v>
      </c>
      <c r="U28" s="27" t="s">
        <v>381</v>
      </c>
      <c r="V28" s="150" t="s">
        <v>379</v>
      </c>
      <c r="W28" s="27" t="s">
        <v>380</v>
      </c>
      <c r="X28" s="26" t="s">
        <v>379</v>
      </c>
      <c r="Y28" s="27" t="s">
        <v>380</v>
      </c>
      <c r="Z28" s="26" t="s">
        <v>379</v>
      </c>
      <c r="AA28" s="27" t="s">
        <v>380</v>
      </c>
      <c r="AB28" s="26" t="s">
        <v>382</v>
      </c>
      <c r="AC28" s="27" t="s">
        <v>383</v>
      </c>
      <c r="AD28" s="26" t="s">
        <v>384</v>
      </c>
      <c r="AE28" s="44" t="s">
        <v>385</v>
      </c>
      <c r="AF28" s="33" t="s">
        <v>386</v>
      </c>
    </row>
    <row r="29" spans="2:32" ht="34">
      <c r="B29" s="47">
        <v>25</v>
      </c>
      <c r="C29" s="355" t="s">
        <v>387</v>
      </c>
      <c r="D29" s="350" t="str" cm="1">
        <f t="array" ref="D29" xml:space="preserve"> IFERROR( INDEX($P$5:$AF$54, $I29, D$1), "")</f>
        <v>ㄨㆤ</v>
      </c>
      <c r="E29" s="350" t="str" cm="1">
        <f t="array" ref="E29" xml:space="preserve"> IFERROR( INDEX($P$5:$AF$54, $I29, E$1), "")</f>
        <v>ㄨㆤㆷ</v>
      </c>
      <c r="F29" s="350" t="str" cm="1">
        <f t="array" ref="F29" xml:space="preserve"> IFERROR( INDEX($P$5:$AF$54, $I29, F$1), "")</f>
        <v>ue</v>
      </c>
      <c r="G29" s="350" t="str" cm="1">
        <f t="array" ref="G29" xml:space="preserve"> IFERROR( INDEX($P$5:$AF$54, $I29, G$1), "")</f>
        <v>ueh</v>
      </c>
      <c r="H29" s="25" t="s">
        <v>388</v>
      </c>
      <c r="I29" s="26">
        <f t="shared" si="0"/>
        <v>25</v>
      </c>
      <c r="J29" s="362"/>
      <c r="K29" s="362">
        <f t="shared" si="2"/>
        <v>25</v>
      </c>
      <c r="L29" s="366" t="str">
        <f t="shared" si="1"/>
        <v/>
      </c>
      <c r="M29" s="25" t="str" cm="1">
        <f t="array" ref="M29">IF($K29=0, INDEX($AB$5:$AB$54,$P29,1), "")</f>
        <v/>
      </c>
      <c r="N29" s="25" t="str" cm="1">
        <f t="array" ref="N29">IF($K29=0, INDEX($X$5:$X$54,$P29,1), "")</f>
        <v/>
      </c>
      <c r="P29" s="47">
        <v>25</v>
      </c>
      <c r="Q29" s="366" t="s">
        <v>388</v>
      </c>
      <c r="R29" s="26" t="s">
        <v>389</v>
      </c>
      <c r="S29" s="40" t="s">
        <v>390</v>
      </c>
      <c r="T29" s="31" t="s">
        <v>389</v>
      </c>
      <c r="U29" s="40" t="s">
        <v>391</v>
      </c>
      <c r="V29" s="151" t="s">
        <v>261</v>
      </c>
      <c r="W29" s="40" t="s">
        <v>392</v>
      </c>
      <c r="X29" s="31" t="s">
        <v>389</v>
      </c>
      <c r="Y29" s="40" t="s">
        <v>390</v>
      </c>
      <c r="Z29" s="31" t="s">
        <v>389</v>
      </c>
      <c r="AA29" s="40" t="s">
        <v>390</v>
      </c>
      <c r="AB29" s="247" t="s">
        <v>393</v>
      </c>
      <c r="AC29" s="248" t="s">
        <v>394</v>
      </c>
      <c r="AD29" s="31" t="s">
        <v>395</v>
      </c>
      <c r="AE29" s="45" t="s">
        <v>396</v>
      </c>
      <c r="AF29" s="28"/>
    </row>
    <row r="30" spans="2:32" ht="30">
      <c r="B30" s="47">
        <v>26</v>
      </c>
      <c r="C30" s="355" t="s">
        <v>397</v>
      </c>
      <c r="D30" s="350" t="str" cm="1">
        <f t="array" ref="D30" xml:space="preserve"> IFERROR( INDEX($P$5:$AF$54, $I30, D$1), "")</f>
        <v>ㄚ</v>
      </c>
      <c r="E30" s="350" t="str" cm="1">
        <f t="array" ref="E30" xml:space="preserve"> IFERROR( INDEX($P$5:$AF$54, $I30, E$1), "")</f>
        <v>ㄚㆷ</v>
      </c>
      <c r="F30" s="350" t="str" cm="1">
        <f t="array" ref="F30" xml:space="preserve"> IFERROR( INDEX($P$5:$AF$54, $I30, F$1), "")</f>
        <v>a</v>
      </c>
      <c r="G30" s="350" t="str" cm="1">
        <f t="array" ref="G30" xml:space="preserve"> IFERROR( INDEX($P$5:$AF$54, $I30, G$1), "")</f>
        <v>ah</v>
      </c>
      <c r="H30" s="25" t="s">
        <v>398</v>
      </c>
      <c r="I30" s="26">
        <f t="shared" si="0"/>
        <v>28</v>
      </c>
      <c r="J30" s="362"/>
      <c r="K30" s="362">
        <f t="shared" si="2"/>
        <v>39</v>
      </c>
      <c r="L30" s="366" t="str">
        <f t="shared" si="1"/>
        <v/>
      </c>
      <c r="M30" s="25" t="str" cm="1">
        <f t="array" ref="M30">IF($K30=0, INDEX($AB$5:$AB$54,$P30,1), "")</f>
        <v/>
      </c>
      <c r="N30" s="25" t="str" cm="1">
        <f t="array" ref="N30">IF($K30=0, INDEX($X$5:$X$54,$P30,1), "")</f>
        <v/>
      </c>
      <c r="P30" s="47">
        <v>26</v>
      </c>
      <c r="Q30" s="366" t="s">
        <v>399</v>
      </c>
      <c r="R30" s="26" t="s">
        <v>400</v>
      </c>
      <c r="S30" s="40" t="s">
        <v>401</v>
      </c>
      <c r="T30" s="26" t="s">
        <v>402</v>
      </c>
      <c r="U30" s="27" t="s">
        <v>403</v>
      </c>
      <c r="V30" s="150" t="s">
        <v>404</v>
      </c>
      <c r="W30" s="27" t="s">
        <v>405</v>
      </c>
      <c r="X30" s="26" t="s">
        <v>400</v>
      </c>
      <c r="Y30" s="27" t="s">
        <v>401</v>
      </c>
      <c r="Z30" s="26" t="s">
        <v>406</v>
      </c>
      <c r="AA30" s="27" t="s">
        <v>407</v>
      </c>
      <c r="AB30" s="26" t="s">
        <v>408</v>
      </c>
      <c r="AC30" s="27" t="s">
        <v>409</v>
      </c>
      <c r="AD30" s="26" t="s">
        <v>410</v>
      </c>
      <c r="AE30" s="44" t="s">
        <v>411</v>
      </c>
      <c r="AF30" s="28" t="s">
        <v>412</v>
      </c>
    </row>
    <row r="31" spans="2:32" ht="30">
      <c r="B31" s="47">
        <v>27</v>
      </c>
      <c r="C31" s="355" t="s">
        <v>413</v>
      </c>
      <c r="D31" s="350" t="str" cm="1">
        <f t="array" ref="D31" xml:space="preserve"> IFERROR( INDEX($P$5:$AF$54, $I31, D$1), "")</f>
        <v>ㄨ</v>
      </c>
      <c r="E31" s="350" t="str" cm="1">
        <f t="array" ref="E31" xml:space="preserve"> IFERROR( INDEX($P$5:$AF$54, $I31, E$1), "")</f>
        <v>ㄨㆷ</v>
      </c>
      <c r="F31" s="350" t="str" cm="1">
        <f t="array" ref="F31" xml:space="preserve"> IFERROR( INDEX($P$5:$AF$54, $I31, F$1), "")</f>
        <v>u</v>
      </c>
      <c r="G31" s="350" t="str" cm="1">
        <f t="array" ref="G31" xml:space="preserve"> IFERROR( INDEX($P$5:$AF$54, $I31, G$1), "")</f>
        <v>uh</v>
      </c>
      <c r="H31" s="25" t="s">
        <v>414</v>
      </c>
      <c r="I31" s="26">
        <f t="shared" si="0"/>
        <v>27</v>
      </c>
      <c r="J31" s="362"/>
      <c r="K31" s="362">
        <f t="shared" si="2"/>
        <v>27</v>
      </c>
      <c r="L31" s="366" t="str">
        <f t="shared" si="1"/>
        <v/>
      </c>
      <c r="M31" s="25" t="str" cm="1">
        <f t="array" ref="M31">IF($K31=0, INDEX($AB$5:$AB$54,$P31,1), "")</f>
        <v/>
      </c>
      <c r="N31" s="25" t="str" cm="1">
        <f t="array" ref="N31">IF($K31=0, INDEX($X$5:$X$54,$P31,1), "")</f>
        <v/>
      </c>
      <c r="P31" s="47">
        <v>27</v>
      </c>
      <c r="Q31" s="366" t="s">
        <v>414</v>
      </c>
      <c r="R31" s="26" t="s">
        <v>415</v>
      </c>
      <c r="S31" s="27" t="s">
        <v>416</v>
      </c>
      <c r="T31" s="26" t="s">
        <v>415</v>
      </c>
      <c r="U31" s="27" t="s">
        <v>417</v>
      </c>
      <c r="V31" s="150" t="s">
        <v>415</v>
      </c>
      <c r="W31" s="27" t="s">
        <v>416</v>
      </c>
      <c r="X31" s="26" t="s">
        <v>415</v>
      </c>
      <c r="Y31" s="27" t="s">
        <v>416</v>
      </c>
      <c r="Z31" s="26" t="s">
        <v>415</v>
      </c>
      <c r="AA31" s="27" t="s">
        <v>416</v>
      </c>
      <c r="AB31" s="26" t="s">
        <v>418</v>
      </c>
      <c r="AC31" s="27" t="s">
        <v>419</v>
      </c>
      <c r="AD31" s="26" t="s">
        <v>252</v>
      </c>
      <c r="AE31" s="44" t="s">
        <v>420</v>
      </c>
      <c r="AF31" s="33" t="s">
        <v>421</v>
      </c>
    </row>
    <row r="32" spans="2:32" ht="34">
      <c r="B32" s="47">
        <v>28</v>
      </c>
      <c r="C32" s="355" t="s">
        <v>422</v>
      </c>
      <c r="D32" s="350" t="str" cm="1">
        <f t="array" ref="D32" xml:space="preserve"> IFERROR( INDEX($P$5:$AF$54, $I32, D$1), "")</f>
        <v>ㆱ</v>
      </c>
      <c r="E32" s="350" t="str" cm="1">
        <f t="array" ref="E32" xml:space="preserve"> IFERROR( INDEX($P$5:$AF$54, $I32, E$1), "")</f>
        <v>ㆦㆴ</v>
      </c>
      <c r="F32" s="350" t="str" cm="1">
        <f t="array" ref="F32" xml:space="preserve"> IFERROR( INDEX($P$5:$AF$54, $I32, F$1), "")</f>
        <v>om</v>
      </c>
      <c r="G32" s="350" t="str" cm="1">
        <f t="array" ref="G32" xml:space="preserve"> IFERROR( INDEX($P$5:$AF$54, $I32, G$1), "")</f>
        <v>op</v>
      </c>
      <c r="H32" s="354" t="s">
        <v>423</v>
      </c>
      <c r="I32" s="26">
        <f t="shared" si="0"/>
        <v>47</v>
      </c>
      <c r="J32" s="362"/>
      <c r="K32" s="362">
        <f t="shared" si="2"/>
        <v>26</v>
      </c>
      <c r="L32" s="366" t="str">
        <f t="shared" si="1"/>
        <v/>
      </c>
      <c r="M32" s="25" t="str" cm="1">
        <f t="array" ref="M32">IF($K32=0, INDEX($AB$5:$AB$54,$P32,1), "")</f>
        <v/>
      </c>
      <c r="N32" s="25" t="str" cm="1">
        <f t="array" ref="N32">IF($K32=0, INDEX($X$5:$X$54,$P32,1), "")</f>
        <v/>
      </c>
      <c r="P32" s="47">
        <v>28</v>
      </c>
      <c r="Q32" s="366" t="s">
        <v>398</v>
      </c>
      <c r="R32" s="26" t="s">
        <v>424</v>
      </c>
      <c r="S32" s="27" t="s">
        <v>425</v>
      </c>
      <c r="T32" s="26" t="s">
        <v>424</v>
      </c>
      <c r="U32" s="27" t="s">
        <v>426</v>
      </c>
      <c r="V32" s="150" t="s">
        <v>424</v>
      </c>
      <c r="W32" s="27" t="s">
        <v>425</v>
      </c>
      <c r="X32" s="26" t="s">
        <v>424</v>
      </c>
      <c r="Y32" s="27" t="s">
        <v>425</v>
      </c>
      <c r="Z32" s="26" t="s">
        <v>424</v>
      </c>
      <c r="AA32" s="27" t="s">
        <v>425</v>
      </c>
      <c r="AB32" s="26" t="s">
        <v>427</v>
      </c>
      <c r="AC32" s="27" t="s">
        <v>428</v>
      </c>
      <c r="AD32" s="26" t="s">
        <v>424</v>
      </c>
      <c r="AE32" s="44" t="s">
        <v>429</v>
      </c>
      <c r="AF32" s="28"/>
    </row>
    <row r="33" spans="2:32" ht="30">
      <c r="B33" s="47">
        <v>29</v>
      </c>
      <c r="C33" s="355" t="s">
        <v>430</v>
      </c>
      <c r="D33" s="350" t="str" cm="1">
        <f t="array" ref="D33" xml:space="preserve"> IFERROR( INDEX($P$5:$AF$54, $I33, D$1), "")</f>
        <v>ㄧ</v>
      </c>
      <c r="E33" s="350" t="str" cm="1">
        <f t="array" ref="E33" xml:space="preserve"> IFERROR( INDEX($P$5:$AF$54, $I33, E$1), "")</f>
        <v>ㄧㆷ</v>
      </c>
      <c r="F33" s="350" t="str" cm="1">
        <f t="array" ref="F33" xml:space="preserve"> IFERROR( INDEX($P$5:$AF$54, $I33, F$1), "")</f>
        <v>i</v>
      </c>
      <c r="G33" s="350" t="str" cm="1">
        <f t="array" ref="G33" xml:space="preserve"> IFERROR( INDEX($P$5:$AF$54, $I33, G$1), "")</f>
        <v>ih</v>
      </c>
      <c r="H33" s="25" t="s">
        <v>431</v>
      </c>
      <c r="I33" s="26">
        <f t="shared" si="0"/>
        <v>29</v>
      </c>
      <c r="J33" s="362"/>
      <c r="K33" s="362">
        <f t="shared" si="2"/>
        <v>29</v>
      </c>
      <c r="L33" s="366" t="str">
        <f t="shared" si="1"/>
        <v/>
      </c>
      <c r="M33" s="25" t="str" cm="1">
        <f t="array" ref="M33">IF($K33=0, INDEX($AB$5:$AB$54,$P33,1), "")</f>
        <v/>
      </c>
      <c r="N33" s="25" t="str" cm="1">
        <f t="array" ref="N33">IF($K33=0, INDEX($X$5:$X$54,$P33,1), "")</f>
        <v/>
      </c>
      <c r="P33" s="47">
        <v>29</v>
      </c>
      <c r="Q33" s="366" t="s">
        <v>431</v>
      </c>
      <c r="R33" s="26" t="s">
        <v>432</v>
      </c>
      <c r="S33" s="27" t="s">
        <v>433</v>
      </c>
      <c r="T33" s="26" t="s">
        <v>432</v>
      </c>
      <c r="U33" s="27" t="s">
        <v>434</v>
      </c>
      <c r="V33" s="150" t="s">
        <v>432</v>
      </c>
      <c r="W33" s="27" t="s">
        <v>433</v>
      </c>
      <c r="X33" s="26" t="s">
        <v>432</v>
      </c>
      <c r="Y33" s="27" t="s">
        <v>433</v>
      </c>
      <c r="Z33" s="26" t="s">
        <v>432</v>
      </c>
      <c r="AA33" s="27" t="s">
        <v>433</v>
      </c>
      <c r="AB33" s="26" t="s">
        <v>435</v>
      </c>
      <c r="AC33" s="27" t="s">
        <v>436</v>
      </c>
      <c r="AD33" s="26" t="s">
        <v>278</v>
      </c>
      <c r="AE33" s="44" t="s">
        <v>437</v>
      </c>
      <c r="AF33" s="28"/>
    </row>
    <row r="34" spans="2:32" ht="30">
      <c r="B34" s="47">
        <v>30</v>
      </c>
      <c r="C34" s="355" t="s">
        <v>438</v>
      </c>
      <c r="D34" s="350" t="str" cm="1">
        <f t="array" ref="D34" xml:space="preserve"> IFERROR( INDEX($P$5:$AF$54, $I34, D$1), "")</f>
        <v>ㄧㄨ</v>
      </c>
      <c r="E34" s="350" t="str" cm="1">
        <f t="array" ref="E34" xml:space="preserve"> IFERROR( INDEX($P$5:$AF$54, $I34, E$1), "")</f>
        <v>ㄧㄨㆷ</v>
      </c>
      <c r="F34" s="350" t="str" cm="1">
        <f t="array" ref="F34" xml:space="preserve"> IFERROR( INDEX($P$5:$AF$54, $I34, F$1), "")</f>
        <v>iu</v>
      </c>
      <c r="G34" s="350" t="str" cm="1">
        <f t="array" ref="G34" xml:space="preserve"> IFERROR( INDEX($P$5:$AF$54, $I34, G$1), "")</f>
        <v>iuh</v>
      </c>
      <c r="H34" s="25" t="s">
        <v>438</v>
      </c>
      <c r="I34" s="26">
        <f t="shared" si="0"/>
        <v>30</v>
      </c>
      <c r="J34" s="362"/>
      <c r="K34" s="362">
        <f t="shared" si="2"/>
        <v>30</v>
      </c>
      <c r="L34" s="366" t="str">
        <f t="shared" si="1"/>
        <v/>
      </c>
      <c r="M34" s="25" t="str" cm="1">
        <f t="array" ref="M34">IF($K34=0, INDEX($AB$5:$AB$54,$P34,1), "")</f>
        <v/>
      </c>
      <c r="N34" s="25" t="str" cm="1">
        <f t="array" ref="N34">IF($K34=0, INDEX($X$5:$X$54,$P34,1), "")</f>
        <v/>
      </c>
      <c r="P34" s="47">
        <v>30</v>
      </c>
      <c r="Q34" s="366" t="s">
        <v>438</v>
      </c>
      <c r="R34" s="26" t="s">
        <v>439</v>
      </c>
      <c r="S34" s="30" t="s">
        <v>440</v>
      </c>
      <c r="T34" s="26" t="s">
        <v>439</v>
      </c>
      <c r="U34" s="30" t="s">
        <v>441</v>
      </c>
      <c r="V34" s="153" t="s">
        <v>439</v>
      </c>
      <c r="W34" s="30" t="s">
        <v>442</v>
      </c>
      <c r="X34" s="26" t="s">
        <v>439</v>
      </c>
      <c r="Y34" s="30" t="s">
        <v>440</v>
      </c>
      <c r="Z34" s="26" t="s">
        <v>439</v>
      </c>
      <c r="AA34" s="30" t="s">
        <v>442</v>
      </c>
      <c r="AB34" s="26" t="s">
        <v>443</v>
      </c>
      <c r="AC34" s="30" t="s">
        <v>444</v>
      </c>
      <c r="AD34" s="26" t="s">
        <v>445</v>
      </c>
      <c r="AE34" s="30"/>
      <c r="AF34" s="28"/>
    </row>
    <row r="35" spans="2:32" ht="34">
      <c r="B35" s="47">
        <v>31</v>
      </c>
      <c r="C35" s="358" t="s">
        <v>446</v>
      </c>
      <c r="D35" s="350" t="str" cm="1">
        <f t="array" ref="D35" xml:space="preserve"> IFERROR( INDEX($P$5:$AF$54, $I35, D$1), "")</f>
        <v>ㄧㆩ</v>
      </c>
      <c r="E35" s="350" t="str" cm="1">
        <f t="array" ref="E35" xml:space="preserve"> IFERROR( INDEX($P$5:$AF$54, $I35, E$1), "")</f>
        <v>ㄧㆩㆷ</v>
      </c>
      <c r="F35" s="350" t="str" cm="1">
        <f t="array" ref="F35" xml:space="preserve"> IFERROR( INDEX($P$5:$AF$54, $I35, F$1), "")</f>
        <v>iann</v>
      </c>
      <c r="G35" s="350" t="str" cm="1">
        <f t="array" ref="G35" xml:space="preserve"> IFERROR( INDEX($P$5:$AF$54, $I35, G$1), "")</f>
        <v>iannh</v>
      </c>
      <c r="H35" s="354" t="s">
        <v>447</v>
      </c>
      <c r="I35" s="26">
        <f t="shared" si="0"/>
        <v>36</v>
      </c>
      <c r="J35" s="362"/>
      <c r="K35" s="362">
        <f t="shared" si="2"/>
        <v>41</v>
      </c>
      <c r="L35" s="366" t="str">
        <f t="shared" si="1"/>
        <v/>
      </c>
      <c r="M35" s="25" t="str" cm="1">
        <f t="array" ref="M35">IF($K35=0, INDEX($AB$5:$AB$54,$P35,1), "")</f>
        <v/>
      </c>
      <c r="N35" s="25" t="str" cm="1">
        <f t="array" ref="N35">IF($K35=0, INDEX($X$5:$X$54,$P35,1), "")</f>
        <v/>
      </c>
      <c r="P35" s="47">
        <v>31</v>
      </c>
      <c r="Q35" s="366" t="s">
        <v>448</v>
      </c>
      <c r="R35" s="26" t="s">
        <v>449</v>
      </c>
      <c r="S35" s="40" t="s">
        <v>450</v>
      </c>
      <c r="T35" s="26" t="s">
        <v>451</v>
      </c>
      <c r="U35" s="27" t="s">
        <v>452</v>
      </c>
      <c r="V35" s="150" t="s">
        <v>453</v>
      </c>
      <c r="W35" s="27" t="s">
        <v>454</v>
      </c>
      <c r="X35" s="26" t="s">
        <v>449</v>
      </c>
      <c r="Y35" s="27" t="s">
        <v>450</v>
      </c>
      <c r="Z35" s="26" t="s">
        <v>455</v>
      </c>
      <c r="AA35" s="27" t="s">
        <v>456</v>
      </c>
      <c r="AB35" s="26" t="s">
        <v>457</v>
      </c>
      <c r="AC35" s="27" t="s">
        <v>458</v>
      </c>
      <c r="AD35" s="26" t="s">
        <v>459</v>
      </c>
      <c r="AE35" s="44" t="s">
        <v>460</v>
      </c>
      <c r="AF35" s="33" t="s">
        <v>461</v>
      </c>
    </row>
    <row r="36" spans="2:32" ht="30">
      <c r="B36" s="47">
        <v>32</v>
      </c>
      <c r="C36" s="356" t="s">
        <v>462</v>
      </c>
      <c r="D36" s="350" t="str" cm="1">
        <f t="array" ref="D36" xml:space="preserve"> IFERROR( INDEX($P$5:$AF$54, $I36, D$1), "")</f>
        <v>ㄨㆩ</v>
      </c>
      <c r="E36" s="350" t="str" cm="1">
        <f t="array" ref="E36" xml:space="preserve"> IFERROR( INDEX($P$5:$AF$54, $I36, E$1), "")</f>
        <v>ㄨㆩㆷ</v>
      </c>
      <c r="F36" s="350" t="str" cm="1">
        <f t="array" ref="F36" xml:space="preserve"> IFERROR( INDEX($P$5:$AF$54, $I36, F$1), "")</f>
        <v>uann</v>
      </c>
      <c r="G36" s="350" t="str" cm="1">
        <f t="array" ref="G36" xml:space="preserve"> IFERROR( INDEX($P$5:$AF$54, $I36, G$1), "")</f>
        <v>uannh</v>
      </c>
      <c r="H36" s="25" t="s">
        <v>463</v>
      </c>
      <c r="I36" s="26">
        <f t="shared" si="0"/>
        <v>37</v>
      </c>
      <c r="J36" s="362"/>
      <c r="K36" s="362">
        <f t="shared" si="2"/>
        <v>0</v>
      </c>
      <c r="L36" s="366" t="str">
        <f t="shared" si="1"/>
        <v>褌</v>
      </c>
      <c r="M36" s="25" t="str" cm="1">
        <f t="array" ref="M36">IF($K36=0, INDEX($AB$5:$AB$54,$P36,1), "")</f>
        <v>ㄨㆪ</v>
      </c>
      <c r="N36" s="25" t="str" cm="1">
        <f t="array" ref="N36">IF($K36=0, INDEX($X$5:$X$54,$P36,1), "")</f>
        <v>uinn</v>
      </c>
      <c r="P36" s="47">
        <v>32</v>
      </c>
      <c r="Q36" s="367" t="s">
        <v>464</v>
      </c>
      <c r="R36" s="26" t="s">
        <v>465</v>
      </c>
      <c r="S36" s="30" t="s">
        <v>466</v>
      </c>
      <c r="T36" s="31" t="s">
        <v>467</v>
      </c>
      <c r="U36" s="30" t="s">
        <v>468</v>
      </c>
      <c r="V36" s="153" t="s">
        <v>469</v>
      </c>
      <c r="W36" s="30" t="s">
        <v>470</v>
      </c>
      <c r="X36" s="31" t="s">
        <v>465</v>
      </c>
      <c r="Y36" s="30" t="s">
        <v>466</v>
      </c>
      <c r="Z36" s="31" t="s">
        <v>471</v>
      </c>
      <c r="AA36" s="30" t="s">
        <v>472</v>
      </c>
      <c r="AB36" s="31" t="s">
        <v>473</v>
      </c>
      <c r="AC36" s="30" t="s">
        <v>474</v>
      </c>
      <c r="AD36" s="31" t="s">
        <v>475</v>
      </c>
      <c r="AE36" s="30"/>
      <c r="AF36" s="33" t="s">
        <v>476</v>
      </c>
    </row>
    <row r="37" spans="2:32" ht="34">
      <c r="B37" s="47">
        <v>33</v>
      </c>
      <c r="C37" s="358" t="s">
        <v>477</v>
      </c>
      <c r="D37" s="350" t="str" cm="1">
        <f t="array" ref="D37" xml:space="preserve"> IFERROR( INDEX($P$5:$AF$54, $I37, D$1), "")</f>
        <v>ㆪ</v>
      </c>
      <c r="E37" s="350" t="str" cm="1">
        <f t="array" ref="E37" xml:space="preserve"> IFERROR( INDEX($P$5:$AF$54, $I37, E$1), "")</f>
        <v>ㆪ</v>
      </c>
      <c r="F37" s="350" t="str" cm="1">
        <f t="array" ref="F37" xml:space="preserve"> IFERROR( INDEX($P$5:$AF$54, $I37, F$1), "")</f>
        <v>inn</v>
      </c>
      <c r="G37" s="350" t="str" cm="1">
        <f t="array" ref="G37" xml:space="preserve"> IFERROR( INDEX($P$5:$AF$54, $I37, G$1), "")</f>
        <v>innh</v>
      </c>
      <c r="H37" s="354" t="s">
        <v>478</v>
      </c>
      <c r="I37" s="26">
        <f t="shared" si="0"/>
        <v>34</v>
      </c>
      <c r="J37" s="362"/>
      <c r="K37" s="362">
        <f t="shared" si="2"/>
        <v>0</v>
      </c>
      <c r="L37" s="366" t="str">
        <f t="shared" si="1"/>
        <v>茄</v>
      </c>
      <c r="M37" s="25" t="str" cm="1">
        <f t="array" ref="M37">IF($K37=0, INDEX($AB$5:$AB$54,$P37,1), "")</f>
        <v>ㄧㄜ</v>
      </c>
      <c r="N37" s="25" t="str" cm="1">
        <f t="array" ref="N37">IF($K37=0, INDEX($X$5:$X$54,$P37,1), "")</f>
        <v>io</v>
      </c>
      <c r="P37" s="47">
        <v>33</v>
      </c>
      <c r="Q37" s="366" t="s">
        <v>479</v>
      </c>
      <c r="R37" s="26" t="s">
        <v>480</v>
      </c>
      <c r="S37" s="27" t="s">
        <v>481</v>
      </c>
      <c r="T37" s="31" t="s">
        <v>480</v>
      </c>
      <c r="U37" s="27" t="s">
        <v>482</v>
      </c>
      <c r="V37" s="150" t="s">
        <v>480</v>
      </c>
      <c r="W37" s="27" t="s">
        <v>481</v>
      </c>
      <c r="X37" s="26" t="s">
        <v>480</v>
      </c>
      <c r="Y37" s="27" t="s">
        <v>481</v>
      </c>
      <c r="Z37" s="26" t="s">
        <v>480</v>
      </c>
      <c r="AA37" s="27" t="s">
        <v>481</v>
      </c>
      <c r="AB37" s="26" t="s">
        <v>483</v>
      </c>
      <c r="AC37" s="27" t="s">
        <v>484</v>
      </c>
      <c r="AD37" s="26" t="s">
        <v>485</v>
      </c>
      <c r="AE37" s="44" t="s">
        <v>486</v>
      </c>
      <c r="AF37" s="28"/>
    </row>
    <row r="38" spans="2:32" ht="30">
      <c r="B38" s="47">
        <v>34</v>
      </c>
      <c r="C38" s="355" t="s">
        <v>487</v>
      </c>
      <c r="D38" s="350" t="str" cm="1">
        <f t="array" ref="D38" xml:space="preserve"> IFERROR( INDEX($P$5:$AF$54, $I38, D$1), "")</f>
        <v>ㆭ</v>
      </c>
      <c r="E38" s="350" t="str" cm="1">
        <f t="array" ref="E38" xml:space="preserve"> IFERROR( INDEX($P$5:$AF$54, $I38, E$1), "")</f>
        <v>ㆭㆷ</v>
      </c>
      <c r="F38" s="350" t="str" cm="1">
        <f t="array" ref="F38" xml:space="preserve"> IFERROR( INDEX($P$5:$AF$54, $I38, F$1), "")</f>
        <v>ng</v>
      </c>
      <c r="G38" s="350" t="str" cm="1">
        <f t="array" ref="G38" xml:space="preserve"> IFERROR( INDEX($P$5:$AF$54, $I38, G$1), "")</f>
        <v>ngh</v>
      </c>
      <c r="H38" s="29" t="s">
        <v>488</v>
      </c>
      <c r="I38" s="26">
        <f t="shared" si="0"/>
        <v>38</v>
      </c>
      <c r="J38" s="362"/>
      <c r="K38" s="362">
        <f t="shared" si="2"/>
        <v>33</v>
      </c>
      <c r="L38" s="366" t="str">
        <f t="shared" si="1"/>
        <v/>
      </c>
      <c r="M38" s="25" t="str" cm="1">
        <f t="array" ref="M38">IF($K38=0, INDEX($AB$5:$AB$54,$P38,1), "")</f>
        <v/>
      </c>
      <c r="N38" s="25" t="str" cm="1">
        <f t="array" ref="N38">IF($K38=0, INDEX($X$5:$X$54,$P38,1), "")</f>
        <v/>
      </c>
      <c r="P38" s="47">
        <v>34</v>
      </c>
      <c r="Q38" s="366" t="s">
        <v>489</v>
      </c>
      <c r="R38" s="26" t="s">
        <v>490</v>
      </c>
      <c r="S38" s="27" t="s">
        <v>491</v>
      </c>
      <c r="T38" s="26" t="s">
        <v>492</v>
      </c>
      <c r="U38" s="27" t="s">
        <v>493</v>
      </c>
      <c r="V38" s="150" t="s">
        <v>494</v>
      </c>
      <c r="W38" s="27" t="s">
        <v>495</v>
      </c>
      <c r="X38" s="26" t="s">
        <v>490</v>
      </c>
      <c r="Y38" s="27" t="s">
        <v>491</v>
      </c>
      <c r="Z38" s="26" t="s">
        <v>496</v>
      </c>
      <c r="AA38" s="27" t="s">
        <v>497</v>
      </c>
      <c r="AB38" s="26" t="s">
        <v>498</v>
      </c>
      <c r="AC38" s="27" t="s">
        <v>498</v>
      </c>
      <c r="AD38" s="26" t="s">
        <v>499</v>
      </c>
      <c r="AE38" s="44" t="s">
        <v>500</v>
      </c>
      <c r="AF38" s="28"/>
    </row>
    <row r="39" spans="2:32" ht="34">
      <c r="B39" s="47">
        <v>35</v>
      </c>
      <c r="C39" s="355" t="s">
        <v>501</v>
      </c>
      <c r="D39" s="350" t="str" cm="1">
        <f t="array" ref="D39" xml:space="preserve"> IFERROR( INDEX($P$5:$AF$54, $I39, D$1), "")</f>
        <v>ㆮ</v>
      </c>
      <c r="E39" s="350" t="str" cm="1">
        <f t="array" ref="E39" xml:space="preserve"> IFERROR( INDEX($P$5:$AF$54, $I39, E$1), "")</f>
        <v>ㆮㆷ</v>
      </c>
      <c r="F39" s="350" t="str" cm="1">
        <f t="array" ref="F39" xml:space="preserve"> IFERROR( INDEX($P$5:$AF$54, $I39, F$1), "")</f>
        <v>ainn</v>
      </c>
      <c r="G39" s="350" t="str" cm="1">
        <f t="array" ref="G39" xml:space="preserve"> IFERROR( INDEX($P$5:$AF$54, $I39, G$1), "")</f>
        <v>ainnh</v>
      </c>
      <c r="H39" s="25" t="s">
        <v>502</v>
      </c>
      <c r="I39" s="26">
        <f t="shared" si="0"/>
        <v>40</v>
      </c>
      <c r="J39" s="362"/>
      <c r="K39" s="362">
        <f t="shared" si="2"/>
        <v>37</v>
      </c>
      <c r="L39" s="366" t="str">
        <f t="shared" si="1"/>
        <v/>
      </c>
      <c r="M39" s="25" t="str" cm="1">
        <f t="array" ref="M39">IF($K39=0, INDEX($AB$5:$AB$54,$P39,1), "")</f>
        <v/>
      </c>
      <c r="N39" s="25" t="str" cm="1">
        <f t="array" ref="N39">IF($K39=0, INDEX($X$5:$X$54,$P39,1), "")</f>
        <v/>
      </c>
      <c r="P39" s="47">
        <v>35</v>
      </c>
      <c r="Q39" s="369" t="s">
        <v>503</v>
      </c>
      <c r="R39" s="26" t="s">
        <v>504</v>
      </c>
      <c r="S39" s="30" t="s">
        <v>505</v>
      </c>
      <c r="T39" s="43" t="s">
        <v>506</v>
      </c>
      <c r="U39" s="30" t="s">
        <v>507</v>
      </c>
      <c r="V39" s="153" t="s">
        <v>508</v>
      </c>
      <c r="W39" s="30" t="s">
        <v>509</v>
      </c>
      <c r="X39" s="26" t="s">
        <v>504</v>
      </c>
      <c r="Y39" s="30" t="s">
        <v>505</v>
      </c>
      <c r="Z39" s="26" t="s">
        <v>510</v>
      </c>
      <c r="AA39" s="30" t="s">
        <v>511</v>
      </c>
      <c r="AB39" s="26" t="s">
        <v>512</v>
      </c>
      <c r="AC39" s="30" t="s">
        <v>513</v>
      </c>
      <c r="AD39" s="26" t="s">
        <v>514</v>
      </c>
      <c r="AE39" s="30"/>
      <c r="AF39" s="33" t="s">
        <v>515</v>
      </c>
    </row>
    <row r="40" spans="2:32" ht="30">
      <c r="B40" s="47">
        <v>36</v>
      </c>
      <c r="C40" s="355" t="s">
        <v>516</v>
      </c>
      <c r="D40" s="350" t="str" cm="1">
        <f t="array" ref="D40" xml:space="preserve"> IFERROR( INDEX($P$5:$AF$54, $I40, D$1), "")</f>
        <v>ㄧㆫ</v>
      </c>
      <c r="E40" s="350" t="str" cm="1">
        <f t="array" ref="E40" xml:space="preserve"> IFERROR( INDEX($P$5:$AF$54, $I40, E$1), "")</f>
        <v>ㄧㆫㆷ</v>
      </c>
      <c r="F40" s="350" t="str" cm="1">
        <f t="array" ref="F40" xml:space="preserve"> IFERROR( INDEX($P$5:$AF$54, $I40, F$1), "")</f>
        <v>iunn</v>
      </c>
      <c r="G40" s="350" t="str" cm="1">
        <f t="array" ref="G40" xml:space="preserve"> IFERROR( INDEX($P$5:$AF$54, $I40, G$1), "")</f>
        <v>iunnh</v>
      </c>
      <c r="H40" s="25" t="s">
        <v>517</v>
      </c>
      <c r="I40" s="26">
        <f t="shared" si="0"/>
        <v>50</v>
      </c>
      <c r="J40" s="362"/>
      <c r="K40" s="362">
        <f t="shared" si="2"/>
        <v>31</v>
      </c>
      <c r="L40" s="366" t="str">
        <f t="shared" si="1"/>
        <v/>
      </c>
      <c r="M40" s="25" t="str" cm="1">
        <f t="array" ref="M40">IF($K40=0, INDEX($AB$5:$AB$54,$P40,1), "")</f>
        <v/>
      </c>
      <c r="N40" s="25" t="str" cm="1">
        <f t="array" ref="N40">IF($K40=0, INDEX($X$5:$X$54,$P40,1), "")</f>
        <v/>
      </c>
      <c r="P40" s="47">
        <v>36</v>
      </c>
      <c r="Q40" s="366" t="s">
        <v>518</v>
      </c>
      <c r="R40" s="26" t="s">
        <v>519</v>
      </c>
      <c r="S40" s="111" t="s">
        <v>520</v>
      </c>
      <c r="T40" s="26" t="s">
        <v>521</v>
      </c>
      <c r="U40" s="111" t="s">
        <v>522</v>
      </c>
      <c r="V40" s="150" t="s">
        <v>523</v>
      </c>
      <c r="W40" s="111" t="s">
        <v>524</v>
      </c>
      <c r="X40" s="26" t="s">
        <v>519</v>
      </c>
      <c r="Y40" s="111" t="s">
        <v>520</v>
      </c>
      <c r="Z40" s="26" t="s">
        <v>525</v>
      </c>
      <c r="AA40" s="111" t="s">
        <v>526</v>
      </c>
      <c r="AB40" s="26" t="s">
        <v>527</v>
      </c>
      <c r="AC40" s="111" t="s">
        <v>528</v>
      </c>
      <c r="AD40" s="26" t="s">
        <v>529</v>
      </c>
      <c r="AE40" s="111"/>
      <c r="AF40" s="33" t="s">
        <v>530</v>
      </c>
    </row>
    <row r="41" spans="2:32" ht="34">
      <c r="B41" s="47">
        <v>37</v>
      </c>
      <c r="C41" s="355" t="s">
        <v>531</v>
      </c>
      <c r="D41" s="350" t="str" cm="1">
        <f t="array" ref="D41" xml:space="preserve"> IFERROR( INDEX($P$5:$AF$54, $I41, D$1), "")</f>
        <v>ㄧㆧ</v>
      </c>
      <c r="E41" s="350" t="str" cm="1">
        <f t="array" ref="E41" xml:space="preserve"> IFERROR( INDEX($P$5:$AF$54, $I41, E$1), "")</f>
        <v>ㄧㆧㆷ</v>
      </c>
      <c r="F41" s="350" t="str" cm="1">
        <f t="array" ref="F41" xml:space="preserve"> IFERROR( INDEX($P$5:$AF$54, $I41, F$1), "")</f>
        <v>ionn</v>
      </c>
      <c r="G41" s="350" t="str" cm="1">
        <f t="array" ref="G41" xml:space="preserve"> IFERROR( INDEX($P$5:$AF$54, $I41, G$1), "")</f>
        <v>ionnh</v>
      </c>
      <c r="H41" s="354" t="s">
        <v>503</v>
      </c>
      <c r="I41" s="26">
        <f t="shared" si="0"/>
        <v>35</v>
      </c>
      <c r="J41" s="362"/>
      <c r="K41" s="362">
        <f t="shared" si="2"/>
        <v>32</v>
      </c>
      <c r="L41" s="366" t="str">
        <f t="shared" si="1"/>
        <v/>
      </c>
      <c r="M41" s="25" t="str" cm="1">
        <f t="array" ref="M41">IF($K41=0, INDEX($AB$5:$AB$54,$P41,1), "")</f>
        <v/>
      </c>
      <c r="N41" s="25" t="str" cm="1">
        <f t="array" ref="N41">IF($K41=0, INDEX($X$5:$X$54,$P41,1), "")</f>
        <v/>
      </c>
      <c r="P41" s="47">
        <v>37</v>
      </c>
      <c r="Q41" s="366" t="s">
        <v>463</v>
      </c>
      <c r="R41" s="26" t="s">
        <v>532</v>
      </c>
      <c r="S41" s="30" t="s">
        <v>533</v>
      </c>
      <c r="T41" s="26" t="s">
        <v>534</v>
      </c>
      <c r="U41" s="30" t="s">
        <v>535</v>
      </c>
      <c r="V41" s="153" t="s">
        <v>536</v>
      </c>
      <c r="W41" s="30" t="s">
        <v>537</v>
      </c>
      <c r="X41" s="26" t="s">
        <v>532</v>
      </c>
      <c r="Y41" s="30" t="s">
        <v>533</v>
      </c>
      <c r="Z41" s="26" t="s">
        <v>538</v>
      </c>
      <c r="AA41" s="30" t="s">
        <v>539</v>
      </c>
      <c r="AB41" s="26" t="s">
        <v>540</v>
      </c>
      <c r="AC41" s="30" t="s">
        <v>541</v>
      </c>
      <c r="AD41" s="26" t="s">
        <v>542</v>
      </c>
      <c r="AE41" s="30"/>
      <c r="AF41" s="28"/>
    </row>
    <row r="42" spans="2:32" ht="30">
      <c r="B42" s="47">
        <v>38</v>
      </c>
      <c r="C42" s="355" t="s">
        <v>543</v>
      </c>
      <c r="D42" s="350" t="str" cm="1">
        <f t="array" ref="D42" xml:space="preserve"> IFERROR( INDEX($P$5:$AF$54, $I42, D$1), "")</f>
        <v>ㆬ</v>
      </c>
      <c r="E42" s="350" t="str" cm="1">
        <f t="array" ref="E42" xml:space="preserve"> IFERROR( INDEX($P$5:$AF$54, $I42, E$1), "")</f>
        <v>ㆬㆷ</v>
      </c>
      <c r="F42" s="350" t="str" cm="1">
        <f t="array" ref="F42" xml:space="preserve"> IFERROR( INDEX($P$5:$AF$54, $I42, F$1), "")</f>
        <v>m</v>
      </c>
      <c r="G42" s="350" t="str" cm="1">
        <f t="array" ref="G42" xml:space="preserve"> IFERROR( INDEX($P$5:$AF$54, $I42, G$1), "")</f>
        <v>mh</v>
      </c>
      <c r="H42" s="29" t="s">
        <v>544</v>
      </c>
      <c r="I42" s="26">
        <f t="shared" si="0"/>
        <v>42</v>
      </c>
      <c r="J42" s="362"/>
      <c r="K42" s="362">
        <f t="shared" si="2"/>
        <v>34</v>
      </c>
      <c r="L42" s="366" t="str">
        <f t="shared" si="1"/>
        <v/>
      </c>
      <c r="M42" s="25" t="str" cm="1">
        <f t="array" ref="M42">IF($K42=0, INDEX($AB$5:$AB$54,$P42,1), "")</f>
        <v/>
      </c>
      <c r="N42" s="25" t="str" cm="1">
        <f t="array" ref="N42">IF($K42=0, INDEX($X$5:$X$54,$P42,1), "")</f>
        <v/>
      </c>
      <c r="P42" s="47">
        <v>38</v>
      </c>
      <c r="Q42" s="367" t="s">
        <v>488</v>
      </c>
      <c r="R42" s="26" t="s">
        <v>79</v>
      </c>
      <c r="S42" s="111" t="s">
        <v>545</v>
      </c>
      <c r="T42" s="26" t="s">
        <v>546</v>
      </c>
      <c r="U42" s="111" t="s">
        <v>547</v>
      </c>
      <c r="V42" s="150" t="s">
        <v>79</v>
      </c>
      <c r="W42" s="111" t="s">
        <v>548</v>
      </c>
      <c r="X42" s="26" t="s">
        <v>79</v>
      </c>
      <c r="Y42" s="111" t="s">
        <v>545</v>
      </c>
      <c r="Z42" s="26" t="s">
        <v>79</v>
      </c>
      <c r="AA42" s="111" t="s">
        <v>548</v>
      </c>
      <c r="AB42" s="26" t="s">
        <v>549</v>
      </c>
      <c r="AC42" s="111" t="s">
        <v>550</v>
      </c>
      <c r="AD42" s="26" t="s">
        <v>551</v>
      </c>
      <c r="AE42" s="30"/>
      <c r="AF42" s="28"/>
    </row>
    <row r="43" spans="2:32" ht="30">
      <c r="B43" s="47">
        <v>39</v>
      </c>
      <c r="C43" s="355" t="s">
        <v>552</v>
      </c>
      <c r="D43" s="350" t="str" cm="1">
        <f t="array" ref="D43" xml:space="preserve"> IFERROR( INDEX($P$5:$AF$54, $I43, D$1), "")</f>
        <v>ㆩ</v>
      </c>
      <c r="E43" s="350" t="str" cm="1">
        <f t="array" ref="E43" xml:space="preserve"> IFERROR( INDEX($P$5:$AF$54, $I43, E$1), "")</f>
        <v>ㆩㆷ</v>
      </c>
      <c r="F43" s="350" t="str" cm="1">
        <f t="array" ref="F43" xml:space="preserve"> IFERROR( INDEX($P$5:$AF$54, $I43, F$1), "")</f>
        <v>ann</v>
      </c>
      <c r="G43" s="350" t="str" cm="1">
        <f t="array" ref="G43" xml:space="preserve"> IFERROR( INDEX($P$5:$AF$54, $I43, G$1), "")</f>
        <v>annh</v>
      </c>
      <c r="H43" s="25" t="s">
        <v>399</v>
      </c>
      <c r="I43" s="26">
        <f t="shared" si="0"/>
        <v>26</v>
      </c>
      <c r="J43" s="362"/>
      <c r="K43" s="362">
        <f t="shared" si="2"/>
        <v>13</v>
      </c>
      <c r="L43" s="366" t="str">
        <f t="shared" si="1"/>
        <v/>
      </c>
      <c r="M43" s="25" t="str" cm="1">
        <f t="array" ref="M43">IF($K43=0, INDEX($AB$5:$AB$54,$P43,1), "")</f>
        <v/>
      </c>
      <c r="N43" s="25" t="str" cm="1">
        <f t="array" ref="N43">IF($K43=0, INDEX($X$5:$X$54,$P43,1), "")</f>
        <v/>
      </c>
      <c r="P43" s="47">
        <v>39</v>
      </c>
      <c r="Q43" s="368" t="s">
        <v>553</v>
      </c>
      <c r="R43" s="26" t="s">
        <v>278</v>
      </c>
      <c r="S43" s="27" t="s">
        <v>189</v>
      </c>
      <c r="T43" s="26" t="s">
        <v>278</v>
      </c>
      <c r="U43" s="27" t="s">
        <v>554</v>
      </c>
      <c r="V43" s="150" t="s">
        <v>278</v>
      </c>
      <c r="W43" s="27" t="s">
        <v>189</v>
      </c>
      <c r="X43" s="26" t="s">
        <v>278</v>
      </c>
      <c r="Y43" s="27" t="s">
        <v>189</v>
      </c>
      <c r="Z43" s="26" t="s">
        <v>278</v>
      </c>
      <c r="AA43" s="27" t="s">
        <v>189</v>
      </c>
      <c r="AB43" s="26" t="s">
        <v>555</v>
      </c>
      <c r="AC43" s="27" t="s">
        <v>556</v>
      </c>
      <c r="AD43" s="26" t="s">
        <v>197</v>
      </c>
      <c r="AE43" s="44" t="s">
        <v>198</v>
      </c>
      <c r="AF43" s="28"/>
    </row>
    <row r="44" spans="2:32" ht="34">
      <c r="B44" s="47">
        <v>40</v>
      </c>
      <c r="C44" s="355" t="s">
        <v>557</v>
      </c>
      <c r="D44" s="350" t="str" cm="1">
        <f t="array" ref="D44" xml:space="preserve"> IFERROR( INDEX($P$5:$AF$54, $I44, D$1), "")</f>
        <v>ㄨㆮ</v>
      </c>
      <c r="E44" s="350" t="str" cm="1">
        <f t="array" ref="E44" xml:space="preserve"> IFERROR( INDEX($P$5:$AF$54, $I44, E$1), "")</f>
        <v>ㄨㆮㆷ</v>
      </c>
      <c r="F44" s="350" t="str" cm="1">
        <f t="array" ref="F44" xml:space="preserve"> IFERROR( INDEX($P$5:$AF$54, $I44, F$1), "")</f>
        <v>uainn</v>
      </c>
      <c r="G44" s="350" t="str" cm="1">
        <f t="array" ref="G44" xml:space="preserve"> IFERROR( INDEX($P$5:$AF$54, $I44, G$1), "")</f>
        <v>uainnh</v>
      </c>
      <c r="H44" s="29" t="s">
        <v>558</v>
      </c>
      <c r="I44" s="26">
        <f t="shared" si="0"/>
        <v>44</v>
      </c>
      <c r="J44" s="362"/>
      <c r="K44" s="362">
        <f t="shared" si="2"/>
        <v>35</v>
      </c>
      <c r="L44" s="366" t="str">
        <f t="shared" si="1"/>
        <v/>
      </c>
      <c r="M44" s="25" t="str" cm="1">
        <f t="array" ref="M44">IF($K44=0, INDEX($AB$5:$AB$54,$P44,1), "")</f>
        <v/>
      </c>
      <c r="N44" s="25" t="str" cm="1">
        <f t="array" ref="N44">IF($K44=0, INDEX($X$5:$X$54,$P44,1), "")</f>
        <v/>
      </c>
      <c r="P44" s="47">
        <v>40</v>
      </c>
      <c r="Q44" s="370" t="s">
        <v>502</v>
      </c>
      <c r="R44" s="26" t="s">
        <v>559</v>
      </c>
      <c r="S44" s="30" t="s">
        <v>560</v>
      </c>
      <c r="T44" s="26" t="s">
        <v>561</v>
      </c>
      <c r="U44" s="30" t="s">
        <v>562</v>
      </c>
      <c r="V44" s="153" t="s">
        <v>563</v>
      </c>
      <c r="W44" s="30" t="s">
        <v>564</v>
      </c>
      <c r="X44" s="26" t="s">
        <v>559</v>
      </c>
      <c r="Y44" s="30" t="s">
        <v>560</v>
      </c>
      <c r="Z44" s="26" t="s">
        <v>565</v>
      </c>
      <c r="AA44" s="30" t="s">
        <v>566</v>
      </c>
      <c r="AB44" s="26" t="s">
        <v>567</v>
      </c>
      <c r="AC44" s="30" t="s">
        <v>568</v>
      </c>
      <c r="AD44" s="26" t="s">
        <v>569</v>
      </c>
      <c r="AE44" s="30"/>
      <c r="AF44" s="33" t="s">
        <v>570</v>
      </c>
    </row>
    <row r="45" spans="2:32" ht="30">
      <c r="B45" s="47">
        <v>41</v>
      </c>
      <c r="C45" s="355" t="s">
        <v>571</v>
      </c>
      <c r="D45" s="350" t="str" cm="1">
        <f t="array" ref="D45" xml:space="preserve"> IFERROR( INDEX($P$5:$AF$54, $I45, D$1), "")</f>
        <v>ㆥ</v>
      </c>
      <c r="E45" s="350" t="str" cm="1">
        <f t="array" ref="E45" xml:space="preserve"> IFERROR( INDEX($P$5:$AF$54, $I45, E$1), "")</f>
        <v>ㆥㆷ</v>
      </c>
      <c r="F45" s="350" t="str" cm="1">
        <f t="array" ref="F45" xml:space="preserve"> IFERROR( INDEX($P$5:$AF$54, $I45, F$1), "")</f>
        <v>enn</v>
      </c>
      <c r="G45" s="350" t="str" cm="1">
        <f t="array" ref="G45" xml:space="preserve"> IFERROR( INDEX($P$5:$AF$54, $I45, G$1), "")</f>
        <v>ennh</v>
      </c>
      <c r="H45" s="25" t="s">
        <v>448</v>
      </c>
      <c r="I45" s="26">
        <f t="shared" si="0"/>
        <v>31</v>
      </c>
      <c r="J45" s="362"/>
      <c r="K45" s="362">
        <f t="shared" si="2"/>
        <v>42</v>
      </c>
      <c r="L45" s="366" t="str">
        <f t="shared" si="1"/>
        <v/>
      </c>
      <c r="M45" s="25" t="str" cm="1">
        <f t="array" ref="M45">IF($K45=0, INDEX($AB$5:$AB$54,$P45,1), "")</f>
        <v/>
      </c>
      <c r="N45" s="25" t="str" cm="1">
        <f t="array" ref="N45">IF($K45=0, INDEX($X$5:$X$54,$P45,1), "")</f>
        <v/>
      </c>
      <c r="P45" s="47">
        <v>41</v>
      </c>
      <c r="Q45" s="368" t="s">
        <v>572</v>
      </c>
      <c r="R45" s="26" t="s">
        <v>573</v>
      </c>
      <c r="S45" s="30" t="s">
        <v>574</v>
      </c>
      <c r="T45" s="26" t="s">
        <v>575</v>
      </c>
      <c r="U45" s="30" t="s">
        <v>576</v>
      </c>
      <c r="V45" s="153" t="s">
        <v>577</v>
      </c>
      <c r="W45" s="30" t="s">
        <v>578</v>
      </c>
      <c r="X45" s="26" t="s">
        <v>579</v>
      </c>
      <c r="Y45" s="30" t="s">
        <v>580</v>
      </c>
      <c r="Z45" s="26" t="s">
        <v>581</v>
      </c>
      <c r="AA45" s="30" t="s">
        <v>582</v>
      </c>
      <c r="AB45" s="26" t="s">
        <v>583</v>
      </c>
      <c r="AC45" s="30" t="s">
        <v>584</v>
      </c>
      <c r="AD45" s="26" t="s">
        <v>585</v>
      </c>
      <c r="AE45" s="30"/>
      <c r="AF45" s="33" t="s">
        <v>586</v>
      </c>
    </row>
    <row r="46" spans="2:32" ht="30">
      <c r="B46" s="47">
        <v>42</v>
      </c>
      <c r="C46" s="356" t="s">
        <v>587</v>
      </c>
      <c r="D46" s="350" t="str" cm="1">
        <f t="array" ref="D46" xml:space="preserve"> IFERROR( INDEX($P$5:$AF$54, $I46, D$1), "")</f>
        <v>ㆧ</v>
      </c>
      <c r="E46" s="350" t="str" cm="1">
        <f t="array" ref="E46" xml:space="preserve"> IFERROR( INDEX($P$5:$AF$54, $I46, E$1), "")</f>
        <v>ㆧㆷ</v>
      </c>
      <c r="F46" s="350" t="str" cm="1">
        <f t="array" ref="F46" xml:space="preserve"> IFERROR( INDEX($P$5:$AF$54, $I46, F$1), "")</f>
        <v>onn</v>
      </c>
      <c r="G46" s="350" t="str" cm="1">
        <f t="array" ref="G46" xml:space="preserve"> IFERROR( INDEX($P$5:$AF$54, $I46, G$1), "")</f>
        <v>onnh</v>
      </c>
      <c r="H46" s="25" t="s">
        <v>250</v>
      </c>
      <c r="I46" s="26">
        <f t="shared" si="0"/>
        <v>41</v>
      </c>
      <c r="J46" s="362"/>
      <c r="K46" s="362">
        <f t="shared" si="2"/>
        <v>38</v>
      </c>
      <c r="L46" s="366" t="str">
        <f t="shared" si="1"/>
        <v/>
      </c>
      <c r="M46" s="25" t="str" cm="1">
        <f t="array" ref="M46">IF($K46=0, INDEX($AB$5:$AB$54,$P46,1), "")</f>
        <v/>
      </c>
      <c r="N46" s="25" t="str" cm="1">
        <f t="array" ref="N46">IF($K46=0, INDEX($X$5:$X$54,$P46,1), "")</f>
        <v/>
      </c>
      <c r="P46" s="47">
        <v>42</v>
      </c>
      <c r="Q46" s="367" t="s">
        <v>544</v>
      </c>
      <c r="R46" s="26" t="s">
        <v>64</v>
      </c>
      <c r="S46" s="111" t="s">
        <v>588</v>
      </c>
      <c r="T46" s="26" t="s">
        <v>589</v>
      </c>
      <c r="U46" s="111" t="s">
        <v>590</v>
      </c>
      <c r="V46" s="150" t="s">
        <v>64</v>
      </c>
      <c r="W46" s="111" t="s">
        <v>591</v>
      </c>
      <c r="X46" s="26" t="s">
        <v>64</v>
      </c>
      <c r="Y46" s="111" t="s">
        <v>588</v>
      </c>
      <c r="Z46" s="26" t="s">
        <v>64</v>
      </c>
      <c r="AA46" s="111" t="s">
        <v>591</v>
      </c>
      <c r="AB46" s="26" t="s">
        <v>592</v>
      </c>
      <c r="AC46" s="111" t="s">
        <v>593</v>
      </c>
      <c r="AD46" s="31" t="s">
        <v>594</v>
      </c>
      <c r="AE46" s="30"/>
      <c r="AF46" s="28"/>
    </row>
    <row r="47" spans="2:32" ht="34">
      <c r="B47" s="47">
        <v>43</v>
      </c>
      <c r="C47" s="355" t="s">
        <v>595</v>
      </c>
      <c r="D47" s="350" t="str" cm="1">
        <f t="array" ref="D47" xml:space="preserve"> IFERROR( INDEX($P$5:$AF$54, $I47, D$1), "")</f>
        <v>ㆯ</v>
      </c>
      <c r="E47" s="350" t="str" cm="1">
        <f t="array" ref="E47" xml:space="preserve"> IFERROR( INDEX($P$5:$AF$54, $I47, E$1), "")</f>
        <v>ㆯㆷ</v>
      </c>
      <c r="F47" s="350" t="str" cm="1">
        <f t="array" ref="F47" xml:space="preserve"> IFERROR( INDEX($P$5:$AF$54, $I47, F$1), "")</f>
        <v>aunn</v>
      </c>
      <c r="G47" s="350" t="str" cm="1">
        <f t="array" ref="G47" xml:space="preserve"> IFERROR( INDEX($P$5:$AF$54, $I47, G$1), "")</f>
        <v>aunnh</v>
      </c>
      <c r="H47" s="354" t="s">
        <v>596</v>
      </c>
      <c r="I47" s="26">
        <f t="shared" si="0"/>
        <v>48</v>
      </c>
      <c r="J47" s="362"/>
      <c r="K47" s="362">
        <f t="shared" si="2"/>
        <v>0</v>
      </c>
      <c r="L47" s="366" t="str">
        <f t="shared" si="1"/>
        <v>光</v>
      </c>
      <c r="M47" s="25" t="str" cm="1">
        <f t="array" ref="M47">IF($K47=0, INDEX($AB$5:$AB$54,$P47,1), "")</f>
        <v>ㄨㄤ</v>
      </c>
      <c r="N47" s="25" t="str" cm="1">
        <f t="array" ref="N47">IF($K47=0, INDEX($X$5:$X$54,$P47,1), "")</f>
        <v>uang</v>
      </c>
      <c r="P47" s="47">
        <v>43</v>
      </c>
      <c r="Q47" s="366" t="s">
        <v>597</v>
      </c>
      <c r="R47" s="26" t="s">
        <v>598</v>
      </c>
      <c r="S47" s="41" t="s">
        <v>599</v>
      </c>
      <c r="T47" s="31" t="s">
        <v>600</v>
      </c>
      <c r="U47" s="40" t="s">
        <v>601</v>
      </c>
      <c r="V47" s="151" t="s">
        <v>602</v>
      </c>
      <c r="W47" s="40" t="s">
        <v>603</v>
      </c>
      <c r="X47" s="26" t="s">
        <v>598</v>
      </c>
      <c r="Y47" s="27" t="s">
        <v>599</v>
      </c>
      <c r="Z47" s="26" t="s">
        <v>598</v>
      </c>
      <c r="AA47" s="27" t="s">
        <v>599</v>
      </c>
      <c r="AB47" s="26" t="s">
        <v>604</v>
      </c>
      <c r="AC47" s="27" t="s">
        <v>605</v>
      </c>
      <c r="AD47" s="26" t="s">
        <v>606</v>
      </c>
      <c r="AE47" s="44" t="s">
        <v>607</v>
      </c>
      <c r="AF47" s="28"/>
    </row>
    <row r="48" spans="2:32" ht="34">
      <c r="B48" s="47">
        <v>44</v>
      </c>
      <c r="C48" s="356" t="s">
        <v>608</v>
      </c>
      <c r="D48" s="350" t="str" cm="1">
        <f t="array" ref="D48" xml:space="preserve"> IFERROR( INDEX($P$5:$AF$54, $I48, D$1), "")</f>
        <v>ㄧㆯ</v>
      </c>
      <c r="E48" s="350" t="str" cm="1">
        <f t="array" ref="E48" xml:space="preserve"> IFERROR( INDEX($P$5:$AF$54, $I48, E$1), "")</f>
        <v>ㄧㆯㆷ</v>
      </c>
      <c r="F48" s="350" t="str" cm="1">
        <f t="array" ref="F48" xml:space="preserve"> IFERROR( INDEX($P$5:$AF$54, $I48, F$1), "")</f>
        <v>iaunn</v>
      </c>
      <c r="G48" s="350" t="str" cm="1">
        <f t="array" ref="G48" xml:space="preserve"> IFERROR( INDEX($P$5:$AF$54, $I48, G$1), "")</f>
        <v>iaunnh</v>
      </c>
      <c r="H48" s="354" t="s">
        <v>609</v>
      </c>
      <c r="I48" s="26">
        <f t="shared" si="0"/>
        <v>46</v>
      </c>
      <c r="J48" s="362"/>
      <c r="K48" s="362">
        <f t="shared" si="2"/>
        <v>40</v>
      </c>
      <c r="L48" s="366" t="str">
        <f t="shared" si="1"/>
        <v/>
      </c>
      <c r="M48" s="25" t="str" cm="1">
        <f t="array" ref="M48">IF($K48=0, INDEX($AB$5:$AB$54,$P48,1), "")</f>
        <v/>
      </c>
      <c r="N48" s="25" t="str" cm="1">
        <f t="array" ref="N48">IF($K48=0, INDEX($X$5:$X$54,$P48,1), "")</f>
        <v/>
      </c>
      <c r="P48" s="47">
        <v>44</v>
      </c>
      <c r="Q48" s="367" t="s">
        <v>558</v>
      </c>
      <c r="R48" s="26" t="s">
        <v>610</v>
      </c>
      <c r="S48" s="41" t="s">
        <v>611</v>
      </c>
      <c r="T48" s="31" t="s">
        <v>612</v>
      </c>
      <c r="U48" s="40" t="s">
        <v>613</v>
      </c>
      <c r="V48" s="151" t="s">
        <v>614</v>
      </c>
      <c r="W48" s="40" t="s">
        <v>615</v>
      </c>
      <c r="X48" s="31" t="s">
        <v>610</v>
      </c>
      <c r="Y48" s="27" t="s">
        <v>611</v>
      </c>
      <c r="Z48" s="26" t="s">
        <v>616</v>
      </c>
      <c r="AA48" s="27" t="s">
        <v>617</v>
      </c>
      <c r="AB48" s="31" t="s">
        <v>618</v>
      </c>
      <c r="AC48" s="40" t="s">
        <v>619</v>
      </c>
      <c r="AD48" s="31" t="s">
        <v>620</v>
      </c>
      <c r="AE48" s="45" t="s">
        <v>621</v>
      </c>
      <c r="AF48" s="33" t="s">
        <v>622</v>
      </c>
    </row>
    <row r="49" spans="2:32" ht="30">
      <c r="B49" s="47">
        <v>45</v>
      </c>
      <c r="C49" s="359"/>
      <c r="D49" s="29"/>
      <c r="E49" s="47"/>
      <c r="F49" s="47"/>
      <c r="G49" s="47"/>
      <c r="H49" s="25"/>
      <c r="I49" s="26"/>
      <c r="J49" s="362"/>
      <c r="K49" s="362">
        <f t="shared" si="2"/>
        <v>0</v>
      </c>
      <c r="L49" s="366" t="str">
        <f t="shared" si="1"/>
        <v>糜</v>
      </c>
      <c r="M49" s="25" t="str" cm="1">
        <f t="array" ref="M49">IF($K49=0, INDEX($AB$5:$AB$54,$P49,1), "")</f>
        <v>ㄨㆥ</v>
      </c>
      <c r="N49" s="25" t="str" cm="1">
        <f t="array" ref="N49">IF($K49=0, INDEX($X$5:$X$54,$P49,1), "")</f>
        <v>uenn</v>
      </c>
      <c r="P49" s="47">
        <v>45</v>
      </c>
      <c r="Q49" s="367" t="s">
        <v>623</v>
      </c>
      <c r="R49" s="26" t="s">
        <v>624</v>
      </c>
      <c r="S49" s="30" t="s">
        <v>625</v>
      </c>
      <c r="T49" s="31" t="s">
        <v>626</v>
      </c>
      <c r="U49" s="30" t="s">
        <v>627</v>
      </c>
      <c r="V49" s="153" t="s">
        <v>628</v>
      </c>
      <c r="W49" s="30" t="s">
        <v>629</v>
      </c>
      <c r="X49" s="31" t="s">
        <v>624</v>
      </c>
      <c r="Y49" s="30" t="s">
        <v>625</v>
      </c>
      <c r="Z49" s="31" t="s">
        <v>630</v>
      </c>
      <c r="AA49" s="30" t="s">
        <v>631</v>
      </c>
      <c r="AB49" s="31" t="s">
        <v>632</v>
      </c>
      <c r="AC49" s="30" t="s">
        <v>633</v>
      </c>
      <c r="AD49" s="31" t="s">
        <v>634</v>
      </c>
      <c r="AE49" s="30"/>
      <c r="AF49" s="42" t="s">
        <v>635</v>
      </c>
    </row>
    <row r="50" spans="2:32" ht="30">
      <c r="B50" s="47">
        <v>46</v>
      </c>
      <c r="C50" s="360"/>
      <c r="D50" s="25"/>
      <c r="E50" s="47"/>
      <c r="F50" s="47"/>
      <c r="G50" s="47"/>
      <c r="H50" s="25"/>
      <c r="I50" s="26"/>
      <c r="J50" s="362"/>
      <c r="K50" s="362">
        <f t="shared" si="2"/>
        <v>44</v>
      </c>
      <c r="L50" s="366" t="str">
        <f t="shared" si="1"/>
        <v/>
      </c>
      <c r="M50" s="25" t="str" cm="1">
        <f t="array" ref="M50">IF($K50=0, INDEX($AB$5:$AB$54,$P50,1), "")</f>
        <v/>
      </c>
      <c r="N50" s="25" t="str" cm="1">
        <f t="array" ref="N50">IF($K50=0, INDEX($X$5:$X$54,$P50,1), "")</f>
        <v/>
      </c>
      <c r="P50" s="47">
        <v>46</v>
      </c>
      <c r="Q50" s="366" t="s">
        <v>636</v>
      </c>
      <c r="R50" s="26" t="s">
        <v>637</v>
      </c>
      <c r="S50" s="41" t="s">
        <v>638</v>
      </c>
      <c r="T50" s="26" t="s">
        <v>639</v>
      </c>
      <c r="U50" s="27" t="s">
        <v>640</v>
      </c>
      <c r="V50" s="150" t="s">
        <v>641</v>
      </c>
      <c r="W50" s="27" t="s">
        <v>642</v>
      </c>
      <c r="X50" s="26" t="s">
        <v>637</v>
      </c>
      <c r="Y50" s="27" t="s">
        <v>638</v>
      </c>
      <c r="Z50" s="26" t="s">
        <v>643</v>
      </c>
      <c r="AA50" s="27" t="s">
        <v>644</v>
      </c>
      <c r="AB50" s="26" t="s">
        <v>645</v>
      </c>
      <c r="AC50" s="27" t="s">
        <v>646</v>
      </c>
      <c r="AD50" s="26" t="s">
        <v>647</v>
      </c>
      <c r="AE50" s="44" t="s">
        <v>648</v>
      </c>
      <c r="AF50" s="28"/>
    </row>
    <row r="51" spans="2:32" ht="34">
      <c r="B51" s="47">
        <v>47</v>
      </c>
      <c r="C51" s="360"/>
      <c r="D51" s="25"/>
      <c r="E51" s="47"/>
      <c r="F51" s="47"/>
      <c r="G51" s="47"/>
      <c r="H51" s="25"/>
      <c r="I51" s="26"/>
      <c r="J51" s="362"/>
      <c r="K51" s="362">
        <f t="shared" si="2"/>
        <v>28</v>
      </c>
      <c r="L51" s="366" t="str">
        <f t="shared" si="1"/>
        <v/>
      </c>
      <c r="M51" s="25" t="str" cm="1">
        <f t="array" ref="M51">IF($K51=0, INDEX($AB$5:$AB$54,$P51,1), "")</f>
        <v/>
      </c>
      <c r="N51" s="25" t="str" cm="1">
        <f t="array" ref="N51">IF($K51=0, INDEX($X$5:$X$54,$P51,1), "")</f>
        <v/>
      </c>
      <c r="P51" s="47">
        <v>47</v>
      </c>
      <c r="Q51" s="370" t="s">
        <v>423</v>
      </c>
      <c r="R51" s="26" t="s">
        <v>649</v>
      </c>
      <c r="S51" s="41" t="s">
        <v>650</v>
      </c>
      <c r="T51" s="31" t="s">
        <v>651</v>
      </c>
      <c r="U51" s="27" t="s">
        <v>652</v>
      </c>
      <c r="V51" s="150" t="s">
        <v>649</v>
      </c>
      <c r="W51" s="27" t="s">
        <v>650</v>
      </c>
      <c r="X51" s="26" t="s">
        <v>649</v>
      </c>
      <c r="Y51" s="27" t="s">
        <v>650</v>
      </c>
      <c r="Z51" s="26" t="s">
        <v>649</v>
      </c>
      <c r="AA51" s="27" t="s">
        <v>650</v>
      </c>
      <c r="AB51" s="26" t="s">
        <v>653</v>
      </c>
      <c r="AC51" s="27" t="s">
        <v>654</v>
      </c>
      <c r="AD51" s="26" t="s">
        <v>649</v>
      </c>
      <c r="AE51" s="44" t="s">
        <v>655</v>
      </c>
      <c r="AF51" s="28"/>
    </row>
    <row r="52" spans="2:32" ht="30">
      <c r="B52" s="47">
        <v>48</v>
      </c>
      <c r="C52" s="360"/>
      <c r="D52" s="25"/>
      <c r="E52" s="47"/>
      <c r="F52" s="47"/>
      <c r="G52" s="47"/>
      <c r="H52" s="25"/>
      <c r="I52" s="26"/>
      <c r="J52" s="362"/>
      <c r="K52" s="362">
        <f t="shared" si="2"/>
        <v>43</v>
      </c>
      <c r="L52" s="366" t="str">
        <f t="shared" si="1"/>
        <v/>
      </c>
      <c r="M52" s="25" t="str" cm="1">
        <f t="array" ref="M52">IF($K52=0, INDEX($AB$5:$AB$54,$P52,1), "")</f>
        <v/>
      </c>
      <c r="N52" s="25" t="str" cm="1">
        <f t="array" ref="N52">IF($K52=0, INDEX($X$5:$X$54,$P52,1), "")</f>
        <v/>
      </c>
      <c r="P52" s="47">
        <v>48</v>
      </c>
      <c r="Q52" s="366" t="s">
        <v>656</v>
      </c>
      <c r="R52" s="26" t="s">
        <v>657</v>
      </c>
      <c r="S52" s="30" t="s">
        <v>658</v>
      </c>
      <c r="T52" s="26" t="s">
        <v>659</v>
      </c>
      <c r="U52" s="30" t="s">
        <v>660</v>
      </c>
      <c r="V52" s="150" t="s">
        <v>661</v>
      </c>
      <c r="W52" s="30" t="s">
        <v>662</v>
      </c>
      <c r="X52" s="150" t="s">
        <v>657</v>
      </c>
      <c r="Y52" s="30" t="s">
        <v>658</v>
      </c>
      <c r="Z52" s="26" t="s">
        <v>663</v>
      </c>
      <c r="AA52" s="30" t="s">
        <v>664</v>
      </c>
      <c r="AB52" s="26" t="s">
        <v>665</v>
      </c>
      <c r="AC52" s="30" t="s">
        <v>666</v>
      </c>
      <c r="AD52" s="26" t="s">
        <v>667</v>
      </c>
      <c r="AE52" s="30"/>
      <c r="AF52" s="28"/>
    </row>
    <row r="53" spans="2:32" ht="30">
      <c r="B53" s="47">
        <v>49</v>
      </c>
      <c r="C53" s="360"/>
      <c r="D53" s="25"/>
      <c r="E53" s="47"/>
      <c r="F53" s="47"/>
      <c r="G53" s="47"/>
      <c r="H53" s="25"/>
      <c r="I53" s="26"/>
      <c r="J53" s="362"/>
      <c r="K53" s="362">
        <f t="shared" si="2"/>
        <v>42</v>
      </c>
      <c r="L53" s="366" t="str">
        <f t="shared" si="1"/>
        <v/>
      </c>
      <c r="M53" s="25" t="str" cm="1">
        <f t="array" ref="M53">IF($K53=0, INDEX($AB$5:$AB$54,$P53,1), "")</f>
        <v/>
      </c>
      <c r="N53" s="25" t="str" cm="1">
        <f t="array" ref="N53">IF($K53=0, INDEX($X$5:$X$54,$P53,1), "")</f>
        <v/>
      </c>
      <c r="P53" s="47">
        <v>49</v>
      </c>
      <c r="Q53" s="368" t="s">
        <v>668</v>
      </c>
      <c r="R53" s="26" t="s">
        <v>573</v>
      </c>
      <c r="S53" s="41" t="s">
        <v>574</v>
      </c>
      <c r="T53" s="26" t="s">
        <v>669</v>
      </c>
      <c r="U53" s="27" t="s">
        <v>670</v>
      </c>
      <c r="V53" s="150" t="s">
        <v>577</v>
      </c>
      <c r="W53" s="27" t="s">
        <v>578</v>
      </c>
      <c r="X53" s="361" t="s">
        <v>579</v>
      </c>
      <c r="Y53" s="361" t="s">
        <v>580</v>
      </c>
      <c r="Z53" s="26" t="s">
        <v>671</v>
      </c>
      <c r="AA53" s="27" t="s">
        <v>672</v>
      </c>
      <c r="AB53" s="26" t="s">
        <v>583</v>
      </c>
      <c r="AC53" s="27" t="s">
        <v>584</v>
      </c>
      <c r="AD53" s="26" t="s">
        <v>673</v>
      </c>
      <c r="AE53" s="44" t="s">
        <v>674</v>
      </c>
      <c r="AF53" s="33" t="s">
        <v>675</v>
      </c>
    </row>
    <row r="54" spans="2:32" ht="30">
      <c r="B54" s="47">
        <v>50</v>
      </c>
      <c r="C54" s="360"/>
      <c r="D54" s="25"/>
      <c r="E54" s="47"/>
      <c r="F54" s="47"/>
      <c r="G54" s="47"/>
      <c r="H54" s="25"/>
      <c r="I54" s="26"/>
      <c r="J54" s="362"/>
      <c r="K54" s="362">
        <f t="shared" si="2"/>
        <v>36</v>
      </c>
      <c r="L54" s="366" t="str">
        <f t="shared" si="1"/>
        <v/>
      </c>
      <c r="M54" s="25" t="str" cm="1">
        <f t="array" ref="M54">IF($K54=0, INDEX($AB$5:$AB$54,$P54,1), "")</f>
        <v/>
      </c>
      <c r="N54" s="25" t="str" cm="1">
        <f t="array" ref="N54">IF($K54=0, INDEX($X$5:$X$54,$P54,1), "")</f>
        <v/>
      </c>
      <c r="P54" s="47">
        <v>50</v>
      </c>
      <c r="Q54" s="368" t="s">
        <v>676</v>
      </c>
      <c r="R54" s="26" t="s">
        <v>677</v>
      </c>
      <c r="S54" s="111" t="s">
        <v>678</v>
      </c>
      <c r="T54" s="26" t="s">
        <v>679</v>
      </c>
      <c r="U54" s="111" t="s">
        <v>680</v>
      </c>
      <c r="V54" s="150" t="s">
        <v>681</v>
      </c>
      <c r="W54" s="111" t="s">
        <v>682</v>
      </c>
      <c r="X54" s="26" t="s">
        <v>677</v>
      </c>
      <c r="Y54" s="111" t="s">
        <v>678</v>
      </c>
      <c r="Z54" s="26" t="s">
        <v>683</v>
      </c>
      <c r="AA54" s="111" t="s">
        <v>684</v>
      </c>
      <c r="AB54" s="26" t="s">
        <v>685</v>
      </c>
      <c r="AC54" s="111" t="s">
        <v>686</v>
      </c>
      <c r="AD54" s="26" t="s">
        <v>687</v>
      </c>
      <c r="AE54" s="46"/>
      <c r="AF54" s="28"/>
    </row>
  </sheetData>
  <phoneticPr fontId="1" type="noConversion"/>
  <conditionalFormatting sqref="C5:C54">
    <cfRule type="expression" dxfId="13" priority="2">
      <formula xml:space="preserve"> $C5 &lt;&gt; $H5</formula>
    </cfRule>
  </conditionalFormatting>
  <conditionalFormatting sqref="L5:N54">
    <cfRule type="cellIs" dxfId="12" priority="1" operator="notEqual">
      <formula>""</formula>
    </cfRule>
  </conditionalFormatting>
  <dataValidations count="2">
    <dataValidation type="list" allowBlank="1" showInputMessage="1" showErrorMessage="1" sqref="H5:H34 H39:H41 H46:H54" xr:uid="{8EA751D9-C8A3-F440-8932-B539F0D56F21}">
      <formula1>十五音韻母</formula1>
    </dataValidation>
    <dataValidation allowBlank="1" showInputMessage="1" showErrorMessage="1" sqref="J1:J1048576 O1:O1048576" xr:uid="{6E1878BB-0A0C-4CCD-A531-F0CBAA775E39}"/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9BCC-141F-D246-BD62-520A3D330B6D}">
  <sheetPr>
    <tabColor rgb="FF00B0F0"/>
  </sheetPr>
  <dimension ref="B1:AG54"/>
  <sheetViews>
    <sheetView showGridLines="0" topLeftCell="A3" workbookViewId="0">
      <pane xSplit="5" ySplit="2" topLeftCell="F23" activePane="bottomRight" state="frozen"/>
      <selection activeCell="A3" sqref="A3"/>
      <selection pane="topRight" activeCell="F3" sqref="F3"/>
      <selection pane="bottomLeft" activeCell="A5" sqref="A5"/>
      <selection pane="bottomRight" activeCell="C49" sqref="C49"/>
    </sheetView>
  </sheetViews>
  <sheetFormatPr baseColWidth="10" defaultColWidth="10.8984375" defaultRowHeight="25.5" customHeight="1" outlineLevelRow="1" outlineLevelCol="1"/>
  <cols>
    <col min="1" max="1" width="2.69921875" customWidth="1"/>
    <col min="2" max="2" width="5" style="6" customWidth="1"/>
    <col min="3" max="3" width="7.19921875" style="24" customWidth="1"/>
    <col min="4" max="4" width="8.69921875" style="24" customWidth="1"/>
    <col min="5" max="5" width="9.8984375" style="24" hidden="1" customWidth="1" outlineLevel="1"/>
    <col min="6" max="6" width="9.8984375" style="6" customWidth="1" collapsed="1"/>
    <col min="7" max="10" width="10.296875" style="6" customWidth="1"/>
    <col min="11" max="11" width="5.09765625" style="6" customWidth="1"/>
    <col min="12" max="12" width="9.8984375" style="6" hidden="1" customWidth="1" outlineLevel="1"/>
    <col min="13" max="13" width="12.796875" style="363" customWidth="1" collapsed="1"/>
    <col min="14" max="14" width="12.796875" style="363" customWidth="1"/>
    <col min="15" max="15" width="12.796875" style="6" customWidth="1"/>
    <col min="16" max="16" width="4.8984375" customWidth="1"/>
    <col min="17" max="17" width="5" style="6" customWidth="1"/>
    <col min="18" max="18" width="12.09765625" style="6" customWidth="1"/>
    <col min="19" max="24" width="12.59765625" style="6" hidden="1" customWidth="1" outlineLevel="1"/>
    <col min="25" max="25" width="12.59765625" customWidth="1" collapsed="1"/>
    <col min="26" max="26" width="12.59765625" customWidth="1"/>
    <col min="27" max="28" width="12.59765625" hidden="1" customWidth="1" outlineLevel="1"/>
    <col min="29" max="29" width="12.59765625" customWidth="1" collapsed="1"/>
    <col min="30" max="30" width="12.59765625" customWidth="1"/>
    <col min="31" max="31" width="10.69921875" style="6" hidden="1" customWidth="1" outlineLevel="1"/>
    <col min="32" max="32" width="10.69921875" hidden="1" customWidth="1" outlineLevel="1"/>
    <col min="33" max="33" width="53" customWidth="1" collapsed="1"/>
  </cols>
  <sheetData>
    <row r="1" spans="2:33" ht="22" hidden="1" outlineLevel="1">
      <c r="D1" s="24">
        <v>9</v>
      </c>
      <c r="F1" s="6">
        <v>2</v>
      </c>
      <c r="G1" s="6">
        <v>13</v>
      </c>
      <c r="H1" s="6">
        <v>14</v>
      </c>
      <c r="I1" s="6">
        <v>9</v>
      </c>
      <c r="J1" s="6">
        <v>10</v>
      </c>
    </row>
    <row r="2" spans="2:33" s="51" customFormat="1" ht="22" hidden="1" outlineLevel="1">
      <c r="B2" s="102" cm="1">
        <f t="array" ref="B2">COLUMN()-COLUMN(($A:$A))</f>
        <v>1</v>
      </c>
      <c r="C2" s="379"/>
      <c r="D2" s="379"/>
      <c r="E2" s="379"/>
      <c r="F2" s="102"/>
      <c r="G2" s="102"/>
      <c r="H2" s="102"/>
      <c r="I2" s="102"/>
      <c r="J2" s="102"/>
      <c r="K2" s="128"/>
      <c r="L2" s="102"/>
      <c r="M2" s="364"/>
      <c r="N2" s="364"/>
      <c r="O2" s="102"/>
      <c r="Q2" s="102" cm="1">
        <f t="array" ref="Q2">COLUMN()-COLUMN(($P:$P))</f>
        <v>1</v>
      </c>
      <c r="R2" s="102" cm="1">
        <f t="array" ref="R2">COLUMN()-COLUMN(($P:$P))</f>
        <v>2</v>
      </c>
      <c r="S2" s="102" cm="1">
        <f t="array" ref="S2">COLUMN()-COLUMN(($P:$P))</f>
        <v>3</v>
      </c>
      <c r="T2" s="102" cm="1">
        <f t="array" ref="T2">COLUMN()-COLUMN(($P:$P))</f>
        <v>4</v>
      </c>
      <c r="U2" s="102" cm="1">
        <f t="array" ref="U2">COLUMN()-COLUMN(($P:$P))</f>
        <v>5</v>
      </c>
      <c r="V2" s="102" cm="1">
        <f t="array" ref="V2">COLUMN()-COLUMN(($P:$P))</f>
        <v>6</v>
      </c>
      <c r="W2" s="102" cm="1">
        <f t="array" ref="W2">COLUMN()-COLUMN(($P:$P))</f>
        <v>7</v>
      </c>
      <c r="X2" s="102" cm="1">
        <f t="array" ref="X2">COLUMN()-COLUMN(($P:$P))</f>
        <v>8</v>
      </c>
      <c r="Y2" s="102" cm="1">
        <f t="array" ref="Y2">COLUMN()-COLUMN(($P:$P))</f>
        <v>9</v>
      </c>
      <c r="Z2" s="102" cm="1">
        <f t="array" ref="Z2">COLUMN()-COLUMN(($P:$P))</f>
        <v>10</v>
      </c>
      <c r="AA2" s="102" cm="1">
        <f t="array" ref="AA2">COLUMN()-COLUMN(($P:$P))</f>
        <v>11</v>
      </c>
      <c r="AB2" s="102" cm="1">
        <f t="array" ref="AB2">COLUMN()-COLUMN(($P:$P))</f>
        <v>12</v>
      </c>
      <c r="AC2" s="102" cm="1">
        <f t="array" ref="AC2">COLUMN()-COLUMN(($P:$P))</f>
        <v>13</v>
      </c>
      <c r="AD2" s="102" cm="1">
        <f t="array" ref="AD2">COLUMN()-COLUMN(($P:$P))</f>
        <v>14</v>
      </c>
      <c r="AE2" s="102" cm="1">
        <f t="array" ref="AE2">COLUMN()-COLUMN(($P:$P))</f>
        <v>15</v>
      </c>
      <c r="AF2" s="102" cm="1">
        <f t="array" ref="AF2">COLUMN()-COLUMN(($P:$P))</f>
        <v>16</v>
      </c>
      <c r="AG2" s="102" cm="1">
        <f t="array" ref="AG2">COLUMN()-COLUMN(($P:$P))</f>
        <v>17</v>
      </c>
    </row>
    <row r="3" spans="2:33" ht="11" customHeight="1" collapsed="1"/>
    <row r="4" spans="2:33" s="376" customFormat="1" ht="18" customHeight="1">
      <c r="B4" s="371" t="s">
        <v>123</v>
      </c>
      <c r="C4" s="371" t="s">
        <v>3611</v>
      </c>
      <c r="D4" s="388" t="s">
        <v>127</v>
      </c>
      <c r="E4" s="388" t="s">
        <v>3594</v>
      </c>
      <c r="F4" s="373" t="s">
        <v>129</v>
      </c>
      <c r="G4" s="371" t="s">
        <v>125</v>
      </c>
      <c r="H4" s="371" t="s">
        <v>126</v>
      </c>
      <c r="I4" s="372" t="s">
        <v>127</v>
      </c>
      <c r="J4" s="372" t="s">
        <v>128</v>
      </c>
      <c r="K4" s="374"/>
      <c r="L4" s="375" t="s">
        <v>131</v>
      </c>
      <c r="M4" s="375" t="s">
        <v>132</v>
      </c>
      <c r="N4" s="375" t="s">
        <v>133</v>
      </c>
      <c r="O4" s="375" t="s">
        <v>134</v>
      </c>
      <c r="Q4" s="371" t="s">
        <v>123</v>
      </c>
      <c r="R4" s="371" t="s">
        <v>135</v>
      </c>
      <c r="S4" s="373" t="s">
        <v>136</v>
      </c>
      <c r="T4" s="373" t="s">
        <v>137</v>
      </c>
      <c r="U4" s="377" t="s">
        <v>138</v>
      </c>
      <c r="V4" s="377" t="s">
        <v>139</v>
      </c>
      <c r="W4" s="373" t="s">
        <v>140</v>
      </c>
      <c r="X4" s="373" t="s">
        <v>141</v>
      </c>
      <c r="Y4" s="377" t="s">
        <v>142</v>
      </c>
      <c r="Z4" s="377" t="s">
        <v>143</v>
      </c>
      <c r="AA4" s="373" t="s">
        <v>144</v>
      </c>
      <c r="AB4" s="373" t="s">
        <v>145</v>
      </c>
      <c r="AC4" s="377" t="s">
        <v>146</v>
      </c>
      <c r="AD4" s="377" t="s">
        <v>147</v>
      </c>
      <c r="AE4" s="373" t="s">
        <v>148</v>
      </c>
      <c r="AF4" s="373" t="s">
        <v>149</v>
      </c>
      <c r="AG4" s="378" t="s">
        <v>150</v>
      </c>
    </row>
    <row r="5" spans="2:33" ht="34">
      <c r="B5" s="47">
        <v>1</v>
      </c>
      <c r="C5" s="390" t="s">
        <v>152</v>
      </c>
      <c r="D5" s="389" t="s">
        <v>153</v>
      </c>
      <c r="E5" s="389">
        <f t="shared" ref="E5:E36" si="0" xml:space="preserve"> IFERROR( MATCH($D5,$Y$5:$Y$54,0), 0)</f>
        <v>1</v>
      </c>
      <c r="F5" s="387" t="str" cm="1">
        <f t="array" ref="F5" xml:space="preserve"> IF($E5=0, "", INDEX($Q$5:$AG$54, $E5, F$1))</f>
        <v>君</v>
      </c>
      <c r="G5" s="350" t="str" cm="1">
        <f t="array" ref="G5" xml:space="preserve"> IF($E5=0, "", INDEX($Q$5:$AG$54, $E5, G$1))</f>
        <v>ㄨㄣ</v>
      </c>
      <c r="H5" s="350" t="str" cm="1">
        <f t="array" ref="H5" xml:space="preserve"> IF($E5=0, "", INDEX($Q$5:$AG$54, $E5, H$1))</f>
        <v>ㄨㆵ</v>
      </c>
      <c r="I5" s="350" t="str" cm="1">
        <f t="array" ref="I5" xml:space="preserve"> IF($E5=0, "", INDEX($Q$5:$AG$54, $E5, I$1))</f>
        <v>un</v>
      </c>
      <c r="J5" s="350" t="str" cm="1">
        <f t="array" ref="J5" xml:space="preserve"> IF($E5=0, "", INDEX($Q$5:$AG$54, $E5, J$1))</f>
        <v>ut</v>
      </c>
      <c r="K5" s="362"/>
      <c r="L5" s="362">
        <f xml:space="preserve"> IFERROR( MATCH(Y5,$I$5:$I$54,0), 0)</f>
        <v>1</v>
      </c>
      <c r="M5" s="365" t="str">
        <f t="shared" ref="M5:M36" si="1" xml:space="preserve"> IF(L5=0, R5, "")</f>
        <v/>
      </c>
      <c r="N5" s="25" t="str" cm="1">
        <f t="array" ref="N5">IF($L5=0, INDEX($AC$5:$AC$54,$Q5,1), "")</f>
        <v/>
      </c>
      <c r="O5" s="25" t="str" cm="1">
        <f t="array" ref="O5">IF($L5=0, INDEX($Y$5:$Y$54,$Q5,1), "")</f>
        <v/>
      </c>
      <c r="Q5" s="47">
        <v>1</v>
      </c>
      <c r="R5" s="380" t="s">
        <v>152</v>
      </c>
      <c r="S5" s="26" t="s">
        <v>153</v>
      </c>
      <c r="T5" s="27" t="s">
        <v>154</v>
      </c>
      <c r="U5" s="26" t="s">
        <v>153</v>
      </c>
      <c r="V5" s="27" t="s">
        <v>155</v>
      </c>
      <c r="W5" s="150" t="s">
        <v>153</v>
      </c>
      <c r="X5" s="27" t="s">
        <v>154</v>
      </c>
      <c r="Y5" s="26" t="s">
        <v>153</v>
      </c>
      <c r="Z5" s="27" t="s">
        <v>154</v>
      </c>
      <c r="AA5" s="26" t="s">
        <v>153</v>
      </c>
      <c r="AB5" s="27" t="s">
        <v>154</v>
      </c>
      <c r="AC5" s="26" t="s">
        <v>156</v>
      </c>
      <c r="AD5" s="27" t="s">
        <v>157</v>
      </c>
      <c r="AE5" s="26" t="s">
        <v>158</v>
      </c>
      <c r="AF5" s="44" t="s">
        <v>159</v>
      </c>
      <c r="AG5" s="28"/>
    </row>
    <row r="6" spans="2:33" ht="34">
      <c r="B6" s="47">
        <v>2</v>
      </c>
      <c r="C6" s="390" t="s">
        <v>161</v>
      </c>
      <c r="D6" s="389" t="s">
        <v>162</v>
      </c>
      <c r="E6" s="389">
        <f t="shared" si="0"/>
        <v>2</v>
      </c>
      <c r="F6" s="387" t="str" cm="1">
        <f t="array" ref="F6" xml:space="preserve"> IF($E6=0, "", INDEX($Q$5:$AG$54, $E6, F$1))</f>
        <v>堅</v>
      </c>
      <c r="G6" s="350" t="str" cm="1">
        <f t="array" ref="G6" xml:space="preserve"> IF($E6=0, "", INDEX($Q$5:$AG$54, $E6, G$1))</f>
        <v>ㄧㄢ</v>
      </c>
      <c r="H6" s="350" t="str" cm="1">
        <f t="array" ref="H6" xml:space="preserve"> IF($E6=0, "", INDEX($Q$5:$AG$54, $E6, H$1))</f>
        <v>ㄧㄚㆵ</v>
      </c>
      <c r="I6" s="350" t="str" cm="1">
        <f t="array" ref="I6" xml:space="preserve"> IF($E6=0, "", INDEX($Q$5:$AG$54, $E6, I$1))</f>
        <v>ian</v>
      </c>
      <c r="J6" s="350" t="str" cm="1">
        <f t="array" ref="J6" xml:space="preserve"> IF($E6=0, "", INDEX($Q$5:$AG$54, $E6, J$1))</f>
        <v>iat</v>
      </c>
      <c r="K6" s="362"/>
      <c r="L6" s="362">
        <f xml:space="preserve"> IFERROR( MATCH(Y6,$I$5:$I$54,0), 0)</f>
        <v>2</v>
      </c>
      <c r="M6" s="366" t="str">
        <f t="shared" si="1"/>
        <v/>
      </c>
      <c r="N6" s="25" t="str" cm="1">
        <f t="array" ref="N6">IF($L6=0, INDEX($AC$5:$AC$54,$Q6,1), "")</f>
        <v/>
      </c>
      <c r="O6" s="25" t="str" cm="1">
        <f t="array" ref="O6">IF($L6=0, INDEX($Y$5:$Y$54,$Q6,1), "")</f>
        <v/>
      </c>
      <c r="Q6" s="47">
        <v>2</v>
      </c>
      <c r="R6" s="380" t="s">
        <v>161</v>
      </c>
      <c r="S6" s="26" t="s">
        <v>162</v>
      </c>
      <c r="T6" s="27" t="s">
        <v>163</v>
      </c>
      <c r="U6" s="26" t="s">
        <v>162</v>
      </c>
      <c r="V6" s="27" t="s">
        <v>164</v>
      </c>
      <c r="W6" s="150" t="s">
        <v>162</v>
      </c>
      <c r="X6" s="27" t="s">
        <v>163</v>
      </c>
      <c r="Y6" s="26" t="s">
        <v>162</v>
      </c>
      <c r="Z6" s="27" t="s">
        <v>163</v>
      </c>
      <c r="AA6" s="26" t="s">
        <v>162</v>
      </c>
      <c r="AB6" s="27" t="s">
        <v>163</v>
      </c>
      <c r="AC6" s="26" t="s">
        <v>165</v>
      </c>
      <c r="AD6" s="27" t="s">
        <v>166</v>
      </c>
      <c r="AE6" s="26" t="s">
        <v>167</v>
      </c>
      <c r="AF6" s="44" t="s">
        <v>168</v>
      </c>
      <c r="AG6" s="28"/>
    </row>
    <row r="7" spans="2:33" ht="34">
      <c r="B7" s="47">
        <v>3</v>
      </c>
      <c r="C7" s="390" t="s">
        <v>170</v>
      </c>
      <c r="D7" s="389" t="s">
        <v>171</v>
      </c>
      <c r="E7" s="389">
        <f t="shared" si="0"/>
        <v>3</v>
      </c>
      <c r="F7" s="387" t="str" cm="1">
        <f t="array" ref="F7" xml:space="preserve"> IF($E7=0, "", INDEX($Q$5:$AG$54, $E7, F$1))</f>
        <v>金</v>
      </c>
      <c r="G7" s="350" t="str" cm="1">
        <f t="array" ref="G7" xml:space="preserve"> IF($E7=0, "", INDEX($Q$5:$AG$54, $E7, G$1))</f>
        <v>ㄧㆬ</v>
      </c>
      <c r="H7" s="350" t="str" cm="1">
        <f t="array" ref="H7" xml:space="preserve"> IF($E7=0, "", INDEX($Q$5:$AG$54, $E7, H$1))</f>
        <v>ㄧㆴ</v>
      </c>
      <c r="I7" s="350" t="str" cm="1">
        <f t="array" ref="I7" xml:space="preserve"> IF($E7=0, "", INDEX($Q$5:$AG$54, $E7, I$1))</f>
        <v>im</v>
      </c>
      <c r="J7" s="350" t="str" cm="1">
        <f t="array" ref="J7" xml:space="preserve"> IF($E7=0, "", INDEX($Q$5:$AG$54, $E7, J$1))</f>
        <v>ip</v>
      </c>
      <c r="K7" s="362"/>
      <c r="L7" s="362">
        <f t="shared" ref="L7:L54" si="2" xml:space="preserve"> IFERROR( MATCH(Y7,$I$5:$I$54,0), 0)</f>
        <v>3</v>
      </c>
      <c r="M7" s="366" t="str">
        <f t="shared" si="1"/>
        <v/>
      </c>
      <c r="N7" s="25" t="str" cm="1">
        <f t="array" ref="N7">IF($L7=0, INDEX($AC$5:$AC$54,$Q7,1), "")</f>
        <v/>
      </c>
      <c r="O7" s="25" t="str" cm="1">
        <f t="array" ref="O7">IF($L7=0, INDEX($Y$5:$Y$54,$Q7,1), "")</f>
        <v/>
      </c>
      <c r="Q7" s="47">
        <v>3</v>
      </c>
      <c r="R7" s="380" t="s">
        <v>170</v>
      </c>
      <c r="S7" s="26" t="s">
        <v>171</v>
      </c>
      <c r="T7" s="27" t="s">
        <v>172</v>
      </c>
      <c r="U7" s="26" t="s">
        <v>171</v>
      </c>
      <c r="V7" s="27" t="s">
        <v>173</v>
      </c>
      <c r="W7" s="150" t="s">
        <v>171</v>
      </c>
      <c r="X7" s="27" t="s">
        <v>172</v>
      </c>
      <c r="Y7" s="26" t="s">
        <v>171</v>
      </c>
      <c r="Z7" s="27" t="s">
        <v>172</v>
      </c>
      <c r="AA7" s="26" t="s">
        <v>171</v>
      </c>
      <c r="AB7" s="27" t="s">
        <v>172</v>
      </c>
      <c r="AC7" s="26" t="s">
        <v>174</v>
      </c>
      <c r="AD7" s="27" t="s">
        <v>175</v>
      </c>
      <c r="AE7" s="26" t="s">
        <v>171</v>
      </c>
      <c r="AF7" s="44" t="s">
        <v>172</v>
      </c>
      <c r="AG7" s="28"/>
    </row>
    <row r="8" spans="2:33" ht="34">
      <c r="B8" s="47">
        <v>4</v>
      </c>
      <c r="C8" s="390" t="s">
        <v>177</v>
      </c>
      <c r="D8" s="389" t="s">
        <v>178</v>
      </c>
      <c r="E8" s="389">
        <f t="shared" si="0"/>
        <v>4</v>
      </c>
      <c r="F8" s="387" t="str" cm="1">
        <f t="array" ref="F8" xml:space="preserve"> IF($E8=0, "", INDEX($Q$5:$AG$54, $E8, F$1))</f>
        <v>規</v>
      </c>
      <c r="G8" s="350" t="str" cm="1">
        <f t="array" ref="G8" xml:space="preserve"> IF($E8=0, "", INDEX($Q$5:$AG$54, $E8, G$1))</f>
        <v>ㄨㄧ</v>
      </c>
      <c r="H8" s="350" t="str" cm="1">
        <f t="array" ref="H8" xml:space="preserve"> IF($E8=0, "", INDEX($Q$5:$AG$54, $E8, H$1))</f>
        <v>ㄨㄧㆷ</v>
      </c>
      <c r="I8" s="350" t="str" cm="1">
        <f t="array" ref="I8" xml:space="preserve"> IF($E8=0, "", INDEX($Q$5:$AG$54, $E8, I$1))</f>
        <v>ui</v>
      </c>
      <c r="J8" s="350" t="str" cm="1">
        <f t="array" ref="J8" xml:space="preserve"> IF($E8=0, "", INDEX($Q$5:$AG$54, $E8, J$1))</f>
        <v>uih</v>
      </c>
      <c r="K8" s="362"/>
      <c r="L8" s="362">
        <f t="shared" si="2"/>
        <v>4</v>
      </c>
      <c r="M8" s="366" t="str">
        <f t="shared" si="1"/>
        <v/>
      </c>
      <c r="N8" s="25" t="str" cm="1">
        <f t="array" ref="N8">IF($L8=0, INDEX($AC$5:$AC$54,$Q8,1), "")</f>
        <v/>
      </c>
      <c r="O8" s="25" t="str" cm="1">
        <f t="array" ref="O8">IF($L8=0, INDEX($Y$5:$Y$54,$Q8,1), "")</f>
        <v/>
      </c>
      <c r="Q8" s="47">
        <v>4</v>
      </c>
      <c r="R8" s="381" t="s">
        <v>177</v>
      </c>
      <c r="S8" s="26" t="s">
        <v>178</v>
      </c>
      <c r="T8" s="30" t="s">
        <v>179</v>
      </c>
      <c r="U8" s="31" t="s">
        <v>178</v>
      </c>
      <c r="V8" s="30" t="s">
        <v>180</v>
      </c>
      <c r="W8" s="150" t="s">
        <v>181</v>
      </c>
      <c r="X8" s="30" t="s">
        <v>182</v>
      </c>
      <c r="Y8" s="31" t="s">
        <v>178</v>
      </c>
      <c r="Z8" s="30" t="s">
        <v>179</v>
      </c>
      <c r="AA8" s="31" t="s">
        <v>178</v>
      </c>
      <c r="AB8" s="30" t="s">
        <v>182</v>
      </c>
      <c r="AC8" s="31" t="s">
        <v>183</v>
      </c>
      <c r="AD8" s="30" t="s">
        <v>184</v>
      </c>
      <c r="AE8" s="31" t="s">
        <v>185</v>
      </c>
      <c r="AF8" s="30"/>
      <c r="AG8" s="28"/>
    </row>
    <row r="9" spans="2:33" ht="34">
      <c r="B9" s="47">
        <v>5</v>
      </c>
      <c r="C9" s="390" t="s">
        <v>187</v>
      </c>
      <c r="D9" s="389" t="s">
        <v>278</v>
      </c>
      <c r="E9" s="389">
        <f t="shared" si="0"/>
        <v>39</v>
      </c>
      <c r="F9" s="387" t="str" cm="1">
        <f t="array" ref="F9" xml:space="preserve"> IF($E9=0, "", INDEX($Q$5:$AG$54, $E9, F$1))</f>
        <v>伽</v>
      </c>
      <c r="G9" s="350" t="str" cm="1">
        <f t="array" ref="G9" xml:space="preserve"> IF($E9=0, "", INDEX($Q$5:$AG$54, $E9, G$1))</f>
        <v>ㆤ</v>
      </c>
      <c r="H9" s="350" t="str" cm="1">
        <f t="array" ref="H9" xml:space="preserve"> IF($E9=0, "", INDEX($Q$5:$AG$54, $E9, H$1))</f>
        <v>ㆤㆷ</v>
      </c>
      <c r="I9" s="350" t="str" cm="1">
        <f t="array" ref="I9" xml:space="preserve"> IF($E9=0, "", INDEX($Q$5:$AG$54, $E9, I$1))</f>
        <v>e</v>
      </c>
      <c r="J9" s="350" t="str" cm="1">
        <f t="array" ref="J9" xml:space="preserve"> IF($E9=0, "", INDEX($Q$5:$AG$54, $E9, J$1))</f>
        <v>eh</v>
      </c>
      <c r="K9" s="362"/>
      <c r="L9" s="362">
        <f t="shared" si="2"/>
        <v>0</v>
      </c>
      <c r="M9" s="366" t="str">
        <f t="shared" si="1"/>
        <v>嘉</v>
      </c>
      <c r="N9" s="25" t="str" cm="1">
        <f t="array" ref="N9">IF($L9=0, INDEX($AC$5:$AC$54,$Q9,1), "")</f>
        <v>ㄝ</v>
      </c>
      <c r="O9" s="25" t="str" cm="1">
        <f t="array" ref="O9">IF($L9=0, INDEX($Y$5:$Y$54,$Q9,1), "")</f>
        <v>ee</v>
      </c>
      <c r="Q9" s="47">
        <v>5</v>
      </c>
      <c r="R9" s="382" t="s">
        <v>187</v>
      </c>
      <c r="S9" s="26" t="s">
        <v>188</v>
      </c>
      <c r="T9" s="27" t="s">
        <v>189</v>
      </c>
      <c r="U9" s="26" t="s">
        <v>190</v>
      </c>
      <c r="V9" s="27" t="s">
        <v>191</v>
      </c>
      <c r="W9" s="150" t="s">
        <v>188</v>
      </c>
      <c r="X9" s="27" t="s">
        <v>192</v>
      </c>
      <c r="Y9" s="26" t="s">
        <v>188</v>
      </c>
      <c r="Z9" s="27" t="s">
        <v>189</v>
      </c>
      <c r="AA9" s="320" t="s">
        <v>193</v>
      </c>
      <c r="AB9" s="320" t="s">
        <v>194</v>
      </c>
      <c r="AC9" s="26" t="s">
        <v>195</v>
      </c>
      <c r="AD9" s="27" t="s">
        <v>196</v>
      </c>
      <c r="AE9" s="26" t="s">
        <v>197</v>
      </c>
      <c r="AF9" s="44" t="s">
        <v>198</v>
      </c>
      <c r="AG9" s="33" t="s">
        <v>199</v>
      </c>
    </row>
    <row r="10" spans="2:33" ht="34">
      <c r="B10" s="47">
        <v>6</v>
      </c>
      <c r="C10" s="390" t="s">
        <v>201</v>
      </c>
      <c r="D10" s="389" t="s">
        <v>202</v>
      </c>
      <c r="E10" s="389">
        <f t="shared" si="0"/>
        <v>6</v>
      </c>
      <c r="F10" s="387" t="str" cm="1">
        <f t="array" ref="F10" xml:space="preserve"> IF($E10=0, "", INDEX($Q$5:$AG$54, $E10, F$1))</f>
        <v>干</v>
      </c>
      <c r="G10" s="350" t="str" cm="1">
        <f t="array" ref="G10" xml:space="preserve"> IF($E10=0, "", INDEX($Q$5:$AG$54, $E10, G$1))</f>
        <v>ㄢ</v>
      </c>
      <c r="H10" s="350" t="str" cm="1">
        <f t="array" ref="H10" xml:space="preserve"> IF($E10=0, "", INDEX($Q$5:$AG$54, $E10, H$1))</f>
        <v>ㄚㆵ</v>
      </c>
      <c r="I10" s="350" t="str" cm="1">
        <f t="array" ref="I10" xml:space="preserve"> IF($E10=0, "", INDEX($Q$5:$AG$54, $E10, I$1))</f>
        <v>an</v>
      </c>
      <c r="J10" s="350" t="str" cm="1">
        <f t="array" ref="J10" xml:space="preserve"> IF($E10=0, "", INDEX($Q$5:$AG$54, $E10, J$1))</f>
        <v>ap</v>
      </c>
      <c r="K10" s="362"/>
      <c r="L10" s="362">
        <f t="shared" si="2"/>
        <v>6</v>
      </c>
      <c r="M10" s="366" t="str">
        <f t="shared" si="1"/>
        <v/>
      </c>
      <c r="N10" s="25" t="str" cm="1">
        <f t="array" ref="N10">IF($L10=0, INDEX($AC$5:$AC$54,$Q10,1), "")</f>
        <v/>
      </c>
      <c r="O10" s="25" t="str" cm="1">
        <f t="array" ref="O10">IF($L10=0, INDEX($Y$5:$Y$54,$Q10,1), "")</f>
        <v/>
      </c>
      <c r="Q10" s="47">
        <v>6</v>
      </c>
      <c r="R10" s="380" t="s">
        <v>201</v>
      </c>
      <c r="S10" s="26" t="s">
        <v>202</v>
      </c>
      <c r="T10" s="27" t="s">
        <v>203</v>
      </c>
      <c r="U10" s="26" t="s">
        <v>202</v>
      </c>
      <c r="V10" s="27" t="s">
        <v>204</v>
      </c>
      <c r="W10" s="150" t="s">
        <v>202</v>
      </c>
      <c r="X10" s="27" t="s">
        <v>205</v>
      </c>
      <c r="Y10" s="26" t="s">
        <v>202</v>
      </c>
      <c r="Z10" s="27" t="s">
        <v>206</v>
      </c>
      <c r="AA10" s="26" t="s">
        <v>202</v>
      </c>
      <c r="AB10" s="27" t="s">
        <v>205</v>
      </c>
      <c r="AC10" s="34" t="s">
        <v>207</v>
      </c>
      <c r="AD10" s="27" t="s">
        <v>208</v>
      </c>
      <c r="AE10" s="26" t="s">
        <v>202</v>
      </c>
      <c r="AF10" s="44" t="s">
        <v>205</v>
      </c>
      <c r="AG10" s="28"/>
    </row>
    <row r="11" spans="2:33" ht="34">
      <c r="B11" s="47">
        <v>7</v>
      </c>
      <c r="C11" s="390" t="s">
        <v>210</v>
      </c>
      <c r="D11" s="389" t="s">
        <v>211</v>
      </c>
      <c r="E11" s="389">
        <f t="shared" si="0"/>
        <v>7</v>
      </c>
      <c r="F11" s="387" t="str" cm="1">
        <f t="array" ref="F11" xml:space="preserve"> IF($E11=0, "", INDEX($Q$5:$AG$54, $E11, F$1))</f>
        <v>公</v>
      </c>
      <c r="G11" s="350" t="str" cm="1">
        <f t="array" ref="G11" xml:space="preserve"> IF($E11=0, "", INDEX($Q$5:$AG$54, $E11, G$1))</f>
        <v>ㆲ</v>
      </c>
      <c r="H11" s="350" t="str" cm="1">
        <f t="array" ref="H11" xml:space="preserve"> IF($E11=0, "", INDEX($Q$5:$AG$54, $E11, H$1))</f>
        <v>ㆦㆻ</v>
      </c>
      <c r="I11" s="350" t="str" cm="1">
        <f t="array" ref="I11" xml:space="preserve"> IF($E11=0, "", INDEX($Q$5:$AG$54, $E11, I$1))</f>
        <v>ong</v>
      </c>
      <c r="J11" s="350" t="str" cm="1">
        <f t="array" ref="J11" xml:space="preserve"> IF($E11=0, "", INDEX($Q$5:$AG$54, $E11, J$1))</f>
        <v>ok</v>
      </c>
      <c r="K11" s="362"/>
      <c r="L11" s="362">
        <f t="shared" si="2"/>
        <v>7</v>
      </c>
      <c r="M11" s="366" t="str">
        <f t="shared" si="1"/>
        <v/>
      </c>
      <c r="N11" s="25" t="str" cm="1">
        <f t="array" ref="N11">IF($L11=0, INDEX($AC$5:$AC$54,$Q11,1), "")</f>
        <v/>
      </c>
      <c r="O11" s="25" t="str" cm="1">
        <f t="array" ref="O11">IF($L11=0, INDEX($Y$5:$Y$54,$Q11,1), "")</f>
        <v/>
      </c>
      <c r="Q11" s="47">
        <v>7</v>
      </c>
      <c r="R11" s="380" t="s">
        <v>210</v>
      </c>
      <c r="S11" s="26" t="s">
        <v>211</v>
      </c>
      <c r="T11" s="27" t="s">
        <v>212</v>
      </c>
      <c r="U11" s="26" t="s">
        <v>213</v>
      </c>
      <c r="V11" s="27" t="s">
        <v>214</v>
      </c>
      <c r="W11" s="150" t="s">
        <v>211</v>
      </c>
      <c r="X11" s="27" t="s">
        <v>212</v>
      </c>
      <c r="Y11" s="26" t="s">
        <v>211</v>
      </c>
      <c r="Z11" s="27" t="s">
        <v>212</v>
      </c>
      <c r="AA11" s="26" t="s">
        <v>211</v>
      </c>
      <c r="AB11" s="27" t="s">
        <v>212</v>
      </c>
      <c r="AC11" s="26" t="s">
        <v>215</v>
      </c>
      <c r="AD11" s="27" t="s">
        <v>216</v>
      </c>
      <c r="AE11" s="26" t="s">
        <v>211</v>
      </c>
      <c r="AF11" s="44" t="s">
        <v>212</v>
      </c>
      <c r="AG11" s="353" t="s">
        <v>217</v>
      </c>
    </row>
    <row r="12" spans="2:33" ht="34">
      <c r="B12" s="47">
        <v>8</v>
      </c>
      <c r="C12" s="390" t="s">
        <v>219</v>
      </c>
      <c r="D12" s="389" t="s">
        <v>220</v>
      </c>
      <c r="E12" s="389">
        <f t="shared" si="0"/>
        <v>8</v>
      </c>
      <c r="F12" s="387" t="str" cm="1">
        <f t="array" ref="F12" xml:space="preserve"> IF($E12=0, "", INDEX($Q$5:$AG$54, $E12, F$1))</f>
        <v>乖</v>
      </c>
      <c r="G12" s="350" t="str" cm="1">
        <f t="array" ref="G12" xml:space="preserve"> IF($E12=0, "", INDEX($Q$5:$AG$54, $E12, G$1))</f>
        <v>ㄨㄞ</v>
      </c>
      <c r="H12" s="350" t="str" cm="1">
        <f t="array" ref="H12" xml:space="preserve"> IF($E12=0, "", INDEX($Q$5:$AG$54, $E12, H$1))</f>
        <v>ㄨㄞㆷ</v>
      </c>
      <c r="I12" s="350" t="str" cm="1">
        <f t="array" ref="I12" xml:space="preserve"> IF($E12=0, "", INDEX($Q$5:$AG$54, $E12, I$1))</f>
        <v>uai</v>
      </c>
      <c r="J12" s="350" t="str" cm="1">
        <f t="array" ref="J12" xml:space="preserve"> IF($E12=0, "", INDEX($Q$5:$AG$54, $E12, J$1))</f>
        <v>uaih</v>
      </c>
      <c r="K12" s="362"/>
      <c r="L12" s="362">
        <f t="shared" si="2"/>
        <v>8</v>
      </c>
      <c r="M12" s="366" t="str">
        <f t="shared" si="1"/>
        <v/>
      </c>
      <c r="N12" s="25" t="str" cm="1">
        <f t="array" ref="N12">IF($L12=0, INDEX($AC$5:$AC$54,$Q12,1), "")</f>
        <v/>
      </c>
      <c r="O12" s="25" t="str" cm="1">
        <f t="array" ref="O12">IF($L12=0, INDEX($Y$5:$Y$54,$Q12,1), "")</f>
        <v/>
      </c>
      <c r="Q12" s="47">
        <v>8</v>
      </c>
      <c r="R12" s="380" t="s">
        <v>219</v>
      </c>
      <c r="S12" s="26" t="s">
        <v>220</v>
      </c>
      <c r="T12" s="27" t="s">
        <v>221</v>
      </c>
      <c r="U12" s="26" t="s">
        <v>220</v>
      </c>
      <c r="V12" s="40" t="s">
        <v>222</v>
      </c>
      <c r="W12" s="151" t="s">
        <v>223</v>
      </c>
      <c r="X12" s="40" t="s">
        <v>224</v>
      </c>
      <c r="Y12" s="26" t="s">
        <v>220</v>
      </c>
      <c r="Z12" s="27" t="s">
        <v>221</v>
      </c>
      <c r="AA12" s="26" t="s">
        <v>220</v>
      </c>
      <c r="AB12" s="27" t="s">
        <v>221</v>
      </c>
      <c r="AC12" s="351" t="s">
        <v>225</v>
      </c>
      <c r="AD12" s="27" t="s">
        <v>226</v>
      </c>
      <c r="AE12" s="26" t="s">
        <v>227</v>
      </c>
      <c r="AF12" s="44" t="s">
        <v>228</v>
      </c>
      <c r="AG12" s="28"/>
    </row>
    <row r="13" spans="2:33" ht="34">
      <c r="B13" s="47">
        <v>9</v>
      </c>
      <c r="C13" s="390" t="s">
        <v>230</v>
      </c>
      <c r="D13" s="389" t="s">
        <v>231</v>
      </c>
      <c r="E13" s="389">
        <f t="shared" si="0"/>
        <v>9</v>
      </c>
      <c r="F13" s="387" t="str" cm="1">
        <f t="array" ref="F13" xml:space="preserve"> IF($E13=0, "", INDEX($Q$5:$AG$54, $E13, F$1))</f>
        <v>經</v>
      </c>
      <c r="G13" s="350" t="str" cm="1">
        <f t="array" ref="G13" xml:space="preserve"> IF($E13=0, "", INDEX($Q$5:$AG$54, $E13, G$1))</f>
        <v>ㄧㄥ</v>
      </c>
      <c r="H13" s="350" t="str" cm="1">
        <f t="array" ref="H13" xml:space="preserve"> IF($E13=0, "", INDEX($Q$5:$AG$54, $E13, H$1))</f>
        <v>ㄧㆻ</v>
      </c>
      <c r="I13" s="350" t="str" cm="1">
        <f t="array" ref="I13" xml:space="preserve"> IF($E13=0, "", INDEX($Q$5:$AG$54, $E13, I$1))</f>
        <v>ing</v>
      </c>
      <c r="J13" s="350" t="str" cm="1">
        <f t="array" ref="J13" xml:space="preserve"> IF($E13=0, "", INDEX($Q$5:$AG$54, $E13, J$1))</f>
        <v>ik</v>
      </c>
      <c r="K13" s="362"/>
      <c r="L13" s="362">
        <f t="shared" si="2"/>
        <v>9</v>
      </c>
      <c r="M13" s="366" t="str">
        <f t="shared" si="1"/>
        <v/>
      </c>
      <c r="N13" s="25" t="str" cm="1">
        <f t="array" ref="N13">IF($L13=0, INDEX($AC$5:$AC$54,$Q13,1), "")</f>
        <v/>
      </c>
      <c r="O13" s="25" t="str" cm="1">
        <f t="array" ref="O13">IF($L13=0, INDEX($Y$5:$Y$54,$Q13,1), "")</f>
        <v/>
      </c>
      <c r="Q13" s="47">
        <v>9</v>
      </c>
      <c r="R13" s="380" t="s">
        <v>230</v>
      </c>
      <c r="S13" s="26" t="s">
        <v>231</v>
      </c>
      <c r="T13" s="27" t="s">
        <v>232</v>
      </c>
      <c r="U13" s="26" t="s">
        <v>233</v>
      </c>
      <c r="V13" s="27" t="s">
        <v>234</v>
      </c>
      <c r="W13" s="150" t="s">
        <v>235</v>
      </c>
      <c r="X13" s="27" t="s">
        <v>236</v>
      </c>
      <c r="Y13" s="26" t="s">
        <v>231</v>
      </c>
      <c r="Z13" s="27" t="s">
        <v>232</v>
      </c>
      <c r="AA13" s="26" t="s">
        <v>231</v>
      </c>
      <c r="AB13" s="27" t="s">
        <v>232</v>
      </c>
      <c r="AC13" s="352" t="s">
        <v>237</v>
      </c>
      <c r="AD13" s="251" t="s">
        <v>238</v>
      </c>
      <c r="AE13" s="26" t="s">
        <v>235</v>
      </c>
      <c r="AF13" s="44" t="s">
        <v>236</v>
      </c>
      <c r="AG13" s="28"/>
    </row>
    <row r="14" spans="2:33" ht="34">
      <c r="B14" s="47">
        <v>10</v>
      </c>
      <c r="C14" s="390" t="s">
        <v>240</v>
      </c>
      <c r="D14" s="389" t="s">
        <v>241</v>
      </c>
      <c r="E14" s="389">
        <f t="shared" si="0"/>
        <v>10</v>
      </c>
      <c r="F14" s="387" t="str" cm="1">
        <f t="array" ref="F14" xml:space="preserve"> IF($E14=0, "", INDEX($Q$5:$AG$54, $E14, F$1))</f>
        <v>觀</v>
      </c>
      <c r="G14" s="350" t="str" cm="1">
        <f t="array" ref="G14" xml:space="preserve"> IF($E14=0, "", INDEX($Q$5:$AG$54, $E14, G$1))</f>
        <v>ㄨㄢ</v>
      </c>
      <c r="H14" s="350" t="str" cm="1">
        <f t="array" ref="H14" xml:space="preserve"> IF($E14=0, "", INDEX($Q$5:$AG$54, $E14, H$1))</f>
        <v>ㄨㄚㆵ</v>
      </c>
      <c r="I14" s="350" t="str" cm="1">
        <f t="array" ref="I14" xml:space="preserve"> IF($E14=0, "", INDEX($Q$5:$AG$54, $E14, I$1))</f>
        <v>uan</v>
      </c>
      <c r="J14" s="350" t="str" cm="1">
        <f t="array" ref="J14" xml:space="preserve"> IF($E14=0, "", INDEX($Q$5:$AG$54, $E14, J$1))</f>
        <v>uat</v>
      </c>
      <c r="K14" s="362"/>
      <c r="L14" s="362">
        <f t="shared" si="2"/>
        <v>10</v>
      </c>
      <c r="M14" s="366" t="str">
        <f t="shared" si="1"/>
        <v/>
      </c>
      <c r="N14" s="25" t="str" cm="1">
        <f t="array" ref="N14">IF($L14=0, INDEX($AC$5:$AC$54,$Q14,1), "")</f>
        <v/>
      </c>
      <c r="O14" s="25" t="str" cm="1">
        <f t="array" ref="O14">IF($L14=0, INDEX($Y$5:$Y$54,$Q14,1), "")</f>
        <v/>
      </c>
      <c r="Q14" s="47">
        <v>10</v>
      </c>
      <c r="R14" s="380" t="s">
        <v>240</v>
      </c>
      <c r="S14" s="26" t="s">
        <v>241</v>
      </c>
      <c r="T14" s="27" t="s">
        <v>242</v>
      </c>
      <c r="U14" s="26" t="s">
        <v>241</v>
      </c>
      <c r="V14" s="40" t="s">
        <v>243</v>
      </c>
      <c r="W14" s="151" t="s">
        <v>244</v>
      </c>
      <c r="X14" s="40" t="s">
        <v>245</v>
      </c>
      <c r="Y14" s="26" t="s">
        <v>241</v>
      </c>
      <c r="Z14" s="27" t="s">
        <v>242</v>
      </c>
      <c r="AA14" s="26" t="s">
        <v>241</v>
      </c>
      <c r="AB14" s="27" t="s">
        <v>242</v>
      </c>
      <c r="AC14" s="26" t="s">
        <v>246</v>
      </c>
      <c r="AD14" s="27" t="s">
        <v>247</v>
      </c>
      <c r="AE14" s="26" t="s">
        <v>248</v>
      </c>
      <c r="AF14" s="44" t="s">
        <v>249</v>
      </c>
      <c r="AG14" s="28"/>
    </row>
    <row r="15" spans="2:33" ht="34">
      <c r="B15" s="47">
        <v>11</v>
      </c>
      <c r="C15" s="390" t="s">
        <v>251</v>
      </c>
      <c r="D15" s="389" t="s">
        <v>252</v>
      </c>
      <c r="E15" s="389">
        <f t="shared" si="0"/>
        <v>11</v>
      </c>
      <c r="F15" s="387" t="str" cm="1">
        <f t="array" ref="F15" xml:space="preserve"> IF($E15=0, "", INDEX($Q$5:$AG$54, $E15, F$1))</f>
        <v>沽</v>
      </c>
      <c r="G15" s="350" t="str" cm="1">
        <f t="array" ref="G15" xml:space="preserve"> IF($E15=0, "", INDEX($Q$5:$AG$54, $E15, G$1))</f>
        <v>ㆦ</v>
      </c>
      <c r="H15" s="350" t="str" cm="1">
        <f t="array" ref="H15" xml:space="preserve"> IF($E15=0, "", INDEX($Q$5:$AG$54, $E15, H$1))</f>
        <v>ㆦㆷ</v>
      </c>
      <c r="I15" s="350" t="str" cm="1">
        <f t="array" ref="I15" xml:space="preserve"> IF($E15=0, "", INDEX($Q$5:$AG$54, $E15, I$1))</f>
        <v>oo</v>
      </c>
      <c r="J15" s="350" t="str" cm="1">
        <f t="array" ref="J15" xml:space="preserve"> IF($E15=0, "", INDEX($Q$5:$AG$54, $E15, J$1))</f>
        <v>ooh</v>
      </c>
      <c r="K15" s="362"/>
      <c r="L15" s="362">
        <f t="shared" si="2"/>
        <v>11</v>
      </c>
      <c r="M15" s="366" t="str">
        <f t="shared" si="1"/>
        <v/>
      </c>
      <c r="N15" s="25" t="str" cm="1">
        <f t="array" ref="N15">IF($L15=0, INDEX($AC$5:$AC$54,$Q15,1), "")</f>
        <v/>
      </c>
      <c r="O15" s="25" t="str" cm="1">
        <f t="array" ref="O15">IF($L15=0, INDEX($Y$5:$Y$54,$Q15,1), "")</f>
        <v/>
      </c>
      <c r="Q15" s="47">
        <v>11</v>
      </c>
      <c r="R15" s="380" t="s">
        <v>251</v>
      </c>
      <c r="S15" s="26" t="s">
        <v>252</v>
      </c>
      <c r="T15" s="26" t="s">
        <v>253</v>
      </c>
      <c r="U15" s="26" t="s">
        <v>254</v>
      </c>
      <c r="V15" s="26" t="s">
        <v>255</v>
      </c>
      <c r="W15" s="150" t="s">
        <v>256</v>
      </c>
      <c r="X15" s="26" t="s">
        <v>257</v>
      </c>
      <c r="Y15" s="26" t="s">
        <v>252</v>
      </c>
      <c r="Z15" s="26" t="s">
        <v>253</v>
      </c>
      <c r="AA15" s="26" t="s">
        <v>252</v>
      </c>
      <c r="AB15" s="26" t="s">
        <v>258</v>
      </c>
      <c r="AC15" s="26" t="s">
        <v>259</v>
      </c>
      <c r="AD15" s="26" t="s">
        <v>260</v>
      </c>
      <c r="AE15" s="26" t="s">
        <v>261</v>
      </c>
      <c r="AF15" s="35"/>
      <c r="AG15" s="33" t="s">
        <v>262</v>
      </c>
    </row>
    <row r="16" spans="2:33" ht="34">
      <c r="B16" s="47">
        <v>12</v>
      </c>
      <c r="C16" s="390" t="s">
        <v>264</v>
      </c>
      <c r="D16" s="389" t="s">
        <v>3612</v>
      </c>
      <c r="E16" s="389">
        <f t="shared" si="0"/>
        <v>12</v>
      </c>
      <c r="F16" s="387" t="str" cm="1">
        <f t="array" ref="F16" xml:space="preserve"> IF($E16=0, "", INDEX($Q$5:$AG$54, $E16, F$1))</f>
        <v>嬌</v>
      </c>
      <c r="G16" s="350" t="str" cm="1">
        <f t="array" ref="G16" xml:space="preserve"> IF($E16=0, "", INDEX($Q$5:$AG$54, $E16, G$1))</f>
        <v>ㄧㄠ</v>
      </c>
      <c r="H16" s="350" t="str" cm="1">
        <f t="array" ref="H16" xml:space="preserve"> IF($E16=0, "", INDEX($Q$5:$AG$54, $E16, H$1))</f>
        <v>ㄧㄠㆷ</v>
      </c>
      <c r="I16" s="350" t="str" cm="1">
        <f t="array" ref="I16" xml:space="preserve"> IF($E16=0, "", INDEX($Q$5:$AG$54, $E16, I$1))</f>
        <v>iau</v>
      </c>
      <c r="J16" s="350" t="str" cm="1">
        <f t="array" ref="J16" xml:space="preserve"> IF($E16=0, "", INDEX($Q$5:$AG$54, $E16, J$1))</f>
        <v>iauh</v>
      </c>
      <c r="K16" s="362"/>
      <c r="L16" s="362">
        <f t="shared" si="2"/>
        <v>12</v>
      </c>
      <c r="M16" s="366" t="str">
        <f t="shared" si="1"/>
        <v/>
      </c>
      <c r="N16" s="25" t="str" cm="1">
        <f t="array" ref="N16">IF($L16=0, INDEX($AC$5:$AC$54,$Q16,1), "")</f>
        <v/>
      </c>
      <c r="O16" s="25" t="str" cm="1">
        <f t="array" ref="O16">IF($L16=0, INDEX($Y$5:$Y$54,$Q16,1), "")</f>
        <v/>
      </c>
      <c r="Q16" s="47">
        <v>12</v>
      </c>
      <c r="R16" s="380" t="s">
        <v>264</v>
      </c>
      <c r="S16" s="26" t="s">
        <v>265</v>
      </c>
      <c r="T16" s="27" t="s">
        <v>266</v>
      </c>
      <c r="U16" s="26" t="s">
        <v>267</v>
      </c>
      <c r="V16" s="40" t="s">
        <v>268</v>
      </c>
      <c r="W16" s="151" t="s">
        <v>265</v>
      </c>
      <c r="X16" s="40" t="s">
        <v>266</v>
      </c>
      <c r="Y16" s="26" t="s">
        <v>265</v>
      </c>
      <c r="Z16" s="27" t="s">
        <v>266</v>
      </c>
      <c r="AA16" s="26" t="s">
        <v>269</v>
      </c>
      <c r="AB16" s="27" t="s">
        <v>270</v>
      </c>
      <c r="AC16" s="26" t="s">
        <v>271</v>
      </c>
      <c r="AD16" s="27" t="s">
        <v>272</v>
      </c>
      <c r="AE16" s="26" t="s">
        <v>273</v>
      </c>
      <c r="AF16" s="44" t="s">
        <v>274</v>
      </c>
      <c r="AG16" s="28"/>
    </row>
    <row r="17" spans="2:33" ht="34">
      <c r="B17" s="47">
        <v>13</v>
      </c>
      <c r="C17" s="390" t="s">
        <v>489</v>
      </c>
      <c r="D17" s="389" t="s">
        <v>1631</v>
      </c>
      <c r="E17" s="389">
        <f t="shared" si="0"/>
        <v>34</v>
      </c>
      <c r="F17" s="387" t="str" cm="1">
        <f t="array" ref="F17" xml:space="preserve"> IF($E17=0, "", INDEX($Q$5:$AG$54, $E17, F$1))</f>
        <v>梔</v>
      </c>
      <c r="G17" s="350" t="str" cm="1">
        <f t="array" ref="G17" xml:space="preserve"> IF($E17=0, "", INDEX($Q$5:$AG$54, $E17, G$1))</f>
        <v>ㆪ</v>
      </c>
      <c r="H17" s="350" t="str" cm="1">
        <f t="array" ref="H17" xml:space="preserve"> IF($E17=0, "", INDEX($Q$5:$AG$54, $E17, H$1))</f>
        <v>ㆪ</v>
      </c>
      <c r="I17" s="350" t="str" cm="1">
        <f t="array" ref="I17" xml:space="preserve"> IF($E17=0, "", INDEX($Q$5:$AG$54, $E17, I$1))</f>
        <v>inn</v>
      </c>
      <c r="J17" s="350" t="str" cm="1">
        <f t="array" ref="J17" xml:space="preserve"> IF($E17=0, "", INDEX($Q$5:$AG$54, $E17, J$1))</f>
        <v>innh</v>
      </c>
      <c r="K17" s="362"/>
      <c r="L17" s="362">
        <f t="shared" si="2"/>
        <v>0</v>
      </c>
      <c r="M17" s="366" t="str">
        <f t="shared" si="1"/>
        <v>稽</v>
      </c>
      <c r="N17" s="25" t="str" cm="1">
        <f t="array" ref="N17">IF($L17=0, INDEX($AC$5:$AC$54,$Q17,1), "")</f>
        <v>ㄟ</v>
      </c>
      <c r="O17" s="25" t="str" cm="1">
        <f t="array" ref="O17">IF($L17=0, INDEX($Y$5:$Y$54,$Q17,1), "")</f>
        <v>ei</v>
      </c>
      <c r="Q17" s="47">
        <v>13</v>
      </c>
      <c r="R17" s="382" t="s">
        <v>277</v>
      </c>
      <c r="S17" s="26" t="s">
        <v>278</v>
      </c>
      <c r="T17" s="30" t="s">
        <v>189</v>
      </c>
      <c r="U17" s="26" t="s">
        <v>279</v>
      </c>
      <c r="V17" s="30" t="s">
        <v>280</v>
      </c>
      <c r="W17" s="151" t="s">
        <v>279</v>
      </c>
      <c r="X17" s="129" t="s">
        <v>281</v>
      </c>
      <c r="Y17" s="36" t="s">
        <v>282</v>
      </c>
      <c r="Z17" s="30" t="s">
        <v>281</v>
      </c>
      <c r="AA17" s="320" t="s">
        <v>193</v>
      </c>
      <c r="AB17" s="320" t="s">
        <v>194</v>
      </c>
      <c r="AC17" s="36" t="s">
        <v>283</v>
      </c>
      <c r="AD17" s="30" t="s">
        <v>284</v>
      </c>
      <c r="AE17" s="26" t="s">
        <v>285</v>
      </c>
      <c r="AF17" s="30"/>
      <c r="AG17" s="33" t="s">
        <v>286</v>
      </c>
    </row>
    <row r="18" spans="2:33" ht="34">
      <c r="B18" s="47">
        <v>14</v>
      </c>
      <c r="C18" s="390" t="s">
        <v>3613</v>
      </c>
      <c r="D18" s="389" t="s">
        <v>289</v>
      </c>
      <c r="E18" s="389">
        <f t="shared" si="0"/>
        <v>14</v>
      </c>
      <c r="F18" s="387" t="str" cm="1">
        <f t="array" ref="F18" xml:space="preserve"> IF($E18=0, "", INDEX($Q$5:$AG$54, $E18, F$1))</f>
        <v>恭</v>
      </c>
      <c r="G18" s="350" t="str" cm="1">
        <f t="array" ref="G18" xml:space="preserve"> IF($E18=0, "", INDEX($Q$5:$AG$54, $E18, G$1))</f>
        <v>ㄧㆲ</v>
      </c>
      <c r="H18" s="350" t="str" cm="1">
        <f t="array" ref="H18" xml:space="preserve"> IF($E18=0, "", INDEX($Q$5:$AG$54, $E18, H$1))</f>
        <v>ㄧㆦㆻ</v>
      </c>
      <c r="I18" s="350" t="str" cm="1">
        <f t="array" ref="I18" xml:space="preserve"> IF($E18=0, "", INDEX($Q$5:$AG$54, $E18, I$1))</f>
        <v>iong</v>
      </c>
      <c r="J18" s="350" t="str" cm="1">
        <f t="array" ref="J18" xml:space="preserve"> IF($E18=0, "", INDEX($Q$5:$AG$54, $E18, J$1))</f>
        <v>iok</v>
      </c>
      <c r="K18" s="362"/>
      <c r="L18" s="362">
        <f t="shared" si="2"/>
        <v>14</v>
      </c>
      <c r="M18" s="366" t="str">
        <f t="shared" si="1"/>
        <v/>
      </c>
      <c r="N18" s="25" t="str" cm="1">
        <f t="array" ref="N18">IF($L18=0, INDEX($AC$5:$AC$54,$Q18,1), "")</f>
        <v/>
      </c>
      <c r="O18" s="25" t="str" cm="1">
        <f t="array" ref="O18">IF($L18=0, INDEX($Y$5:$Y$54,$Q18,1), "")</f>
        <v/>
      </c>
      <c r="Q18" s="47">
        <v>14</v>
      </c>
      <c r="R18" s="380" t="s">
        <v>288</v>
      </c>
      <c r="S18" s="26" t="s">
        <v>289</v>
      </c>
      <c r="T18" s="27" t="s">
        <v>290</v>
      </c>
      <c r="U18" s="26" t="s">
        <v>291</v>
      </c>
      <c r="V18" s="27" t="s">
        <v>292</v>
      </c>
      <c r="W18" s="152" t="s">
        <v>289</v>
      </c>
      <c r="X18" s="38" t="s">
        <v>290</v>
      </c>
      <c r="Y18" s="37" t="s">
        <v>289</v>
      </c>
      <c r="Z18" s="38" t="s">
        <v>290</v>
      </c>
      <c r="AA18" s="26" t="s">
        <v>289</v>
      </c>
      <c r="AB18" s="27" t="s">
        <v>290</v>
      </c>
      <c r="AC18" s="37" t="s">
        <v>293</v>
      </c>
      <c r="AD18" s="252" t="s">
        <v>294</v>
      </c>
      <c r="AE18" s="26" t="s">
        <v>295</v>
      </c>
      <c r="AF18" s="44" t="s">
        <v>296</v>
      </c>
      <c r="AG18" s="28"/>
    </row>
    <row r="19" spans="2:33" ht="34">
      <c r="B19" s="47">
        <v>15</v>
      </c>
      <c r="C19" s="390" t="s">
        <v>298</v>
      </c>
      <c r="D19" s="389" t="s">
        <v>299</v>
      </c>
      <c r="E19" s="389">
        <f t="shared" si="0"/>
        <v>15</v>
      </c>
      <c r="F19" s="387" t="str" cm="1">
        <f t="array" ref="F19" xml:space="preserve"> IF($E19=0, "", INDEX($Q$5:$AG$54, $E19, F$1))</f>
        <v>高</v>
      </c>
      <c r="G19" s="350" t="str" cm="1">
        <f t="array" ref="G19" xml:space="preserve"> IF($E19=0, "", INDEX($Q$5:$AG$54, $E19, G$1))</f>
        <v>ㄜ</v>
      </c>
      <c r="H19" s="350" t="str" cm="1">
        <f t="array" ref="H19" xml:space="preserve"> IF($E19=0, "", INDEX($Q$5:$AG$54, $E19, H$1))</f>
        <v>ㄜㆷ</v>
      </c>
      <c r="I19" s="350" t="str" cm="1">
        <f t="array" ref="I19" xml:space="preserve"> IF($E19=0, "", INDEX($Q$5:$AG$54, $E19, I$1))</f>
        <v>o</v>
      </c>
      <c r="J19" s="350" t="str" cm="1">
        <f t="array" ref="J19" xml:space="preserve"> IF($E19=0, "", INDEX($Q$5:$AG$54, $E19, J$1))</f>
        <v>oh</v>
      </c>
      <c r="K19" s="362"/>
      <c r="L19" s="362">
        <f t="shared" si="2"/>
        <v>15</v>
      </c>
      <c r="M19" s="366" t="str">
        <f t="shared" si="1"/>
        <v/>
      </c>
      <c r="N19" s="25" t="str" cm="1">
        <f t="array" ref="N19">IF($L19=0, INDEX($AC$5:$AC$54,$Q19,1), "")</f>
        <v/>
      </c>
      <c r="O19" s="25" t="str" cm="1">
        <f t="array" ref="O19">IF($L19=0, INDEX($Y$5:$Y$54,$Q19,1), "")</f>
        <v/>
      </c>
      <c r="Q19" s="47">
        <v>15</v>
      </c>
      <c r="R19" s="380" t="s">
        <v>298</v>
      </c>
      <c r="S19" s="26" t="s">
        <v>299</v>
      </c>
      <c r="T19" s="27" t="s">
        <v>300</v>
      </c>
      <c r="U19" s="26" t="s">
        <v>299</v>
      </c>
      <c r="V19" s="40" t="s">
        <v>301</v>
      </c>
      <c r="W19" s="151" t="s">
        <v>299</v>
      </c>
      <c r="X19" s="40" t="s">
        <v>300</v>
      </c>
      <c r="Y19" s="26" t="s">
        <v>299</v>
      </c>
      <c r="Z19" s="27" t="s">
        <v>300</v>
      </c>
      <c r="AA19" s="26" t="s">
        <v>299</v>
      </c>
      <c r="AB19" s="27" t="s">
        <v>300</v>
      </c>
      <c r="AC19" s="26" t="s">
        <v>302</v>
      </c>
      <c r="AD19" s="27" t="s">
        <v>303</v>
      </c>
      <c r="AE19" s="26" t="s">
        <v>299</v>
      </c>
      <c r="AF19" s="44" t="s">
        <v>304</v>
      </c>
      <c r="AG19" s="28"/>
    </row>
    <row r="20" spans="2:33" ht="34">
      <c r="B20" s="47">
        <v>16</v>
      </c>
      <c r="C20" s="390" t="s">
        <v>306</v>
      </c>
      <c r="D20" s="389" t="s">
        <v>307</v>
      </c>
      <c r="E20" s="389">
        <f t="shared" si="0"/>
        <v>16</v>
      </c>
      <c r="F20" s="387" t="str" cm="1">
        <f t="array" ref="F20" xml:space="preserve"> IF($E20=0, "", INDEX($Q$5:$AG$54, $E20, F$1))</f>
        <v>皆</v>
      </c>
      <c r="G20" s="350" t="str" cm="1">
        <f t="array" ref="G20" xml:space="preserve"> IF($E20=0, "", INDEX($Q$5:$AG$54, $E20, G$1))</f>
        <v>ㄞ</v>
      </c>
      <c r="H20" s="350" t="str" cm="1">
        <f t="array" ref="H20" xml:space="preserve"> IF($E20=0, "", INDEX($Q$5:$AG$54, $E20, H$1))</f>
        <v>ㄞㆷ</v>
      </c>
      <c r="I20" s="350" t="str" cm="1">
        <f t="array" ref="I20" xml:space="preserve"> IF($E20=0, "", INDEX($Q$5:$AG$54, $E20, I$1))</f>
        <v>ai</v>
      </c>
      <c r="J20" s="350" t="str" cm="1">
        <f t="array" ref="J20" xml:space="preserve"> IF($E20=0, "", INDEX($Q$5:$AG$54, $E20, J$1))</f>
        <v>aih</v>
      </c>
      <c r="K20" s="362"/>
      <c r="L20" s="362">
        <f t="shared" si="2"/>
        <v>16</v>
      </c>
      <c r="M20" s="366" t="str">
        <f t="shared" si="1"/>
        <v/>
      </c>
      <c r="N20" s="25" t="str" cm="1">
        <f t="array" ref="N20">IF($L20=0, INDEX($AC$5:$AC$54,$Q20,1), "")</f>
        <v/>
      </c>
      <c r="O20" s="25" t="str" cm="1">
        <f t="array" ref="O20">IF($L20=0, INDEX($Y$5:$Y$54,$Q20,1), "")</f>
        <v/>
      </c>
      <c r="Q20" s="47">
        <v>16</v>
      </c>
      <c r="R20" s="380" t="s">
        <v>306</v>
      </c>
      <c r="S20" s="26" t="s">
        <v>307</v>
      </c>
      <c r="T20" s="30" t="s">
        <v>308</v>
      </c>
      <c r="U20" s="26" t="s">
        <v>309</v>
      </c>
      <c r="V20" s="30" t="s">
        <v>310</v>
      </c>
      <c r="W20" s="151" t="s">
        <v>307</v>
      </c>
      <c r="X20" s="30" t="s">
        <v>311</v>
      </c>
      <c r="Y20" s="26" t="s">
        <v>307</v>
      </c>
      <c r="Z20" s="30" t="s">
        <v>308</v>
      </c>
      <c r="AA20" s="26" t="s">
        <v>307</v>
      </c>
      <c r="AB20" s="30" t="s">
        <v>311</v>
      </c>
      <c r="AC20" s="26" t="s">
        <v>312</v>
      </c>
      <c r="AD20" s="30" t="s">
        <v>313</v>
      </c>
      <c r="AE20" s="26" t="s">
        <v>314</v>
      </c>
      <c r="AF20" s="30"/>
      <c r="AG20" s="28"/>
    </row>
    <row r="21" spans="2:33" ht="34">
      <c r="B21" s="47">
        <v>17</v>
      </c>
      <c r="C21" s="390" t="s">
        <v>316</v>
      </c>
      <c r="D21" s="389" t="s">
        <v>317</v>
      </c>
      <c r="E21" s="389">
        <f t="shared" si="0"/>
        <v>17</v>
      </c>
      <c r="F21" s="387" t="str" cm="1">
        <f t="array" ref="F21" xml:space="preserve"> IF($E21=0, "", INDEX($Q$5:$AG$54, $E21, F$1))</f>
        <v>巾</v>
      </c>
      <c r="G21" s="350" t="str" cm="1">
        <f t="array" ref="G21" xml:space="preserve"> IF($E21=0, "", INDEX($Q$5:$AG$54, $E21, G$1))</f>
        <v>ㄧㄣ</v>
      </c>
      <c r="H21" s="350" t="str" cm="1">
        <f t="array" ref="H21" xml:space="preserve"> IF($E21=0, "", INDEX($Q$5:$AG$54, $E21, H$1))</f>
        <v>ㄧㆵ</v>
      </c>
      <c r="I21" s="350" t="str" cm="1">
        <f t="array" ref="I21" xml:space="preserve"> IF($E21=0, "", INDEX($Q$5:$AG$54, $E21, I$1))</f>
        <v>in</v>
      </c>
      <c r="J21" s="350" t="str" cm="1">
        <f t="array" ref="J21" xml:space="preserve"> IF($E21=0, "", INDEX($Q$5:$AG$54, $E21, J$1))</f>
        <v>it</v>
      </c>
      <c r="K21" s="362"/>
      <c r="L21" s="362">
        <f t="shared" si="2"/>
        <v>17</v>
      </c>
      <c r="M21" s="366" t="str">
        <f t="shared" si="1"/>
        <v/>
      </c>
      <c r="N21" s="25" t="str" cm="1">
        <f t="array" ref="N21">IF($L21=0, INDEX($AC$5:$AC$54,$Q21,1), "")</f>
        <v/>
      </c>
      <c r="O21" s="25" t="str" cm="1">
        <f t="array" ref="O21">IF($L21=0, INDEX($Y$5:$Y$54,$Q21,1), "")</f>
        <v/>
      </c>
      <c r="Q21" s="47">
        <v>17</v>
      </c>
      <c r="R21" s="380" t="s">
        <v>316</v>
      </c>
      <c r="S21" s="26" t="s">
        <v>317</v>
      </c>
      <c r="T21" s="27" t="s">
        <v>318</v>
      </c>
      <c r="U21" s="26" t="s">
        <v>317</v>
      </c>
      <c r="V21" s="27" t="s">
        <v>319</v>
      </c>
      <c r="W21" s="150" t="s">
        <v>317</v>
      </c>
      <c r="X21" s="27" t="s">
        <v>318</v>
      </c>
      <c r="Y21" s="26" t="s">
        <v>317</v>
      </c>
      <c r="Z21" s="27" t="s">
        <v>318</v>
      </c>
      <c r="AA21" s="26" t="s">
        <v>317</v>
      </c>
      <c r="AB21" s="27" t="s">
        <v>318</v>
      </c>
      <c r="AC21" s="26" t="s">
        <v>320</v>
      </c>
      <c r="AD21" s="27" t="s">
        <v>321</v>
      </c>
      <c r="AE21" s="26" t="s">
        <v>317</v>
      </c>
      <c r="AF21" s="44" t="s">
        <v>318</v>
      </c>
      <c r="AG21" s="28"/>
    </row>
    <row r="22" spans="2:33" ht="34">
      <c r="B22" s="47">
        <v>18</v>
      </c>
      <c r="C22" s="390" t="s">
        <v>323</v>
      </c>
      <c r="D22" s="389" t="s">
        <v>324</v>
      </c>
      <c r="E22" s="389">
        <f t="shared" si="0"/>
        <v>18</v>
      </c>
      <c r="F22" s="387" t="str" cm="1">
        <f t="array" ref="F22" xml:space="preserve"> IF($E22=0, "", INDEX($Q$5:$AG$54, $E22, F$1))</f>
        <v>姜</v>
      </c>
      <c r="G22" s="350" t="str" cm="1">
        <f t="array" ref="G22" xml:space="preserve"> IF($E22=0, "", INDEX($Q$5:$AG$54, $E22, G$1))</f>
        <v>ㄧㄤ</v>
      </c>
      <c r="H22" s="350" t="str" cm="1">
        <f t="array" ref="H22" xml:space="preserve"> IF($E22=0, "", INDEX($Q$5:$AG$54, $E22, H$1))</f>
        <v>ㄧㄚㆻ</v>
      </c>
      <c r="I22" s="350" t="str" cm="1">
        <f t="array" ref="I22" xml:space="preserve"> IF($E22=0, "", INDEX($Q$5:$AG$54, $E22, I$1))</f>
        <v>iang</v>
      </c>
      <c r="J22" s="350" t="str" cm="1">
        <f t="array" ref="J22" xml:space="preserve"> IF($E22=0, "", INDEX($Q$5:$AG$54, $E22, J$1))</f>
        <v>iak</v>
      </c>
      <c r="K22" s="362"/>
      <c r="L22" s="362">
        <f t="shared" si="2"/>
        <v>18</v>
      </c>
      <c r="M22" s="366" t="str">
        <f t="shared" si="1"/>
        <v/>
      </c>
      <c r="N22" s="25" t="str" cm="1">
        <f t="array" ref="N22">IF($L22=0, INDEX($AC$5:$AC$54,$Q22,1), "")</f>
        <v/>
      </c>
      <c r="O22" s="25" t="str" cm="1">
        <f t="array" ref="O22">IF($L22=0, INDEX($Y$5:$Y$54,$Q22,1), "")</f>
        <v/>
      </c>
      <c r="Q22" s="47">
        <v>18</v>
      </c>
      <c r="R22" s="380" t="s">
        <v>323</v>
      </c>
      <c r="S22" s="26" t="s">
        <v>324</v>
      </c>
      <c r="T22" s="27" t="s">
        <v>325</v>
      </c>
      <c r="U22" s="26" t="s">
        <v>326</v>
      </c>
      <c r="V22" s="40" t="s">
        <v>327</v>
      </c>
      <c r="W22" s="151" t="s">
        <v>324</v>
      </c>
      <c r="X22" s="40" t="s">
        <v>325</v>
      </c>
      <c r="Y22" s="26" t="s">
        <v>324</v>
      </c>
      <c r="Z22" s="27" t="s">
        <v>325</v>
      </c>
      <c r="AA22" s="26" t="s">
        <v>324</v>
      </c>
      <c r="AB22" s="27" t="s">
        <v>325</v>
      </c>
      <c r="AC22" s="26" t="s">
        <v>328</v>
      </c>
      <c r="AD22" s="27" t="s">
        <v>329</v>
      </c>
      <c r="AE22" s="26" t="s">
        <v>330</v>
      </c>
      <c r="AF22" s="44" t="s">
        <v>331</v>
      </c>
      <c r="AG22" s="28"/>
    </row>
    <row r="23" spans="2:33" ht="34">
      <c r="B23" s="47">
        <v>19</v>
      </c>
      <c r="C23" s="390" t="s">
        <v>333</v>
      </c>
      <c r="D23" s="389" t="s">
        <v>334</v>
      </c>
      <c r="E23" s="389">
        <f t="shared" si="0"/>
        <v>19</v>
      </c>
      <c r="F23" s="387" t="str" cm="1">
        <f t="array" ref="F23" xml:space="preserve"> IF($E23=0, "", INDEX($Q$5:$AG$54, $E23, F$1))</f>
        <v>甘</v>
      </c>
      <c r="G23" s="350" t="str" cm="1">
        <f t="array" ref="G23" xml:space="preserve"> IF($E23=0, "", INDEX($Q$5:$AG$54, $E23, G$1))</f>
        <v>ㆰ</v>
      </c>
      <c r="H23" s="350" t="str" cm="1">
        <f t="array" ref="H23" xml:space="preserve"> IF($E23=0, "", INDEX($Q$5:$AG$54, $E23, H$1))</f>
        <v>ㄚㆴ</v>
      </c>
      <c r="I23" s="350" t="str" cm="1">
        <f t="array" ref="I23" xml:space="preserve"> IF($E23=0, "", INDEX($Q$5:$AG$54, $E23, I$1))</f>
        <v>am</v>
      </c>
      <c r="J23" s="350" t="str" cm="1">
        <f t="array" ref="J23" xml:space="preserve"> IF($E23=0, "", INDEX($Q$5:$AG$54, $E23, J$1))</f>
        <v>ap</v>
      </c>
      <c r="K23" s="362"/>
      <c r="L23" s="362">
        <f t="shared" si="2"/>
        <v>19</v>
      </c>
      <c r="M23" s="366" t="str">
        <f t="shared" si="1"/>
        <v/>
      </c>
      <c r="N23" s="25" t="str" cm="1">
        <f t="array" ref="N23">IF($L23=0, INDEX($AC$5:$AC$54,$Q23,1), "")</f>
        <v/>
      </c>
      <c r="O23" s="25" t="str" cm="1">
        <f t="array" ref="O23">IF($L23=0, INDEX($Y$5:$Y$54,$Q23,1), "")</f>
        <v/>
      </c>
      <c r="Q23" s="47">
        <v>19</v>
      </c>
      <c r="R23" s="380" t="s">
        <v>333</v>
      </c>
      <c r="S23" s="26" t="s">
        <v>334</v>
      </c>
      <c r="T23" s="27" t="s">
        <v>203</v>
      </c>
      <c r="U23" s="26" t="s">
        <v>334</v>
      </c>
      <c r="V23" s="27" t="s">
        <v>335</v>
      </c>
      <c r="W23" s="150" t="s">
        <v>334</v>
      </c>
      <c r="X23" s="27" t="s">
        <v>203</v>
      </c>
      <c r="Y23" s="26" t="s">
        <v>334</v>
      </c>
      <c r="Z23" s="27" t="s">
        <v>203</v>
      </c>
      <c r="AA23" s="26" t="s">
        <v>334</v>
      </c>
      <c r="AB23" s="27" t="s">
        <v>203</v>
      </c>
      <c r="AC23" s="26" t="s">
        <v>336</v>
      </c>
      <c r="AD23" s="27" t="s">
        <v>337</v>
      </c>
      <c r="AE23" s="26" t="s">
        <v>334</v>
      </c>
      <c r="AF23" s="44" t="s">
        <v>203</v>
      </c>
      <c r="AG23" s="28"/>
    </row>
    <row r="24" spans="2:33" ht="34">
      <c r="B24" s="47">
        <v>20</v>
      </c>
      <c r="C24" s="390" t="s">
        <v>339</v>
      </c>
      <c r="D24" s="389" t="s">
        <v>340</v>
      </c>
      <c r="E24" s="389">
        <f t="shared" si="0"/>
        <v>20</v>
      </c>
      <c r="F24" s="387" t="str" cm="1">
        <f t="array" ref="F24" xml:space="preserve"> IF($E24=0, "", INDEX($Q$5:$AG$54, $E24, F$1))</f>
        <v>瓜</v>
      </c>
      <c r="G24" s="350" t="str" cm="1">
        <f t="array" ref="G24" xml:space="preserve"> IF($E24=0, "", INDEX($Q$5:$AG$54, $E24, G$1))</f>
        <v>ㄨㄚ</v>
      </c>
      <c r="H24" s="350" t="str" cm="1">
        <f t="array" ref="H24" xml:space="preserve"> IF($E24=0, "", INDEX($Q$5:$AG$54, $E24, H$1))</f>
        <v>ㄨㄚㆷ</v>
      </c>
      <c r="I24" s="350" t="str" cm="1">
        <f t="array" ref="I24" xml:space="preserve"> IF($E24=0, "", INDEX($Q$5:$AG$54, $E24, I$1))</f>
        <v>ua</v>
      </c>
      <c r="J24" s="350" t="str" cm="1">
        <f t="array" ref="J24" xml:space="preserve"> IF($E24=0, "", INDEX($Q$5:$AG$54, $E24, J$1))</f>
        <v>uah</v>
      </c>
      <c r="K24" s="362"/>
      <c r="L24" s="362">
        <f t="shared" si="2"/>
        <v>20</v>
      </c>
      <c r="M24" s="366" t="str">
        <f t="shared" si="1"/>
        <v/>
      </c>
      <c r="N24" s="25" t="str" cm="1">
        <f t="array" ref="N24">IF($L24=0, INDEX($AC$5:$AC$54,$Q24,1), "")</f>
        <v/>
      </c>
      <c r="O24" s="25" t="str" cm="1">
        <f t="array" ref="O24">IF($L24=0, INDEX($Y$5:$Y$54,$Q24,1), "")</f>
        <v/>
      </c>
      <c r="Q24" s="47">
        <v>20</v>
      </c>
      <c r="R24" s="380" t="s">
        <v>339</v>
      </c>
      <c r="S24" s="26" t="s">
        <v>340</v>
      </c>
      <c r="T24" s="27" t="s">
        <v>341</v>
      </c>
      <c r="U24" s="26" t="s">
        <v>340</v>
      </c>
      <c r="V24" s="40" t="s">
        <v>342</v>
      </c>
      <c r="W24" s="151" t="s">
        <v>343</v>
      </c>
      <c r="X24" s="40" t="s">
        <v>344</v>
      </c>
      <c r="Y24" s="26" t="s">
        <v>340</v>
      </c>
      <c r="Z24" s="27" t="s">
        <v>341</v>
      </c>
      <c r="AA24" s="26" t="s">
        <v>340</v>
      </c>
      <c r="AB24" s="27" t="s">
        <v>341</v>
      </c>
      <c r="AC24" s="26" t="s">
        <v>345</v>
      </c>
      <c r="AD24" s="27" t="s">
        <v>346</v>
      </c>
      <c r="AE24" s="26" t="s">
        <v>347</v>
      </c>
      <c r="AF24" s="44" t="s">
        <v>348</v>
      </c>
      <c r="AG24" s="28"/>
    </row>
    <row r="25" spans="2:33" ht="34">
      <c r="B25" s="47">
        <v>21</v>
      </c>
      <c r="C25" s="390" t="s">
        <v>350</v>
      </c>
      <c r="D25" s="389" t="s">
        <v>351</v>
      </c>
      <c r="E25" s="389">
        <f t="shared" si="0"/>
        <v>21</v>
      </c>
      <c r="F25" s="387" t="str" cm="1">
        <f t="array" ref="F25" xml:space="preserve"> IF($E25=0, "", INDEX($Q$5:$AG$54, $E25, F$1))</f>
        <v>江</v>
      </c>
      <c r="G25" s="350" t="str" cm="1">
        <f t="array" ref="G25" xml:space="preserve"> IF($E25=0, "", INDEX($Q$5:$AG$54, $E25, G$1))</f>
        <v>ㄤ</v>
      </c>
      <c r="H25" s="350" t="str" cm="1">
        <f t="array" ref="H25" xml:space="preserve"> IF($E25=0, "", INDEX($Q$5:$AG$54, $E25, H$1))</f>
        <v>ㄚㆻ</v>
      </c>
      <c r="I25" s="350" t="str" cm="1">
        <f t="array" ref="I25" xml:space="preserve"> IF($E25=0, "", INDEX($Q$5:$AG$54, $E25, I$1))</f>
        <v>ang</v>
      </c>
      <c r="J25" s="350" t="str" cm="1">
        <f t="array" ref="J25" xml:space="preserve"> IF($E25=0, "", INDEX($Q$5:$AG$54, $E25, J$1))</f>
        <v>ak</v>
      </c>
      <c r="K25" s="362"/>
      <c r="L25" s="362">
        <f t="shared" si="2"/>
        <v>21</v>
      </c>
      <c r="M25" s="366" t="str">
        <f t="shared" si="1"/>
        <v/>
      </c>
      <c r="N25" s="25" t="str" cm="1">
        <f t="array" ref="N25">IF($L25=0, INDEX($AC$5:$AC$54,$Q25,1), "")</f>
        <v/>
      </c>
      <c r="O25" s="25" t="str" cm="1">
        <f t="array" ref="O25">IF($L25=0, INDEX($Y$5:$Y$54,$Q25,1), "")</f>
        <v/>
      </c>
      <c r="Q25" s="47">
        <v>21</v>
      </c>
      <c r="R25" s="380" t="s">
        <v>350</v>
      </c>
      <c r="S25" s="26" t="s">
        <v>351</v>
      </c>
      <c r="T25" s="27" t="s">
        <v>352</v>
      </c>
      <c r="U25" s="26" t="s">
        <v>353</v>
      </c>
      <c r="V25" s="27" t="s">
        <v>354</v>
      </c>
      <c r="W25" s="150" t="s">
        <v>351</v>
      </c>
      <c r="X25" s="27" t="s">
        <v>352</v>
      </c>
      <c r="Y25" s="26" t="s">
        <v>351</v>
      </c>
      <c r="Z25" s="27" t="s">
        <v>352</v>
      </c>
      <c r="AA25" s="26" t="s">
        <v>351</v>
      </c>
      <c r="AB25" s="27" t="s">
        <v>352</v>
      </c>
      <c r="AC25" s="26" t="s">
        <v>355</v>
      </c>
      <c r="AD25" s="250" t="s">
        <v>356</v>
      </c>
      <c r="AE25" s="26" t="s">
        <v>351</v>
      </c>
      <c r="AF25" s="44" t="s">
        <v>352</v>
      </c>
      <c r="AG25" s="28"/>
    </row>
    <row r="26" spans="2:33" ht="34">
      <c r="B26" s="47">
        <v>22</v>
      </c>
      <c r="C26" s="390" t="s">
        <v>358</v>
      </c>
      <c r="D26" s="389" t="s">
        <v>359</v>
      </c>
      <c r="E26" s="389">
        <f t="shared" si="0"/>
        <v>22</v>
      </c>
      <c r="F26" s="387" t="str" cm="1">
        <f t="array" ref="F26" xml:space="preserve"> IF($E26=0, "", INDEX($Q$5:$AG$54, $E26, F$1))</f>
        <v>兼</v>
      </c>
      <c r="G26" s="350" t="str" cm="1">
        <f t="array" ref="G26" xml:space="preserve"> IF($E26=0, "", INDEX($Q$5:$AG$54, $E26, G$1))</f>
        <v>ㄧㆰ</v>
      </c>
      <c r="H26" s="350" t="str" cm="1">
        <f t="array" ref="H26" xml:space="preserve"> IF($E26=0, "", INDEX($Q$5:$AG$54, $E26, H$1))</f>
        <v>ㄧㄚㆴ</v>
      </c>
      <c r="I26" s="350" t="str" cm="1">
        <f t="array" ref="I26" xml:space="preserve"> IF($E26=0, "", INDEX($Q$5:$AG$54, $E26, I$1))</f>
        <v>iam</v>
      </c>
      <c r="J26" s="350" t="str" cm="1">
        <f t="array" ref="J26" xml:space="preserve"> IF($E26=0, "", INDEX($Q$5:$AG$54, $E26, J$1))</f>
        <v>iap</v>
      </c>
      <c r="K26" s="362"/>
      <c r="L26" s="362">
        <f t="shared" si="2"/>
        <v>22</v>
      </c>
      <c r="M26" s="366" t="str">
        <f t="shared" si="1"/>
        <v/>
      </c>
      <c r="N26" s="25" t="str" cm="1">
        <f t="array" ref="N26">IF($L26=0, INDEX($AC$5:$AC$54,$Q26,1), "")</f>
        <v/>
      </c>
      <c r="O26" s="25" t="str" cm="1">
        <f t="array" ref="O26">IF($L26=0, INDEX($Y$5:$Y$54,$Q26,1), "")</f>
        <v/>
      </c>
      <c r="Q26" s="47">
        <v>22</v>
      </c>
      <c r="R26" s="380" t="s">
        <v>358</v>
      </c>
      <c r="S26" s="26" t="s">
        <v>359</v>
      </c>
      <c r="T26" s="27" t="s">
        <v>360</v>
      </c>
      <c r="U26" s="26" t="s">
        <v>359</v>
      </c>
      <c r="V26" s="27" t="s">
        <v>361</v>
      </c>
      <c r="W26" s="150" t="s">
        <v>359</v>
      </c>
      <c r="X26" s="27" t="s">
        <v>360</v>
      </c>
      <c r="Y26" s="26" t="s">
        <v>359</v>
      </c>
      <c r="Z26" s="27" t="s">
        <v>360</v>
      </c>
      <c r="AA26" s="26" t="s">
        <v>359</v>
      </c>
      <c r="AB26" s="27" t="s">
        <v>360</v>
      </c>
      <c r="AC26" s="26" t="s">
        <v>362</v>
      </c>
      <c r="AD26" s="27" t="s">
        <v>363</v>
      </c>
      <c r="AE26" s="26" t="s">
        <v>364</v>
      </c>
      <c r="AF26" s="44" t="s">
        <v>365</v>
      </c>
      <c r="AG26" s="28"/>
    </row>
    <row r="27" spans="2:33" ht="34">
      <c r="B27" s="47">
        <v>23</v>
      </c>
      <c r="C27" s="390" t="s">
        <v>367</v>
      </c>
      <c r="D27" s="389" t="s">
        <v>3614</v>
      </c>
      <c r="E27" s="389">
        <f t="shared" si="0"/>
        <v>23</v>
      </c>
      <c r="F27" s="387" t="str" cm="1">
        <f t="array" ref="F27" xml:space="preserve"> IF($E27=0, "", INDEX($Q$5:$AG$54, $E27, F$1))</f>
        <v>交</v>
      </c>
      <c r="G27" s="350" t="str" cm="1">
        <f t="array" ref="G27" xml:space="preserve"> IF($E27=0, "", INDEX($Q$5:$AG$54, $E27, G$1))</f>
        <v>ㄠ</v>
      </c>
      <c r="H27" s="350" t="str" cm="1">
        <f t="array" ref="H27" xml:space="preserve"> IF($E27=0, "", INDEX($Q$5:$AG$54, $E27, H$1))</f>
        <v>ㄠㆷ</v>
      </c>
      <c r="I27" s="350" t="str" cm="1">
        <f t="array" ref="I27" xml:space="preserve"> IF($E27=0, "", INDEX($Q$5:$AG$54, $E27, I$1))</f>
        <v>au</v>
      </c>
      <c r="J27" s="350" t="str" cm="1">
        <f t="array" ref="J27" xml:space="preserve"> IF($E27=0, "", INDEX($Q$5:$AG$54, $E27, J$1))</f>
        <v>auh</v>
      </c>
      <c r="K27" s="362"/>
      <c r="L27" s="362">
        <f t="shared" si="2"/>
        <v>23</v>
      </c>
      <c r="M27" s="366" t="str">
        <f t="shared" si="1"/>
        <v/>
      </c>
      <c r="N27" s="25" t="str" cm="1">
        <f t="array" ref="N27">IF($L27=0, INDEX($AC$5:$AC$54,$Q27,1), "")</f>
        <v/>
      </c>
      <c r="O27" s="25" t="str" cm="1">
        <f t="array" ref="O27">IF($L27=0, INDEX($Y$5:$Y$54,$Q27,1), "")</f>
        <v/>
      </c>
      <c r="Q27" s="47">
        <v>23</v>
      </c>
      <c r="R27" s="380" t="s">
        <v>367</v>
      </c>
      <c r="S27" s="26" t="s">
        <v>368</v>
      </c>
      <c r="T27" s="27" t="s">
        <v>369</v>
      </c>
      <c r="U27" s="26" t="s">
        <v>370</v>
      </c>
      <c r="V27" s="27" t="s">
        <v>371</v>
      </c>
      <c r="W27" s="150" t="s">
        <v>368</v>
      </c>
      <c r="X27" s="27" t="s">
        <v>369</v>
      </c>
      <c r="Y27" s="26" t="s">
        <v>368</v>
      </c>
      <c r="Z27" s="27" t="s">
        <v>369</v>
      </c>
      <c r="AA27" s="26" t="s">
        <v>372</v>
      </c>
      <c r="AB27" s="27" t="s">
        <v>373</v>
      </c>
      <c r="AC27" s="26" t="s">
        <v>374</v>
      </c>
      <c r="AD27" s="27" t="s">
        <v>375</v>
      </c>
      <c r="AE27" s="26" t="s">
        <v>376</v>
      </c>
      <c r="AF27" s="44" t="s">
        <v>377</v>
      </c>
      <c r="AG27" s="39" t="s">
        <v>370</v>
      </c>
    </row>
    <row r="28" spans="2:33" ht="34">
      <c r="B28" s="47">
        <v>24</v>
      </c>
      <c r="C28" s="390" t="s">
        <v>378</v>
      </c>
      <c r="D28" s="389" t="s">
        <v>379</v>
      </c>
      <c r="E28" s="389">
        <f t="shared" si="0"/>
        <v>24</v>
      </c>
      <c r="F28" s="387" t="str" cm="1">
        <f t="array" ref="F28" xml:space="preserve"> IF($E28=0, "", INDEX($Q$5:$AG$54, $E28, F$1))</f>
        <v>迦</v>
      </c>
      <c r="G28" s="350" t="str" cm="1">
        <f t="array" ref="G28" xml:space="preserve"> IF($E28=0, "", INDEX($Q$5:$AG$54, $E28, G$1))</f>
        <v>ㄧㄚ</v>
      </c>
      <c r="H28" s="350" t="str" cm="1">
        <f t="array" ref="H28" xml:space="preserve"> IF($E28=0, "", INDEX($Q$5:$AG$54, $E28, H$1))</f>
        <v>ㄧㄚㆷ</v>
      </c>
      <c r="I28" s="350" t="str" cm="1">
        <f t="array" ref="I28" xml:space="preserve"> IF($E28=0, "", INDEX($Q$5:$AG$54, $E28, I$1))</f>
        <v>ia</v>
      </c>
      <c r="J28" s="350" t="str" cm="1">
        <f t="array" ref="J28" xml:space="preserve"> IF($E28=0, "", INDEX($Q$5:$AG$54, $E28, J$1))</f>
        <v>iah</v>
      </c>
      <c r="K28" s="362"/>
      <c r="L28" s="362">
        <f t="shared" si="2"/>
        <v>24</v>
      </c>
      <c r="M28" s="366" t="str">
        <f t="shared" si="1"/>
        <v/>
      </c>
      <c r="N28" s="25" t="str" cm="1">
        <f t="array" ref="N28">IF($L28=0, INDEX($AC$5:$AC$54,$Q28,1), "")</f>
        <v/>
      </c>
      <c r="O28" s="25" t="str" cm="1">
        <f t="array" ref="O28">IF($L28=0, INDEX($Y$5:$Y$54,$Q28,1), "")</f>
        <v/>
      </c>
      <c r="Q28" s="47">
        <v>24</v>
      </c>
      <c r="R28" s="380" t="s">
        <v>378</v>
      </c>
      <c r="S28" s="26" t="s">
        <v>379</v>
      </c>
      <c r="T28" s="27" t="s">
        <v>380</v>
      </c>
      <c r="U28" s="26" t="s">
        <v>379</v>
      </c>
      <c r="V28" s="27" t="s">
        <v>381</v>
      </c>
      <c r="W28" s="150" t="s">
        <v>379</v>
      </c>
      <c r="X28" s="27" t="s">
        <v>380</v>
      </c>
      <c r="Y28" s="26" t="s">
        <v>379</v>
      </c>
      <c r="Z28" s="27" t="s">
        <v>380</v>
      </c>
      <c r="AA28" s="26" t="s">
        <v>379</v>
      </c>
      <c r="AB28" s="27" t="s">
        <v>380</v>
      </c>
      <c r="AC28" s="26" t="s">
        <v>382</v>
      </c>
      <c r="AD28" s="27" t="s">
        <v>383</v>
      </c>
      <c r="AE28" s="26" t="s">
        <v>384</v>
      </c>
      <c r="AF28" s="44" t="s">
        <v>385</v>
      </c>
      <c r="AG28" s="33" t="s">
        <v>386</v>
      </c>
    </row>
    <row r="29" spans="2:33" ht="34">
      <c r="B29" s="47">
        <v>25</v>
      </c>
      <c r="C29" s="390" t="s">
        <v>388</v>
      </c>
      <c r="D29" s="389" t="s">
        <v>389</v>
      </c>
      <c r="E29" s="389">
        <f t="shared" si="0"/>
        <v>25</v>
      </c>
      <c r="F29" s="387" t="str" cm="1">
        <f t="array" ref="F29" xml:space="preserve"> IF($E29=0, "", INDEX($Q$5:$AG$54, $E29, F$1))</f>
        <v>檜</v>
      </c>
      <c r="G29" s="350" t="str" cm="1">
        <f t="array" ref="G29" xml:space="preserve"> IF($E29=0, "", INDEX($Q$5:$AG$54, $E29, G$1))</f>
        <v>ㄨㆤ</v>
      </c>
      <c r="H29" s="350" t="str" cm="1">
        <f t="array" ref="H29" xml:space="preserve"> IF($E29=0, "", INDEX($Q$5:$AG$54, $E29, H$1))</f>
        <v>ㄨㆤㆷ</v>
      </c>
      <c r="I29" s="350" t="str" cm="1">
        <f t="array" ref="I29" xml:space="preserve"> IF($E29=0, "", INDEX($Q$5:$AG$54, $E29, I$1))</f>
        <v>ue</v>
      </c>
      <c r="J29" s="350" t="str" cm="1">
        <f t="array" ref="J29" xml:space="preserve"> IF($E29=0, "", INDEX($Q$5:$AG$54, $E29, J$1))</f>
        <v>ueh</v>
      </c>
      <c r="K29" s="362"/>
      <c r="L29" s="362">
        <f t="shared" si="2"/>
        <v>25</v>
      </c>
      <c r="M29" s="366" t="str">
        <f t="shared" si="1"/>
        <v/>
      </c>
      <c r="N29" s="25" t="str" cm="1">
        <f t="array" ref="N29">IF($L29=0, INDEX($AC$5:$AC$54,$Q29,1), "")</f>
        <v/>
      </c>
      <c r="O29" s="25" t="str" cm="1">
        <f t="array" ref="O29">IF($L29=0, INDEX($Y$5:$Y$54,$Q29,1), "")</f>
        <v/>
      </c>
      <c r="Q29" s="47">
        <v>25</v>
      </c>
      <c r="R29" s="380" t="s">
        <v>388</v>
      </c>
      <c r="S29" s="26" t="s">
        <v>389</v>
      </c>
      <c r="T29" s="40" t="s">
        <v>390</v>
      </c>
      <c r="U29" s="31" t="s">
        <v>389</v>
      </c>
      <c r="V29" s="40" t="s">
        <v>391</v>
      </c>
      <c r="W29" s="151" t="s">
        <v>261</v>
      </c>
      <c r="X29" s="40" t="s">
        <v>392</v>
      </c>
      <c r="Y29" s="31" t="s">
        <v>389</v>
      </c>
      <c r="Z29" s="40" t="s">
        <v>390</v>
      </c>
      <c r="AA29" s="31" t="s">
        <v>389</v>
      </c>
      <c r="AB29" s="40" t="s">
        <v>390</v>
      </c>
      <c r="AC29" s="247" t="s">
        <v>393</v>
      </c>
      <c r="AD29" s="248" t="s">
        <v>394</v>
      </c>
      <c r="AE29" s="31" t="s">
        <v>395</v>
      </c>
      <c r="AF29" s="45" t="s">
        <v>396</v>
      </c>
      <c r="AG29" s="28"/>
    </row>
    <row r="30" spans="2:33" ht="34">
      <c r="B30" s="47">
        <v>26</v>
      </c>
      <c r="C30" s="390" t="s">
        <v>399</v>
      </c>
      <c r="D30" s="389" t="s">
        <v>1629</v>
      </c>
      <c r="E30" s="389">
        <f t="shared" si="0"/>
        <v>26</v>
      </c>
      <c r="F30" s="387" t="str" cm="1">
        <f t="array" ref="F30" xml:space="preserve"> IF($E30=0, "", INDEX($Q$5:$AG$54, $E30, F$1))</f>
        <v>監</v>
      </c>
      <c r="G30" s="350" t="str" cm="1">
        <f t="array" ref="G30" xml:space="preserve"> IF($E30=0, "", INDEX($Q$5:$AG$54, $E30, G$1))</f>
        <v>ㆩ</v>
      </c>
      <c r="H30" s="350" t="str" cm="1">
        <f t="array" ref="H30" xml:space="preserve"> IF($E30=0, "", INDEX($Q$5:$AG$54, $E30, H$1))</f>
        <v>ㆩㆷ</v>
      </c>
      <c r="I30" s="350" t="str" cm="1">
        <f t="array" ref="I30" xml:space="preserve"> IF($E30=0, "", INDEX($Q$5:$AG$54, $E30, I$1))</f>
        <v>ann</v>
      </c>
      <c r="J30" s="350" t="str" cm="1">
        <f t="array" ref="J30" xml:space="preserve"> IF($E30=0, "", INDEX($Q$5:$AG$54, $E30, J$1))</f>
        <v>annh</v>
      </c>
      <c r="K30" s="362"/>
      <c r="L30" s="362">
        <f t="shared" si="2"/>
        <v>26</v>
      </c>
      <c r="M30" s="366" t="str">
        <f t="shared" si="1"/>
        <v/>
      </c>
      <c r="N30" s="25" t="str" cm="1">
        <f t="array" ref="N30">IF($L30=0, INDEX($AC$5:$AC$54,$Q30,1), "")</f>
        <v/>
      </c>
      <c r="O30" s="25" t="str" cm="1">
        <f t="array" ref="O30">IF($L30=0, INDEX($Y$5:$Y$54,$Q30,1), "")</f>
        <v/>
      </c>
      <c r="Q30" s="47">
        <v>26</v>
      </c>
      <c r="R30" s="380" t="s">
        <v>399</v>
      </c>
      <c r="S30" s="26" t="s">
        <v>400</v>
      </c>
      <c r="T30" s="40" t="s">
        <v>401</v>
      </c>
      <c r="U30" s="26" t="s">
        <v>402</v>
      </c>
      <c r="V30" s="27" t="s">
        <v>403</v>
      </c>
      <c r="W30" s="150" t="s">
        <v>404</v>
      </c>
      <c r="X30" s="27" t="s">
        <v>405</v>
      </c>
      <c r="Y30" s="26" t="s">
        <v>400</v>
      </c>
      <c r="Z30" s="27" t="s">
        <v>401</v>
      </c>
      <c r="AA30" s="26" t="s">
        <v>406</v>
      </c>
      <c r="AB30" s="27" t="s">
        <v>407</v>
      </c>
      <c r="AC30" s="26" t="s">
        <v>408</v>
      </c>
      <c r="AD30" s="27" t="s">
        <v>409</v>
      </c>
      <c r="AE30" s="26" t="s">
        <v>410</v>
      </c>
      <c r="AF30" s="44" t="s">
        <v>411</v>
      </c>
      <c r="AG30" s="28" t="s">
        <v>412</v>
      </c>
    </row>
    <row r="31" spans="2:33" ht="34">
      <c r="B31" s="47">
        <v>27</v>
      </c>
      <c r="C31" s="390" t="s">
        <v>3595</v>
      </c>
      <c r="D31" s="389" t="s">
        <v>415</v>
      </c>
      <c r="E31" s="389">
        <f t="shared" si="0"/>
        <v>27</v>
      </c>
      <c r="F31" s="387" t="str" cm="1">
        <f t="array" ref="F31" xml:space="preserve"> IF($E31=0, "", INDEX($Q$5:$AG$54, $E31, F$1))</f>
        <v>艍</v>
      </c>
      <c r="G31" s="350" t="str" cm="1">
        <f t="array" ref="G31" xml:space="preserve"> IF($E31=0, "", INDEX($Q$5:$AG$54, $E31, G$1))</f>
        <v>ㄨ</v>
      </c>
      <c r="H31" s="350" t="str" cm="1">
        <f t="array" ref="H31" xml:space="preserve"> IF($E31=0, "", INDEX($Q$5:$AG$54, $E31, H$1))</f>
        <v>ㄨㆷ</v>
      </c>
      <c r="I31" s="350" t="str" cm="1">
        <f t="array" ref="I31" xml:space="preserve"> IF($E31=0, "", INDEX($Q$5:$AG$54, $E31, I$1))</f>
        <v>u</v>
      </c>
      <c r="J31" s="350" t="str" cm="1">
        <f t="array" ref="J31" xml:space="preserve"> IF($E31=0, "", INDEX($Q$5:$AG$54, $E31, J$1))</f>
        <v>uh</v>
      </c>
      <c r="K31" s="362"/>
      <c r="L31" s="362">
        <f t="shared" si="2"/>
        <v>27</v>
      </c>
      <c r="M31" s="366" t="str">
        <f t="shared" si="1"/>
        <v/>
      </c>
      <c r="N31" s="25" t="str" cm="1">
        <f t="array" ref="N31">IF($L31=0, INDEX($AC$5:$AC$54,$Q31,1), "")</f>
        <v/>
      </c>
      <c r="O31" s="25" t="str" cm="1">
        <f t="array" ref="O31">IF($L31=0, INDEX($Y$5:$Y$54,$Q31,1), "")</f>
        <v/>
      </c>
      <c r="Q31" s="47">
        <v>27</v>
      </c>
      <c r="R31" s="380" t="s">
        <v>414</v>
      </c>
      <c r="S31" s="26" t="s">
        <v>415</v>
      </c>
      <c r="T31" s="27" t="s">
        <v>416</v>
      </c>
      <c r="U31" s="26" t="s">
        <v>415</v>
      </c>
      <c r="V31" s="27" t="s">
        <v>417</v>
      </c>
      <c r="W31" s="150" t="s">
        <v>415</v>
      </c>
      <c r="X31" s="27" t="s">
        <v>416</v>
      </c>
      <c r="Y31" s="26" t="s">
        <v>415</v>
      </c>
      <c r="Z31" s="27" t="s">
        <v>416</v>
      </c>
      <c r="AA31" s="26" t="s">
        <v>415</v>
      </c>
      <c r="AB31" s="27" t="s">
        <v>416</v>
      </c>
      <c r="AC31" s="26" t="s">
        <v>418</v>
      </c>
      <c r="AD31" s="27" t="s">
        <v>419</v>
      </c>
      <c r="AE31" s="26" t="s">
        <v>252</v>
      </c>
      <c r="AF31" s="44" t="s">
        <v>420</v>
      </c>
      <c r="AG31" s="33" t="s">
        <v>421</v>
      </c>
    </row>
    <row r="32" spans="2:33" ht="34">
      <c r="B32" s="47">
        <v>28</v>
      </c>
      <c r="C32" s="390" t="s">
        <v>398</v>
      </c>
      <c r="D32" s="389" t="s">
        <v>424</v>
      </c>
      <c r="E32" s="389">
        <f t="shared" si="0"/>
        <v>28</v>
      </c>
      <c r="F32" s="387" t="str" cm="1">
        <f t="array" ref="F32" xml:space="preserve"> IF($E32=0, "", INDEX($Q$5:$AG$54, $E32, F$1))</f>
        <v>膠</v>
      </c>
      <c r="G32" s="350" t="str" cm="1">
        <f t="array" ref="G32" xml:space="preserve"> IF($E32=0, "", INDEX($Q$5:$AG$54, $E32, G$1))</f>
        <v>ㄚ</v>
      </c>
      <c r="H32" s="350" t="str" cm="1">
        <f t="array" ref="H32" xml:space="preserve"> IF($E32=0, "", INDEX($Q$5:$AG$54, $E32, H$1))</f>
        <v>ㄚㆷ</v>
      </c>
      <c r="I32" s="350" t="str" cm="1">
        <f t="array" ref="I32" xml:space="preserve"> IF($E32=0, "", INDEX($Q$5:$AG$54, $E32, I$1))</f>
        <v>a</v>
      </c>
      <c r="J32" s="350" t="str" cm="1">
        <f t="array" ref="J32" xml:space="preserve"> IF($E32=0, "", INDEX($Q$5:$AG$54, $E32, J$1))</f>
        <v>ah</v>
      </c>
      <c r="K32" s="362"/>
      <c r="L32" s="362">
        <f t="shared" si="2"/>
        <v>28</v>
      </c>
      <c r="M32" s="366" t="str">
        <f t="shared" si="1"/>
        <v/>
      </c>
      <c r="N32" s="25" t="str" cm="1">
        <f t="array" ref="N32">IF($L32=0, INDEX($AC$5:$AC$54,$Q32,1), "")</f>
        <v/>
      </c>
      <c r="O32" s="25" t="str" cm="1">
        <f t="array" ref="O32">IF($L32=0, INDEX($Y$5:$Y$54,$Q32,1), "")</f>
        <v/>
      </c>
      <c r="Q32" s="47">
        <v>28</v>
      </c>
      <c r="R32" s="380" t="s">
        <v>398</v>
      </c>
      <c r="S32" s="26" t="s">
        <v>424</v>
      </c>
      <c r="T32" s="27" t="s">
        <v>425</v>
      </c>
      <c r="U32" s="26" t="s">
        <v>424</v>
      </c>
      <c r="V32" s="27" t="s">
        <v>426</v>
      </c>
      <c r="W32" s="150" t="s">
        <v>424</v>
      </c>
      <c r="X32" s="27" t="s">
        <v>425</v>
      </c>
      <c r="Y32" s="26" t="s">
        <v>424</v>
      </c>
      <c r="Z32" s="27" t="s">
        <v>425</v>
      </c>
      <c r="AA32" s="26" t="s">
        <v>424</v>
      </c>
      <c r="AB32" s="27" t="s">
        <v>425</v>
      </c>
      <c r="AC32" s="26" t="s">
        <v>427</v>
      </c>
      <c r="AD32" s="27" t="s">
        <v>428</v>
      </c>
      <c r="AE32" s="26" t="s">
        <v>424</v>
      </c>
      <c r="AF32" s="44" t="s">
        <v>429</v>
      </c>
      <c r="AG32" s="28"/>
    </row>
    <row r="33" spans="2:33" ht="34">
      <c r="B33" s="47">
        <v>29</v>
      </c>
      <c r="C33" s="390" t="s">
        <v>431</v>
      </c>
      <c r="D33" s="389" t="s">
        <v>432</v>
      </c>
      <c r="E33" s="389">
        <f t="shared" si="0"/>
        <v>29</v>
      </c>
      <c r="F33" s="387" t="str" cm="1">
        <f t="array" ref="F33" xml:space="preserve"> IF($E33=0, "", INDEX($Q$5:$AG$54, $E33, F$1))</f>
        <v>居</v>
      </c>
      <c r="G33" s="350" t="str" cm="1">
        <f t="array" ref="G33" xml:space="preserve"> IF($E33=0, "", INDEX($Q$5:$AG$54, $E33, G$1))</f>
        <v>ㄧ</v>
      </c>
      <c r="H33" s="350" t="str" cm="1">
        <f t="array" ref="H33" xml:space="preserve"> IF($E33=0, "", INDEX($Q$5:$AG$54, $E33, H$1))</f>
        <v>ㄧㆷ</v>
      </c>
      <c r="I33" s="350" t="str" cm="1">
        <f t="array" ref="I33" xml:space="preserve"> IF($E33=0, "", INDEX($Q$5:$AG$54, $E33, I$1))</f>
        <v>i</v>
      </c>
      <c r="J33" s="350" t="str" cm="1">
        <f t="array" ref="J33" xml:space="preserve"> IF($E33=0, "", INDEX($Q$5:$AG$54, $E33, J$1))</f>
        <v>ih</v>
      </c>
      <c r="K33" s="362"/>
      <c r="L33" s="362">
        <f t="shared" si="2"/>
        <v>29</v>
      </c>
      <c r="M33" s="366" t="str">
        <f t="shared" si="1"/>
        <v/>
      </c>
      <c r="N33" s="25" t="str" cm="1">
        <f t="array" ref="N33">IF($L33=0, INDEX($AC$5:$AC$54,$Q33,1), "")</f>
        <v/>
      </c>
      <c r="O33" s="25" t="str" cm="1">
        <f t="array" ref="O33">IF($L33=0, INDEX($Y$5:$Y$54,$Q33,1), "")</f>
        <v/>
      </c>
      <c r="Q33" s="47">
        <v>29</v>
      </c>
      <c r="R33" s="380" t="s">
        <v>431</v>
      </c>
      <c r="S33" s="26" t="s">
        <v>432</v>
      </c>
      <c r="T33" s="27" t="s">
        <v>433</v>
      </c>
      <c r="U33" s="26" t="s">
        <v>432</v>
      </c>
      <c r="V33" s="27" t="s">
        <v>434</v>
      </c>
      <c r="W33" s="150" t="s">
        <v>432</v>
      </c>
      <c r="X33" s="27" t="s">
        <v>433</v>
      </c>
      <c r="Y33" s="26" t="s">
        <v>432</v>
      </c>
      <c r="Z33" s="27" t="s">
        <v>433</v>
      </c>
      <c r="AA33" s="26" t="s">
        <v>432</v>
      </c>
      <c r="AB33" s="27" t="s">
        <v>433</v>
      </c>
      <c r="AC33" s="26" t="s">
        <v>435</v>
      </c>
      <c r="AD33" s="27" t="s">
        <v>436</v>
      </c>
      <c r="AE33" s="26" t="s">
        <v>278</v>
      </c>
      <c r="AF33" s="44" t="s">
        <v>437</v>
      </c>
      <c r="AG33" s="28"/>
    </row>
    <row r="34" spans="2:33" ht="34">
      <c r="B34" s="47">
        <v>30</v>
      </c>
      <c r="C34" s="390" t="s">
        <v>438</v>
      </c>
      <c r="D34" s="389" t="s">
        <v>439</v>
      </c>
      <c r="E34" s="389">
        <f t="shared" si="0"/>
        <v>30</v>
      </c>
      <c r="F34" s="387" t="str" cm="1">
        <f t="array" ref="F34" xml:space="preserve"> IF($E34=0, "", INDEX($Q$5:$AG$54, $E34, F$1))</f>
        <v>丩</v>
      </c>
      <c r="G34" s="350" t="str" cm="1">
        <f t="array" ref="G34" xml:space="preserve"> IF($E34=0, "", INDEX($Q$5:$AG$54, $E34, G$1))</f>
        <v>ㄧㄨ</v>
      </c>
      <c r="H34" s="350" t="str" cm="1">
        <f t="array" ref="H34" xml:space="preserve"> IF($E34=0, "", INDEX($Q$5:$AG$54, $E34, H$1))</f>
        <v>ㄧㄨㆷ</v>
      </c>
      <c r="I34" s="350" t="str" cm="1">
        <f t="array" ref="I34" xml:space="preserve"> IF($E34=0, "", INDEX($Q$5:$AG$54, $E34, I$1))</f>
        <v>iu</v>
      </c>
      <c r="J34" s="350" t="str" cm="1">
        <f t="array" ref="J34" xml:space="preserve"> IF($E34=0, "", INDEX($Q$5:$AG$54, $E34, J$1))</f>
        <v>iuh</v>
      </c>
      <c r="K34" s="362"/>
      <c r="L34" s="362">
        <f t="shared" si="2"/>
        <v>30</v>
      </c>
      <c r="M34" s="366" t="str">
        <f t="shared" si="1"/>
        <v/>
      </c>
      <c r="N34" s="25" t="str" cm="1">
        <f t="array" ref="N34">IF($L34=0, INDEX($AC$5:$AC$54,$Q34,1), "")</f>
        <v/>
      </c>
      <c r="O34" s="25" t="str" cm="1">
        <f t="array" ref="O34">IF($L34=0, INDEX($Y$5:$Y$54,$Q34,1), "")</f>
        <v/>
      </c>
      <c r="Q34" s="47">
        <v>30</v>
      </c>
      <c r="R34" s="380" t="s">
        <v>438</v>
      </c>
      <c r="S34" s="26" t="s">
        <v>439</v>
      </c>
      <c r="T34" s="30" t="s">
        <v>440</v>
      </c>
      <c r="U34" s="26" t="s">
        <v>439</v>
      </c>
      <c r="V34" s="30" t="s">
        <v>441</v>
      </c>
      <c r="W34" s="153" t="s">
        <v>439</v>
      </c>
      <c r="X34" s="30" t="s">
        <v>442</v>
      </c>
      <c r="Y34" s="26" t="s">
        <v>439</v>
      </c>
      <c r="Z34" s="30" t="s">
        <v>440</v>
      </c>
      <c r="AA34" s="26" t="s">
        <v>439</v>
      </c>
      <c r="AB34" s="30" t="s">
        <v>442</v>
      </c>
      <c r="AC34" s="26" t="s">
        <v>443</v>
      </c>
      <c r="AD34" s="30" t="s">
        <v>444</v>
      </c>
      <c r="AE34" s="26" t="s">
        <v>445</v>
      </c>
      <c r="AF34" s="30"/>
      <c r="AG34" s="28"/>
    </row>
    <row r="35" spans="2:33" ht="34">
      <c r="B35" s="47">
        <v>31</v>
      </c>
      <c r="C35" s="386" t="s">
        <v>448</v>
      </c>
      <c r="D35" s="389" t="s">
        <v>1635</v>
      </c>
      <c r="E35" s="389">
        <f t="shared" si="0"/>
        <v>31</v>
      </c>
      <c r="F35" s="387" t="str" cm="1">
        <f t="array" ref="F35" xml:space="preserve"> IF($E35=0, "", INDEX($Q$5:$AG$54, $E35, F$1))</f>
        <v>更</v>
      </c>
      <c r="G35" s="350" t="str" cm="1">
        <f t="array" ref="G35" xml:space="preserve"> IF($E35=0, "", INDEX($Q$5:$AG$54, $E35, G$1))</f>
        <v>ㆥ</v>
      </c>
      <c r="H35" s="350" t="str" cm="1">
        <f t="array" ref="H35" xml:space="preserve"> IF($E35=0, "", INDEX($Q$5:$AG$54, $E35, H$1))</f>
        <v>ㆥㆷ</v>
      </c>
      <c r="I35" s="350" t="str" cm="1">
        <f t="array" ref="I35" xml:space="preserve"> IF($E35=0, "", INDEX($Q$5:$AG$54, $E35, I$1))</f>
        <v>enn</v>
      </c>
      <c r="J35" s="350" t="str" cm="1">
        <f t="array" ref="J35" xml:space="preserve"> IF($E35=0, "", INDEX($Q$5:$AG$54, $E35, J$1))</f>
        <v>ennh</v>
      </c>
      <c r="K35" s="362"/>
      <c r="L35" s="362">
        <f t="shared" si="2"/>
        <v>31</v>
      </c>
      <c r="M35" s="366" t="str">
        <f t="shared" si="1"/>
        <v/>
      </c>
      <c r="N35" s="25" t="str" cm="1">
        <f t="array" ref="N35">IF($L35=0, INDEX($AC$5:$AC$54,$Q35,1), "")</f>
        <v/>
      </c>
      <c r="O35" s="25" t="str" cm="1">
        <f t="array" ref="O35">IF($L35=0, INDEX($Y$5:$Y$54,$Q35,1), "")</f>
        <v/>
      </c>
      <c r="Q35" s="47">
        <v>31</v>
      </c>
      <c r="R35" s="380" t="s">
        <v>448</v>
      </c>
      <c r="S35" s="26" t="s">
        <v>449</v>
      </c>
      <c r="T35" s="40" t="s">
        <v>450</v>
      </c>
      <c r="U35" s="26" t="s">
        <v>451</v>
      </c>
      <c r="V35" s="27" t="s">
        <v>452</v>
      </c>
      <c r="W35" s="150" t="s">
        <v>453</v>
      </c>
      <c r="X35" s="27" t="s">
        <v>454</v>
      </c>
      <c r="Y35" s="26" t="s">
        <v>449</v>
      </c>
      <c r="Z35" s="27" t="s">
        <v>450</v>
      </c>
      <c r="AA35" s="26" t="s">
        <v>455</v>
      </c>
      <c r="AB35" s="27" t="s">
        <v>456</v>
      </c>
      <c r="AC35" s="26" t="s">
        <v>457</v>
      </c>
      <c r="AD35" s="27" t="s">
        <v>458</v>
      </c>
      <c r="AE35" s="26" t="s">
        <v>459</v>
      </c>
      <c r="AF35" s="44" t="s">
        <v>460</v>
      </c>
      <c r="AG35" s="33" t="s">
        <v>461</v>
      </c>
    </row>
    <row r="36" spans="2:33" ht="34">
      <c r="B36" s="47">
        <v>32</v>
      </c>
      <c r="C36" s="390" t="s">
        <v>464</v>
      </c>
      <c r="D36" s="389" t="s">
        <v>79</v>
      </c>
      <c r="E36" s="389">
        <f t="shared" si="0"/>
        <v>38</v>
      </c>
      <c r="F36" s="387" t="str" cm="1">
        <f t="array" ref="F36" xml:space="preserve"> IF($E36=0, "", INDEX($Q$5:$AG$54, $E36, F$1))</f>
        <v>鋼</v>
      </c>
      <c r="G36" s="350" t="str" cm="1">
        <f t="array" ref="G36" xml:space="preserve"> IF($E36=0, "", INDEX($Q$5:$AG$54, $E36, G$1))</f>
        <v>ㆭ</v>
      </c>
      <c r="H36" s="350" t="str" cm="1">
        <f t="array" ref="H36" xml:space="preserve"> IF($E36=0, "", INDEX($Q$5:$AG$54, $E36, H$1))</f>
        <v>ㆭㆷ</v>
      </c>
      <c r="I36" s="350" t="str" cm="1">
        <f t="array" ref="I36" xml:space="preserve"> IF($E36=0, "", INDEX($Q$5:$AG$54, $E36, I$1))</f>
        <v>ng</v>
      </c>
      <c r="J36" s="350" t="str" cm="1">
        <f t="array" ref="J36" xml:space="preserve"> IF($E36=0, "", INDEX($Q$5:$AG$54, $E36, J$1))</f>
        <v>ngh</v>
      </c>
      <c r="K36" s="362"/>
      <c r="L36" s="362">
        <f t="shared" si="2"/>
        <v>45</v>
      </c>
      <c r="M36" s="366" t="str">
        <f t="shared" si="1"/>
        <v/>
      </c>
      <c r="N36" s="25" t="str" cm="1">
        <f t="array" ref="N36">IF($L36=0, INDEX($AC$5:$AC$54,$Q36,1), "")</f>
        <v/>
      </c>
      <c r="O36" s="25" t="str" cm="1">
        <f t="array" ref="O36">IF($L36=0, INDEX($Y$5:$Y$54,$Q36,1), "")</f>
        <v/>
      </c>
      <c r="Q36" s="47">
        <v>32</v>
      </c>
      <c r="R36" s="381" t="s">
        <v>464</v>
      </c>
      <c r="S36" s="26" t="s">
        <v>465</v>
      </c>
      <c r="T36" s="30" t="s">
        <v>466</v>
      </c>
      <c r="U36" s="31" t="s">
        <v>467</v>
      </c>
      <c r="V36" s="30" t="s">
        <v>468</v>
      </c>
      <c r="W36" s="153" t="s">
        <v>469</v>
      </c>
      <c r="X36" s="30" t="s">
        <v>470</v>
      </c>
      <c r="Y36" s="31" t="s">
        <v>465</v>
      </c>
      <c r="Z36" s="30" t="s">
        <v>466</v>
      </c>
      <c r="AA36" s="31" t="s">
        <v>471</v>
      </c>
      <c r="AB36" s="30" t="s">
        <v>472</v>
      </c>
      <c r="AC36" s="31" t="s">
        <v>473</v>
      </c>
      <c r="AD36" s="30" t="s">
        <v>474</v>
      </c>
      <c r="AE36" s="31" t="s">
        <v>475</v>
      </c>
      <c r="AF36" s="30"/>
      <c r="AG36" s="33" t="s">
        <v>476</v>
      </c>
    </row>
    <row r="37" spans="2:33" ht="34">
      <c r="B37" s="47">
        <v>33</v>
      </c>
      <c r="C37" s="386" t="s">
        <v>479</v>
      </c>
      <c r="D37" s="389" t="s">
        <v>480</v>
      </c>
      <c r="E37" s="389">
        <f t="shared" ref="E37:E54" si="3" xml:space="preserve"> IFERROR( MATCH($D37,$Y$5:$Y$54,0), 0)</f>
        <v>33</v>
      </c>
      <c r="F37" s="387" t="str" cm="1">
        <f t="array" ref="F37" xml:space="preserve"> IF($E37=0, "", INDEX($Q$5:$AG$54, $E37, F$1))</f>
        <v>茄</v>
      </c>
      <c r="G37" s="350" t="str" cm="1">
        <f t="array" ref="G37" xml:space="preserve"> IF($E37=0, "", INDEX($Q$5:$AG$54, $E37, G$1))</f>
        <v>ㄧㄜ</v>
      </c>
      <c r="H37" s="350" t="str" cm="1">
        <f t="array" ref="H37" xml:space="preserve"> IF($E37=0, "", INDEX($Q$5:$AG$54, $E37, H$1))</f>
        <v>ㄧㄜㆷ</v>
      </c>
      <c r="I37" s="350" t="str" cm="1">
        <f t="array" ref="I37" xml:space="preserve"> IF($E37=0, "", INDEX($Q$5:$AG$54, $E37, I$1))</f>
        <v>io</v>
      </c>
      <c r="J37" s="350" t="str" cm="1">
        <f t="array" ref="J37" xml:space="preserve"> IF($E37=0, "", INDEX($Q$5:$AG$54, $E37, J$1))</f>
        <v>ioh</v>
      </c>
      <c r="K37" s="362"/>
      <c r="L37" s="362">
        <f t="shared" si="2"/>
        <v>33</v>
      </c>
      <c r="M37" s="366" t="str">
        <f t="shared" ref="M37:M54" si="4" xml:space="preserve"> IF(L37=0, R37, "")</f>
        <v/>
      </c>
      <c r="N37" s="25" t="str" cm="1">
        <f t="array" ref="N37">IF($L37=0, INDEX($AC$5:$AC$54,$Q37,1), "")</f>
        <v/>
      </c>
      <c r="O37" s="25" t="str" cm="1">
        <f t="array" ref="O37">IF($L37=0, INDEX($Y$5:$Y$54,$Q37,1), "")</f>
        <v/>
      </c>
      <c r="Q37" s="47">
        <v>33</v>
      </c>
      <c r="R37" s="380" t="s">
        <v>479</v>
      </c>
      <c r="S37" s="26" t="s">
        <v>480</v>
      </c>
      <c r="T37" s="27" t="s">
        <v>481</v>
      </c>
      <c r="U37" s="31" t="s">
        <v>480</v>
      </c>
      <c r="V37" s="27" t="s">
        <v>482</v>
      </c>
      <c r="W37" s="150" t="s">
        <v>480</v>
      </c>
      <c r="X37" s="27" t="s">
        <v>481</v>
      </c>
      <c r="Y37" s="26" t="s">
        <v>480</v>
      </c>
      <c r="Z37" s="27" t="s">
        <v>481</v>
      </c>
      <c r="AA37" s="26" t="s">
        <v>480</v>
      </c>
      <c r="AB37" s="27" t="s">
        <v>481</v>
      </c>
      <c r="AC37" s="26" t="s">
        <v>483</v>
      </c>
      <c r="AD37" s="27" t="s">
        <v>484</v>
      </c>
      <c r="AE37" s="26" t="s">
        <v>485</v>
      </c>
      <c r="AF37" s="44" t="s">
        <v>486</v>
      </c>
      <c r="AG37" s="28"/>
    </row>
    <row r="38" spans="2:33" ht="34">
      <c r="B38" s="47">
        <v>34</v>
      </c>
      <c r="C38" s="390" t="s">
        <v>1991</v>
      </c>
      <c r="D38" s="389" t="s">
        <v>2024</v>
      </c>
      <c r="E38" s="389">
        <f t="shared" si="3"/>
        <v>50</v>
      </c>
      <c r="F38" s="387" t="str" cm="1">
        <f t="array" ref="F38" xml:space="preserve"> IF($E38=0, "", INDEX($Q$5:$AG$54, $E38, F$1))</f>
        <v>牛</v>
      </c>
      <c r="G38" s="350" t="str" cm="1">
        <f t="array" ref="G38" xml:space="preserve"> IF($E38=0, "", INDEX($Q$5:$AG$54, $E38, G$1))</f>
        <v>ㄧㆫ</v>
      </c>
      <c r="H38" s="350" t="str" cm="1">
        <f t="array" ref="H38" xml:space="preserve"> IF($E38=0, "", INDEX($Q$5:$AG$54, $E38, H$1))</f>
        <v>ㄧㆫㆷ</v>
      </c>
      <c r="I38" s="350" t="str" cm="1">
        <f t="array" ref="I38" xml:space="preserve"> IF($E38=0, "", INDEX($Q$5:$AG$54, $E38, I$1))</f>
        <v>iunn</v>
      </c>
      <c r="J38" s="350" t="str" cm="1">
        <f t="array" ref="J38" xml:space="preserve"> IF($E38=0, "", INDEX($Q$5:$AG$54, $E38, J$1))</f>
        <v>iunnh</v>
      </c>
      <c r="K38" s="362"/>
      <c r="L38" s="362">
        <f t="shared" si="2"/>
        <v>13</v>
      </c>
      <c r="M38" s="366" t="str">
        <f t="shared" si="4"/>
        <v/>
      </c>
      <c r="N38" s="25" t="str" cm="1">
        <f t="array" ref="N38">IF($L38=0, INDEX($AC$5:$AC$54,$Q38,1), "")</f>
        <v/>
      </c>
      <c r="O38" s="25" t="str" cm="1">
        <f t="array" ref="O38">IF($L38=0, INDEX($Y$5:$Y$54,$Q38,1), "")</f>
        <v/>
      </c>
      <c r="Q38" s="47">
        <v>34</v>
      </c>
      <c r="R38" s="380" t="s">
        <v>489</v>
      </c>
      <c r="S38" s="26" t="s">
        <v>490</v>
      </c>
      <c r="T38" s="27" t="s">
        <v>491</v>
      </c>
      <c r="U38" s="26" t="s">
        <v>492</v>
      </c>
      <c r="V38" s="27" t="s">
        <v>493</v>
      </c>
      <c r="W38" s="150" t="s">
        <v>494</v>
      </c>
      <c r="X38" s="27" t="s">
        <v>495</v>
      </c>
      <c r="Y38" s="26" t="s">
        <v>490</v>
      </c>
      <c r="Z38" s="27" t="s">
        <v>491</v>
      </c>
      <c r="AA38" s="26" t="s">
        <v>496</v>
      </c>
      <c r="AB38" s="27" t="s">
        <v>497</v>
      </c>
      <c r="AC38" s="26" t="s">
        <v>498</v>
      </c>
      <c r="AD38" s="27" t="s">
        <v>498</v>
      </c>
      <c r="AE38" s="26" t="s">
        <v>499</v>
      </c>
      <c r="AF38" s="44" t="s">
        <v>500</v>
      </c>
      <c r="AG38" s="28"/>
    </row>
    <row r="39" spans="2:33" ht="34">
      <c r="B39" s="47">
        <v>35</v>
      </c>
      <c r="C39" s="390" t="s">
        <v>463</v>
      </c>
      <c r="D39" s="389" t="s">
        <v>3615</v>
      </c>
      <c r="E39" s="389">
        <f t="shared" si="3"/>
        <v>37</v>
      </c>
      <c r="F39" s="387" t="str" cm="1">
        <f t="array" ref="F39" xml:space="preserve"> IF($E39=0, "", INDEX($Q$5:$AG$54, $E39, F$1))</f>
        <v>官</v>
      </c>
      <c r="G39" s="350" t="str" cm="1">
        <f t="array" ref="G39" xml:space="preserve"> IF($E39=0, "", INDEX($Q$5:$AG$54, $E39, G$1))</f>
        <v>ㄨㆩ</v>
      </c>
      <c r="H39" s="350" t="str" cm="1">
        <f t="array" ref="H39" xml:space="preserve"> IF($E39=0, "", INDEX($Q$5:$AG$54, $E39, H$1))</f>
        <v>ㄨㆩㆷ</v>
      </c>
      <c r="I39" s="350" t="str" cm="1">
        <f t="array" ref="I39" xml:space="preserve"> IF($E39=0, "", INDEX($Q$5:$AG$54, $E39, I$1))</f>
        <v>uann</v>
      </c>
      <c r="J39" s="350" t="str" cm="1">
        <f t="array" ref="J39" xml:space="preserve"> IF($E39=0, "", INDEX($Q$5:$AG$54, $E39, J$1))</f>
        <v>uannh</v>
      </c>
      <c r="K39" s="362"/>
      <c r="L39" s="362">
        <f t="shared" si="2"/>
        <v>0</v>
      </c>
      <c r="M39" s="366" t="str">
        <f t="shared" si="4"/>
        <v>薑</v>
      </c>
      <c r="N39" s="25" t="str" cm="1">
        <f t="array" ref="N39">IF($L39=0, INDEX($AC$5:$AC$54,$Q39,1), "")</f>
        <v>ㄧㆧ</v>
      </c>
      <c r="O39" s="25" t="str" cm="1">
        <f t="array" ref="O39">IF($L39=0, INDEX($Y$5:$Y$54,$Q39,1), "")</f>
        <v>ionn</v>
      </c>
      <c r="Q39" s="47">
        <v>35</v>
      </c>
      <c r="R39" s="383" t="s">
        <v>503</v>
      </c>
      <c r="S39" s="26" t="s">
        <v>504</v>
      </c>
      <c r="T39" s="30" t="s">
        <v>505</v>
      </c>
      <c r="U39" s="43" t="s">
        <v>506</v>
      </c>
      <c r="V39" s="30" t="s">
        <v>507</v>
      </c>
      <c r="W39" s="153" t="s">
        <v>508</v>
      </c>
      <c r="X39" s="30" t="s">
        <v>509</v>
      </c>
      <c r="Y39" s="26" t="s">
        <v>504</v>
      </c>
      <c r="Z39" s="30" t="s">
        <v>505</v>
      </c>
      <c r="AA39" s="26" t="s">
        <v>510</v>
      </c>
      <c r="AB39" s="30" t="s">
        <v>511</v>
      </c>
      <c r="AC39" s="26" t="s">
        <v>512</v>
      </c>
      <c r="AD39" s="30" t="s">
        <v>513</v>
      </c>
      <c r="AE39" s="26" t="s">
        <v>514</v>
      </c>
      <c r="AF39" s="30"/>
      <c r="AG39" s="33" t="s">
        <v>515</v>
      </c>
    </row>
    <row r="40" spans="2:33" ht="34">
      <c r="B40" s="47">
        <v>36</v>
      </c>
      <c r="C40" s="390" t="s">
        <v>572</v>
      </c>
      <c r="D40" s="389" t="s">
        <v>579</v>
      </c>
      <c r="E40" s="389">
        <f t="shared" si="3"/>
        <v>41</v>
      </c>
      <c r="F40" s="387" t="str" cm="1">
        <f t="array" ref="F40" xml:space="preserve"> IF($E40=0, "", INDEX($Q$5:$AG$54, $E40, F$1))</f>
        <v>姑</v>
      </c>
      <c r="G40" s="350" t="str" cm="1">
        <f t="array" ref="G40" xml:space="preserve"> IF($E40=0, "", INDEX($Q$5:$AG$54, $E40, G$1))</f>
        <v>ㆧ</v>
      </c>
      <c r="H40" s="350" t="str" cm="1">
        <f t="array" ref="H40" xml:space="preserve"> IF($E40=0, "", INDEX($Q$5:$AG$54, $E40, H$1))</f>
        <v>ㆧㆷ</v>
      </c>
      <c r="I40" s="350" t="str" cm="1">
        <f t="array" ref="I40" xml:space="preserve"> IF($E40=0, "", INDEX($Q$5:$AG$54, $E40, I$1))</f>
        <v>onn</v>
      </c>
      <c r="J40" s="350" t="str" cm="1">
        <f t="array" ref="J40" xml:space="preserve"> IF($E40=0, "", INDEX($Q$5:$AG$54, $E40, J$1))</f>
        <v>onnh</v>
      </c>
      <c r="K40" s="362"/>
      <c r="L40" s="362">
        <f t="shared" si="2"/>
        <v>44</v>
      </c>
      <c r="M40" s="366" t="str">
        <f t="shared" si="4"/>
        <v/>
      </c>
      <c r="N40" s="25" t="str" cm="1">
        <f t="array" ref="N40">IF($L40=0, INDEX($AC$5:$AC$54,$Q40,1), "")</f>
        <v/>
      </c>
      <c r="O40" s="25" t="str" cm="1">
        <f t="array" ref="O40">IF($L40=0, INDEX($Y$5:$Y$54,$Q40,1), "")</f>
        <v/>
      </c>
      <c r="Q40" s="47">
        <v>36</v>
      </c>
      <c r="R40" s="380" t="s">
        <v>518</v>
      </c>
      <c r="S40" s="26" t="s">
        <v>519</v>
      </c>
      <c r="T40" s="111" t="s">
        <v>520</v>
      </c>
      <c r="U40" s="26" t="s">
        <v>521</v>
      </c>
      <c r="V40" s="111" t="s">
        <v>522</v>
      </c>
      <c r="W40" s="150" t="s">
        <v>523</v>
      </c>
      <c r="X40" s="111" t="s">
        <v>524</v>
      </c>
      <c r="Y40" s="26" t="s">
        <v>519</v>
      </c>
      <c r="Z40" s="111" t="s">
        <v>520</v>
      </c>
      <c r="AA40" s="26" t="s">
        <v>525</v>
      </c>
      <c r="AB40" s="111" t="s">
        <v>526</v>
      </c>
      <c r="AC40" s="26" t="s">
        <v>527</v>
      </c>
      <c r="AD40" s="111" t="s">
        <v>528</v>
      </c>
      <c r="AE40" s="26" t="s">
        <v>529</v>
      </c>
      <c r="AF40" s="111"/>
      <c r="AG40" s="33" t="s">
        <v>530</v>
      </c>
    </row>
    <row r="41" spans="2:33" ht="34">
      <c r="B41" s="47">
        <v>37</v>
      </c>
      <c r="C41" s="390" t="s">
        <v>597</v>
      </c>
      <c r="D41" s="389" t="s">
        <v>598</v>
      </c>
      <c r="E41" s="389">
        <f t="shared" si="3"/>
        <v>43</v>
      </c>
      <c r="F41" s="387" t="str" cm="1">
        <f t="array" ref="F41" xml:space="preserve"> IF($E41=0, "", INDEX($Q$5:$AG$54, $E41, F$1))</f>
        <v>光</v>
      </c>
      <c r="G41" s="350" t="str" cm="1">
        <f t="array" ref="G41" xml:space="preserve"> IF($E41=0, "", INDEX($Q$5:$AG$54, $E41, G$1))</f>
        <v>ㄨㄤ</v>
      </c>
      <c r="H41" s="350" t="str" cm="1">
        <f t="array" ref="H41" xml:space="preserve"> IF($E41=0, "", INDEX($Q$5:$AG$54, $E41, H$1))</f>
        <v>ㄨㄚㆻ</v>
      </c>
      <c r="I41" s="350" t="str" cm="1">
        <f t="array" ref="I41" xml:space="preserve"> IF($E41=0, "", INDEX($Q$5:$AG$54, $E41, I$1))</f>
        <v>uang</v>
      </c>
      <c r="J41" s="350" t="str" cm="1">
        <f t="array" ref="J41" xml:space="preserve"> IF($E41=0, "", INDEX($Q$5:$AG$54, $E41, J$1))</f>
        <v>uak</v>
      </c>
      <c r="K41" s="362"/>
      <c r="L41" s="362">
        <f t="shared" si="2"/>
        <v>35</v>
      </c>
      <c r="M41" s="366" t="str">
        <f t="shared" si="4"/>
        <v/>
      </c>
      <c r="N41" s="25" t="str" cm="1">
        <f t="array" ref="N41">IF($L41=0, INDEX($AC$5:$AC$54,$Q41,1), "")</f>
        <v/>
      </c>
      <c r="O41" s="25" t="str" cm="1">
        <f t="array" ref="O41">IF($L41=0, INDEX($Y$5:$Y$54,$Q41,1), "")</f>
        <v/>
      </c>
      <c r="Q41" s="47">
        <v>37</v>
      </c>
      <c r="R41" s="380" t="s">
        <v>463</v>
      </c>
      <c r="S41" s="26" t="s">
        <v>532</v>
      </c>
      <c r="T41" s="30" t="s">
        <v>533</v>
      </c>
      <c r="U41" s="26" t="s">
        <v>534</v>
      </c>
      <c r="V41" s="30" t="s">
        <v>535</v>
      </c>
      <c r="W41" s="153" t="s">
        <v>536</v>
      </c>
      <c r="X41" s="30" t="s">
        <v>537</v>
      </c>
      <c r="Y41" s="26" t="s">
        <v>532</v>
      </c>
      <c r="Z41" s="30" t="s">
        <v>533</v>
      </c>
      <c r="AA41" s="26" t="s">
        <v>538</v>
      </c>
      <c r="AB41" s="30" t="s">
        <v>539</v>
      </c>
      <c r="AC41" s="26" t="s">
        <v>540</v>
      </c>
      <c r="AD41" s="30" t="s">
        <v>541</v>
      </c>
      <c r="AE41" s="26" t="s">
        <v>542</v>
      </c>
      <c r="AF41" s="30"/>
      <c r="AG41" s="28"/>
    </row>
    <row r="42" spans="2:33" ht="34">
      <c r="B42" s="47">
        <v>38</v>
      </c>
      <c r="C42" s="390" t="s">
        <v>544</v>
      </c>
      <c r="D42" s="389" t="s">
        <v>64</v>
      </c>
      <c r="E42" s="389">
        <f t="shared" si="3"/>
        <v>42</v>
      </c>
      <c r="F42" s="387" t="str" cm="1">
        <f t="array" ref="F42" xml:space="preserve"> IF($E42=0, "", INDEX($Q$5:$AG$54, $E42, F$1))</f>
        <v>姆</v>
      </c>
      <c r="G42" s="350" t="str" cm="1">
        <f t="array" ref="G42" xml:space="preserve"> IF($E42=0, "", INDEX($Q$5:$AG$54, $E42, G$1))</f>
        <v>ㆬ</v>
      </c>
      <c r="H42" s="350" t="str" cm="1">
        <f t="array" ref="H42" xml:space="preserve"> IF($E42=0, "", INDEX($Q$5:$AG$54, $E42, H$1))</f>
        <v>ㆬㆷ</v>
      </c>
      <c r="I42" s="350" t="str" cm="1">
        <f t="array" ref="I42" xml:space="preserve"> IF($E42=0, "", INDEX($Q$5:$AG$54, $E42, I$1))</f>
        <v>m</v>
      </c>
      <c r="J42" s="350" t="str" cm="1">
        <f t="array" ref="J42" xml:space="preserve"> IF($E42=0, "", INDEX($Q$5:$AG$54, $E42, J$1))</f>
        <v>mh</v>
      </c>
      <c r="K42" s="362"/>
      <c r="L42" s="362">
        <f t="shared" si="2"/>
        <v>32</v>
      </c>
      <c r="M42" s="366" t="str">
        <f t="shared" si="4"/>
        <v/>
      </c>
      <c r="N42" s="25" t="str" cm="1">
        <f t="array" ref="N42">IF($L42=0, INDEX($AC$5:$AC$54,$Q42,1), "")</f>
        <v/>
      </c>
      <c r="O42" s="25" t="str" cm="1">
        <f t="array" ref="O42">IF($L42=0, INDEX($Y$5:$Y$54,$Q42,1), "")</f>
        <v/>
      </c>
      <c r="Q42" s="47">
        <v>38</v>
      </c>
      <c r="R42" s="381" t="s">
        <v>488</v>
      </c>
      <c r="S42" s="26" t="s">
        <v>79</v>
      </c>
      <c r="T42" s="111" t="s">
        <v>545</v>
      </c>
      <c r="U42" s="26" t="s">
        <v>546</v>
      </c>
      <c r="V42" s="111" t="s">
        <v>547</v>
      </c>
      <c r="W42" s="150" t="s">
        <v>79</v>
      </c>
      <c r="X42" s="111" t="s">
        <v>548</v>
      </c>
      <c r="Y42" s="26" t="s">
        <v>79</v>
      </c>
      <c r="Z42" s="111" t="s">
        <v>545</v>
      </c>
      <c r="AA42" s="26" t="s">
        <v>79</v>
      </c>
      <c r="AB42" s="111" t="s">
        <v>548</v>
      </c>
      <c r="AC42" s="26" t="s">
        <v>549</v>
      </c>
      <c r="AD42" s="111" t="s">
        <v>550</v>
      </c>
      <c r="AE42" s="26" t="s">
        <v>551</v>
      </c>
      <c r="AF42" s="30"/>
      <c r="AG42" s="28"/>
    </row>
    <row r="43" spans="2:33" ht="34">
      <c r="B43" s="47">
        <v>39</v>
      </c>
      <c r="C43" s="390" t="s">
        <v>623</v>
      </c>
      <c r="D43" s="389" t="s">
        <v>3616</v>
      </c>
      <c r="E43" s="389">
        <f t="shared" si="3"/>
        <v>44</v>
      </c>
      <c r="F43" s="387" t="str" cm="1">
        <f t="array" ref="F43" xml:space="preserve"> IF($E43=0, "", INDEX($Q$5:$AG$54, $E43, F$1))</f>
        <v>閂</v>
      </c>
      <c r="G43" s="350" t="str" cm="1">
        <f t="array" ref="G43" xml:space="preserve"> IF($E43=0, "", INDEX($Q$5:$AG$54, $E43, G$1))</f>
        <v>ㄨㆮ</v>
      </c>
      <c r="H43" s="350" t="str" cm="1">
        <f t="array" ref="H43" xml:space="preserve"> IF($E43=0, "", INDEX($Q$5:$AG$54, $E43, H$1))</f>
        <v>ㄨㆮㆷ</v>
      </c>
      <c r="I43" s="350" t="str" cm="1">
        <f t="array" ref="I43" xml:space="preserve"> IF($E43=0, "", INDEX($Q$5:$AG$54, $E43, I$1))</f>
        <v>uainn</v>
      </c>
      <c r="J43" s="350" t="str" cm="1">
        <f t="array" ref="J43" xml:space="preserve"> IF($E43=0, "", INDEX($Q$5:$AG$54, $E43, J$1))</f>
        <v>uainnh</v>
      </c>
      <c r="K43" s="362"/>
      <c r="L43" s="362">
        <f t="shared" si="2"/>
        <v>5</v>
      </c>
      <c r="M43" s="366" t="str">
        <f t="shared" si="4"/>
        <v/>
      </c>
      <c r="N43" s="25" t="str" cm="1">
        <f t="array" ref="N43">IF($L43=0, INDEX($AC$5:$AC$54,$Q43,1), "")</f>
        <v/>
      </c>
      <c r="O43" s="25" t="str" cm="1">
        <f t="array" ref="O43">IF($L43=0, INDEX($Y$5:$Y$54,$Q43,1), "")</f>
        <v/>
      </c>
      <c r="Q43" s="47">
        <v>39</v>
      </c>
      <c r="R43" s="382" t="s">
        <v>553</v>
      </c>
      <c r="S43" s="26" t="s">
        <v>278</v>
      </c>
      <c r="T43" s="27" t="s">
        <v>189</v>
      </c>
      <c r="U43" s="26" t="s">
        <v>278</v>
      </c>
      <c r="V43" s="27" t="s">
        <v>554</v>
      </c>
      <c r="W43" s="150" t="s">
        <v>278</v>
      </c>
      <c r="X43" s="27" t="s">
        <v>189</v>
      </c>
      <c r="Y43" s="26" t="s">
        <v>278</v>
      </c>
      <c r="Z43" s="27" t="s">
        <v>189</v>
      </c>
      <c r="AA43" s="26" t="s">
        <v>278</v>
      </c>
      <c r="AB43" s="27" t="s">
        <v>189</v>
      </c>
      <c r="AC43" s="26" t="s">
        <v>555</v>
      </c>
      <c r="AD43" s="27" t="s">
        <v>556</v>
      </c>
      <c r="AE43" s="26" t="s">
        <v>197</v>
      </c>
      <c r="AF43" s="44" t="s">
        <v>198</v>
      </c>
      <c r="AG43" s="28"/>
    </row>
    <row r="44" spans="2:33" ht="34">
      <c r="B44" s="47">
        <v>40</v>
      </c>
      <c r="C44" s="390" t="s">
        <v>705</v>
      </c>
      <c r="D44" s="389" t="s">
        <v>2031</v>
      </c>
      <c r="E44" s="389">
        <f t="shared" si="3"/>
        <v>40</v>
      </c>
      <c r="F44" s="387" t="str" cm="1">
        <f t="array" ref="F44" xml:space="preserve"> IF($E44=0, "", INDEX($Q$5:$AG$54, $E44, F$1))</f>
        <v>閒</v>
      </c>
      <c r="G44" s="350" t="str" cm="1">
        <f t="array" ref="G44" xml:space="preserve"> IF($E44=0, "", INDEX($Q$5:$AG$54, $E44, G$1))</f>
        <v>ㆮ</v>
      </c>
      <c r="H44" s="350" t="str" cm="1">
        <f t="array" ref="H44" xml:space="preserve"> IF($E44=0, "", INDEX($Q$5:$AG$54, $E44, H$1))</f>
        <v>ㆮㆷ</v>
      </c>
      <c r="I44" s="350" t="str" cm="1">
        <f t="array" ref="I44" xml:space="preserve"> IF($E44=0, "", INDEX($Q$5:$AG$54, $E44, I$1))</f>
        <v>ainn</v>
      </c>
      <c r="J44" s="350" t="str" cm="1">
        <f t="array" ref="J44" xml:space="preserve"> IF($E44=0, "", INDEX($Q$5:$AG$54, $E44, J$1))</f>
        <v>ainnh</v>
      </c>
      <c r="K44" s="362"/>
      <c r="L44" s="362">
        <f t="shared" si="2"/>
        <v>40</v>
      </c>
      <c r="M44" s="366" t="str">
        <f t="shared" si="4"/>
        <v/>
      </c>
      <c r="N44" s="25" t="str" cm="1">
        <f t="array" ref="N44">IF($L44=0, INDEX($AC$5:$AC$54,$Q44,1), "")</f>
        <v/>
      </c>
      <c r="O44" s="25" t="str" cm="1">
        <f t="array" ref="O44">IF($L44=0, INDEX($Y$5:$Y$54,$Q44,1), "")</f>
        <v/>
      </c>
      <c r="Q44" s="47">
        <v>40</v>
      </c>
      <c r="R44" s="384" t="s">
        <v>502</v>
      </c>
      <c r="S44" s="26" t="s">
        <v>559</v>
      </c>
      <c r="T44" s="30" t="s">
        <v>560</v>
      </c>
      <c r="U44" s="26" t="s">
        <v>561</v>
      </c>
      <c r="V44" s="30" t="s">
        <v>562</v>
      </c>
      <c r="W44" s="153" t="s">
        <v>563</v>
      </c>
      <c r="X44" s="30" t="s">
        <v>564</v>
      </c>
      <c r="Y44" s="26" t="s">
        <v>559</v>
      </c>
      <c r="Z44" s="30" t="s">
        <v>560</v>
      </c>
      <c r="AA44" s="26" t="s">
        <v>565</v>
      </c>
      <c r="AB44" s="30" t="s">
        <v>566</v>
      </c>
      <c r="AC44" s="26" t="s">
        <v>567</v>
      </c>
      <c r="AD44" s="30" t="s">
        <v>568</v>
      </c>
      <c r="AE44" s="26" t="s">
        <v>569</v>
      </c>
      <c r="AF44" s="30"/>
      <c r="AG44" s="33" t="s">
        <v>570</v>
      </c>
    </row>
    <row r="45" spans="2:33" ht="34">
      <c r="B45" s="47">
        <v>41</v>
      </c>
      <c r="C45" s="390" t="s">
        <v>636</v>
      </c>
      <c r="D45" s="389" t="s">
        <v>2048</v>
      </c>
      <c r="E45" s="389">
        <f t="shared" si="3"/>
        <v>46</v>
      </c>
      <c r="F45" s="387" t="str" cm="1">
        <f t="array" ref="F45" xml:space="preserve"> IF($E45=0, "", INDEX($Q$5:$AG$54, $E45, F$1))</f>
        <v>嘄</v>
      </c>
      <c r="G45" s="350" t="str" cm="1">
        <f t="array" ref="G45" xml:space="preserve"> IF($E45=0, "", INDEX($Q$5:$AG$54, $E45, G$1))</f>
        <v>ㄧㆯ</v>
      </c>
      <c r="H45" s="350" t="str" cm="1">
        <f t="array" ref="H45" xml:space="preserve"> IF($E45=0, "", INDEX($Q$5:$AG$54, $E45, H$1))</f>
        <v>ㄧㆯㆷ</v>
      </c>
      <c r="I45" s="350" t="str" cm="1">
        <f t="array" ref="I45" xml:space="preserve"> IF($E45=0, "", INDEX($Q$5:$AG$54, $E45, I$1))</f>
        <v>iaunn</v>
      </c>
      <c r="J45" s="350" t="str" cm="1">
        <f t="array" ref="J45" xml:space="preserve"> IF($E45=0, "", INDEX($Q$5:$AG$54, $E45, J$1))</f>
        <v>iaunnh</v>
      </c>
      <c r="K45" s="362"/>
      <c r="L45" s="362">
        <f t="shared" si="2"/>
        <v>36</v>
      </c>
      <c r="M45" s="366" t="str">
        <f t="shared" si="4"/>
        <v/>
      </c>
      <c r="N45" s="25" t="str" cm="1">
        <f t="array" ref="N45">IF($L45=0, INDEX($AC$5:$AC$54,$Q45,1), "")</f>
        <v/>
      </c>
      <c r="O45" s="25" t="str" cm="1">
        <f t="array" ref="O45">IF($L45=0, INDEX($Y$5:$Y$54,$Q45,1), "")</f>
        <v/>
      </c>
      <c r="Q45" s="47">
        <v>41</v>
      </c>
      <c r="R45" s="382" t="s">
        <v>572</v>
      </c>
      <c r="S45" s="26" t="s">
        <v>573</v>
      </c>
      <c r="T45" s="30" t="s">
        <v>574</v>
      </c>
      <c r="U45" s="26" t="s">
        <v>575</v>
      </c>
      <c r="V45" s="30" t="s">
        <v>576</v>
      </c>
      <c r="W45" s="153" t="s">
        <v>577</v>
      </c>
      <c r="X45" s="30" t="s">
        <v>578</v>
      </c>
      <c r="Y45" s="26" t="s">
        <v>579</v>
      </c>
      <c r="Z45" s="30" t="s">
        <v>580</v>
      </c>
      <c r="AA45" s="26" t="s">
        <v>581</v>
      </c>
      <c r="AB45" s="30" t="s">
        <v>582</v>
      </c>
      <c r="AC45" s="26" t="s">
        <v>583</v>
      </c>
      <c r="AD45" s="30" t="s">
        <v>584</v>
      </c>
      <c r="AE45" s="26" t="s">
        <v>585</v>
      </c>
      <c r="AF45" s="30"/>
      <c r="AG45" s="33" t="s">
        <v>586</v>
      </c>
    </row>
    <row r="46" spans="2:33" ht="34">
      <c r="B46" s="47">
        <v>42</v>
      </c>
      <c r="C46" s="390" t="s">
        <v>721</v>
      </c>
      <c r="D46" s="389" t="s">
        <v>649</v>
      </c>
      <c r="E46" s="389">
        <f t="shared" si="3"/>
        <v>47</v>
      </c>
      <c r="F46" s="387" t="str" cm="1">
        <f t="array" ref="F46" xml:space="preserve"> IF($E46=0, "", INDEX($Q$5:$AG$54, $E46, F$1))</f>
        <v>箴</v>
      </c>
      <c r="G46" s="350" t="str" cm="1">
        <f t="array" ref="G46" xml:space="preserve"> IF($E46=0, "", INDEX($Q$5:$AG$54, $E46, G$1))</f>
        <v>ㆱ</v>
      </c>
      <c r="H46" s="350" t="str" cm="1">
        <f t="array" ref="H46" xml:space="preserve"> IF($E46=0, "", INDEX($Q$5:$AG$54, $E46, H$1))</f>
        <v>ㆦㆴ</v>
      </c>
      <c r="I46" s="350" t="str" cm="1">
        <f t="array" ref="I46" xml:space="preserve"> IF($E46=0, "", INDEX($Q$5:$AG$54, $E46, I$1))</f>
        <v>om</v>
      </c>
      <c r="J46" s="350" t="str" cm="1">
        <f t="array" ref="J46" xml:space="preserve"> IF($E46=0, "", INDEX($Q$5:$AG$54, $E46, J$1))</f>
        <v>op</v>
      </c>
      <c r="K46" s="362"/>
      <c r="L46" s="362">
        <f t="shared" si="2"/>
        <v>38</v>
      </c>
      <c r="M46" s="366" t="str">
        <f t="shared" si="4"/>
        <v/>
      </c>
      <c r="N46" s="25" t="str" cm="1">
        <f t="array" ref="N46">IF($L46=0, INDEX($AC$5:$AC$54,$Q46,1), "")</f>
        <v/>
      </c>
      <c r="O46" s="25" t="str" cm="1">
        <f t="array" ref="O46">IF($L46=0, INDEX($Y$5:$Y$54,$Q46,1), "")</f>
        <v/>
      </c>
      <c r="Q46" s="47">
        <v>42</v>
      </c>
      <c r="R46" s="381" t="s">
        <v>544</v>
      </c>
      <c r="S46" s="26" t="s">
        <v>64</v>
      </c>
      <c r="T46" s="111" t="s">
        <v>588</v>
      </c>
      <c r="U46" s="26" t="s">
        <v>589</v>
      </c>
      <c r="V46" s="111" t="s">
        <v>590</v>
      </c>
      <c r="W46" s="150" t="s">
        <v>64</v>
      </c>
      <c r="X46" s="111" t="s">
        <v>591</v>
      </c>
      <c r="Y46" s="26" t="s">
        <v>64</v>
      </c>
      <c r="Z46" s="111" t="s">
        <v>588</v>
      </c>
      <c r="AA46" s="26" t="s">
        <v>64</v>
      </c>
      <c r="AB46" s="111" t="s">
        <v>591</v>
      </c>
      <c r="AC46" s="26" t="s">
        <v>592</v>
      </c>
      <c r="AD46" s="111" t="s">
        <v>593</v>
      </c>
      <c r="AE46" s="31" t="s">
        <v>594</v>
      </c>
      <c r="AF46" s="30"/>
      <c r="AG46" s="28"/>
    </row>
    <row r="47" spans="2:33" ht="34">
      <c r="B47" s="47">
        <v>43</v>
      </c>
      <c r="C47" s="390" t="s">
        <v>656</v>
      </c>
      <c r="D47" s="389" t="s">
        <v>2054</v>
      </c>
      <c r="E47" s="389">
        <f t="shared" si="3"/>
        <v>48</v>
      </c>
      <c r="F47" s="387" t="str" cm="1">
        <f t="array" ref="F47" xml:space="preserve"> IF($E47=0, "", INDEX($Q$5:$AG$54, $E47, F$1))</f>
        <v>爻</v>
      </c>
      <c r="G47" s="350" t="str" cm="1">
        <f t="array" ref="G47" xml:space="preserve"> IF($E47=0, "", INDEX($Q$5:$AG$54, $E47, G$1))</f>
        <v>ㆯ</v>
      </c>
      <c r="H47" s="350" t="str" cm="1">
        <f t="array" ref="H47" xml:space="preserve"> IF($E47=0, "", INDEX($Q$5:$AG$54, $E47, H$1))</f>
        <v>ㆯㆷ</v>
      </c>
      <c r="I47" s="350" t="str" cm="1">
        <f t="array" ref="I47" xml:space="preserve"> IF($E47=0, "", INDEX($Q$5:$AG$54, $E47, I$1))</f>
        <v>aunn</v>
      </c>
      <c r="J47" s="350" t="str" cm="1">
        <f t="array" ref="J47" xml:space="preserve"> IF($E47=0, "", INDEX($Q$5:$AG$54, $E47, J$1))</f>
        <v>aunnh</v>
      </c>
      <c r="K47" s="362"/>
      <c r="L47" s="362">
        <f t="shared" si="2"/>
        <v>37</v>
      </c>
      <c r="M47" s="366" t="str">
        <f t="shared" si="4"/>
        <v/>
      </c>
      <c r="N47" s="25" t="str" cm="1">
        <f t="array" ref="N47">IF($L47=0, INDEX($AC$5:$AC$54,$Q47,1), "")</f>
        <v/>
      </c>
      <c r="O47" s="25" t="str" cm="1">
        <f t="array" ref="O47">IF($L47=0, INDEX($Y$5:$Y$54,$Q47,1), "")</f>
        <v/>
      </c>
      <c r="Q47" s="47">
        <v>43</v>
      </c>
      <c r="R47" s="380" t="s">
        <v>597</v>
      </c>
      <c r="S47" s="26" t="s">
        <v>598</v>
      </c>
      <c r="T47" s="41" t="s">
        <v>599</v>
      </c>
      <c r="U47" s="31" t="s">
        <v>600</v>
      </c>
      <c r="V47" s="40" t="s">
        <v>601</v>
      </c>
      <c r="W47" s="151" t="s">
        <v>602</v>
      </c>
      <c r="X47" s="40" t="s">
        <v>603</v>
      </c>
      <c r="Y47" s="26" t="s">
        <v>598</v>
      </c>
      <c r="Z47" s="27" t="s">
        <v>599</v>
      </c>
      <c r="AA47" s="26" t="s">
        <v>598</v>
      </c>
      <c r="AB47" s="27" t="s">
        <v>599</v>
      </c>
      <c r="AC47" s="26" t="s">
        <v>604</v>
      </c>
      <c r="AD47" s="27" t="s">
        <v>605</v>
      </c>
      <c r="AE47" s="26" t="s">
        <v>606</v>
      </c>
      <c r="AF47" s="44" t="s">
        <v>607</v>
      </c>
      <c r="AG47" s="28"/>
    </row>
    <row r="48" spans="2:33" ht="34">
      <c r="B48" s="47">
        <v>44</v>
      </c>
      <c r="C48" s="390" t="s">
        <v>518</v>
      </c>
      <c r="D48" s="389" t="s">
        <v>2015</v>
      </c>
      <c r="E48" s="389">
        <f t="shared" si="3"/>
        <v>36</v>
      </c>
      <c r="F48" s="387" t="str" cm="1">
        <f t="array" ref="F48" xml:space="preserve"> IF($E48=0, "", INDEX($Q$5:$AG$54, $E48, F$1))</f>
        <v>驚</v>
      </c>
      <c r="G48" s="350" t="str" cm="1">
        <f t="array" ref="G48" xml:space="preserve"> IF($E48=0, "", INDEX($Q$5:$AG$54, $E48, G$1))</f>
        <v>ㄧㆩ</v>
      </c>
      <c r="H48" s="350" t="str" cm="1">
        <f t="array" ref="H48" xml:space="preserve"> IF($E48=0, "", INDEX($Q$5:$AG$54, $E48, H$1))</f>
        <v>ㄧㆩㆷ</v>
      </c>
      <c r="I48" s="350" t="str" cm="1">
        <f t="array" ref="I48" xml:space="preserve"> IF($E48=0, "", INDEX($Q$5:$AG$54, $E48, I$1))</f>
        <v>iann</v>
      </c>
      <c r="J48" s="350" t="str" cm="1">
        <f t="array" ref="J48" xml:space="preserve"> IF($E48=0, "", INDEX($Q$5:$AG$54, $E48, J$1))</f>
        <v>iannh</v>
      </c>
      <c r="K48" s="362"/>
      <c r="L48" s="362">
        <f t="shared" si="2"/>
        <v>39</v>
      </c>
      <c r="M48" s="366" t="str">
        <f t="shared" si="4"/>
        <v/>
      </c>
      <c r="N48" s="25" t="str" cm="1">
        <f t="array" ref="N48">IF($L48=0, INDEX($AC$5:$AC$54,$Q48,1), "")</f>
        <v/>
      </c>
      <c r="O48" s="25" t="str" cm="1">
        <f t="array" ref="O48">IF($L48=0, INDEX($Y$5:$Y$54,$Q48,1), "")</f>
        <v/>
      </c>
      <c r="Q48" s="47">
        <v>44</v>
      </c>
      <c r="R48" s="381" t="s">
        <v>558</v>
      </c>
      <c r="S48" s="26" t="s">
        <v>610</v>
      </c>
      <c r="T48" s="41" t="s">
        <v>611</v>
      </c>
      <c r="U48" s="31" t="s">
        <v>612</v>
      </c>
      <c r="V48" s="40" t="s">
        <v>613</v>
      </c>
      <c r="W48" s="151" t="s">
        <v>614</v>
      </c>
      <c r="X48" s="40" t="s">
        <v>615</v>
      </c>
      <c r="Y48" s="31" t="s">
        <v>610</v>
      </c>
      <c r="Z48" s="27" t="s">
        <v>611</v>
      </c>
      <c r="AA48" s="26" t="s">
        <v>616</v>
      </c>
      <c r="AB48" s="27" t="s">
        <v>617</v>
      </c>
      <c r="AC48" s="31" t="s">
        <v>618</v>
      </c>
      <c r="AD48" s="40" t="s">
        <v>619</v>
      </c>
      <c r="AE48" s="31" t="s">
        <v>620</v>
      </c>
      <c r="AF48" s="45" t="s">
        <v>621</v>
      </c>
      <c r="AG48" s="33" t="s">
        <v>622</v>
      </c>
    </row>
    <row r="49" spans="2:33" ht="34">
      <c r="B49" s="47">
        <v>45</v>
      </c>
      <c r="C49" s="390" t="s">
        <v>3570</v>
      </c>
      <c r="D49" s="389" t="s">
        <v>2059</v>
      </c>
      <c r="E49" s="389">
        <f t="shared" si="3"/>
        <v>32</v>
      </c>
      <c r="F49" s="387" t="str" cm="1">
        <f t="array" ref="F49" xml:space="preserve"> IF($E49=0, "", INDEX($Q$5:$AG$54, $E49, F$1))</f>
        <v>褌</v>
      </c>
      <c r="G49" s="350" t="str" cm="1">
        <f t="array" ref="G49" xml:space="preserve"> IF($E49=0, "", INDEX($Q$5:$AG$54, $E49, G$1))</f>
        <v>ㄨㆪ</v>
      </c>
      <c r="H49" s="350" t="str" cm="1">
        <f t="array" ref="H49" xml:space="preserve"> IF($E49=0, "", INDEX($Q$5:$AG$54, $E49, H$1))</f>
        <v>ㄨㆪㆷ</v>
      </c>
      <c r="I49" s="350" t="str" cm="1">
        <f t="array" ref="I49" xml:space="preserve"> IF($E49=0, "", INDEX($Q$5:$AG$54, $E49, I$1))</f>
        <v>uinn</v>
      </c>
      <c r="J49" s="350" t="str" cm="1">
        <f t="array" ref="J49" xml:space="preserve"> IF($E49=0, "", INDEX($Q$5:$AG$54, $E49, J$1))</f>
        <v>uinnh</v>
      </c>
      <c r="K49" s="362"/>
      <c r="L49" s="362">
        <f t="shared" si="2"/>
        <v>0</v>
      </c>
      <c r="M49" s="366" t="str">
        <f t="shared" si="4"/>
        <v>糜</v>
      </c>
      <c r="N49" s="25" t="str" cm="1">
        <f t="array" ref="N49">IF($L49=0, INDEX($AC$5:$AC$54,$Q49,1), "")</f>
        <v>ㄨㆥ</v>
      </c>
      <c r="O49" s="25" t="str" cm="1">
        <f t="array" ref="O49">IF($L49=0, INDEX($Y$5:$Y$54,$Q49,1), "")</f>
        <v>uenn</v>
      </c>
      <c r="Q49" s="47">
        <v>45</v>
      </c>
      <c r="R49" s="381" t="s">
        <v>623</v>
      </c>
      <c r="S49" s="26" t="s">
        <v>624</v>
      </c>
      <c r="T49" s="30" t="s">
        <v>625</v>
      </c>
      <c r="U49" s="31" t="s">
        <v>626</v>
      </c>
      <c r="V49" s="30" t="s">
        <v>627</v>
      </c>
      <c r="W49" s="153" t="s">
        <v>628</v>
      </c>
      <c r="X49" s="30" t="s">
        <v>629</v>
      </c>
      <c r="Y49" s="31" t="s">
        <v>624</v>
      </c>
      <c r="Z49" s="30" t="s">
        <v>625</v>
      </c>
      <c r="AA49" s="31" t="s">
        <v>630</v>
      </c>
      <c r="AB49" s="30" t="s">
        <v>631</v>
      </c>
      <c r="AC49" s="31" t="s">
        <v>632</v>
      </c>
      <c r="AD49" s="30" t="s">
        <v>633</v>
      </c>
      <c r="AE49" s="31" t="s">
        <v>634</v>
      </c>
      <c r="AF49" s="30"/>
      <c r="AG49" s="42" t="s">
        <v>635</v>
      </c>
    </row>
    <row r="50" spans="2:33" ht="30">
      <c r="B50" s="47">
        <v>46</v>
      </c>
      <c r="C50" s="385"/>
      <c r="D50" s="389"/>
      <c r="E50" s="389">
        <f t="shared" si="3"/>
        <v>0</v>
      </c>
      <c r="F50" s="387" t="str" cm="1">
        <f t="array" ref="F50" xml:space="preserve"> IF($E50=0, "", INDEX($Q$5:$AG$54, $E50, F$1))</f>
        <v/>
      </c>
      <c r="G50" s="350" t="str" cm="1">
        <f t="array" ref="G50" xml:space="preserve"> IF($E50=0, "", INDEX($Q$5:$AG$54, $E50, G$1))</f>
        <v/>
      </c>
      <c r="H50" s="350" t="str" cm="1">
        <f t="array" ref="H50" xml:space="preserve"> IF($E50=0, "", INDEX($Q$5:$AG$54, $E50, H$1))</f>
        <v/>
      </c>
      <c r="I50" s="350" t="str" cm="1">
        <f t="array" ref="I50" xml:space="preserve"> IF($E50=0, "", INDEX($Q$5:$AG$54, $E50, I$1))</f>
        <v/>
      </c>
      <c r="J50" s="350" t="str" cm="1">
        <f t="array" ref="J50" xml:space="preserve"> IF($E50=0, "", INDEX($Q$5:$AG$54, $E50, J$1))</f>
        <v/>
      </c>
      <c r="K50" s="362"/>
      <c r="L50" s="362">
        <f t="shared" si="2"/>
        <v>41</v>
      </c>
      <c r="M50" s="366" t="str">
        <f t="shared" si="4"/>
        <v/>
      </c>
      <c r="N50" s="25" t="str" cm="1">
        <f t="array" ref="N50">IF($L50=0, INDEX($AC$5:$AC$54,$Q50,1), "")</f>
        <v/>
      </c>
      <c r="O50" s="25" t="str" cm="1">
        <f t="array" ref="O50">IF($L50=0, INDEX($Y$5:$Y$54,$Q50,1), "")</f>
        <v/>
      </c>
      <c r="Q50" s="47">
        <v>46</v>
      </c>
      <c r="R50" s="380" t="s">
        <v>636</v>
      </c>
      <c r="S50" s="26" t="s">
        <v>637</v>
      </c>
      <c r="T50" s="41" t="s">
        <v>638</v>
      </c>
      <c r="U50" s="26" t="s">
        <v>639</v>
      </c>
      <c r="V50" s="27" t="s">
        <v>640</v>
      </c>
      <c r="W50" s="150" t="s">
        <v>641</v>
      </c>
      <c r="X50" s="27" t="s">
        <v>642</v>
      </c>
      <c r="Y50" s="26" t="s">
        <v>637</v>
      </c>
      <c r="Z50" s="27" t="s">
        <v>638</v>
      </c>
      <c r="AA50" s="26" t="s">
        <v>643</v>
      </c>
      <c r="AB50" s="27" t="s">
        <v>644</v>
      </c>
      <c r="AC50" s="26" t="s">
        <v>645</v>
      </c>
      <c r="AD50" s="27" t="s">
        <v>646</v>
      </c>
      <c r="AE50" s="26" t="s">
        <v>647</v>
      </c>
      <c r="AF50" s="44" t="s">
        <v>648</v>
      </c>
      <c r="AG50" s="28"/>
    </row>
    <row r="51" spans="2:33" ht="34">
      <c r="B51" s="47">
        <v>47</v>
      </c>
      <c r="C51" s="385"/>
      <c r="D51" s="389"/>
      <c r="E51" s="389">
        <f t="shared" si="3"/>
        <v>0</v>
      </c>
      <c r="F51" s="387" t="str" cm="1">
        <f t="array" ref="F51" xml:space="preserve"> IF($E51=0, "", INDEX($Q$5:$AG$54, $E51, F$1))</f>
        <v/>
      </c>
      <c r="G51" s="350" t="str" cm="1">
        <f t="array" ref="G51" xml:space="preserve"> IF($E51=0, "", INDEX($Q$5:$AG$54, $E51, G$1))</f>
        <v/>
      </c>
      <c r="H51" s="350" t="str" cm="1">
        <f t="array" ref="H51" xml:space="preserve"> IF($E51=0, "", INDEX($Q$5:$AG$54, $E51, H$1))</f>
        <v/>
      </c>
      <c r="I51" s="350" t="str" cm="1">
        <f t="array" ref="I51" xml:space="preserve"> IF($E51=0, "", INDEX($Q$5:$AG$54, $E51, I$1))</f>
        <v/>
      </c>
      <c r="J51" s="350" t="str" cm="1">
        <f t="array" ref="J51" xml:space="preserve"> IF($E51=0, "", INDEX($Q$5:$AG$54, $E51, J$1))</f>
        <v/>
      </c>
      <c r="K51" s="362"/>
      <c r="L51" s="362">
        <f t="shared" si="2"/>
        <v>42</v>
      </c>
      <c r="M51" s="366" t="str">
        <f t="shared" si="4"/>
        <v/>
      </c>
      <c r="N51" s="25" t="str" cm="1">
        <f t="array" ref="N51">IF($L51=0, INDEX($AC$5:$AC$54,$Q51,1), "")</f>
        <v/>
      </c>
      <c r="O51" s="25" t="str" cm="1">
        <f t="array" ref="O51">IF($L51=0, INDEX($Y$5:$Y$54,$Q51,1), "")</f>
        <v/>
      </c>
      <c r="Q51" s="47">
        <v>47</v>
      </c>
      <c r="R51" s="384" t="s">
        <v>423</v>
      </c>
      <c r="S51" s="26" t="s">
        <v>649</v>
      </c>
      <c r="T51" s="41" t="s">
        <v>650</v>
      </c>
      <c r="U51" s="31" t="s">
        <v>651</v>
      </c>
      <c r="V51" s="27" t="s">
        <v>652</v>
      </c>
      <c r="W51" s="150" t="s">
        <v>649</v>
      </c>
      <c r="X51" s="27" t="s">
        <v>650</v>
      </c>
      <c r="Y51" s="26" t="s">
        <v>649</v>
      </c>
      <c r="Z51" s="27" t="s">
        <v>650</v>
      </c>
      <c r="AA51" s="26" t="s">
        <v>649</v>
      </c>
      <c r="AB51" s="27" t="s">
        <v>650</v>
      </c>
      <c r="AC51" s="26" t="s">
        <v>653</v>
      </c>
      <c r="AD51" s="27" t="s">
        <v>654</v>
      </c>
      <c r="AE51" s="26" t="s">
        <v>649</v>
      </c>
      <c r="AF51" s="44" t="s">
        <v>655</v>
      </c>
      <c r="AG51" s="28"/>
    </row>
    <row r="52" spans="2:33" ht="30">
      <c r="B52" s="47">
        <v>48</v>
      </c>
      <c r="C52" s="385"/>
      <c r="D52" s="389"/>
      <c r="E52" s="389">
        <f t="shared" si="3"/>
        <v>0</v>
      </c>
      <c r="F52" s="387" t="str" cm="1">
        <f t="array" ref="F52" xml:space="preserve"> IF($E52=0, "", INDEX($Q$5:$AG$54, $E52, F$1))</f>
        <v/>
      </c>
      <c r="G52" s="350" t="str" cm="1">
        <f t="array" ref="G52" xml:space="preserve"> IF($E52=0, "", INDEX($Q$5:$AG$54, $E52, G$1))</f>
        <v/>
      </c>
      <c r="H52" s="350" t="str" cm="1">
        <f t="array" ref="H52" xml:space="preserve"> IF($E52=0, "", INDEX($Q$5:$AG$54, $E52, H$1))</f>
        <v/>
      </c>
      <c r="I52" s="350" t="str" cm="1">
        <f t="array" ref="I52" xml:space="preserve"> IF($E52=0, "", INDEX($Q$5:$AG$54, $E52, I$1))</f>
        <v/>
      </c>
      <c r="J52" s="350" t="str" cm="1">
        <f t="array" ref="J52" xml:space="preserve"> IF($E52=0, "", INDEX($Q$5:$AG$54, $E52, J$1))</f>
        <v/>
      </c>
      <c r="K52" s="362"/>
      <c r="L52" s="362">
        <f t="shared" si="2"/>
        <v>43</v>
      </c>
      <c r="M52" s="366" t="str">
        <f t="shared" si="4"/>
        <v/>
      </c>
      <c r="N52" s="25" t="str" cm="1">
        <f t="array" ref="N52">IF($L52=0, INDEX($AC$5:$AC$54,$Q52,1), "")</f>
        <v/>
      </c>
      <c r="O52" s="25" t="str" cm="1">
        <f t="array" ref="O52">IF($L52=0, INDEX($Y$5:$Y$54,$Q52,1), "")</f>
        <v/>
      </c>
      <c r="Q52" s="47">
        <v>48</v>
      </c>
      <c r="R52" s="380" t="s">
        <v>656</v>
      </c>
      <c r="S52" s="26" t="s">
        <v>657</v>
      </c>
      <c r="T52" s="30" t="s">
        <v>658</v>
      </c>
      <c r="U52" s="26" t="s">
        <v>659</v>
      </c>
      <c r="V52" s="30" t="s">
        <v>660</v>
      </c>
      <c r="W52" s="150" t="s">
        <v>661</v>
      </c>
      <c r="X52" s="30" t="s">
        <v>662</v>
      </c>
      <c r="Y52" s="150" t="s">
        <v>657</v>
      </c>
      <c r="Z52" s="30" t="s">
        <v>658</v>
      </c>
      <c r="AA52" s="26" t="s">
        <v>663</v>
      </c>
      <c r="AB52" s="30" t="s">
        <v>664</v>
      </c>
      <c r="AC52" s="26" t="s">
        <v>665</v>
      </c>
      <c r="AD52" s="30" t="s">
        <v>666</v>
      </c>
      <c r="AE52" s="26" t="s">
        <v>667</v>
      </c>
      <c r="AF52" s="30"/>
      <c r="AG52" s="28"/>
    </row>
    <row r="53" spans="2:33" ht="30">
      <c r="B53" s="47">
        <v>49</v>
      </c>
      <c r="C53" s="385"/>
      <c r="D53" s="389"/>
      <c r="E53" s="389">
        <f t="shared" si="3"/>
        <v>0</v>
      </c>
      <c r="F53" s="387" t="str" cm="1">
        <f t="array" ref="F53" xml:space="preserve"> IF($E53=0, "", INDEX($Q$5:$AG$54, $E53, F$1))</f>
        <v/>
      </c>
      <c r="G53" s="350" t="str" cm="1">
        <f t="array" ref="G53" xml:space="preserve"> IF($E53=0, "", INDEX($Q$5:$AG$54, $E53, G$1))</f>
        <v/>
      </c>
      <c r="H53" s="350" t="str" cm="1">
        <f t="array" ref="H53" xml:space="preserve"> IF($E53=0, "", INDEX($Q$5:$AG$54, $E53, H$1))</f>
        <v/>
      </c>
      <c r="I53" s="350" t="str" cm="1">
        <f t="array" ref="I53" xml:space="preserve"> IF($E53=0, "", INDEX($Q$5:$AG$54, $E53, I$1))</f>
        <v/>
      </c>
      <c r="J53" s="350" t="str" cm="1">
        <f t="array" ref="J53" xml:space="preserve"> IF($E53=0, "", INDEX($Q$5:$AG$54, $E53, J$1))</f>
        <v/>
      </c>
      <c r="K53" s="362"/>
      <c r="L53" s="362">
        <f t="shared" si="2"/>
        <v>36</v>
      </c>
      <c r="M53" s="366" t="str">
        <f t="shared" si="4"/>
        <v/>
      </c>
      <c r="N53" s="25" t="str" cm="1">
        <f t="array" ref="N53">IF($L53=0, INDEX($AC$5:$AC$54,$Q53,1), "")</f>
        <v/>
      </c>
      <c r="O53" s="25" t="str" cm="1">
        <f t="array" ref="O53">IF($L53=0, INDEX($Y$5:$Y$54,$Q53,1), "")</f>
        <v/>
      </c>
      <c r="Q53" s="47">
        <v>49</v>
      </c>
      <c r="R53" s="382" t="s">
        <v>668</v>
      </c>
      <c r="S53" s="26" t="s">
        <v>573</v>
      </c>
      <c r="T53" s="41" t="s">
        <v>574</v>
      </c>
      <c r="U53" s="26" t="s">
        <v>669</v>
      </c>
      <c r="V53" s="27" t="s">
        <v>670</v>
      </c>
      <c r="W53" s="150" t="s">
        <v>577</v>
      </c>
      <c r="X53" s="27" t="s">
        <v>578</v>
      </c>
      <c r="Y53" s="361" t="s">
        <v>579</v>
      </c>
      <c r="Z53" s="361" t="s">
        <v>580</v>
      </c>
      <c r="AA53" s="26" t="s">
        <v>671</v>
      </c>
      <c r="AB53" s="27" t="s">
        <v>672</v>
      </c>
      <c r="AC53" s="26" t="s">
        <v>583</v>
      </c>
      <c r="AD53" s="27" t="s">
        <v>584</v>
      </c>
      <c r="AE53" s="26" t="s">
        <v>673</v>
      </c>
      <c r="AF53" s="44" t="s">
        <v>674</v>
      </c>
      <c r="AG53" s="33" t="s">
        <v>675</v>
      </c>
    </row>
    <row r="54" spans="2:33" ht="30">
      <c r="B54" s="47">
        <v>50</v>
      </c>
      <c r="C54" s="385"/>
      <c r="D54" s="389"/>
      <c r="E54" s="389">
        <f t="shared" si="3"/>
        <v>0</v>
      </c>
      <c r="F54" s="387" t="str" cm="1">
        <f t="array" ref="F54" xml:space="preserve"> IF($E54=0, "", INDEX($Q$5:$AG$54, $E54, F$1))</f>
        <v/>
      </c>
      <c r="G54" s="350" t="str" cm="1">
        <f t="array" ref="G54" xml:space="preserve"> IF($E54=0, "", INDEX($Q$5:$AG$54, $E54, G$1))</f>
        <v/>
      </c>
      <c r="H54" s="350" t="str" cm="1">
        <f t="array" ref="H54" xml:space="preserve"> IF($E54=0, "", INDEX($Q$5:$AG$54, $E54, H$1))</f>
        <v/>
      </c>
      <c r="I54" s="350" t="str" cm="1">
        <f t="array" ref="I54" xml:space="preserve"> IF($E54=0, "", INDEX($Q$5:$AG$54, $E54, I$1))</f>
        <v/>
      </c>
      <c r="J54" s="350" t="str" cm="1">
        <f t="array" ref="J54" xml:space="preserve"> IF($E54=0, "", INDEX($Q$5:$AG$54, $E54, J$1))</f>
        <v/>
      </c>
      <c r="K54" s="362"/>
      <c r="L54" s="362">
        <f t="shared" si="2"/>
        <v>34</v>
      </c>
      <c r="M54" s="366" t="str">
        <f t="shared" si="4"/>
        <v/>
      </c>
      <c r="N54" s="25" t="str" cm="1">
        <f t="array" ref="N54">IF($L54=0, INDEX($AC$5:$AC$54,$Q54,1), "")</f>
        <v/>
      </c>
      <c r="O54" s="25" t="str" cm="1">
        <f t="array" ref="O54">IF($L54=0, INDEX($Y$5:$Y$54,$Q54,1), "")</f>
        <v/>
      </c>
      <c r="Q54" s="47">
        <v>50</v>
      </c>
      <c r="R54" s="382" t="s">
        <v>676</v>
      </c>
      <c r="S54" s="26" t="s">
        <v>677</v>
      </c>
      <c r="T54" s="111" t="s">
        <v>678</v>
      </c>
      <c r="U54" s="26" t="s">
        <v>679</v>
      </c>
      <c r="V54" s="111" t="s">
        <v>680</v>
      </c>
      <c r="W54" s="150" t="s">
        <v>681</v>
      </c>
      <c r="X54" s="111" t="s">
        <v>682</v>
      </c>
      <c r="Y54" s="26" t="s">
        <v>677</v>
      </c>
      <c r="Z54" s="111" t="s">
        <v>678</v>
      </c>
      <c r="AA54" s="26" t="s">
        <v>683</v>
      </c>
      <c r="AB54" s="111" t="s">
        <v>684</v>
      </c>
      <c r="AC54" s="26" t="s">
        <v>685</v>
      </c>
      <c r="AD54" s="111" t="s">
        <v>686</v>
      </c>
      <c r="AE54" s="26" t="s">
        <v>687</v>
      </c>
      <c r="AF54" s="46"/>
      <c r="AG54" s="28"/>
    </row>
  </sheetData>
  <phoneticPr fontId="1" type="noConversion"/>
  <conditionalFormatting sqref="C5:C54">
    <cfRule type="expression" dxfId="11" priority="1">
      <formula>$C5&lt;&gt;$F5</formula>
    </cfRule>
  </conditionalFormatting>
  <conditionalFormatting sqref="F5:J54">
    <cfRule type="expression" dxfId="10" priority="2">
      <formula>AND($C5&lt;&gt;"", $E5=0)</formula>
    </cfRule>
  </conditionalFormatting>
  <conditionalFormatting sqref="M5:O54">
    <cfRule type="cellIs" dxfId="9" priority="3" operator="notEqual">
      <formula>""</formula>
    </cfRule>
  </conditionalFormatting>
  <dataValidations count="1">
    <dataValidation allowBlank="1" showInputMessage="1" showErrorMessage="1" sqref="K1:K1048576 P1:P1048576" xr:uid="{AC775471-615A-F942-81A1-2F1F17024532}"/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92227-EBF8-5C45-998E-26939C09A09E}">
  <sheetPr>
    <tabColor rgb="FFFF0000"/>
  </sheetPr>
  <dimension ref="A1:N23"/>
  <sheetViews>
    <sheetView showGridLines="0" topLeftCell="A4" workbookViewId="0">
      <pane xSplit="5" ySplit="2" topLeftCell="F6" activePane="bottomRight" state="frozen"/>
      <selection pane="topRight" activeCell="F11" sqref="F11"/>
      <selection pane="bottomLeft" activeCell="F11" sqref="F11"/>
      <selection pane="bottomRight" activeCell="M6" sqref="M6"/>
    </sheetView>
  </sheetViews>
  <sheetFormatPr baseColWidth="10" defaultColWidth="10.8984375" defaultRowHeight="27" outlineLevelRow="1" outlineLevelCol="1"/>
  <cols>
    <col min="1" max="1" width="2.69921875" style="69" customWidth="1"/>
    <col min="2" max="2" width="6.796875" style="69" customWidth="1"/>
    <col min="3" max="3" width="10.09765625" style="347" hidden="1" customWidth="1" outlineLevel="1"/>
    <col min="4" max="4" width="10.09765625" style="71" customWidth="1" collapsed="1"/>
    <col min="5" max="5" width="10.5" style="70" customWidth="1"/>
    <col min="6" max="9" width="12.5" style="71" customWidth="1"/>
    <col min="10" max="10" width="12.5" style="70" customWidth="1"/>
    <col min="11" max="11" width="10.8984375" style="347"/>
    <col min="12" max="12" width="4.8984375" style="69" customWidth="1"/>
    <col min="13" max="13" width="10.8984375" style="69"/>
  </cols>
  <sheetData>
    <row r="1" spans="2:14" ht="12" hidden="1" customHeight="1" outlineLevel="1"/>
    <row r="2" spans="2:14" ht="27" hidden="1" customHeight="1" outlineLevel="1">
      <c r="D2" s="143">
        <v>3</v>
      </c>
      <c r="F2" s="143">
        <v>5</v>
      </c>
      <c r="G2" s="143">
        <v>6</v>
      </c>
      <c r="H2" s="143">
        <v>7</v>
      </c>
      <c r="I2" s="143">
        <v>6</v>
      </c>
      <c r="J2" s="144">
        <v>4</v>
      </c>
    </row>
    <row r="3" spans="2:14" ht="25" hidden="1" outlineLevel="1">
      <c r="B3" s="102" cm="1">
        <f t="array" ref="B3">COLUMN()-COLUMN(($A:$A))</f>
        <v>1</v>
      </c>
      <c r="D3" s="102" cm="1">
        <f t="array" ref="D3">COLUMN()-COLUMN(($A:$A))</f>
        <v>3</v>
      </c>
      <c r="E3" s="102" cm="1">
        <f t="array" ref="E3">COLUMN()-COLUMN(($A:$A))</f>
        <v>4</v>
      </c>
      <c r="F3" s="102" cm="1">
        <f t="array" ref="F3">COLUMN()-COLUMN(($A:$A))</f>
        <v>5</v>
      </c>
      <c r="G3" s="102" cm="1">
        <f t="array" ref="G3">COLUMN()-COLUMN(($A:$A))</f>
        <v>6</v>
      </c>
      <c r="H3" s="102" cm="1">
        <f t="array" ref="H3">COLUMN()-COLUMN(($A:$A))</f>
        <v>7</v>
      </c>
      <c r="I3" s="102" cm="1">
        <f t="array" ref="I3">COLUMN()-COLUMN(($A:$A))</f>
        <v>8</v>
      </c>
      <c r="J3" s="102" cm="1">
        <f t="array" ref="J3">COLUMN()-COLUMN(($A:$A))</f>
        <v>9</v>
      </c>
    </row>
    <row r="4" spans="2:14" ht="21" customHeight="1" collapsed="1"/>
    <row r="5" spans="2:14" ht="28">
      <c r="B5" s="19" t="s">
        <v>0</v>
      </c>
      <c r="C5" s="327" t="s">
        <v>1</v>
      </c>
      <c r="D5" s="19" t="s">
        <v>2</v>
      </c>
      <c r="E5" s="19" t="s">
        <v>5</v>
      </c>
      <c r="F5" s="19" t="s">
        <v>6</v>
      </c>
      <c r="G5" s="19" t="s">
        <v>7</v>
      </c>
      <c r="H5" s="19" t="s">
        <v>8</v>
      </c>
      <c r="I5" s="19" t="s">
        <v>3</v>
      </c>
      <c r="J5" s="19" t="s">
        <v>9</v>
      </c>
      <c r="L5" s="74"/>
      <c r="M5" s="19" t="s">
        <v>10</v>
      </c>
      <c r="N5" s="327" t="s">
        <v>11</v>
      </c>
    </row>
    <row r="6" spans="2:14" s="149" customFormat="1" ht="40" customHeight="1">
      <c r="B6" s="341" cm="1">
        <f t="array" ref="B6" xml:space="preserve"> ROW() - ROW($5:$5)</f>
        <v>1</v>
      </c>
      <c r="C6" s="348">
        <v>10</v>
      </c>
      <c r="D6" s="344" t="s">
        <v>12</v>
      </c>
      <c r="E6" s="342" t="s">
        <v>13</v>
      </c>
      <c r="F6" s="345" t="s">
        <v>14</v>
      </c>
      <c r="G6" s="345" t="s">
        <v>13</v>
      </c>
      <c r="H6" s="345" t="s">
        <v>13</v>
      </c>
      <c r="I6" s="345" t="s">
        <v>13</v>
      </c>
      <c r="J6" s="343" t="s">
        <v>15</v>
      </c>
      <c r="K6" s="347"/>
      <c r="L6" s="337">
        <v>1</v>
      </c>
      <c r="M6" s="340" t="s">
        <v>16</v>
      </c>
      <c r="N6" s="338" t="s">
        <v>16</v>
      </c>
    </row>
    <row r="7" spans="2:14" s="149" customFormat="1" ht="40" customHeight="1">
      <c r="B7" s="341" cm="1">
        <f t="array" ref="B7" xml:space="preserve"> ROW() - ROW($5:$5)</f>
        <v>2</v>
      </c>
      <c r="C7" s="348">
        <v>11</v>
      </c>
      <c r="D7" s="344" t="s">
        <v>12</v>
      </c>
      <c r="E7" s="342" t="s">
        <v>17</v>
      </c>
      <c r="F7" s="345" t="s">
        <v>18</v>
      </c>
      <c r="G7" s="345" t="s">
        <v>17</v>
      </c>
      <c r="H7" s="345" t="s">
        <v>19</v>
      </c>
      <c r="I7" s="345" t="s">
        <v>17</v>
      </c>
      <c r="J7" s="343" t="s">
        <v>20</v>
      </c>
      <c r="K7" s="347"/>
      <c r="L7" s="337">
        <v>2</v>
      </c>
      <c r="M7" s="339" t="s">
        <v>21</v>
      </c>
      <c r="N7" s="339" t="s">
        <v>22</v>
      </c>
    </row>
    <row r="8" spans="2:14" s="149" customFormat="1" ht="40" customHeight="1">
      <c r="B8" s="341" cm="1">
        <f t="array" ref="B8" xml:space="preserve"> ROW() - ROW($5:$5)</f>
        <v>3</v>
      </c>
      <c r="C8" s="348">
        <v>20</v>
      </c>
      <c r="D8" s="344" t="s">
        <v>23</v>
      </c>
      <c r="E8" s="342" t="s">
        <v>24</v>
      </c>
      <c r="F8" s="345" t="s">
        <v>25</v>
      </c>
      <c r="G8" s="345" t="s">
        <v>24</v>
      </c>
      <c r="H8" s="345" t="s">
        <v>21</v>
      </c>
      <c r="I8" s="345" t="s">
        <v>24</v>
      </c>
      <c r="J8" s="343" t="s">
        <v>26</v>
      </c>
      <c r="K8" s="347"/>
      <c r="L8" s="337">
        <v>3</v>
      </c>
      <c r="M8" s="339" t="s">
        <v>27</v>
      </c>
      <c r="N8" s="339" t="s">
        <v>28</v>
      </c>
    </row>
    <row r="9" spans="2:14" s="149" customFormat="1" ht="40" customHeight="1">
      <c r="B9" s="341" cm="1">
        <f t="array" ref="B9" xml:space="preserve"> ROW() - ROW($5:$5)</f>
        <v>4</v>
      </c>
      <c r="C9" s="348">
        <v>30</v>
      </c>
      <c r="D9" s="344" t="s">
        <v>29</v>
      </c>
      <c r="E9" s="342" t="s">
        <v>30</v>
      </c>
      <c r="F9" s="345" t="s">
        <v>31</v>
      </c>
      <c r="G9" s="345" t="s">
        <v>30</v>
      </c>
      <c r="H9" s="345" t="s">
        <v>27</v>
      </c>
      <c r="I9" s="345" t="s">
        <v>30</v>
      </c>
      <c r="J9" s="343" t="s">
        <v>32</v>
      </c>
      <c r="K9" s="347"/>
      <c r="L9" s="337">
        <v>4</v>
      </c>
      <c r="M9" s="338" t="s">
        <v>33</v>
      </c>
      <c r="N9" s="338" t="s">
        <v>34</v>
      </c>
    </row>
    <row r="10" spans="2:14" s="149" customFormat="1" ht="40" customHeight="1">
      <c r="B10" s="341" cm="1">
        <f t="array" ref="B10" xml:space="preserve"> ROW() - ROW($5:$5)</f>
        <v>5</v>
      </c>
      <c r="C10" s="348">
        <v>40</v>
      </c>
      <c r="D10" s="344" t="s">
        <v>35</v>
      </c>
      <c r="E10" s="342" t="s">
        <v>36</v>
      </c>
      <c r="F10" s="345" t="s">
        <v>37</v>
      </c>
      <c r="G10" s="345" t="s">
        <v>36</v>
      </c>
      <c r="H10" s="345" t="s">
        <v>30</v>
      </c>
      <c r="I10" s="345" t="s">
        <v>36</v>
      </c>
      <c r="J10" s="343" t="s">
        <v>38</v>
      </c>
      <c r="K10" s="347"/>
      <c r="L10" s="337">
        <v>5</v>
      </c>
      <c r="M10" s="338" t="s">
        <v>39</v>
      </c>
      <c r="N10" s="338" t="s">
        <v>40</v>
      </c>
    </row>
    <row r="11" spans="2:14" s="149" customFormat="1" ht="40" customHeight="1">
      <c r="B11" s="341" cm="1">
        <f t="array" ref="B11" xml:space="preserve"> ROW() - ROW($5:$5)</f>
        <v>6</v>
      </c>
      <c r="C11" s="348">
        <v>50</v>
      </c>
      <c r="D11" s="344" t="s">
        <v>41</v>
      </c>
      <c r="E11" s="342" t="s">
        <v>42</v>
      </c>
      <c r="F11" s="345" t="s">
        <v>43</v>
      </c>
      <c r="G11" s="345" t="s">
        <v>42</v>
      </c>
      <c r="H11" s="345" t="s">
        <v>44</v>
      </c>
      <c r="I11" s="345" t="s">
        <v>42</v>
      </c>
      <c r="J11" s="343" t="s">
        <v>45</v>
      </c>
      <c r="K11" s="347"/>
      <c r="L11" s="337">
        <v>6</v>
      </c>
      <c r="M11" s="338" t="s">
        <v>30</v>
      </c>
      <c r="N11" s="338" t="s">
        <v>46</v>
      </c>
    </row>
    <row r="12" spans="2:14" s="149" customFormat="1" ht="40" customHeight="1">
      <c r="B12" s="341" cm="1">
        <f t="array" ref="B12" xml:space="preserve"> ROW() - ROW($5:$5)</f>
        <v>7</v>
      </c>
      <c r="C12" s="348">
        <v>60</v>
      </c>
      <c r="D12" s="344" t="s">
        <v>47</v>
      </c>
      <c r="E12" s="342" t="s">
        <v>48</v>
      </c>
      <c r="F12" s="345" t="s">
        <v>49</v>
      </c>
      <c r="G12" s="345" t="s">
        <v>48</v>
      </c>
      <c r="H12" s="345" t="s">
        <v>24</v>
      </c>
      <c r="I12" s="345" t="s">
        <v>48</v>
      </c>
      <c r="J12" s="343" t="s">
        <v>50</v>
      </c>
      <c r="K12" s="347"/>
      <c r="L12" s="337">
        <v>7</v>
      </c>
      <c r="M12" s="338" t="s">
        <v>36</v>
      </c>
      <c r="N12" s="338" t="s">
        <v>51</v>
      </c>
    </row>
    <row r="13" spans="2:14" s="149" customFormat="1" ht="40" customHeight="1">
      <c r="B13" s="341" cm="1">
        <f t="array" ref="B13" xml:space="preserve"> ROW() - ROW($5:$5)</f>
        <v>8</v>
      </c>
      <c r="C13" s="348">
        <v>70</v>
      </c>
      <c r="D13" s="344" t="s">
        <v>52</v>
      </c>
      <c r="E13" s="342" t="s">
        <v>53</v>
      </c>
      <c r="F13" s="345" t="s">
        <v>54</v>
      </c>
      <c r="G13" s="345" t="s">
        <v>53</v>
      </c>
      <c r="H13" s="345" t="s">
        <v>42</v>
      </c>
      <c r="I13" s="345" t="s">
        <v>53</v>
      </c>
      <c r="J13" s="343" t="s">
        <v>55</v>
      </c>
      <c r="K13" s="347"/>
      <c r="L13" s="337">
        <v>8</v>
      </c>
      <c r="M13" s="338" t="s">
        <v>13</v>
      </c>
      <c r="N13" s="338" t="s">
        <v>56</v>
      </c>
    </row>
    <row r="14" spans="2:14" s="149" customFormat="1" ht="40" customHeight="1">
      <c r="B14" s="341" cm="1">
        <f t="array" ref="B14" xml:space="preserve"> ROW() - ROW($5:$5)</f>
        <v>9</v>
      </c>
      <c r="C14" s="348">
        <v>80</v>
      </c>
      <c r="D14" s="344" t="s">
        <v>57</v>
      </c>
      <c r="E14" s="342" t="s">
        <v>59</v>
      </c>
      <c r="F14" s="346" t="s">
        <v>60</v>
      </c>
      <c r="G14" s="345" t="s">
        <v>61</v>
      </c>
      <c r="H14" s="345" t="s">
        <v>62</v>
      </c>
      <c r="I14" s="345" t="s">
        <v>58</v>
      </c>
      <c r="J14" s="343" t="s">
        <v>63</v>
      </c>
      <c r="K14" s="347"/>
      <c r="L14" s="337">
        <v>9</v>
      </c>
      <c r="M14" s="338" t="s">
        <v>64</v>
      </c>
      <c r="N14" s="338" t="s">
        <v>65</v>
      </c>
    </row>
    <row r="15" spans="2:14" s="149" customFormat="1" ht="40" customHeight="1">
      <c r="B15" s="341" cm="1">
        <f t="array" ref="B15" xml:space="preserve"> ROW() - ROW($5:$5)</f>
        <v>10</v>
      </c>
      <c r="C15" s="348">
        <v>90</v>
      </c>
      <c r="D15" s="344" t="s">
        <v>66</v>
      </c>
      <c r="E15" s="342" t="s">
        <v>39</v>
      </c>
      <c r="F15" s="346" t="s">
        <v>68</v>
      </c>
      <c r="G15" s="345" t="s">
        <v>69</v>
      </c>
      <c r="H15" s="345" t="s">
        <v>70</v>
      </c>
      <c r="I15" s="345" t="s">
        <v>39</v>
      </c>
      <c r="J15" s="343" t="s">
        <v>71</v>
      </c>
      <c r="K15" s="347"/>
      <c r="L15" s="337">
        <v>10</v>
      </c>
      <c r="M15" s="338" t="s">
        <v>17</v>
      </c>
      <c r="N15" s="338" t="s">
        <v>72</v>
      </c>
    </row>
    <row r="16" spans="2:14" s="149" customFormat="1" ht="40" customHeight="1">
      <c r="B16" s="341" cm="1">
        <f t="array" ref="B16" xml:space="preserve"> ROW() - ROW($5:$5)</f>
        <v>11</v>
      </c>
      <c r="C16" s="348" t="s">
        <v>73</v>
      </c>
      <c r="D16" s="344" t="s">
        <v>74</v>
      </c>
      <c r="E16" s="342" t="s">
        <v>76</v>
      </c>
      <c r="F16" s="346" t="s">
        <v>77</v>
      </c>
      <c r="G16" s="345" t="s">
        <v>75</v>
      </c>
      <c r="H16" s="345" t="s">
        <v>76</v>
      </c>
      <c r="I16" s="345" t="s">
        <v>75</v>
      </c>
      <c r="J16" s="343" t="s">
        <v>78</v>
      </c>
      <c r="K16" s="347"/>
      <c r="L16" s="337">
        <v>11</v>
      </c>
      <c r="M16" s="338" t="s">
        <v>79</v>
      </c>
      <c r="N16" s="338" t="s">
        <v>80</v>
      </c>
    </row>
    <row r="17" spans="2:14" s="149" customFormat="1" ht="40" customHeight="1">
      <c r="B17" s="341" cm="1">
        <f t="array" ref="B17" xml:space="preserve"> ROW() - ROW($5:$5)</f>
        <v>12</v>
      </c>
      <c r="C17" s="348" t="s">
        <v>81</v>
      </c>
      <c r="D17" s="344" t="s">
        <v>82</v>
      </c>
      <c r="E17" s="349" t="s">
        <v>16</v>
      </c>
      <c r="F17" s="345" t="s">
        <v>85</v>
      </c>
      <c r="G17" s="345" t="s">
        <v>83</v>
      </c>
      <c r="H17" s="345" t="s">
        <v>83</v>
      </c>
      <c r="I17" s="345" t="s">
        <v>83</v>
      </c>
      <c r="J17" s="343" t="s">
        <v>16</v>
      </c>
      <c r="K17" s="347"/>
      <c r="L17" s="337">
        <v>12</v>
      </c>
      <c r="M17" s="338" t="s">
        <v>24</v>
      </c>
      <c r="N17" s="338" t="s">
        <v>86</v>
      </c>
    </row>
    <row r="18" spans="2:14" s="149" customFormat="1" ht="40" customHeight="1">
      <c r="B18" s="341" cm="1">
        <f t="array" ref="B18" xml:space="preserve"> ROW() - ROW($5:$5)</f>
        <v>13</v>
      </c>
      <c r="C18" s="348" t="s">
        <v>87</v>
      </c>
      <c r="D18" s="344" t="s">
        <v>88</v>
      </c>
      <c r="E18" s="342" t="s">
        <v>64</v>
      </c>
      <c r="F18" s="345" t="s">
        <v>89</v>
      </c>
      <c r="G18" s="345" t="s">
        <v>64</v>
      </c>
      <c r="H18" s="345" t="s">
        <v>90</v>
      </c>
      <c r="I18" s="345" t="s">
        <v>64</v>
      </c>
      <c r="J18" s="343" t="s">
        <v>91</v>
      </c>
      <c r="K18" s="347"/>
      <c r="L18" s="337">
        <v>13</v>
      </c>
      <c r="M18" s="338" t="s">
        <v>48</v>
      </c>
      <c r="N18" s="338" t="s">
        <v>92</v>
      </c>
    </row>
    <row r="19" spans="2:14" s="149" customFormat="1" ht="40" customHeight="1">
      <c r="B19" s="341" cm="1">
        <f t="array" ref="B19" xml:space="preserve"> ROW() - ROW($5:$5)</f>
        <v>14</v>
      </c>
      <c r="C19" s="348" t="s">
        <v>93</v>
      </c>
      <c r="D19" s="344" t="s">
        <v>88</v>
      </c>
      <c r="E19" s="342" t="s">
        <v>21</v>
      </c>
      <c r="F19" s="345" t="s">
        <v>94</v>
      </c>
      <c r="G19" s="345" t="s">
        <v>21</v>
      </c>
      <c r="H19" s="345" t="s">
        <v>95</v>
      </c>
      <c r="I19" s="345" t="s">
        <v>21</v>
      </c>
      <c r="J19" s="343" t="s">
        <v>96</v>
      </c>
      <c r="K19" s="347"/>
      <c r="L19" s="337">
        <v>14</v>
      </c>
      <c r="M19" s="338" t="s">
        <v>76</v>
      </c>
      <c r="N19" s="338" t="s">
        <v>97</v>
      </c>
    </row>
    <row r="20" spans="2:14" s="149" customFormat="1" ht="40" customHeight="1">
      <c r="B20" s="341" cm="1">
        <f t="array" ref="B20" xml:space="preserve"> ROW() - ROW($5:$5)</f>
        <v>15</v>
      </c>
      <c r="C20" s="348" t="s">
        <v>98</v>
      </c>
      <c r="D20" s="344" t="s">
        <v>99</v>
      </c>
      <c r="E20" s="342" t="s">
        <v>27</v>
      </c>
      <c r="F20" s="345" t="s">
        <v>100</v>
      </c>
      <c r="G20" s="345" t="s">
        <v>27</v>
      </c>
      <c r="H20" s="345" t="s">
        <v>101</v>
      </c>
      <c r="I20" s="345" t="s">
        <v>27</v>
      </c>
      <c r="J20" s="343" t="s">
        <v>102</v>
      </c>
      <c r="K20" s="347"/>
      <c r="L20" s="337">
        <v>15</v>
      </c>
      <c r="M20" s="338" t="s">
        <v>42</v>
      </c>
      <c r="N20" s="338" t="s">
        <v>103</v>
      </c>
    </row>
    <row r="21" spans="2:14" s="149" customFormat="1" ht="40" customHeight="1">
      <c r="B21" s="341" cm="1">
        <f t="array" ref="B21" xml:space="preserve"> ROW() - ROW($5:$5)</f>
        <v>16</v>
      </c>
      <c r="C21" s="348" t="s">
        <v>104</v>
      </c>
      <c r="D21" s="344" t="s">
        <v>99</v>
      </c>
      <c r="E21" s="342" t="s">
        <v>79</v>
      </c>
      <c r="F21" s="345" t="s">
        <v>105</v>
      </c>
      <c r="G21" s="345" t="s">
        <v>79</v>
      </c>
      <c r="H21" s="345" t="s">
        <v>106</v>
      </c>
      <c r="I21" s="345" t="s">
        <v>79</v>
      </c>
      <c r="J21" s="343" t="s">
        <v>107</v>
      </c>
      <c r="K21" s="347"/>
      <c r="L21" s="337">
        <v>16</v>
      </c>
      <c r="M21" s="338" t="s">
        <v>53</v>
      </c>
      <c r="N21" s="338" t="s">
        <v>108</v>
      </c>
    </row>
    <row r="22" spans="2:14" s="149" customFormat="1" ht="40" customHeight="1">
      <c r="B22" s="341" cm="1">
        <f t="array" ref="B22" xml:space="preserve"> ROW() - ROW($5:$5)</f>
        <v>17</v>
      </c>
      <c r="C22" s="348" t="s">
        <v>109</v>
      </c>
      <c r="D22" s="344" t="s">
        <v>110</v>
      </c>
      <c r="E22" s="342" t="s">
        <v>112</v>
      </c>
      <c r="F22" s="346" t="s">
        <v>113</v>
      </c>
      <c r="G22" s="345" t="s">
        <v>114</v>
      </c>
      <c r="H22" s="345" t="s">
        <v>115</v>
      </c>
      <c r="I22" s="345" t="s">
        <v>111</v>
      </c>
      <c r="J22" s="343" t="s">
        <v>116</v>
      </c>
      <c r="K22" s="347"/>
      <c r="L22" s="337">
        <v>17</v>
      </c>
      <c r="M22" s="338" t="s">
        <v>59</v>
      </c>
      <c r="N22" s="338" t="s">
        <v>117</v>
      </c>
    </row>
    <row r="23" spans="2:14" ht="40" customHeight="1">
      <c r="B23" s="341" cm="1">
        <f t="array" ref="B23" xml:space="preserve"> ROW() - ROW($5:$5)</f>
        <v>18</v>
      </c>
      <c r="C23" s="348" t="s">
        <v>118</v>
      </c>
      <c r="D23" s="344" t="s">
        <v>119</v>
      </c>
      <c r="E23" s="342" t="s">
        <v>33</v>
      </c>
      <c r="F23" s="345" t="s">
        <v>120</v>
      </c>
      <c r="G23" s="345" t="s">
        <v>33</v>
      </c>
      <c r="H23" s="345" t="s">
        <v>33</v>
      </c>
      <c r="I23" s="345" t="s">
        <v>33</v>
      </c>
      <c r="J23" s="343" t="s">
        <v>121</v>
      </c>
      <c r="L23" s="337">
        <v>18</v>
      </c>
      <c r="M23" s="338" t="s">
        <v>112</v>
      </c>
      <c r="N23" s="338" t="s">
        <v>122</v>
      </c>
    </row>
  </sheetData>
  <phoneticPr fontId="1" type="noConversion"/>
  <hyperlinks>
    <hyperlink ref="F5" r:id="rId1" xr:uid="{73B71ADD-58AA-D545-98D0-1C5E6944AE24}"/>
    <hyperlink ref="H5" r:id="rId2" display="閩南拼音" xr:uid="{C09F5076-D2D2-B04D-80D7-0E3D746BACFE}"/>
    <hyperlink ref="I5" r:id="rId3" xr:uid="{B16F0A0B-86D7-E64A-9D4B-D2B6E283A33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289DC-B817-FF4C-A7B6-DC12474F0CFE}">
  <sheetPr>
    <tabColor rgb="FF00B0F0"/>
  </sheetPr>
  <dimension ref="B2:I76"/>
  <sheetViews>
    <sheetView showGridLines="0" workbookViewId="0">
      <pane ySplit="2" topLeftCell="A3" activePane="bottomLeft" state="frozen"/>
      <selection activeCell="F11" sqref="F11"/>
      <selection pane="bottomLeft" activeCell="L23" sqref="L23"/>
    </sheetView>
  </sheetViews>
  <sheetFormatPr baseColWidth="10" defaultColWidth="10.69921875" defaultRowHeight="22"/>
  <cols>
    <col min="1" max="1" width="2.69921875" style="96" customWidth="1"/>
    <col min="2" max="2" width="7.796875" style="6" bestFit="1" customWidth="1"/>
    <col min="3" max="3" width="12.09765625" style="24" customWidth="1"/>
    <col min="4" max="8" width="10.69921875" style="24"/>
    <col min="9" max="9" width="12.09765625" style="6" customWidth="1"/>
    <col min="10" max="16384" width="10.69921875" style="96"/>
  </cols>
  <sheetData>
    <row r="2" spans="2:9" s="6" customFormat="1" ht="23">
      <c r="B2" s="333" t="s">
        <v>693</v>
      </c>
      <c r="C2" s="333" t="s">
        <v>694</v>
      </c>
      <c r="D2" s="333" t="s">
        <v>695</v>
      </c>
      <c r="E2" s="333" t="s">
        <v>690</v>
      </c>
      <c r="F2" s="333" t="s">
        <v>696</v>
      </c>
      <c r="G2" s="333" t="s">
        <v>697</v>
      </c>
      <c r="H2" s="333" t="s">
        <v>698</v>
      </c>
      <c r="I2" s="333" t="s">
        <v>699</v>
      </c>
    </row>
    <row r="3" spans="2:9" ht="27">
      <c r="B3" s="169">
        <v>1</v>
      </c>
      <c r="C3" s="172" t="s">
        <v>424</v>
      </c>
      <c r="D3" s="172" t="s">
        <v>424</v>
      </c>
      <c r="E3" s="172" t="s">
        <v>424</v>
      </c>
      <c r="F3" s="172" t="s">
        <v>424</v>
      </c>
      <c r="G3" s="172" t="s">
        <v>424</v>
      </c>
      <c r="H3" s="172" t="s">
        <v>427</v>
      </c>
      <c r="I3" s="169" t="s">
        <v>398</v>
      </c>
    </row>
    <row r="4" spans="2:9" ht="27">
      <c r="B4" s="169">
        <v>2</v>
      </c>
      <c r="C4" s="172" t="s">
        <v>400</v>
      </c>
      <c r="D4" s="172" t="s">
        <v>402</v>
      </c>
      <c r="E4" s="172" t="s">
        <v>404</v>
      </c>
      <c r="F4" s="172" t="s">
        <v>406</v>
      </c>
      <c r="G4" s="172" t="s">
        <v>400</v>
      </c>
      <c r="H4" s="172" t="s">
        <v>408</v>
      </c>
      <c r="I4" s="169" t="s">
        <v>399</v>
      </c>
    </row>
    <row r="5" spans="2:9" ht="27">
      <c r="B5" s="169">
        <v>3</v>
      </c>
      <c r="C5" s="172" t="s">
        <v>425</v>
      </c>
      <c r="D5" s="172" t="s">
        <v>426</v>
      </c>
      <c r="E5" s="172" t="s">
        <v>425</v>
      </c>
      <c r="F5" s="172" t="s">
        <v>425</v>
      </c>
      <c r="G5" s="172" t="s">
        <v>425</v>
      </c>
      <c r="H5" s="172" t="s">
        <v>428</v>
      </c>
      <c r="I5" s="169" t="s">
        <v>398</v>
      </c>
    </row>
    <row r="6" spans="2:9" ht="27">
      <c r="B6" s="169">
        <v>4</v>
      </c>
      <c r="C6" s="172" t="s">
        <v>401</v>
      </c>
      <c r="D6" s="172" t="s">
        <v>403</v>
      </c>
      <c r="E6" s="172" t="s">
        <v>700</v>
      </c>
      <c r="F6" s="172" t="s">
        <v>407</v>
      </c>
      <c r="G6" s="172" t="s">
        <v>401</v>
      </c>
      <c r="H6" s="172" t="s">
        <v>409</v>
      </c>
      <c r="I6" s="169" t="s">
        <v>399</v>
      </c>
    </row>
    <row r="7" spans="2:9" ht="27">
      <c r="B7" s="169">
        <v>5</v>
      </c>
      <c r="C7" s="172" t="s">
        <v>307</v>
      </c>
      <c r="D7" s="172" t="s">
        <v>307</v>
      </c>
      <c r="E7" s="172" t="s">
        <v>307</v>
      </c>
      <c r="F7" s="172" t="s">
        <v>307</v>
      </c>
      <c r="G7" s="172" t="s">
        <v>307</v>
      </c>
      <c r="H7" s="172" t="s">
        <v>312</v>
      </c>
      <c r="I7" s="169" t="s">
        <v>306</v>
      </c>
    </row>
    <row r="8" spans="2:9" ht="27">
      <c r="B8" s="169">
        <v>6</v>
      </c>
      <c r="C8" s="172" t="s">
        <v>559</v>
      </c>
      <c r="D8" s="172" t="s">
        <v>561</v>
      </c>
      <c r="E8" s="172" t="s">
        <v>563</v>
      </c>
      <c r="F8" s="172" t="s">
        <v>565</v>
      </c>
      <c r="G8" s="172" t="s">
        <v>559</v>
      </c>
      <c r="H8" s="172" t="s">
        <v>567</v>
      </c>
      <c r="I8" s="169" t="s">
        <v>705</v>
      </c>
    </row>
    <row r="9" spans="2:9" ht="27">
      <c r="B9" s="169">
        <v>7</v>
      </c>
      <c r="C9" s="172" t="s">
        <v>352</v>
      </c>
      <c r="D9" s="172" t="s">
        <v>354</v>
      </c>
      <c r="E9" s="172" t="s">
        <v>352</v>
      </c>
      <c r="F9" s="172" t="s">
        <v>352</v>
      </c>
      <c r="G9" s="172" t="s">
        <v>352</v>
      </c>
      <c r="H9" s="172" t="s">
        <v>706</v>
      </c>
      <c r="I9" s="169" t="s">
        <v>350</v>
      </c>
    </row>
    <row r="10" spans="2:9" ht="27">
      <c r="B10" s="169">
        <v>8</v>
      </c>
      <c r="C10" s="172" t="s">
        <v>334</v>
      </c>
      <c r="D10" s="172" t="s">
        <v>334</v>
      </c>
      <c r="E10" s="172" t="s">
        <v>334</v>
      </c>
      <c r="F10" s="172" t="s">
        <v>334</v>
      </c>
      <c r="G10" s="172" t="s">
        <v>334</v>
      </c>
      <c r="H10" s="172" t="s">
        <v>336</v>
      </c>
      <c r="I10" s="169" t="s">
        <v>333</v>
      </c>
    </row>
    <row r="11" spans="2:9" ht="27">
      <c r="B11" s="169">
        <v>9</v>
      </c>
      <c r="C11" s="172" t="s">
        <v>202</v>
      </c>
      <c r="D11" s="172" t="s">
        <v>202</v>
      </c>
      <c r="E11" s="172" t="s">
        <v>202</v>
      </c>
      <c r="F11" s="172" t="s">
        <v>202</v>
      </c>
      <c r="G11" s="172" t="s">
        <v>202</v>
      </c>
      <c r="H11" s="172" t="s">
        <v>207</v>
      </c>
      <c r="I11" s="169" t="s">
        <v>201</v>
      </c>
    </row>
    <row r="12" spans="2:9" ht="27">
      <c r="B12" s="169">
        <v>10</v>
      </c>
      <c r="C12" s="172" t="s">
        <v>351</v>
      </c>
      <c r="D12" s="172" t="s">
        <v>353</v>
      </c>
      <c r="E12" s="172" t="s">
        <v>351</v>
      </c>
      <c r="F12" s="172" t="s">
        <v>351</v>
      </c>
      <c r="G12" s="172" t="s">
        <v>351</v>
      </c>
      <c r="H12" s="172" t="s">
        <v>355</v>
      </c>
      <c r="I12" s="169" t="s">
        <v>350</v>
      </c>
    </row>
    <row r="13" spans="2:9" ht="27">
      <c r="B13" s="169">
        <v>11</v>
      </c>
      <c r="C13" s="172" t="s">
        <v>203</v>
      </c>
      <c r="D13" s="172" t="s">
        <v>335</v>
      </c>
      <c r="E13" s="172" t="s">
        <v>203</v>
      </c>
      <c r="F13" s="172" t="s">
        <v>203</v>
      </c>
      <c r="G13" s="172" t="s">
        <v>203</v>
      </c>
      <c r="H13" s="172" t="s">
        <v>337</v>
      </c>
      <c r="I13" s="169" t="s">
        <v>333</v>
      </c>
    </row>
    <row r="14" spans="2:9" ht="27">
      <c r="B14" s="169">
        <v>12</v>
      </c>
      <c r="C14" s="172" t="s">
        <v>203</v>
      </c>
      <c r="D14" s="172" t="s">
        <v>204</v>
      </c>
      <c r="E14" s="172" t="s">
        <v>205</v>
      </c>
      <c r="F14" s="172" t="s">
        <v>205</v>
      </c>
      <c r="G14" s="172" t="s">
        <v>203</v>
      </c>
      <c r="H14" s="172" t="s">
        <v>208</v>
      </c>
      <c r="I14" s="169" t="s">
        <v>201</v>
      </c>
    </row>
    <row r="15" spans="2:9" ht="27">
      <c r="B15" s="169">
        <v>13</v>
      </c>
      <c r="C15" s="172" t="s">
        <v>368</v>
      </c>
      <c r="D15" s="172" t="s">
        <v>370</v>
      </c>
      <c r="E15" s="172" t="s">
        <v>368</v>
      </c>
      <c r="F15" s="172" t="s">
        <v>372</v>
      </c>
      <c r="G15" s="172" t="s">
        <v>368</v>
      </c>
      <c r="H15" s="172" t="s">
        <v>374</v>
      </c>
      <c r="I15" s="169" t="s">
        <v>367</v>
      </c>
    </row>
    <row r="16" spans="2:9" ht="27">
      <c r="B16" s="169">
        <v>14</v>
      </c>
      <c r="C16" s="172" t="s">
        <v>369</v>
      </c>
      <c r="D16" s="172" t="s">
        <v>371</v>
      </c>
      <c r="E16" s="172" t="s">
        <v>369</v>
      </c>
      <c r="F16" s="172" t="s">
        <v>373</v>
      </c>
      <c r="G16" s="172" t="s">
        <v>369</v>
      </c>
      <c r="H16" s="172" t="s">
        <v>375</v>
      </c>
      <c r="I16" s="169" t="s">
        <v>367</v>
      </c>
    </row>
    <row r="17" spans="2:9" ht="27">
      <c r="B17" s="169">
        <v>15</v>
      </c>
      <c r="C17" s="172" t="s">
        <v>278</v>
      </c>
      <c r="D17" s="172" t="s">
        <v>278</v>
      </c>
      <c r="E17" s="172" t="s">
        <v>278</v>
      </c>
      <c r="F17" s="172" t="s">
        <v>278</v>
      </c>
      <c r="G17" s="172" t="s">
        <v>278</v>
      </c>
      <c r="H17" s="172" t="s">
        <v>555</v>
      </c>
      <c r="I17" s="169" t="s">
        <v>553</v>
      </c>
    </row>
    <row r="18" spans="2:9" ht="27">
      <c r="B18" s="169">
        <v>16</v>
      </c>
      <c r="C18" s="172" t="s">
        <v>449</v>
      </c>
      <c r="D18" s="172" t="s">
        <v>451</v>
      </c>
      <c r="E18" s="172" t="s">
        <v>453</v>
      </c>
      <c r="F18" s="172" t="s">
        <v>455</v>
      </c>
      <c r="G18" s="172" t="s">
        <v>449</v>
      </c>
      <c r="H18" s="172" t="s">
        <v>457</v>
      </c>
      <c r="I18" s="169" t="s">
        <v>448</v>
      </c>
    </row>
    <row r="19" spans="2:9" ht="27">
      <c r="B19" s="169">
        <v>17</v>
      </c>
      <c r="C19" s="172" t="s">
        <v>189</v>
      </c>
      <c r="D19" s="172" t="s">
        <v>554</v>
      </c>
      <c r="E19" s="172" t="s">
        <v>189</v>
      </c>
      <c r="F19" s="172" t="s">
        <v>189</v>
      </c>
      <c r="G19" s="172" t="s">
        <v>189</v>
      </c>
      <c r="H19" s="172" t="s">
        <v>556</v>
      </c>
      <c r="I19" s="169" t="s">
        <v>553</v>
      </c>
    </row>
    <row r="20" spans="2:9" ht="27">
      <c r="B20" s="169">
        <v>18</v>
      </c>
      <c r="C20" s="172" t="s">
        <v>450</v>
      </c>
      <c r="D20" s="172" t="s">
        <v>452</v>
      </c>
      <c r="E20" s="172" t="s">
        <v>701</v>
      </c>
      <c r="F20" s="172" t="s">
        <v>456</v>
      </c>
      <c r="G20" s="172" t="s">
        <v>450</v>
      </c>
      <c r="H20" s="172" t="s">
        <v>458</v>
      </c>
      <c r="I20" s="169" t="s">
        <v>448</v>
      </c>
    </row>
    <row r="21" spans="2:9" ht="27">
      <c r="B21" s="169">
        <v>19</v>
      </c>
      <c r="C21" s="172" t="s">
        <v>232</v>
      </c>
      <c r="D21" s="172" t="s">
        <v>234</v>
      </c>
      <c r="E21" s="172" t="s">
        <v>236</v>
      </c>
      <c r="F21" s="172" t="s">
        <v>232</v>
      </c>
      <c r="G21" s="172" t="s">
        <v>232</v>
      </c>
      <c r="H21" s="172" t="s">
        <v>707</v>
      </c>
      <c r="I21" s="169" t="s">
        <v>230</v>
      </c>
    </row>
    <row r="22" spans="2:9" ht="27">
      <c r="B22" s="169">
        <v>20</v>
      </c>
      <c r="C22" s="172" t="s">
        <v>231</v>
      </c>
      <c r="D22" s="172" t="s">
        <v>233</v>
      </c>
      <c r="E22" s="172" t="s">
        <v>235</v>
      </c>
      <c r="F22" s="172" t="s">
        <v>231</v>
      </c>
      <c r="G22" s="172" t="s">
        <v>231</v>
      </c>
      <c r="H22" s="172" t="s">
        <v>708</v>
      </c>
      <c r="I22" s="169" t="s">
        <v>230</v>
      </c>
    </row>
    <row r="23" spans="2:9" ht="27">
      <c r="B23" s="169">
        <v>21</v>
      </c>
      <c r="C23" s="172" t="s">
        <v>432</v>
      </c>
      <c r="D23" s="172" t="s">
        <v>432</v>
      </c>
      <c r="E23" s="172" t="s">
        <v>432</v>
      </c>
      <c r="F23" s="172" t="s">
        <v>432</v>
      </c>
      <c r="G23" s="172" t="s">
        <v>432</v>
      </c>
      <c r="H23" s="172" t="s">
        <v>435</v>
      </c>
      <c r="I23" s="169" t="s">
        <v>431</v>
      </c>
    </row>
    <row r="24" spans="2:9" ht="27">
      <c r="B24" s="169">
        <v>22</v>
      </c>
      <c r="C24" s="172" t="s">
        <v>490</v>
      </c>
      <c r="D24" s="172" t="s">
        <v>492</v>
      </c>
      <c r="E24" s="172" t="s">
        <v>494</v>
      </c>
      <c r="F24" s="172" t="s">
        <v>496</v>
      </c>
      <c r="G24" s="172" t="s">
        <v>490</v>
      </c>
      <c r="H24" s="172" t="s">
        <v>498</v>
      </c>
      <c r="I24" s="169" t="s">
        <v>489</v>
      </c>
    </row>
    <row r="25" spans="2:9" ht="27">
      <c r="B25" s="169">
        <v>23</v>
      </c>
      <c r="C25" s="172" t="s">
        <v>379</v>
      </c>
      <c r="D25" s="172" t="s">
        <v>379</v>
      </c>
      <c r="E25" s="172" t="s">
        <v>379</v>
      </c>
      <c r="F25" s="172" t="s">
        <v>379</v>
      </c>
      <c r="G25" s="172" t="s">
        <v>379</v>
      </c>
      <c r="H25" s="172" t="s">
        <v>382</v>
      </c>
      <c r="I25" s="169" t="s">
        <v>378</v>
      </c>
    </row>
    <row r="26" spans="2:9" ht="27">
      <c r="B26" s="169">
        <v>24</v>
      </c>
      <c r="C26" s="172" t="s">
        <v>519</v>
      </c>
      <c r="D26" s="172" t="s">
        <v>521</v>
      </c>
      <c r="E26" s="172" t="s">
        <v>523</v>
      </c>
      <c r="F26" s="172" t="s">
        <v>525</v>
      </c>
      <c r="G26" s="172" t="s">
        <v>519</v>
      </c>
      <c r="H26" s="172" t="s">
        <v>527</v>
      </c>
      <c r="I26" s="169" t="s">
        <v>518</v>
      </c>
    </row>
    <row r="27" spans="2:9" ht="27">
      <c r="B27" s="169">
        <v>25</v>
      </c>
      <c r="C27" s="172" t="s">
        <v>380</v>
      </c>
      <c r="D27" s="172" t="s">
        <v>381</v>
      </c>
      <c r="E27" s="172" t="s">
        <v>380</v>
      </c>
      <c r="F27" s="172" t="s">
        <v>380</v>
      </c>
      <c r="G27" s="172" t="s">
        <v>380</v>
      </c>
      <c r="H27" s="172" t="s">
        <v>383</v>
      </c>
      <c r="I27" s="169" t="s">
        <v>378</v>
      </c>
    </row>
    <row r="28" spans="2:9" ht="27">
      <c r="B28" s="169">
        <v>26</v>
      </c>
      <c r="C28" s="334" t="s">
        <v>520</v>
      </c>
      <c r="D28" s="334" t="s">
        <v>709</v>
      </c>
      <c r="E28" s="334" t="s">
        <v>702</v>
      </c>
      <c r="F28" s="334" t="s">
        <v>710</v>
      </c>
      <c r="G28" s="334" t="s">
        <v>520</v>
      </c>
      <c r="H28" s="334" t="s">
        <v>528</v>
      </c>
      <c r="I28" s="335" t="s">
        <v>518</v>
      </c>
    </row>
    <row r="29" spans="2:9" ht="27">
      <c r="B29" s="169">
        <v>27</v>
      </c>
      <c r="C29" s="334" t="s">
        <v>325</v>
      </c>
      <c r="D29" s="334" t="s">
        <v>327</v>
      </c>
      <c r="E29" s="334" t="s">
        <v>325</v>
      </c>
      <c r="F29" s="334" t="s">
        <v>325</v>
      </c>
      <c r="G29" s="334" t="s">
        <v>325</v>
      </c>
      <c r="H29" s="334" t="s">
        <v>329</v>
      </c>
      <c r="I29" s="335" t="s">
        <v>323</v>
      </c>
    </row>
    <row r="30" spans="2:9" ht="27">
      <c r="B30" s="169">
        <v>28</v>
      </c>
      <c r="C30" s="172" t="s">
        <v>359</v>
      </c>
      <c r="D30" s="172" t="s">
        <v>359</v>
      </c>
      <c r="E30" s="172" t="s">
        <v>359</v>
      </c>
      <c r="F30" s="172" t="s">
        <v>359</v>
      </c>
      <c r="G30" s="172" t="s">
        <v>359</v>
      </c>
      <c r="H30" s="172" t="s">
        <v>362</v>
      </c>
      <c r="I30" s="169" t="s">
        <v>358</v>
      </c>
    </row>
    <row r="31" spans="2:9" ht="27">
      <c r="B31" s="169">
        <v>29</v>
      </c>
      <c r="C31" s="172" t="s">
        <v>162</v>
      </c>
      <c r="D31" s="172" t="s">
        <v>162</v>
      </c>
      <c r="E31" s="172" t="s">
        <v>162</v>
      </c>
      <c r="F31" s="172" t="s">
        <v>162</v>
      </c>
      <c r="G31" s="172" t="s">
        <v>162</v>
      </c>
      <c r="H31" s="172" t="s">
        <v>165</v>
      </c>
      <c r="I31" s="169" t="s">
        <v>161</v>
      </c>
    </row>
    <row r="32" spans="2:9" ht="27">
      <c r="B32" s="169">
        <v>30</v>
      </c>
      <c r="C32" s="172" t="s">
        <v>324</v>
      </c>
      <c r="D32" s="172" t="s">
        <v>326</v>
      </c>
      <c r="E32" s="172" t="s">
        <v>324</v>
      </c>
      <c r="F32" s="172" t="s">
        <v>324</v>
      </c>
      <c r="G32" s="172" t="s">
        <v>324</v>
      </c>
      <c r="H32" s="172" t="s">
        <v>328</v>
      </c>
      <c r="I32" s="169" t="s">
        <v>323</v>
      </c>
    </row>
    <row r="33" spans="2:9" ht="27">
      <c r="B33" s="169">
        <v>31</v>
      </c>
      <c r="C33" s="172" t="s">
        <v>360</v>
      </c>
      <c r="D33" s="172" t="s">
        <v>361</v>
      </c>
      <c r="E33" s="172" t="s">
        <v>360</v>
      </c>
      <c r="F33" s="172" t="s">
        <v>360</v>
      </c>
      <c r="G33" s="172" t="s">
        <v>360</v>
      </c>
      <c r="H33" s="172" t="s">
        <v>363</v>
      </c>
      <c r="I33" s="169" t="s">
        <v>358</v>
      </c>
    </row>
    <row r="34" spans="2:9" ht="27">
      <c r="B34" s="169">
        <v>32</v>
      </c>
      <c r="C34" s="172" t="s">
        <v>163</v>
      </c>
      <c r="D34" s="172" t="s">
        <v>164</v>
      </c>
      <c r="E34" s="172" t="s">
        <v>163</v>
      </c>
      <c r="F34" s="172" t="s">
        <v>163</v>
      </c>
      <c r="G34" s="172" t="s">
        <v>163</v>
      </c>
      <c r="H34" s="172" t="s">
        <v>166</v>
      </c>
      <c r="I34" s="169" t="s">
        <v>161</v>
      </c>
    </row>
    <row r="35" spans="2:9" ht="27">
      <c r="B35" s="169">
        <v>33</v>
      </c>
      <c r="C35" s="172" t="s">
        <v>265</v>
      </c>
      <c r="D35" s="172" t="s">
        <v>267</v>
      </c>
      <c r="E35" s="172" t="s">
        <v>265</v>
      </c>
      <c r="F35" s="172" t="s">
        <v>269</v>
      </c>
      <c r="G35" s="172" t="s">
        <v>265</v>
      </c>
      <c r="H35" s="172" t="s">
        <v>271</v>
      </c>
      <c r="I35" s="169" t="s">
        <v>264</v>
      </c>
    </row>
    <row r="36" spans="2:9" ht="27">
      <c r="B36" s="169">
        <v>34</v>
      </c>
      <c r="C36" s="172" t="s">
        <v>637</v>
      </c>
      <c r="D36" s="172" t="s">
        <v>639</v>
      </c>
      <c r="E36" s="172" t="s">
        <v>641</v>
      </c>
      <c r="F36" s="172" t="s">
        <v>643</v>
      </c>
      <c r="G36" s="172" t="s">
        <v>637</v>
      </c>
      <c r="H36" s="172" t="s">
        <v>645</v>
      </c>
      <c r="I36" s="169" t="s">
        <v>636</v>
      </c>
    </row>
    <row r="37" spans="2:9" ht="27">
      <c r="B37" s="169">
        <v>35</v>
      </c>
      <c r="C37" s="172" t="s">
        <v>266</v>
      </c>
      <c r="D37" s="172" t="s">
        <v>268</v>
      </c>
      <c r="E37" s="172" t="s">
        <v>266</v>
      </c>
      <c r="F37" s="172" t="s">
        <v>270</v>
      </c>
      <c r="G37" s="172" t="s">
        <v>266</v>
      </c>
      <c r="H37" s="172" t="s">
        <v>272</v>
      </c>
      <c r="I37" s="169" t="s">
        <v>264</v>
      </c>
    </row>
    <row r="38" spans="2:9" ht="27">
      <c r="B38" s="169">
        <v>36</v>
      </c>
      <c r="C38" s="172" t="s">
        <v>433</v>
      </c>
      <c r="D38" s="172" t="s">
        <v>434</v>
      </c>
      <c r="E38" s="172" t="s">
        <v>433</v>
      </c>
      <c r="F38" s="172" t="s">
        <v>433</v>
      </c>
      <c r="G38" s="172" t="s">
        <v>433</v>
      </c>
      <c r="H38" s="172" t="s">
        <v>436</v>
      </c>
      <c r="I38" s="169" t="s">
        <v>431</v>
      </c>
    </row>
    <row r="39" spans="2:9" ht="27">
      <c r="B39" s="169">
        <v>37</v>
      </c>
      <c r="C39" s="172" t="s">
        <v>171</v>
      </c>
      <c r="D39" s="172" t="s">
        <v>171</v>
      </c>
      <c r="E39" s="172" t="s">
        <v>171</v>
      </c>
      <c r="F39" s="172" t="s">
        <v>171</v>
      </c>
      <c r="G39" s="172" t="s">
        <v>171</v>
      </c>
      <c r="H39" s="172" t="s">
        <v>174</v>
      </c>
      <c r="I39" s="169" t="s">
        <v>170</v>
      </c>
    </row>
    <row r="40" spans="2:9" ht="27">
      <c r="B40" s="169">
        <v>38</v>
      </c>
      <c r="C40" s="172" t="s">
        <v>317</v>
      </c>
      <c r="D40" s="172" t="s">
        <v>317</v>
      </c>
      <c r="E40" s="172" t="s">
        <v>317</v>
      </c>
      <c r="F40" s="172" t="s">
        <v>317</v>
      </c>
      <c r="G40" s="172" t="s">
        <v>317</v>
      </c>
      <c r="H40" s="172" t="s">
        <v>320</v>
      </c>
      <c r="I40" s="169" t="s">
        <v>316</v>
      </c>
    </row>
    <row r="41" spans="2:9" ht="27">
      <c r="B41" s="169">
        <v>39</v>
      </c>
      <c r="C41" s="172" t="s">
        <v>480</v>
      </c>
      <c r="D41" s="172" t="s">
        <v>480</v>
      </c>
      <c r="E41" s="172" t="s">
        <v>480</v>
      </c>
      <c r="F41" s="172" t="s">
        <v>480</v>
      </c>
      <c r="G41" s="172" t="s">
        <v>480</v>
      </c>
      <c r="H41" s="172" t="s">
        <v>483</v>
      </c>
      <c r="I41" s="169" t="s">
        <v>479</v>
      </c>
    </row>
    <row r="42" spans="2:9" ht="27">
      <c r="B42" s="169">
        <v>40</v>
      </c>
      <c r="C42" s="172" t="s">
        <v>481</v>
      </c>
      <c r="D42" s="172" t="s">
        <v>482</v>
      </c>
      <c r="E42" s="172" t="s">
        <v>481</v>
      </c>
      <c r="F42" s="172" t="s">
        <v>481</v>
      </c>
      <c r="G42" s="172" t="s">
        <v>481</v>
      </c>
      <c r="H42" s="172" t="s">
        <v>484</v>
      </c>
      <c r="I42" s="169" t="s">
        <v>479</v>
      </c>
    </row>
    <row r="43" spans="2:9" ht="27">
      <c r="B43" s="169">
        <v>41</v>
      </c>
      <c r="C43" s="172" t="s">
        <v>290</v>
      </c>
      <c r="D43" s="172" t="s">
        <v>292</v>
      </c>
      <c r="E43" s="172" t="s">
        <v>290</v>
      </c>
      <c r="F43" s="172" t="s">
        <v>290</v>
      </c>
      <c r="G43" s="172" t="s">
        <v>290</v>
      </c>
      <c r="H43" s="172" t="s">
        <v>294</v>
      </c>
      <c r="I43" s="169" t="s">
        <v>288</v>
      </c>
    </row>
    <row r="44" spans="2:9" ht="27">
      <c r="B44" s="169">
        <v>42</v>
      </c>
      <c r="C44" s="172" t="s">
        <v>289</v>
      </c>
      <c r="D44" s="172" t="s">
        <v>291</v>
      </c>
      <c r="E44" s="172" t="s">
        <v>289</v>
      </c>
      <c r="F44" s="172" t="s">
        <v>289</v>
      </c>
      <c r="G44" s="172" t="s">
        <v>289</v>
      </c>
      <c r="H44" s="172" t="s">
        <v>293</v>
      </c>
      <c r="I44" s="169" t="s">
        <v>288</v>
      </c>
    </row>
    <row r="45" spans="2:9" ht="27">
      <c r="B45" s="169">
        <v>43</v>
      </c>
      <c r="C45" s="172" t="s">
        <v>172</v>
      </c>
      <c r="D45" s="172" t="s">
        <v>173</v>
      </c>
      <c r="E45" s="172" t="s">
        <v>172</v>
      </c>
      <c r="F45" s="172" t="s">
        <v>172</v>
      </c>
      <c r="G45" s="172" t="s">
        <v>172</v>
      </c>
      <c r="H45" s="172" t="s">
        <v>175</v>
      </c>
      <c r="I45" s="169" t="s">
        <v>170</v>
      </c>
    </row>
    <row r="46" spans="2:9" ht="27">
      <c r="B46" s="169">
        <v>44</v>
      </c>
      <c r="C46" s="172" t="s">
        <v>318</v>
      </c>
      <c r="D46" s="172" t="s">
        <v>319</v>
      </c>
      <c r="E46" s="172" t="s">
        <v>318</v>
      </c>
      <c r="F46" s="172" t="s">
        <v>318</v>
      </c>
      <c r="G46" s="172" t="s">
        <v>318</v>
      </c>
      <c r="H46" s="172" t="s">
        <v>321</v>
      </c>
      <c r="I46" s="169" t="s">
        <v>316</v>
      </c>
    </row>
    <row r="47" spans="2:9" ht="27">
      <c r="B47" s="169">
        <v>45</v>
      </c>
      <c r="C47" s="172" t="s">
        <v>439</v>
      </c>
      <c r="D47" s="172" t="s">
        <v>439</v>
      </c>
      <c r="E47" s="172" t="s">
        <v>439</v>
      </c>
      <c r="F47" s="172" t="s">
        <v>439</v>
      </c>
      <c r="G47" s="172" t="s">
        <v>439</v>
      </c>
      <c r="H47" s="172" t="s">
        <v>443</v>
      </c>
      <c r="I47" s="169" t="s">
        <v>438</v>
      </c>
    </row>
    <row r="48" spans="2:9" ht="27">
      <c r="B48" s="169">
        <v>46</v>
      </c>
      <c r="C48" s="172" t="s">
        <v>677</v>
      </c>
      <c r="D48" s="172" t="s">
        <v>679</v>
      </c>
      <c r="E48" s="172" t="s">
        <v>681</v>
      </c>
      <c r="F48" s="172" t="s">
        <v>683</v>
      </c>
      <c r="G48" s="172" t="s">
        <v>677</v>
      </c>
      <c r="H48" s="172" t="s">
        <v>685</v>
      </c>
      <c r="I48" s="169" t="s">
        <v>676</v>
      </c>
    </row>
    <row r="49" spans="2:9" ht="27">
      <c r="B49" s="169">
        <v>47</v>
      </c>
      <c r="C49" s="334" t="s">
        <v>678</v>
      </c>
      <c r="D49" s="334" t="s">
        <v>711</v>
      </c>
      <c r="E49" s="334" t="s">
        <v>703</v>
      </c>
      <c r="F49" s="334" t="s">
        <v>712</v>
      </c>
      <c r="G49" s="334" t="s">
        <v>678</v>
      </c>
      <c r="H49" s="334" t="s">
        <v>686</v>
      </c>
      <c r="I49" s="335" t="s">
        <v>676</v>
      </c>
    </row>
    <row r="50" spans="2:9" ht="27">
      <c r="B50" s="169">
        <v>48</v>
      </c>
      <c r="C50" s="172" t="s">
        <v>64</v>
      </c>
      <c r="D50" s="172" t="s">
        <v>589</v>
      </c>
      <c r="E50" s="172" t="s">
        <v>64</v>
      </c>
      <c r="F50" s="172" t="s">
        <v>64</v>
      </c>
      <c r="G50" s="172" t="s">
        <v>64</v>
      </c>
      <c r="H50" s="172" t="s">
        <v>592</v>
      </c>
      <c r="I50" s="169" t="s">
        <v>544</v>
      </c>
    </row>
    <row r="51" spans="2:9" ht="27">
      <c r="B51" s="169">
        <v>49</v>
      </c>
      <c r="C51" s="334" t="s">
        <v>588</v>
      </c>
      <c r="D51" s="334" t="s">
        <v>713</v>
      </c>
      <c r="E51" s="334" t="s">
        <v>588</v>
      </c>
      <c r="F51" s="334" t="s">
        <v>588</v>
      </c>
      <c r="G51" s="334" t="s">
        <v>588</v>
      </c>
      <c r="H51" s="334" t="s">
        <v>593</v>
      </c>
      <c r="I51" s="335" t="s">
        <v>544</v>
      </c>
    </row>
    <row r="52" spans="2:9" ht="27">
      <c r="B52" s="169">
        <v>50</v>
      </c>
      <c r="C52" s="172" t="s">
        <v>79</v>
      </c>
      <c r="D52" s="172" t="s">
        <v>546</v>
      </c>
      <c r="E52" s="172" t="s">
        <v>79</v>
      </c>
      <c r="F52" s="172" t="s">
        <v>79</v>
      </c>
      <c r="G52" s="172" t="s">
        <v>79</v>
      </c>
      <c r="H52" s="172" t="s">
        <v>549</v>
      </c>
      <c r="I52" s="169" t="s">
        <v>488</v>
      </c>
    </row>
    <row r="53" spans="2:9" ht="27">
      <c r="B53" s="169">
        <v>51</v>
      </c>
      <c r="C53" s="334" t="s">
        <v>545</v>
      </c>
      <c r="D53" s="334" t="s">
        <v>714</v>
      </c>
      <c r="E53" s="334" t="s">
        <v>545</v>
      </c>
      <c r="F53" s="334" t="s">
        <v>545</v>
      </c>
      <c r="G53" s="334" t="s">
        <v>545</v>
      </c>
      <c r="H53" s="334" t="s">
        <v>550</v>
      </c>
      <c r="I53" s="335" t="s">
        <v>488</v>
      </c>
    </row>
    <row r="54" spans="2:9" ht="27">
      <c r="B54" s="169">
        <v>52</v>
      </c>
      <c r="C54" s="172" t="s">
        <v>299</v>
      </c>
      <c r="D54" s="172" t="s">
        <v>299</v>
      </c>
      <c r="E54" s="172" t="s">
        <v>299</v>
      </c>
      <c r="F54" s="172" t="s">
        <v>299</v>
      </c>
      <c r="G54" s="172" t="s">
        <v>299</v>
      </c>
      <c r="H54" s="172" t="s">
        <v>302</v>
      </c>
      <c r="I54" s="169" t="s">
        <v>298</v>
      </c>
    </row>
    <row r="55" spans="2:9" ht="27">
      <c r="B55" s="169">
        <v>53</v>
      </c>
      <c r="C55" s="172" t="s">
        <v>573</v>
      </c>
      <c r="D55" s="172" t="s">
        <v>575</v>
      </c>
      <c r="E55" s="172" t="s">
        <v>577</v>
      </c>
      <c r="F55" s="172" t="s">
        <v>581</v>
      </c>
      <c r="G55" s="172" t="s">
        <v>573</v>
      </c>
      <c r="H55" s="172" t="s">
        <v>583</v>
      </c>
      <c r="I55" s="169" t="s">
        <v>572</v>
      </c>
    </row>
    <row r="56" spans="2:9" ht="27">
      <c r="B56" s="169">
        <v>54</v>
      </c>
      <c r="C56" s="172" t="s">
        <v>252</v>
      </c>
      <c r="D56" s="172" t="s">
        <v>254</v>
      </c>
      <c r="E56" s="172" t="s">
        <v>715</v>
      </c>
      <c r="F56" s="172" t="s">
        <v>252</v>
      </c>
      <c r="G56" s="172" t="s">
        <v>252</v>
      </c>
      <c r="H56" s="172" t="s">
        <v>259</v>
      </c>
      <c r="I56" s="169" t="s">
        <v>251</v>
      </c>
    </row>
    <row r="57" spans="2:9" ht="27">
      <c r="B57" s="169">
        <v>55</v>
      </c>
      <c r="C57" s="172" t="s">
        <v>340</v>
      </c>
      <c r="D57" s="172" t="s">
        <v>340</v>
      </c>
      <c r="E57" s="172" t="s">
        <v>343</v>
      </c>
      <c r="F57" s="172" t="s">
        <v>340</v>
      </c>
      <c r="G57" s="172" t="s">
        <v>340</v>
      </c>
      <c r="H57" s="172" t="s">
        <v>345</v>
      </c>
      <c r="I57" s="169" t="s">
        <v>339</v>
      </c>
    </row>
    <row r="58" spans="2:9" ht="27">
      <c r="B58" s="169">
        <v>56</v>
      </c>
      <c r="C58" s="172" t="s">
        <v>532</v>
      </c>
      <c r="D58" s="172" t="s">
        <v>534</v>
      </c>
      <c r="E58" s="172" t="s">
        <v>536</v>
      </c>
      <c r="F58" s="172" t="s">
        <v>538</v>
      </c>
      <c r="G58" s="172" t="s">
        <v>532</v>
      </c>
      <c r="H58" s="172" t="s">
        <v>540</v>
      </c>
      <c r="I58" s="169" t="s">
        <v>463</v>
      </c>
    </row>
    <row r="59" spans="2:9" ht="27">
      <c r="B59" s="169">
        <v>57</v>
      </c>
      <c r="C59" s="172" t="s">
        <v>341</v>
      </c>
      <c r="D59" s="172" t="s">
        <v>342</v>
      </c>
      <c r="E59" s="172" t="s">
        <v>344</v>
      </c>
      <c r="F59" s="172" t="s">
        <v>341</v>
      </c>
      <c r="G59" s="172" t="s">
        <v>341</v>
      </c>
      <c r="H59" s="172" t="s">
        <v>346</v>
      </c>
      <c r="I59" s="169" t="s">
        <v>339</v>
      </c>
    </row>
    <row r="60" spans="2:9" ht="27">
      <c r="B60" s="169">
        <v>58</v>
      </c>
      <c r="C60" s="172" t="s">
        <v>220</v>
      </c>
      <c r="D60" s="172" t="s">
        <v>220</v>
      </c>
      <c r="E60" s="172" t="s">
        <v>223</v>
      </c>
      <c r="F60" s="172" t="s">
        <v>220</v>
      </c>
      <c r="G60" s="172" t="s">
        <v>220</v>
      </c>
      <c r="H60" s="172" t="s">
        <v>716</v>
      </c>
      <c r="I60" s="169" t="s">
        <v>219</v>
      </c>
    </row>
    <row r="61" spans="2:9" ht="27">
      <c r="B61" s="169">
        <v>59</v>
      </c>
      <c r="C61" s="172" t="s">
        <v>610</v>
      </c>
      <c r="D61" s="172" t="s">
        <v>612</v>
      </c>
      <c r="E61" s="172" t="s">
        <v>614</v>
      </c>
      <c r="F61" s="172" t="s">
        <v>616</v>
      </c>
      <c r="G61" s="172" t="s">
        <v>610</v>
      </c>
      <c r="H61" s="172" t="s">
        <v>618</v>
      </c>
      <c r="I61" s="169" t="s">
        <v>558</v>
      </c>
    </row>
    <row r="62" spans="2:9" ht="27">
      <c r="B62" s="169">
        <v>60</v>
      </c>
      <c r="C62" s="334" t="s">
        <v>241</v>
      </c>
      <c r="D62" s="334" t="s">
        <v>241</v>
      </c>
      <c r="E62" s="334" t="s">
        <v>244</v>
      </c>
      <c r="F62" s="334" t="s">
        <v>241</v>
      </c>
      <c r="G62" s="334" t="s">
        <v>241</v>
      </c>
      <c r="H62" s="334" t="s">
        <v>246</v>
      </c>
      <c r="I62" s="335" t="s">
        <v>240</v>
      </c>
    </row>
    <row r="63" spans="2:9" ht="27">
      <c r="B63" s="169">
        <v>61</v>
      </c>
      <c r="C63" s="172" t="s">
        <v>598</v>
      </c>
      <c r="D63" s="172" t="s">
        <v>600</v>
      </c>
      <c r="E63" s="172" t="s">
        <v>602</v>
      </c>
      <c r="F63" s="172" t="s">
        <v>598</v>
      </c>
      <c r="G63" s="172" t="s">
        <v>598</v>
      </c>
      <c r="H63" s="172" t="s">
        <v>604</v>
      </c>
      <c r="I63" s="169" t="s">
        <v>597</v>
      </c>
    </row>
    <row r="64" spans="2:9" ht="27">
      <c r="B64" s="169">
        <v>62</v>
      </c>
      <c r="C64" s="172" t="s">
        <v>242</v>
      </c>
      <c r="D64" s="172" t="s">
        <v>243</v>
      </c>
      <c r="E64" s="172" t="s">
        <v>245</v>
      </c>
      <c r="F64" s="172" t="s">
        <v>242</v>
      </c>
      <c r="G64" s="172" t="s">
        <v>242</v>
      </c>
      <c r="H64" s="172" t="s">
        <v>247</v>
      </c>
      <c r="I64" s="169" t="s">
        <v>240</v>
      </c>
    </row>
    <row r="65" spans="2:9" ht="27">
      <c r="B65" s="169">
        <v>63</v>
      </c>
      <c r="C65" s="172" t="s">
        <v>389</v>
      </c>
      <c r="D65" s="172" t="s">
        <v>389</v>
      </c>
      <c r="E65" s="172" t="s">
        <v>261</v>
      </c>
      <c r="F65" s="172" t="s">
        <v>389</v>
      </c>
      <c r="G65" s="172" t="s">
        <v>389</v>
      </c>
      <c r="H65" s="172" t="s">
        <v>717</v>
      </c>
      <c r="I65" s="169" t="s">
        <v>388</v>
      </c>
    </row>
    <row r="66" spans="2:9" ht="27">
      <c r="B66" s="169">
        <v>64</v>
      </c>
      <c r="C66" s="172" t="s">
        <v>390</v>
      </c>
      <c r="D66" s="172" t="s">
        <v>391</v>
      </c>
      <c r="E66" s="172" t="s">
        <v>392</v>
      </c>
      <c r="F66" s="172" t="s">
        <v>390</v>
      </c>
      <c r="G66" s="172" t="s">
        <v>390</v>
      </c>
      <c r="H66" s="172" t="s">
        <v>718</v>
      </c>
      <c r="I66" s="169" t="s">
        <v>388</v>
      </c>
    </row>
    <row r="67" spans="2:9" ht="27">
      <c r="B67" s="169">
        <v>65</v>
      </c>
      <c r="C67" s="172" t="s">
        <v>300</v>
      </c>
      <c r="D67" s="172" t="s">
        <v>301</v>
      </c>
      <c r="E67" s="172" t="s">
        <v>300</v>
      </c>
      <c r="F67" s="172" t="s">
        <v>300</v>
      </c>
      <c r="G67" s="172" t="s">
        <v>300</v>
      </c>
      <c r="H67" s="172" t="s">
        <v>303</v>
      </c>
      <c r="I67" s="169" t="s">
        <v>298</v>
      </c>
    </row>
    <row r="68" spans="2:9" ht="27">
      <c r="B68" s="169">
        <v>67</v>
      </c>
      <c r="C68" s="172" t="s">
        <v>574</v>
      </c>
      <c r="D68" s="172" t="s">
        <v>719</v>
      </c>
      <c r="E68" s="172" t="s">
        <v>704</v>
      </c>
      <c r="F68" s="172" t="s">
        <v>720</v>
      </c>
      <c r="G68" s="172" t="s">
        <v>574</v>
      </c>
      <c r="H68" s="172" t="s">
        <v>584</v>
      </c>
      <c r="I68" s="169" t="s">
        <v>572</v>
      </c>
    </row>
    <row r="69" spans="2:9" ht="27">
      <c r="B69" s="169">
        <v>68</v>
      </c>
      <c r="C69" s="172" t="s">
        <v>212</v>
      </c>
      <c r="D69" s="172" t="s">
        <v>214</v>
      </c>
      <c r="E69" s="172" t="s">
        <v>212</v>
      </c>
      <c r="F69" s="172" t="s">
        <v>212</v>
      </c>
      <c r="G69" s="172" t="s">
        <v>212</v>
      </c>
      <c r="H69" s="172" t="s">
        <v>216</v>
      </c>
      <c r="I69" s="169" t="s">
        <v>210</v>
      </c>
    </row>
    <row r="70" spans="2:9" ht="27">
      <c r="B70" s="169">
        <v>69</v>
      </c>
      <c r="C70" s="172" t="s">
        <v>649</v>
      </c>
      <c r="D70" s="172" t="s">
        <v>651</v>
      </c>
      <c r="E70" s="172" t="s">
        <v>649</v>
      </c>
      <c r="F70" s="172" t="s">
        <v>649</v>
      </c>
      <c r="G70" s="172" t="s">
        <v>649</v>
      </c>
      <c r="H70" s="172" t="s">
        <v>653</v>
      </c>
      <c r="I70" s="169" t="s">
        <v>721</v>
      </c>
    </row>
    <row r="71" spans="2:9" ht="27">
      <c r="B71" s="169">
        <v>70</v>
      </c>
      <c r="C71" s="172" t="s">
        <v>211</v>
      </c>
      <c r="D71" s="172" t="s">
        <v>213</v>
      </c>
      <c r="E71" s="172" t="s">
        <v>211</v>
      </c>
      <c r="F71" s="172" t="s">
        <v>211</v>
      </c>
      <c r="G71" s="172" t="s">
        <v>211</v>
      </c>
      <c r="H71" s="172" t="s">
        <v>215</v>
      </c>
      <c r="I71" s="169" t="s">
        <v>210</v>
      </c>
    </row>
    <row r="72" spans="2:9" ht="27">
      <c r="B72" s="169">
        <v>71</v>
      </c>
      <c r="C72" s="172" t="s">
        <v>415</v>
      </c>
      <c r="D72" s="172" t="s">
        <v>415</v>
      </c>
      <c r="E72" s="172" t="s">
        <v>415</v>
      </c>
      <c r="F72" s="172" t="s">
        <v>415</v>
      </c>
      <c r="G72" s="172" t="s">
        <v>415</v>
      </c>
      <c r="H72" s="172" t="s">
        <v>418</v>
      </c>
      <c r="I72" s="169" t="s">
        <v>414</v>
      </c>
    </row>
    <row r="73" spans="2:9" ht="27">
      <c r="B73" s="169">
        <v>72</v>
      </c>
      <c r="C73" s="172" t="s">
        <v>416</v>
      </c>
      <c r="D73" s="172" t="s">
        <v>417</v>
      </c>
      <c r="E73" s="172" t="s">
        <v>416</v>
      </c>
      <c r="F73" s="172" t="s">
        <v>416</v>
      </c>
      <c r="G73" s="172" t="s">
        <v>416</v>
      </c>
      <c r="H73" s="172" t="s">
        <v>419</v>
      </c>
      <c r="I73" s="169" t="s">
        <v>414</v>
      </c>
    </row>
    <row r="74" spans="2:9" ht="27">
      <c r="B74" s="169">
        <v>73</v>
      </c>
      <c r="C74" s="172" t="s">
        <v>178</v>
      </c>
      <c r="D74" s="172" t="s">
        <v>178</v>
      </c>
      <c r="E74" s="172" t="s">
        <v>178</v>
      </c>
      <c r="F74" s="172" t="s">
        <v>178</v>
      </c>
      <c r="G74" s="172" t="s">
        <v>178</v>
      </c>
      <c r="H74" s="172" t="s">
        <v>183</v>
      </c>
      <c r="I74" s="169" t="s">
        <v>177</v>
      </c>
    </row>
    <row r="75" spans="2:9" ht="27">
      <c r="B75" s="169">
        <v>74</v>
      </c>
      <c r="C75" s="172" t="s">
        <v>153</v>
      </c>
      <c r="D75" s="172" t="s">
        <v>153</v>
      </c>
      <c r="E75" s="172" t="s">
        <v>153</v>
      </c>
      <c r="F75" s="172" t="s">
        <v>153</v>
      </c>
      <c r="G75" s="172" t="s">
        <v>153</v>
      </c>
      <c r="H75" s="172" t="s">
        <v>156</v>
      </c>
      <c r="I75" s="169" t="s">
        <v>152</v>
      </c>
    </row>
    <row r="76" spans="2:9" ht="27">
      <c r="B76" s="169">
        <v>75</v>
      </c>
      <c r="C76" s="172" t="s">
        <v>154</v>
      </c>
      <c r="D76" s="172" t="s">
        <v>155</v>
      </c>
      <c r="E76" s="172" t="s">
        <v>154</v>
      </c>
      <c r="F76" s="172" t="s">
        <v>154</v>
      </c>
      <c r="G76" s="172" t="s">
        <v>154</v>
      </c>
      <c r="H76" s="172" t="s">
        <v>157</v>
      </c>
      <c r="I76" s="169" t="s">
        <v>152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90F00-9A7B-394E-8DF1-DFA069925AC0}">
  <sheetPr codeName="工作表24">
    <tabColor rgb="FFFFFF00"/>
  </sheetPr>
  <dimension ref="B1:G24"/>
  <sheetViews>
    <sheetView workbookViewId="0">
      <selection activeCell="K8" sqref="K8"/>
    </sheetView>
  </sheetViews>
  <sheetFormatPr baseColWidth="10" defaultColWidth="10.69921875" defaultRowHeight="22" outlineLevelRow="1" outlineLevelCol="1"/>
  <cols>
    <col min="1" max="1" width="2.19921875" style="6" customWidth="1"/>
    <col min="2" max="2" width="8.296875" style="6" customWidth="1"/>
    <col min="3" max="3" width="10.69921875" style="6"/>
    <col min="4" max="4" width="12.69921875" style="6" customWidth="1"/>
    <col min="5" max="5" width="10.69921875" style="6" customWidth="1" outlineLevel="1"/>
    <col min="6" max="6" width="12.69921875" style="6" customWidth="1"/>
    <col min="7" max="16384" width="10.69921875" style="6"/>
  </cols>
  <sheetData>
    <row r="1" spans="2:7" outlineLevel="1">
      <c r="B1" s="6" cm="1">
        <f t="array" ref="B1" xml:space="preserve"> COLUMN() - COLUMN($A:$A)</f>
        <v>1</v>
      </c>
      <c r="C1" s="6" cm="1">
        <f t="array" ref="C1" xml:space="preserve"> COLUMN() - COLUMN($A:$A)</f>
        <v>2</v>
      </c>
      <c r="D1" s="6" cm="1">
        <f t="array" ref="D1" xml:space="preserve"> COLUMN() - COLUMN($A:$A)</f>
        <v>3</v>
      </c>
      <c r="E1" s="6" cm="1">
        <f t="array" ref="E1" xml:space="preserve"> COLUMN() - COLUMN($A:$A)</f>
        <v>4</v>
      </c>
      <c r="F1" s="6" cm="1">
        <f t="array" ref="F1" xml:space="preserve"> COLUMN() - COLUMN($A:$A)</f>
        <v>5</v>
      </c>
    </row>
    <row r="2" spans="2:7" outlineLevel="1">
      <c r="D2" s="121">
        <v>6</v>
      </c>
      <c r="F2" s="121">
        <v>7</v>
      </c>
    </row>
    <row r="4" spans="2:7">
      <c r="B4" s="123" t="s">
        <v>2249</v>
      </c>
    </row>
    <row r="6" spans="2:7">
      <c r="B6" s="106" t="s">
        <v>693</v>
      </c>
      <c r="C6" s="110" t="s">
        <v>2318</v>
      </c>
      <c r="D6" s="110" t="s">
        <v>2319</v>
      </c>
      <c r="E6" s="272" t="s">
        <v>3641</v>
      </c>
      <c r="F6" s="110" t="s">
        <v>2320</v>
      </c>
    </row>
    <row r="7" spans="2:7" ht="35">
      <c r="B7" s="107" cm="1">
        <f t="array" ref="B7" xml:space="preserve"> ROW() - ROW($6:$6)</f>
        <v>1</v>
      </c>
      <c r="C7" s="398" t="s">
        <v>21</v>
      </c>
      <c r="D7" s="403" t="s">
        <v>24</v>
      </c>
      <c r="E7" s="122">
        <f t="shared" ref="E7:E24" si="0" xml:space="preserve"> MATCH($D7, 聲母碼,0)</f>
        <v>2</v>
      </c>
      <c r="F7" s="124" t="str" cm="1">
        <f t="array" ref="F7" xml:space="preserve"> INDEX(聲母碼表, $E7, F$2)</f>
        <v>b</v>
      </c>
    </row>
    <row r="8" spans="2:7" ht="35">
      <c r="B8" s="107" cm="1">
        <f t="array" ref="B8" xml:space="preserve"> ROW() - ROW($6:$6)</f>
        <v>2</v>
      </c>
      <c r="C8" s="398" t="s">
        <v>95</v>
      </c>
      <c r="D8" s="403" t="s">
        <v>21</v>
      </c>
      <c r="E8" s="122">
        <f t="shared" si="0"/>
        <v>3</v>
      </c>
      <c r="F8" s="124" t="str" cm="1">
        <f t="array" ref="F8" xml:space="preserve"> INDEX(聲母碼表, $E8, F$2)</f>
        <v>bb</v>
      </c>
    </row>
    <row r="9" spans="2:7" ht="35">
      <c r="B9" s="107" cm="1">
        <f t="array" ref="B9" xml:space="preserve"> ROW() - ROW($6:$6)</f>
        <v>3</v>
      </c>
      <c r="C9" s="398" t="s">
        <v>24</v>
      </c>
      <c r="D9" s="403" t="s">
        <v>48</v>
      </c>
      <c r="E9" s="122">
        <f t="shared" si="0"/>
        <v>4</v>
      </c>
      <c r="F9" s="124" t="str" cm="1">
        <f t="array" ref="F9" xml:space="preserve"> INDEX(聲母碼表, $E9, F$2)</f>
        <v>p</v>
      </c>
      <c r="G9" s="6" t="s">
        <v>3644</v>
      </c>
    </row>
    <row r="10" spans="2:7" ht="35">
      <c r="B10" s="107" cm="1">
        <f t="array" ref="B10" xml:space="preserve"> ROW() - ROW($6:$6)</f>
        <v>4</v>
      </c>
      <c r="C10" s="398" t="s">
        <v>90</v>
      </c>
      <c r="D10" s="403" t="s">
        <v>64</v>
      </c>
      <c r="E10" s="122">
        <f t="shared" si="0"/>
        <v>5</v>
      </c>
      <c r="F10" s="124" t="str" cm="1">
        <f t="array" ref="F10" xml:space="preserve"> INDEX(聲母碼表, $E10, F$2)</f>
        <v>bbn</v>
      </c>
    </row>
    <row r="11" spans="2:7" ht="35">
      <c r="B11" s="107" cm="1">
        <f t="array" ref="B11" xml:space="preserve"> ROW() - ROW($6:$6)</f>
        <v>5</v>
      </c>
      <c r="C11" s="398" t="s">
        <v>44</v>
      </c>
      <c r="D11" s="403" t="s">
        <v>42</v>
      </c>
      <c r="E11" s="122">
        <f t="shared" si="0"/>
        <v>6</v>
      </c>
      <c r="F11" s="124" t="str" cm="1">
        <f t="array" ref="F11" xml:space="preserve"> INDEX(聲母碼表, $E11, F$2)</f>
        <v>d</v>
      </c>
    </row>
    <row r="12" spans="2:7" ht="35">
      <c r="B12" s="107" cm="1">
        <f t="array" ref="B12" xml:space="preserve"> ROW() - ROW($6:$6)</f>
        <v>6</v>
      </c>
      <c r="C12" s="398" t="s">
        <v>3645</v>
      </c>
      <c r="D12" s="403" t="s">
        <v>3645</v>
      </c>
      <c r="E12" s="122" t="e">
        <f t="shared" si="0"/>
        <v>#N/A</v>
      </c>
      <c r="F12" s="124" t="e" cm="1">
        <f t="array" ref="F12" xml:space="preserve"> INDEX(聲母碼表, $E12, F$2)</f>
        <v>#N/A</v>
      </c>
    </row>
    <row r="13" spans="2:7" ht="35">
      <c r="B13" s="107" cm="1">
        <f t="array" ref="B13" xml:space="preserve"> ROW() - ROW($6:$6)</f>
        <v>7</v>
      </c>
      <c r="C13" s="398" t="s">
        <v>42</v>
      </c>
      <c r="D13" s="403" t="s">
        <v>53</v>
      </c>
      <c r="E13" s="122">
        <f t="shared" si="0"/>
        <v>7</v>
      </c>
      <c r="F13" s="124" t="str" cm="1">
        <f t="array" ref="F13" xml:space="preserve"> INDEX(聲母碼表, $E13, F$2)</f>
        <v>t</v>
      </c>
      <c r="G13" s="6" t="s">
        <v>3642</v>
      </c>
    </row>
    <row r="14" spans="2:7" ht="35">
      <c r="B14" s="107" cm="1">
        <f t="array" ref="B14" xml:space="preserve"> ROW() - ROW($6:$6)</f>
        <v>8</v>
      </c>
      <c r="C14" s="398" t="s">
        <v>19</v>
      </c>
      <c r="D14" s="403" t="s">
        <v>17</v>
      </c>
      <c r="E14" s="122">
        <f t="shared" si="0"/>
        <v>8</v>
      </c>
      <c r="F14" s="124" t="str" cm="1">
        <f t="array" ref="F14" xml:space="preserve"> INDEX(聲母碼表, $E14, F$2)</f>
        <v>ln</v>
      </c>
    </row>
    <row r="15" spans="2:7" ht="35">
      <c r="B15" s="107" cm="1">
        <f t="array" ref="B15" xml:space="preserve"> ROW() - ROW($6:$6)</f>
        <v>9</v>
      </c>
      <c r="C15" s="398" t="s">
        <v>13</v>
      </c>
      <c r="D15" s="403" t="s">
        <v>13</v>
      </c>
      <c r="E15" s="122">
        <f t="shared" si="0"/>
        <v>9</v>
      </c>
      <c r="F15" s="124" t="str" cm="1">
        <f t="array" ref="F15" xml:space="preserve"> INDEX(聲母碼表, $E15, F$2)</f>
        <v>l</v>
      </c>
    </row>
    <row r="16" spans="2:7" ht="35">
      <c r="B16" s="107" cm="1">
        <f t="array" ref="B16" xml:space="preserve"> ROW() - ROW($6:$6)</f>
        <v>10</v>
      </c>
      <c r="C16" s="398" t="s">
        <v>27</v>
      </c>
      <c r="D16" s="403" t="s">
        <v>30</v>
      </c>
      <c r="E16" s="122">
        <f t="shared" si="0"/>
        <v>10</v>
      </c>
      <c r="F16" s="124" t="str" cm="1">
        <f t="array" ref="F16" xml:space="preserve"> INDEX(聲母碼表, $E16, F$2)</f>
        <v>g</v>
      </c>
    </row>
    <row r="17" spans="2:7" ht="35">
      <c r="B17" s="107" cm="1">
        <f t="array" ref="B17" xml:space="preserve"> ROW() - ROW($6:$6)</f>
        <v>11</v>
      </c>
      <c r="C17" s="398" t="s">
        <v>30</v>
      </c>
      <c r="D17" s="403" t="s">
        <v>36</v>
      </c>
      <c r="E17" s="122">
        <f t="shared" si="0"/>
        <v>11</v>
      </c>
      <c r="F17" s="124" t="str" cm="1">
        <f t="array" ref="F17" xml:space="preserve"> INDEX(聲母碼表, $E17, F$2)</f>
        <v>k</v>
      </c>
    </row>
    <row r="18" spans="2:7" ht="35">
      <c r="B18" s="107" cm="1">
        <f t="array" ref="B18" xml:space="preserve"> ROW() - ROW($6:$6)</f>
        <v>12</v>
      </c>
      <c r="C18" s="398" t="s">
        <v>101</v>
      </c>
      <c r="D18" s="403" t="s">
        <v>27</v>
      </c>
      <c r="E18" s="122">
        <f t="shared" si="0"/>
        <v>12</v>
      </c>
      <c r="F18" s="124" t="str" cm="1">
        <f t="array" ref="F18" xml:space="preserve"> INDEX(聲母碼表, $E18, F$2)</f>
        <v>gg</v>
      </c>
    </row>
    <row r="19" spans="2:7" ht="35">
      <c r="B19" s="107" cm="1">
        <f t="array" ref="B19" xml:space="preserve"> ROW() - ROW($6:$6)</f>
        <v>13</v>
      </c>
      <c r="C19" s="398" t="s">
        <v>106</v>
      </c>
      <c r="D19" s="403" t="s">
        <v>79</v>
      </c>
      <c r="E19" s="122">
        <f t="shared" si="0"/>
        <v>13</v>
      </c>
      <c r="F19" s="124" t="str" cm="1">
        <f t="array" ref="F19" xml:space="preserve"> INDEX(聲母碼表, $E19, F$2)</f>
        <v>ggn</v>
      </c>
    </row>
    <row r="20" spans="2:7" ht="35">
      <c r="B20" s="107" cm="1">
        <f t="array" ref="B20" xml:space="preserve"> ROW() - ROW($6:$6)</f>
        <v>14</v>
      </c>
      <c r="C20" s="398" t="s">
        <v>33</v>
      </c>
      <c r="D20" s="403" t="s">
        <v>33</v>
      </c>
      <c r="E20" s="122">
        <f t="shared" si="0"/>
        <v>14</v>
      </c>
      <c r="F20" s="124" t="str" cm="1">
        <f t="array" ref="F20" xml:space="preserve"> INDEX(聲母碼表, $E20, F$2)</f>
        <v>h</v>
      </c>
      <c r="G20" s="6" t="s">
        <v>3643</v>
      </c>
    </row>
    <row r="21" spans="2:7" ht="35">
      <c r="B21" s="107" cm="1">
        <f t="array" ref="B21" xml:space="preserve"> ROW() - ROW($6:$6)</f>
        <v>15</v>
      </c>
      <c r="C21" s="398" t="s">
        <v>62</v>
      </c>
      <c r="D21" s="403" t="s">
        <v>59</v>
      </c>
      <c r="E21" s="122">
        <f t="shared" si="0"/>
        <v>15</v>
      </c>
      <c r="F21" s="124" t="str" cm="1">
        <f t="array" ref="F21" xml:space="preserve"> INDEX(聲母碼表, $E21, F$2)</f>
        <v>z</v>
      </c>
    </row>
    <row r="22" spans="2:7" ht="35">
      <c r="B22" s="107" cm="1">
        <f t="array" ref="B22" xml:space="preserve"> ROW() - ROW($6:$6)</f>
        <v>16</v>
      </c>
      <c r="C22" s="398" t="s">
        <v>115</v>
      </c>
      <c r="D22" s="403" t="s">
        <v>112</v>
      </c>
      <c r="E22" s="122">
        <f t="shared" si="0"/>
        <v>16</v>
      </c>
      <c r="F22" s="124" t="str" cm="1">
        <f t="array" ref="F22" xml:space="preserve"> INDEX(聲母碼表, $E22, F$2)</f>
        <v>c</v>
      </c>
    </row>
    <row r="23" spans="2:7" ht="35">
      <c r="B23" s="107" cm="1">
        <f t="array" ref="B23" xml:space="preserve"> ROW() - ROW($6:$6)</f>
        <v>17</v>
      </c>
      <c r="C23" s="398" t="s">
        <v>76</v>
      </c>
      <c r="D23" s="403" t="s">
        <v>76</v>
      </c>
      <c r="E23" s="122">
        <f t="shared" si="0"/>
        <v>17</v>
      </c>
      <c r="F23" s="124" t="str" cm="1">
        <f t="array" ref="F23" xml:space="preserve"> INDEX(聲母碼表, $E23, F$2)</f>
        <v>s</v>
      </c>
    </row>
    <row r="24" spans="2:7" ht="35">
      <c r="B24" s="107" cm="1">
        <f t="array" ref="B24" xml:space="preserve"> ROW() - ROW($6:$6)</f>
        <v>18</v>
      </c>
      <c r="C24" s="398" t="s">
        <v>3648</v>
      </c>
      <c r="D24" s="403" t="s">
        <v>39</v>
      </c>
      <c r="E24" s="122">
        <f t="shared" si="0"/>
        <v>18</v>
      </c>
      <c r="F24" s="124" t="str" cm="1">
        <f t="array" ref="F24" xml:space="preserve"> INDEX(聲母碼表, $E24, F$2)</f>
        <v>zzi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6905-CFFE-B14F-8F5D-F6408DB80BEC}">
  <sheetPr codeName="工作表25">
    <tabColor rgb="FFFFFF00"/>
  </sheetPr>
  <dimension ref="B1:AF92"/>
  <sheetViews>
    <sheetView workbookViewId="0">
      <pane ySplit="6" topLeftCell="A7" activePane="bottomLeft" state="frozenSplit"/>
      <selection pane="bottomLeft" activeCell="W15" sqref="W15"/>
    </sheetView>
  </sheetViews>
  <sheetFormatPr baseColWidth="10" defaultColWidth="10.69921875" defaultRowHeight="22" outlineLevelRow="1" outlineLevelCol="1"/>
  <cols>
    <col min="1" max="1" width="2.19921875" style="6" customWidth="1"/>
    <col min="2" max="2" width="6.09765625" style="6" customWidth="1"/>
    <col min="3" max="3" width="10.69921875" style="24"/>
    <col min="4" max="4" width="10.69921875" style="96"/>
    <col min="5" max="7" width="12.8984375" style="6" hidden="1" customWidth="1" outlineLevel="1"/>
    <col min="8" max="8" width="10.69921875" style="96" collapsed="1"/>
    <col min="9" max="9" width="12.8984375" style="6" hidden="1" customWidth="1" outlineLevel="1"/>
    <col min="10" max="10" width="12.8984375" style="6" customWidth="1" collapsed="1"/>
    <col min="11" max="11" width="10.69921875" style="6"/>
    <col min="12" max="13" width="8.3984375" style="6" customWidth="1"/>
    <col min="14" max="14" width="3.796875" style="6" customWidth="1"/>
    <col min="15" max="17" width="4.3984375" style="6" customWidth="1"/>
    <col min="18" max="18" width="4.69921875" style="6" customWidth="1"/>
    <col min="19" max="19" width="6.09765625" style="6" bestFit="1" customWidth="1"/>
    <col min="20" max="21" width="4.3984375" style="6" customWidth="1"/>
    <col min="22" max="22" width="10.69921875" style="6"/>
    <col min="23" max="24" width="8.3984375" style="6" customWidth="1"/>
    <col min="25" max="25" width="4.69921875" style="6" customWidth="1"/>
    <col min="26" max="28" width="4.3984375" style="6" customWidth="1"/>
    <col min="29" max="29" width="3.796875" style="6" customWidth="1"/>
    <col min="30" max="32" width="4.3984375" style="6" customWidth="1"/>
    <col min="33" max="33" width="10.69921875" style="6"/>
    <col min="34" max="34" width="4.69921875" style="6" customWidth="1"/>
    <col min="35" max="16384" width="10.69921875" style="6"/>
  </cols>
  <sheetData>
    <row r="1" spans="2:32" outlineLevel="1">
      <c r="B1" s="405" cm="1">
        <f t="array" ref="B1">COLUMN() - COLUMN($A:$A)</f>
        <v>1</v>
      </c>
      <c r="C1" s="405" cm="1">
        <f t="array" ref="C1">COLUMN() - COLUMN($A:$A)</f>
        <v>2</v>
      </c>
      <c r="D1" s="405" cm="1">
        <f t="array" ref="D1">COLUMN() - COLUMN($A:$A)</f>
        <v>3</v>
      </c>
      <c r="E1" s="405" cm="1">
        <f t="array" ref="E1">COLUMN() - COLUMN($A:$A)</f>
        <v>4</v>
      </c>
      <c r="F1" s="405" cm="1">
        <f t="array" ref="F1">COLUMN() - COLUMN($A:$A)</f>
        <v>5</v>
      </c>
      <c r="G1" s="405" cm="1">
        <f t="array" ref="G1">COLUMN() - COLUMN($A:$A)</f>
        <v>6</v>
      </c>
      <c r="H1" s="405" cm="1">
        <f t="array" ref="H1">COLUMN() - COLUMN($A:$A)</f>
        <v>7</v>
      </c>
      <c r="I1" s="405" cm="1">
        <f t="array" ref="I1">COLUMN() - COLUMN($A:$A)</f>
        <v>8</v>
      </c>
      <c r="J1" s="405" cm="1">
        <f t="array" ref="J1">COLUMN() - COLUMN($A:$A)</f>
        <v>9</v>
      </c>
    </row>
    <row r="2" spans="2:32" outlineLevel="1">
      <c r="D2" s="400">
        <v>6</v>
      </c>
      <c r="G2" s="6">
        <v>13</v>
      </c>
      <c r="H2" s="400"/>
      <c r="I2" s="6">
        <v>5</v>
      </c>
      <c r="S2" s="400">
        <v>2</v>
      </c>
      <c r="T2" s="400">
        <v>3</v>
      </c>
      <c r="AA2" s="400">
        <v>3</v>
      </c>
    </row>
    <row r="3" spans="2:32">
      <c r="G3" s="6">
        <v>14</v>
      </c>
      <c r="I3" s="6">
        <v>6</v>
      </c>
    </row>
    <row r="4" spans="2:32" ht="27">
      <c r="B4" s="401" t="s">
        <v>3629</v>
      </c>
    </row>
    <row r="6" spans="2:32">
      <c r="B6" s="106" t="s">
        <v>693</v>
      </c>
      <c r="C6" s="106" t="s">
        <v>740</v>
      </c>
      <c r="D6" s="271" t="s">
        <v>3617</v>
      </c>
      <c r="E6" s="110" t="s">
        <v>3626</v>
      </c>
      <c r="F6" s="110" t="s">
        <v>3627</v>
      </c>
      <c r="G6" s="110" t="s">
        <v>3625</v>
      </c>
      <c r="H6" s="110" t="s">
        <v>3628</v>
      </c>
      <c r="I6" s="110" t="s">
        <v>3634</v>
      </c>
      <c r="J6" s="110" t="s">
        <v>3635</v>
      </c>
      <c r="L6" s="6" t="s">
        <v>3631</v>
      </c>
      <c r="M6" s="6" t="s">
        <v>3630</v>
      </c>
      <c r="O6" s="418" t="s">
        <v>3630</v>
      </c>
      <c r="P6" s="418"/>
      <c r="Q6" s="418"/>
      <c r="S6" s="419" t="s">
        <v>8</v>
      </c>
      <c r="T6" s="420"/>
      <c r="U6" s="420"/>
      <c r="W6" s="6" t="s">
        <v>3631</v>
      </c>
      <c r="X6" s="404" t="s">
        <v>8</v>
      </c>
      <c r="Z6" s="419" t="s">
        <v>8</v>
      </c>
      <c r="AA6" s="420"/>
      <c r="AB6" s="420"/>
      <c r="AD6" s="418" t="s">
        <v>3630</v>
      </c>
      <c r="AE6" s="418"/>
      <c r="AF6" s="418"/>
    </row>
    <row r="7" spans="2:32" ht="42">
      <c r="B7" s="107">
        <v>1</v>
      </c>
      <c r="C7" s="134" t="s">
        <v>1615</v>
      </c>
      <c r="D7" s="399" t="s">
        <v>424</v>
      </c>
      <c r="E7" s="122">
        <f xml:space="preserve"> IFERROR( MATCH($D7,'十五音-韻母'!$D$5:$D$54,0), 0)</f>
        <v>28</v>
      </c>
      <c r="F7" s="122" t="str">
        <f>IF(E7&lt;&gt;0,"",(IFERROR(MATCH($D7,'十五音-韻母'!$E$5:$E$54,0),0)))</f>
        <v/>
      </c>
      <c r="G7" s="122">
        <f xml:space="preserve"> IF(E7&lt;&gt;0, $G$2, IF(F7&lt;&gt;0, $G$3, 0))</f>
        <v>13</v>
      </c>
      <c r="H7" s="399" t="str" cm="1">
        <f t="array" ref="H7" xml:space="preserve"> IF(E7&lt;&gt;0, INDEX(十五音韻母對照表, E7, $G7), IF(G7&lt;&gt;0, INDEX(十五音韻母對照表, F7, $G7), ""))</f>
        <v>ㄚ</v>
      </c>
      <c r="I7" s="122">
        <f xml:space="preserve"> IF($E7&lt;&gt;0, $I$2, IF($F7&lt;&gt;0, $I$3, 0))</f>
        <v>5</v>
      </c>
      <c r="J7" s="402" t="str" cm="1">
        <f t="array" ref="J7" xml:space="preserve"> IF($E7&lt;&gt;0, INDEX(十五音韻母對照表, $E7, $I7), IF($F7&lt;&gt;0, INDEX(十五音韻母對照表, $F7, $I7), ""))</f>
        <v>a</v>
      </c>
      <c r="L7" s="6" t="s">
        <v>3636</v>
      </c>
      <c r="M7" s="6" t="s">
        <v>3637</v>
      </c>
      <c r="O7" s="6" t="s">
        <v>34</v>
      </c>
      <c r="P7" s="6" t="s">
        <v>193</v>
      </c>
      <c r="Q7" s="6">
        <v>7</v>
      </c>
      <c r="S7" s="6" t="str" cm="1">
        <f t="array" ref="S7" xml:space="preserve"> INDEX( '閩拼-聲母'!$B$7:$G$22, MATCH(O7, '閩拼-聲母'!$D$7:$D$22, 0), $S$2)</f>
        <v>bb</v>
      </c>
      <c r="T7" s="6" t="str" cm="1">
        <f t="array" ref="T7" xml:space="preserve"> INDEX($B$7:$H$92, MATCH(P7, $C$7:$C$92,0), T$2)</f>
        <v>e</v>
      </c>
      <c r="U7" s="6">
        <f xml:space="preserve"> INDEX( '閩拼-聲調'!$S$3:$U$10, MATCH($Q7, '閩拼-聲調'!$S$3:$S$10, 0), 3)</f>
        <v>6</v>
      </c>
      <c r="W7" s="6" t="s">
        <v>3632</v>
      </c>
      <c r="X7" s="6" t="s">
        <v>3633</v>
      </c>
      <c r="Z7" s="6" t="str">
        <f xml:space="preserve"> INDEX( '閩拼-聲母'!$B$7:$F$22, MATCH(AD7, '閩拼-聲母'!$D$7:$D$22, 0), 2)</f>
        <v>b</v>
      </c>
      <c r="AA7" s="6" t="str" cm="1">
        <f t="array" ref="AA7" xml:space="preserve"> INDEX($B$7:$H$92, MATCH(AE7, $D$7:$D$92,0), AA$2)</f>
        <v>ai</v>
      </c>
      <c r="AB7" s="6">
        <f xml:space="preserve"> INDEX( '閩拼-聲調'!$S$3:$U$10, MATCH($AF7, '閩拼-聲調'!$U$3:$U$10, 0), 1)</f>
        <v>2</v>
      </c>
      <c r="AD7" s="6" t="s">
        <v>22</v>
      </c>
      <c r="AE7" s="6" t="s">
        <v>309</v>
      </c>
      <c r="AF7" s="6">
        <v>3</v>
      </c>
    </row>
    <row r="8" spans="2:32" ht="42">
      <c r="B8" s="107">
        <v>2</v>
      </c>
      <c r="C8" s="134" t="s">
        <v>2321</v>
      </c>
      <c r="D8" s="399" t="s">
        <v>400</v>
      </c>
      <c r="E8" s="122">
        <f xml:space="preserve"> IFERROR( MATCH($D8,'十五音-韻母'!$D$5:$D$54,0), 0)</f>
        <v>26</v>
      </c>
      <c r="F8" s="122" t="str">
        <f>IF(E8&lt;&gt;0,"",(IFERROR(MATCH($D8,'十五音-韻母'!$E$5:$E$54,0),0)))</f>
        <v/>
      </c>
      <c r="G8" s="122">
        <f t="shared" ref="G8:G71" si="0" xml:space="preserve"> IF(E8&lt;&gt;0, $G$2, IF(F8&lt;&gt;0, $G$3, 0))</f>
        <v>13</v>
      </c>
      <c r="H8" s="399" t="str" cm="1">
        <f t="array" ref="H8" xml:space="preserve"> IF(E8&lt;&gt;0, INDEX(十五音韻母對照表, E8, $G8), IF(G8&lt;&gt;0, INDEX(十五音韻母對照表, F8, $G8), ""))</f>
        <v>ㆩ</v>
      </c>
      <c r="I8" s="122">
        <f t="shared" ref="I8:I71" si="1" xml:space="preserve"> IF($E8&lt;&gt;0, $I$2, IF($F8&lt;&gt;0, $I$3, 0))</f>
        <v>5</v>
      </c>
      <c r="J8" s="402" t="str" cm="1">
        <f t="array" ref="J8" xml:space="preserve"> IF($E8&lt;&gt;0, INDEX(十五音韻母對照表, $E8, $I8), IF($F8&lt;&gt;0, INDEX(十五音韻母對照表, $F8, $I8), ""))</f>
        <v>ã</v>
      </c>
      <c r="L8" s="6" t="s">
        <v>3636</v>
      </c>
      <c r="M8" s="6" t="s">
        <v>3638</v>
      </c>
      <c r="O8" s="6" t="s">
        <v>34</v>
      </c>
      <c r="P8" s="6" t="s">
        <v>2371</v>
      </c>
      <c r="Q8" s="6">
        <v>7</v>
      </c>
      <c r="S8" s="6" t="str" cm="1">
        <f t="array" ref="S8" xml:space="preserve"> INDEX( '閩拼-聲母'!$B$7:$G$22, MATCH(O8, '閩拼-聲母'!$D$7:$D$22, 0), $S$2)</f>
        <v>bb</v>
      </c>
      <c r="T8" s="6" t="str" cm="1">
        <f t="array" ref="T8" xml:space="preserve"> INDEX($B$7:$H$92, MATCH(P8, $C$7:$C$92,0), T$2)</f>
        <v>ue</v>
      </c>
      <c r="U8" s="6">
        <f xml:space="preserve"> INDEX( '閩拼-聲調'!$S$3:$U$10, MATCH($Q8, '閩拼-聲調'!$S$3:$S$10, 0), 3)</f>
        <v>6</v>
      </c>
      <c r="W8" s="6" t="s">
        <v>3636</v>
      </c>
    </row>
    <row r="9" spans="2:32" ht="42">
      <c r="B9" s="107">
        <v>3</v>
      </c>
      <c r="C9" s="134" t="s">
        <v>2322</v>
      </c>
      <c r="D9" s="399" t="s">
        <v>425</v>
      </c>
      <c r="E9" s="122">
        <f xml:space="preserve"> IFERROR( MATCH($D9,'十五音-韻母'!$D$5:$D$54,0), 0)</f>
        <v>0</v>
      </c>
      <c r="F9" s="122">
        <f>IF(E9&lt;&gt;0,"",(IFERROR(MATCH($D9,'十五音-韻母'!$E$5:$E$54,0),0)))</f>
        <v>28</v>
      </c>
      <c r="G9" s="122">
        <f t="shared" si="0"/>
        <v>14</v>
      </c>
      <c r="H9" s="399" t="str" cm="1">
        <f t="array" ref="H9" xml:space="preserve"> IF(E9&lt;&gt;0, INDEX(十五音韻母對照表, E9, $G9), IF(G9&lt;&gt;0, INDEX(十五音韻母對照表, F9, $G9), ""))</f>
        <v>ㄚㆷ</v>
      </c>
      <c r="I9" s="122">
        <f t="shared" si="1"/>
        <v>6</v>
      </c>
      <c r="J9" s="402" t="str" cm="1">
        <f t="array" ref="J9" xml:space="preserve"> IF($E9&lt;&gt;0, INDEX(十五音韻母對照表, $E9, $I9), IF($F9&lt;&gt;0, INDEX(十五音韻母對照表, $F9, $I9), ""))</f>
        <v>a?</v>
      </c>
      <c r="L9" s="6" t="s">
        <v>3639</v>
      </c>
      <c r="M9" s="6" t="s">
        <v>3640</v>
      </c>
      <c r="O9" s="6" t="s">
        <v>40</v>
      </c>
      <c r="P9" s="6" t="s">
        <v>309</v>
      </c>
      <c r="Q9" s="6">
        <v>3</v>
      </c>
      <c r="S9" s="6" t="str" cm="1">
        <f t="array" ref="S9" xml:space="preserve"> INDEX( '閩拼-聲母'!$B$7:$G$22, MATCH(O9, '閩拼-聲母'!$D$7:$D$22, 0), $S$2)</f>
        <v>bbn</v>
      </c>
      <c r="T9" s="6" t="str" cm="1">
        <f t="array" ref="T9" xml:space="preserve"> INDEX($B$7:$H$92, MATCH(P9, $C$7:$C$92,0), T$2)</f>
        <v>ai</v>
      </c>
      <c r="U9" s="6">
        <f xml:space="preserve"> INDEX( '閩拼-聲調'!$S$3:$U$10, MATCH($Q9, '閩拼-聲調'!$S$3:$S$10, 0), 3)</f>
        <v>5</v>
      </c>
      <c r="W9" s="6" t="s">
        <v>3636</v>
      </c>
    </row>
    <row r="10" spans="2:32" ht="42">
      <c r="B10" s="107"/>
      <c r="C10" s="134" t="s">
        <v>2323</v>
      </c>
      <c r="D10" s="399" t="s">
        <v>401</v>
      </c>
      <c r="E10" s="122">
        <f xml:space="preserve"> IFERROR( MATCH($D10,'十五音-韻母'!$D$5:$D$54,0), 0)</f>
        <v>0</v>
      </c>
      <c r="F10" s="122">
        <f>IF(E10&lt;&gt;0,"",(IFERROR(MATCH($D10,'十五音-韻母'!$E$5:$E$54,0),0)))</f>
        <v>26</v>
      </c>
      <c r="G10" s="122">
        <f t="shared" si="0"/>
        <v>14</v>
      </c>
      <c r="H10" s="399" t="str" cm="1">
        <f t="array" ref="H10" xml:space="preserve"> IF(E10&lt;&gt;0, INDEX(十五音韻母對照表, E10, $G10), IF(G10&lt;&gt;0, INDEX(十五音韻母對照表, F10, $G10), ""))</f>
        <v>ㆩㆷ</v>
      </c>
      <c r="I10" s="122">
        <f t="shared" si="1"/>
        <v>6</v>
      </c>
      <c r="J10" s="402" t="str" cm="1">
        <f t="array" ref="J10" xml:space="preserve"> IF($E10&lt;&gt;0, INDEX(十五音韻母對照表, $E10, $I10), IF($F10&lt;&gt;0, INDEX(十五音韻母對照表, $F10, $I10), ""))</f>
        <v>ã?</v>
      </c>
      <c r="W10" s="6" t="s">
        <v>3639</v>
      </c>
    </row>
    <row r="11" spans="2:32" ht="42">
      <c r="B11" s="107">
        <v>4</v>
      </c>
      <c r="C11" s="134" t="s">
        <v>2324</v>
      </c>
      <c r="D11" s="399" t="s">
        <v>252</v>
      </c>
      <c r="E11" s="122">
        <f xml:space="preserve"> IFERROR( MATCH($D11,'十五音-韻母'!$D$5:$D$54,0), 0)</f>
        <v>11</v>
      </c>
      <c r="F11" s="122" t="str">
        <f>IF(E11&lt;&gt;0,"",(IFERROR(MATCH($D11,'十五音-韻母'!$E$5:$E$54,0),0)))</f>
        <v/>
      </c>
      <c r="G11" s="122">
        <f t="shared" si="0"/>
        <v>13</v>
      </c>
      <c r="H11" s="399" t="str" cm="1">
        <f t="array" ref="H11" xml:space="preserve"> IF(E11&lt;&gt;0, INDEX(十五音韻母對照表, E11, $G11), IF(G11&lt;&gt;0, INDEX(十五音韻母對照表, F11, $G11), ""))</f>
        <v>ㆦ</v>
      </c>
      <c r="I11" s="122">
        <f t="shared" si="1"/>
        <v>5</v>
      </c>
      <c r="J11" s="402" t="str" cm="1">
        <f t="array" ref="J11" xml:space="preserve"> IF($E11&lt;&gt;0, INDEX(十五音韻母對照表, $E11, $I11), IF($F11&lt;&gt;0, INDEX(十五音韻母對照表, $F11, $I11), ""))</f>
        <v>ɔ</v>
      </c>
    </row>
    <row r="12" spans="2:32" ht="42">
      <c r="B12" s="107">
        <v>5</v>
      </c>
      <c r="C12" s="134" t="s">
        <v>2325</v>
      </c>
      <c r="D12" s="399" t="s">
        <v>573</v>
      </c>
      <c r="E12" s="122">
        <f xml:space="preserve"> IFERROR( MATCH($D12,'十五音-韻母'!$D$5:$D$54,0), 0)</f>
        <v>41</v>
      </c>
      <c r="F12" s="122" t="str">
        <f>IF(E12&lt;&gt;0,"",(IFERROR(MATCH($D12,'十五音-韻母'!$E$5:$E$54,0),0)))</f>
        <v/>
      </c>
      <c r="G12" s="122">
        <f t="shared" si="0"/>
        <v>13</v>
      </c>
      <c r="H12" s="399" t="str" cm="1">
        <f t="array" ref="H12" xml:space="preserve"> IF(E12&lt;&gt;0, INDEX(十五音韻母對照表, E12, $G12), IF(G12&lt;&gt;0, INDEX(十五音韻母對照表, F12, $G12), ""))</f>
        <v>ㆧ</v>
      </c>
      <c r="I12" s="122">
        <f t="shared" si="1"/>
        <v>5</v>
      </c>
      <c r="J12" s="402" t="str" cm="1">
        <f t="array" ref="J12" xml:space="preserve"> IF($E12&lt;&gt;0, INDEX(十五音韻母對照表, $E12, $I12), IF($F12&lt;&gt;0, INDEX(十五音韻母對照表, $F12, $I12), ""))</f>
        <v>ɔ̃</v>
      </c>
    </row>
    <row r="13" spans="2:32" ht="42">
      <c r="B13" s="107">
        <v>6</v>
      </c>
      <c r="C13" s="134" t="s">
        <v>258</v>
      </c>
      <c r="D13" s="399" t="s">
        <v>258</v>
      </c>
      <c r="E13" s="122">
        <f xml:space="preserve"> IFERROR( MATCH($D13,'十五音-韻母'!$D$5:$D$54,0), 0)</f>
        <v>0</v>
      </c>
      <c r="F13" s="122">
        <f>IF(E13&lt;&gt;0,"",(IFERROR(MATCH($D13,'十五音-韻母'!$E$5:$E$54,0),0)))</f>
        <v>11</v>
      </c>
      <c r="G13" s="122">
        <f t="shared" si="0"/>
        <v>14</v>
      </c>
      <c r="H13" s="399" t="str" cm="1">
        <f t="array" ref="H13" xml:space="preserve"> IF(E13&lt;&gt;0, INDEX(十五音韻母對照表, E13, $G13), IF(G13&lt;&gt;0, INDEX(十五音韻母對照表, F13, $G13), ""))</f>
        <v>ㆦㆷ</v>
      </c>
      <c r="I13" s="122">
        <f t="shared" si="1"/>
        <v>6</v>
      </c>
      <c r="J13" s="402" t="str" cm="1">
        <f t="array" ref="J13" xml:space="preserve"> IF($E13&lt;&gt;0, INDEX(十五音韻母對照表, $E13, $I13), IF($F13&lt;&gt;0, INDEX(十五音韻母對照表, $F13, $I13), ""))</f>
        <v>ɔu?</v>
      </c>
    </row>
    <row r="14" spans="2:32" ht="42">
      <c r="B14" s="107">
        <v>7</v>
      </c>
      <c r="C14" s="135" t="s">
        <v>582</v>
      </c>
      <c r="D14" s="399" t="s">
        <v>574</v>
      </c>
      <c r="E14" s="122">
        <f xml:space="preserve"> IFERROR( MATCH($D14,'十五音-韻母'!$D$5:$D$54,0), 0)</f>
        <v>0</v>
      </c>
      <c r="F14" s="122">
        <f>IF(E14&lt;&gt;0,"",(IFERROR(MATCH($D14,'十五音-韻母'!$E$5:$E$54,0),0)))</f>
        <v>41</v>
      </c>
      <c r="G14" s="122">
        <f t="shared" si="0"/>
        <v>14</v>
      </c>
      <c r="H14" s="399" t="str" cm="1">
        <f t="array" ref="H14" xml:space="preserve"> IF(E14&lt;&gt;0, INDEX(十五音韻母對照表, E14, $G14), IF(G14&lt;&gt;0, INDEX(十五音韻母對照表, F14, $G14), ""))</f>
        <v>ㆧㆷ</v>
      </c>
      <c r="I14" s="122">
        <f t="shared" si="1"/>
        <v>6</v>
      </c>
      <c r="J14" s="402" t="str" cm="1">
        <f t="array" ref="J14" xml:space="preserve"> IF($E14&lt;&gt;0, INDEX(十五音韻母對照表, $E14, $I14), IF($F14&lt;&gt;0, INDEX(十五音韻母對照表, $F14, $I14), ""))</f>
        <v>ɔ̃?</v>
      </c>
    </row>
    <row r="15" spans="2:32" ht="42">
      <c r="B15" s="107">
        <v>8</v>
      </c>
      <c r="C15" s="134" t="s">
        <v>2324</v>
      </c>
      <c r="D15" s="399" t="s">
        <v>252</v>
      </c>
      <c r="E15" s="122">
        <f xml:space="preserve"> IFERROR( MATCH($D15,'十五音-韻母'!$D$5:$D$54,0), 0)</f>
        <v>11</v>
      </c>
      <c r="F15" s="122" t="str">
        <f>IF(E15&lt;&gt;0,"",(IFERROR(MATCH($D15,'十五音-韻母'!$E$5:$E$54,0),0)))</f>
        <v/>
      </c>
      <c r="G15" s="122">
        <f t="shared" si="0"/>
        <v>13</v>
      </c>
      <c r="H15" s="399" t="str" cm="1">
        <f t="array" ref="H15" xml:space="preserve"> IF(E15&lt;&gt;0, INDEX(十五音韻母對照表, E15, $G15), IF(G15&lt;&gt;0, INDEX(十五音韻母對照表, F15, $G15), ""))</f>
        <v>ㆦ</v>
      </c>
      <c r="I15" s="122">
        <f t="shared" si="1"/>
        <v>5</v>
      </c>
      <c r="J15" s="402" t="str" cm="1">
        <f t="array" ref="J15" xml:space="preserve"> IF($E15&lt;&gt;0, INDEX(十五音韻母對照表, $E15, $I15), IF($F15&lt;&gt;0, INDEX(十五音韻母對照表, $F15, $I15), ""))</f>
        <v>ɔ</v>
      </c>
    </row>
    <row r="16" spans="2:32" ht="42">
      <c r="B16" s="107">
        <v>9</v>
      </c>
      <c r="C16" s="134" t="s">
        <v>2326</v>
      </c>
      <c r="D16" s="399" t="s">
        <v>300</v>
      </c>
      <c r="E16" s="122">
        <f xml:space="preserve"> IFERROR( MATCH($D16,'十五音-韻母'!$D$5:$D$54,0), 0)</f>
        <v>0</v>
      </c>
      <c r="F16" s="122">
        <f>IF(E16&lt;&gt;0,"",(IFERROR(MATCH($D16,'十五音-韻母'!$E$5:$E$54,0),0)))</f>
        <v>15</v>
      </c>
      <c r="G16" s="122">
        <f t="shared" si="0"/>
        <v>14</v>
      </c>
      <c r="H16" s="399" t="str" cm="1">
        <f t="array" ref="H16" xml:space="preserve"> IF(E16&lt;&gt;0, INDEX(十五音韻母對照表, E16, $G16), IF(G16&lt;&gt;0, INDEX(十五音韻母對照表, F16, $G16), ""))</f>
        <v>ㄜㆷ</v>
      </c>
      <c r="I16" s="122">
        <f t="shared" si="1"/>
        <v>6</v>
      </c>
      <c r="J16" s="402" t="str" cm="1">
        <f t="array" ref="J16" xml:space="preserve"> IF($E16&lt;&gt;0, INDEX(十五音韻母對照表, $E16, $I16), IF($F16&lt;&gt;0, INDEX(十五音韻母對照表, $F16, $I16), ""))</f>
        <v>ə?</v>
      </c>
    </row>
    <row r="17" spans="2:10" ht="42">
      <c r="B17" s="107">
        <v>10</v>
      </c>
      <c r="C17" s="134" t="s">
        <v>193</v>
      </c>
      <c r="D17" s="399" t="s">
        <v>278</v>
      </c>
      <c r="E17" s="122">
        <f xml:space="preserve"> IFERROR( MATCH($D17,'十五音-韻母'!$D$5:$D$54,0), 0)</f>
        <v>39</v>
      </c>
      <c r="F17" s="122" t="str">
        <f>IF(E17&lt;&gt;0,"",(IFERROR(MATCH($D17,'十五音-韻母'!$E$5:$E$54,0),0)))</f>
        <v/>
      </c>
      <c r="G17" s="122">
        <f t="shared" si="0"/>
        <v>13</v>
      </c>
      <c r="H17" s="399" t="str" cm="1">
        <f t="array" ref="H17" xml:space="preserve"> IF(E17&lt;&gt;0, INDEX(十五音韻母對照表, E17, $G17), IF(G17&lt;&gt;0, INDEX(十五音韻母對照表, F17, $G17), ""))</f>
        <v>ㆤ</v>
      </c>
      <c r="I17" s="122">
        <f t="shared" si="1"/>
        <v>5</v>
      </c>
      <c r="J17" s="402" t="str" cm="1">
        <f t="array" ref="J17" xml:space="preserve"> IF($E17&lt;&gt;0, INDEX(十五音韻母對照表, $E17, $I17), IF($F17&lt;&gt;0, INDEX(十五音韻母對照表, $F17, $I17), ""))</f>
        <v>e</v>
      </c>
    </row>
    <row r="18" spans="2:10" ht="42">
      <c r="B18" s="107">
        <v>11</v>
      </c>
      <c r="C18" s="134" t="s">
        <v>2327</v>
      </c>
      <c r="D18" s="399" t="s">
        <v>449</v>
      </c>
      <c r="E18" s="122">
        <f xml:space="preserve"> IFERROR( MATCH($D18,'十五音-韻母'!$D$5:$D$54,0), 0)</f>
        <v>31</v>
      </c>
      <c r="F18" s="122" t="str">
        <f>IF(E18&lt;&gt;0,"",(IFERROR(MATCH($D18,'十五音-韻母'!$E$5:$E$54,0),0)))</f>
        <v/>
      </c>
      <c r="G18" s="122">
        <f t="shared" si="0"/>
        <v>13</v>
      </c>
      <c r="H18" s="399" t="str" cm="1">
        <f t="array" ref="H18" xml:space="preserve"> IF(E18&lt;&gt;0, INDEX(十五音韻母對照表, E18, $G18), IF(G18&lt;&gt;0, INDEX(十五音韻母對照表, F18, $G18), ""))</f>
        <v>ㆥ</v>
      </c>
      <c r="I18" s="122">
        <f t="shared" si="1"/>
        <v>5</v>
      </c>
      <c r="J18" s="402" t="str" cm="1">
        <f t="array" ref="J18" xml:space="preserve"> IF($E18&lt;&gt;0, INDEX(十五音韻母對照表, $E18, $I18), IF($F18&lt;&gt;0, INDEX(十五音韻母對照表, $F18, $I18), ""))</f>
        <v>ẽ</v>
      </c>
    </row>
    <row r="19" spans="2:10" ht="42">
      <c r="B19" s="107">
        <v>12</v>
      </c>
      <c r="C19" s="134" t="s">
        <v>194</v>
      </c>
      <c r="D19" s="399" t="s">
        <v>189</v>
      </c>
      <c r="E19" s="122">
        <f xml:space="preserve"> IFERROR( MATCH($D19,'十五音-韻母'!$D$5:$D$54,0), 0)</f>
        <v>0</v>
      </c>
      <c r="F19" s="122">
        <f>IF(E19&lt;&gt;0,"",(IFERROR(MATCH($D19,'十五音-韻母'!$E$5:$E$54,0),0)))</f>
        <v>5</v>
      </c>
      <c r="G19" s="122">
        <f t="shared" si="0"/>
        <v>14</v>
      </c>
      <c r="H19" s="399" t="str" cm="1">
        <f t="array" ref="H19" xml:space="preserve"> IF(E19&lt;&gt;0, INDEX(十五音韻母對照表, E19, $G19), IF(G19&lt;&gt;0, INDEX(十五音韻母對照表, F19, $G19), ""))</f>
        <v>ㄝㆷ</v>
      </c>
      <c r="I19" s="122">
        <f t="shared" si="1"/>
        <v>6</v>
      </c>
      <c r="J19" s="402" t="str" cm="1">
        <f t="array" ref="J19" xml:space="preserve"> IF($E19&lt;&gt;0, INDEX(十五音韻母對照表, $E19, $I19), IF($F19&lt;&gt;0, INDEX(十五音韻母對照表, $F19, $I19), ""))</f>
        <v>ɛ?</v>
      </c>
    </row>
    <row r="20" spans="2:10" ht="42">
      <c r="B20" s="107">
        <v>13</v>
      </c>
      <c r="C20" s="134" t="s">
        <v>2328</v>
      </c>
      <c r="D20" s="399" t="s">
        <v>450</v>
      </c>
      <c r="E20" s="122">
        <f xml:space="preserve"> IFERROR( MATCH($D20,'十五音-韻母'!$D$5:$D$54,0), 0)</f>
        <v>0</v>
      </c>
      <c r="F20" s="122">
        <f>IF(E20&lt;&gt;0,"",(IFERROR(MATCH($D20,'十五音-韻母'!$E$5:$E$54,0),0)))</f>
        <v>31</v>
      </c>
      <c r="G20" s="122">
        <f t="shared" si="0"/>
        <v>14</v>
      </c>
      <c r="H20" s="399" t="str" cm="1">
        <f t="array" ref="H20" xml:space="preserve"> IF(E20&lt;&gt;0, INDEX(十五音韻母對照表, E20, $G20), IF(G20&lt;&gt;0, INDEX(十五音韻母對照表, F20, $G20), ""))</f>
        <v>ㆥㆷ</v>
      </c>
      <c r="I20" s="122">
        <f t="shared" si="1"/>
        <v>6</v>
      </c>
      <c r="J20" s="402" t="str" cm="1">
        <f t="array" ref="J20" xml:space="preserve"> IF($E20&lt;&gt;0, INDEX(十五音韻母對照表, $E20, $I20), IF($F20&lt;&gt;0, INDEX(十五音韻母對照表, $F20, $I20), ""))</f>
        <v>ẽ?</v>
      </c>
    </row>
    <row r="21" spans="2:10" ht="42">
      <c r="B21" s="107">
        <v>14</v>
      </c>
      <c r="C21" s="134" t="s">
        <v>2329</v>
      </c>
      <c r="D21" s="399" t="s">
        <v>307</v>
      </c>
      <c r="E21" s="122">
        <f xml:space="preserve"> IFERROR( MATCH($D21,'十五音-韻母'!$D$5:$D$54,0), 0)</f>
        <v>16</v>
      </c>
      <c r="F21" s="122" t="str">
        <f>IF(E21&lt;&gt;0,"",(IFERROR(MATCH($D21,'十五音-韻母'!$E$5:$E$54,0),0)))</f>
        <v/>
      </c>
      <c r="G21" s="122">
        <f t="shared" si="0"/>
        <v>13</v>
      </c>
      <c r="H21" s="399" t="str" cm="1">
        <f t="array" ref="H21" xml:space="preserve"> IF(E21&lt;&gt;0, INDEX(十五音韻母對照表, E21, $G21), IF(G21&lt;&gt;0, INDEX(十五音韻母對照表, F21, $G21), ""))</f>
        <v>ㄞ</v>
      </c>
      <c r="I21" s="122">
        <f t="shared" si="1"/>
        <v>5</v>
      </c>
      <c r="J21" s="402" t="str" cm="1">
        <f t="array" ref="J21" xml:space="preserve"> IF($E21&lt;&gt;0, INDEX(十五音韻母對照表, $E21, $I21), IF($F21&lt;&gt;0, INDEX(十五音韻母對照表, $F21, $I21), ""))</f>
        <v>ai</v>
      </c>
    </row>
    <row r="22" spans="2:10" ht="42">
      <c r="B22" s="107">
        <v>15</v>
      </c>
      <c r="C22" s="134" t="s">
        <v>2330</v>
      </c>
      <c r="D22" s="399" t="s">
        <v>559</v>
      </c>
      <c r="E22" s="122">
        <f xml:space="preserve"> IFERROR( MATCH($D22,'十五音-韻母'!$D$5:$D$54,0), 0)</f>
        <v>40</v>
      </c>
      <c r="F22" s="122" t="str">
        <f>IF(E22&lt;&gt;0,"",(IFERROR(MATCH($D22,'十五音-韻母'!$E$5:$E$54,0),0)))</f>
        <v/>
      </c>
      <c r="G22" s="122">
        <f t="shared" si="0"/>
        <v>13</v>
      </c>
      <c r="H22" s="399" t="str" cm="1">
        <f t="array" ref="H22" xml:space="preserve"> IF(E22&lt;&gt;0, INDEX(十五音韻母對照表, E22, $G22), IF(G22&lt;&gt;0, INDEX(十五音韻母對照表, F22, $G22), ""))</f>
        <v>ㆮ</v>
      </c>
      <c r="I22" s="122">
        <f t="shared" si="1"/>
        <v>5</v>
      </c>
      <c r="J22" s="402" t="str" cm="1">
        <f t="array" ref="J22" xml:space="preserve"> IF($E22&lt;&gt;0, INDEX(十五音韻母對照表, $E22, $I22), IF($F22&lt;&gt;0, INDEX(十五音韻母對照表, $F22, $I22), ""))</f>
        <v>ãĩ</v>
      </c>
    </row>
    <row r="23" spans="2:10" ht="42">
      <c r="B23" s="107"/>
      <c r="C23" s="135" t="s">
        <v>311</v>
      </c>
      <c r="D23" s="399" t="s">
        <v>311</v>
      </c>
      <c r="E23" s="122">
        <f xml:space="preserve"> IFERROR( MATCH($D23,'十五音-韻母'!$D$5:$D$54,0), 0)</f>
        <v>0</v>
      </c>
      <c r="F23" s="122">
        <f>IF(E23&lt;&gt;0,"",(IFERROR(MATCH($D23,'十五音-韻母'!$E$5:$E$54,0),0)))</f>
        <v>16</v>
      </c>
      <c r="G23" s="122">
        <f t="shared" si="0"/>
        <v>14</v>
      </c>
      <c r="H23" s="399" t="str" cm="1">
        <f t="array" ref="H23" xml:space="preserve"> IF(E23&lt;&gt;0, INDEX(十五音韻母對照表, E23, $G23), IF(G23&lt;&gt;0, INDEX(十五音韻母對照表, F23, $G23), ""))</f>
        <v>ㄞㆷ</v>
      </c>
      <c r="I23" s="122">
        <f t="shared" si="1"/>
        <v>6</v>
      </c>
      <c r="J23" s="402" t="str" cm="1">
        <f t="array" ref="J23" xml:space="preserve"> IF($E23&lt;&gt;0, INDEX(十五音韻母對照表, $E23, $I23), IF($F23&lt;&gt;0, INDEX(十五音韻母對照表, $F23, $I23), ""))</f>
        <v>ai?</v>
      </c>
    </row>
    <row r="24" spans="2:10" ht="42">
      <c r="B24" s="107">
        <v>16</v>
      </c>
      <c r="C24" s="135" t="s">
        <v>566</v>
      </c>
      <c r="D24" s="399" t="s">
        <v>3618</v>
      </c>
      <c r="E24" s="122">
        <f xml:space="preserve"> IFERROR( MATCH($D24,'十五音-韻母'!$D$5:$D$54,0), 0)</f>
        <v>0</v>
      </c>
      <c r="F24" s="122">
        <f>IF(E24&lt;&gt;0,"",(IFERROR(MATCH($D24,'十五音-韻母'!$E$5:$E$54,0),0)))</f>
        <v>40</v>
      </c>
      <c r="G24" s="122">
        <f t="shared" si="0"/>
        <v>14</v>
      </c>
      <c r="H24" s="399" t="str" cm="1">
        <f t="array" ref="H24" xml:space="preserve"> IF(E24&lt;&gt;0, INDEX(十五音韻母對照表, E24, $G24), IF(G24&lt;&gt;0, INDEX(十五音韻母對照表, F24, $G24), ""))</f>
        <v>ㆮㆷ</v>
      </c>
      <c r="I24" s="122">
        <f t="shared" si="1"/>
        <v>6</v>
      </c>
      <c r="J24" s="402" t="str" cm="1">
        <f t="array" ref="J24" xml:space="preserve"> IF($E24&lt;&gt;0, INDEX(十五音韻母對照表, $E24, $I24), IF($F24&lt;&gt;0, INDEX(十五音韻母對照表, $F24, $I24), ""))</f>
        <v>ãĩ?</v>
      </c>
    </row>
    <row r="25" spans="2:10" ht="42">
      <c r="B25" s="107">
        <v>17</v>
      </c>
      <c r="C25" s="134" t="s">
        <v>2331</v>
      </c>
      <c r="D25" s="399" t="s">
        <v>368</v>
      </c>
      <c r="E25" s="122">
        <f xml:space="preserve"> IFERROR( MATCH($D25,'十五音-韻母'!$D$5:$D$54,0), 0)</f>
        <v>23</v>
      </c>
      <c r="F25" s="122" t="str">
        <f>IF(E25&lt;&gt;0,"",(IFERROR(MATCH($D25,'十五音-韻母'!$E$5:$E$54,0),0)))</f>
        <v/>
      </c>
      <c r="G25" s="122">
        <f t="shared" si="0"/>
        <v>13</v>
      </c>
      <c r="H25" s="399" t="str" cm="1">
        <f t="array" ref="H25" xml:space="preserve"> IF(E25&lt;&gt;0, INDEX(十五音韻母對照表, E25, $G25), IF(G25&lt;&gt;0, INDEX(十五音韻母對照表, F25, $G25), ""))</f>
        <v>ㄠ</v>
      </c>
      <c r="I25" s="122">
        <f t="shared" si="1"/>
        <v>5</v>
      </c>
      <c r="J25" s="402" t="str" cm="1">
        <f t="array" ref="J25" xml:space="preserve"> IF($E25&lt;&gt;0, INDEX(十五音韻母對照表, $E25, $I25), IF($F25&lt;&gt;0, INDEX(十五音韻母對照表, $F25, $I25), ""))</f>
        <v>aʊ</v>
      </c>
    </row>
    <row r="26" spans="2:10" ht="42">
      <c r="B26" s="107">
        <v>19</v>
      </c>
      <c r="C26" s="134" t="s">
        <v>2333</v>
      </c>
      <c r="D26" s="399" t="s">
        <v>369</v>
      </c>
      <c r="E26" s="122">
        <f xml:space="preserve"> IFERROR( MATCH($D26,'十五音-韻母'!$D$5:$D$54,0), 0)</f>
        <v>0</v>
      </c>
      <c r="F26" s="122">
        <f>IF(E26&lt;&gt;0,"",(IFERROR(MATCH($D26,'十五音-韻母'!$E$5:$E$54,0),0)))</f>
        <v>23</v>
      </c>
      <c r="G26" s="122">
        <f t="shared" si="0"/>
        <v>14</v>
      </c>
      <c r="H26" s="399" t="str" cm="1">
        <f t="array" ref="H26" xml:space="preserve"> IF(E26&lt;&gt;0, INDEX(十五音韻母對照表, E26, $G26), IF(G26&lt;&gt;0, INDEX(十五音韻母對照表, F26, $G26), ""))</f>
        <v>ㄠㆷ</v>
      </c>
      <c r="I26" s="122">
        <f t="shared" si="1"/>
        <v>6</v>
      </c>
      <c r="J26" s="402" t="str" cm="1">
        <f t="array" ref="J26" xml:space="preserve"> IF($E26&lt;&gt;0, INDEX(十五音韻母對照表, $E26, $I26), IF($F26&lt;&gt;0, INDEX(十五音韻母對照表, $F26, $I26), ""))</f>
        <v>au?</v>
      </c>
    </row>
    <row r="27" spans="2:10" ht="42">
      <c r="B27" s="107">
        <v>18</v>
      </c>
      <c r="C27" s="135" t="s">
        <v>2332</v>
      </c>
      <c r="D27" s="399" t="s">
        <v>2054</v>
      </c>
      <c r="E27" s="122">
        <f xml:space="preserve"> IFERROR( MATCH($D27,'十五音-韻母'!$D$5:$D$54,0), 0)</f>
        <v>48</v>
      </c>
      <c r="F27" s="122" t="str">
        <f>IF(E27&lt;&gt;0,"",(IFERROR(MATCH($D27,'十五音-韻母'!$E$5:$E$54,0),0)))</f>
        <v/>
      </c>
      <c r="G27" s="122">
        <f t="shared" si="0"/>
        <v>13</v>
      </c>
      <c r="H27" s="399" t="str" cm="1">
        <f t="array" ref="H27" xml:space="preserve"> IF(E27&lt;&gt;0, INDEX(十五音韻母對照表, E27, $G27), IF(G27&lt;&gt;0, INDEX(十五音韻母對照表, F27, $G27), ""))</f>
        <v>ㆯ</v>
      </c>
      <c r="I27" s="122">
        <f t="shared" si="1"/>
        <v>5</v>
      </c>
      <c r="J27" s="402" t="str" cm="1">
        <f t="array" ref="J27" xml:space="preserve"> IF($E27&lt;&gt;0, INDEX(十五音韻母對照表, $E27, $I27), IF($F27&lt;&gt;0, INDEX(十五音韻母對照表, $F27, $I27), ""))</f>
        <v>ãũ</v>
      </c>
    </row>
    <row r="28" spans="2:10" ht="42">
      <c r="B28" s="107">
        <v>20</v>
      </c>
      <c r="C28" s="135" t="s">
        <v>664</v>
      </c>
      <c r="D28" s="399" t="s">
        <v>3619</v>
      </c>
      <c r="E28" s="122">
        <f xml:space="preserve"> IFERROR( MATCH($D28,'十五音-韻母'!$D$5:$D$54,0), 0)</f>
        <v>0</v>
      </c>
      <c r="F28" s="122">
        <f>IF(E28&lt;&gt;0,"",(IFERROR(MATCH($D28,'十五音-韻母'!$E$5:$E$54,0),0)))</f>
        <v>48</v>
      </c>
      <c r="G28" s="122">
        <f t="shared" si="0"/>
        <v>14</v>
      </c>
      <c r="H28" s="399" t="str" cm="1">
        <f t="array" ref="H28" xml:space="preserve"> IF(E28&lt;&gt;0, INDEX(十五音韻母對照表, E28, $G28), IF(G28&lt;&gt;0, INDEX(十五音韻母對照表, F28, $G28), ""))</f>
        <v>ㆯㆷ</v>
      </c>
      <c r="I28" s="122">
        <f t="shared" si="1"/>
        <v>6</v>
      </c>
      <c r="J28" s="402" t="str" cm="1">
        <f t="array" ref="J28" xml:space="preserve"> IF($E28&lt;&gt;0, INDEX(十五音韻母對照表, $E28, $I28), IF($F28&lt;&gt;0, INDEX(十五音韻母對照表, $F28, $I28), ""))</f>
        <v>ãũ?</v>
      </c>
    </row>
    <row r="29" spans="2:10" ht="42">
      <c r="B29" s="107">
        <v>21</v>
      </c>
      <c r="C29" s="134" t="s">
        <v>40</v>
      </c>
      <c r="D29" s="399" t="s">
        <v>64</v>
      </c>
      <c r="E29" s="122">
        <f xml:space="preserve"> IFERROR( MATCH($D29,'十五音-韻母'!$D$5:$D$54,0), 0)</f>
        <v>42</v>
      </c>
      <c r="F29" s="122" t="str">
        <f>IF(E29&lt;&gt;0,"",(IFERROR(MATCH($D29,'十五音-韻母'!$E$5:$E$54,0),0)))</f>
        <v/>
      </c>
      <c r="G29" s="122">
        <f t="shared" si="0"/>
        <v>13</v>
      </c>
      <c r="H29" s="399" t="str" cm="1">
        <f t="array" ref="H29" xml:space="preserve"> IF(E29&lt;&gt;0, INDEX(十五音韻母對照表, E29, $G29), IF(G29&lt;&gt;0, INDEX(十五音韻母對照表, F29, $G29), ""))</f>
        <v>ㆬ</v>
      </c>
      <c r="I29" s="122">
        <f t="shared" si="1"/>
        <v>5</v>
      </c>
      <c r="J29" s="402" t="str" cm="1">
        <f t="array" ref="J29" xml:space="preserve"> IF($E29&lt;&gt;0, INDEX(十五音韻母對照表, $E29, $I29), IF($F29&lt;&gt;0, INDEX(十五音韻母對照表, $F29, $I29), ""))</f>
        <v>m̩</v>
      </c>
    </row>
    <row r="30" spans="2:10" ht="42">
      <c r="B30" s="107">
        <v>22</v>
      </c>
      <c r="C30" s="134" t="s">
        <v>591</v>
      </c>
      <c r="D30" s="399" t="s">
        <v>588</v>
      </c>
      <c r="E30" s="122">
        <f xml:space="preserve"> IFERROR( MATCH($D30,'十五音-韻母'!$D$5:$D$54,0), 0)</f>
        <v>0</v>
      </c>
      <c r="F30" s="122">
        <f>IF(E30&lt;&gt;0,"",(IFERROR(MATCH($D30,'十五音-韻母'!$E$5:$E$54,0),0)))</f>
        <v>42</v>
      </c>
      <c r="G30" s="122">
        <f t="shared" si="0"/>
        <v>14</v>
      </c>
      <c r="H30" s="399" t="str" cm="1">
        <f t="array" ref="H30" xml:space="preserve"> IF(E30&lt;&gt;0, INDEX(十五音韻母對照表, E30, $G30), IF(G30&lt;&gt;0, INDEX(十五音韻母對照表, F30, $G30), ""))</f>
        <v>ㆬㆷ</v>
      </c>
      <c r="I30" s="122">
        <f t="shared" si="1"/>
        <v>6</v>
      </c>
      <c r="J30" s="402" t="str" cm="1">
        <f t="array" ref="J30" xml:space="preserve"> IF($E30&lt;&gt;0, INDEX(十五音韻母對照表, $E30, $I30), IF($F30&lt;&gt;0, INDEX(十五音韻母對照表, $F30, $I30), ""))</f>
        <v>m̩h</v>
      </c>
    </row>
    <row r="31" spans="2:10" ht="42">
      <c r="B31" s="107">
        <v>23</v>
      </c>
      <c r="C31" s="134" t="s">
        <v>2334</v>
      </c>
      <c r="D31" s="399" t="s">
        <v>334</v>
      </c>
      <c r="E31" s="122">
        <f xml:space="preserve"> IFERROR( MATCH($D31,'十五音-韻母'!$D$5:$D$54,0), 0)</f>
        <v>19</v>
      </c>
      <c r="F31" s="122" t="str">
        <f>IF(E31&lt;&gt;0,"",(IFERROR(MATCH($D31,'十五音-韻母'!$E$5:$E$54,0),0)))</f>
        <v/>
      </c>
      <c r="G31" s="122">
        <f t="shared" si="0"/>
        <v>13</v>
      </c>
      <c r="H31" s="399" t="str" cm="1">
        <f t="array" ref="H31" xml:space="preserve"> IF(E31&lt;&gt;0, INDEX(十五音韻母對照表, E31, $G31), IF(G31&lt;&gt;0, INDEX(十五音韻母對照表, F31, $G31), ""))</f>
        <v>ㆰ</v>
      </c>
      <c r="I31" s="122">
        <f t="shared" si="1"/>
        <v>5</v>
      </c>
      <c r="J31" s="402" t="str" cm="1">
        <f t="array" ref="J31" xml:space="preserve"> IF($E31&lt;&gt;0, INDEX(十五音韻母對照表, $E31, $I31), IF($F31&lt;&gt;0, INDEX(十五音韻母對照表, $F31, $I31), ""))</f>
        <v>am</v>
      </c>
    </row>
    <row r="32" spans="2:10" ht="42">
      <c r="B32" s="107">
        <v>24</v>
      </c>
      <c r="C32" s="134" t="s">
        <v>206</v>
      </c>
      <c r="D32" s="399" t="s">
        <v>203</v>
      </c>
      <c r="E32" s="122">
        <f xml:space="preserve"> IFERROR( MATCH($D32,'十五音-韻母'!$D$5:$D$54,0), 0)</f>
        <v>0</v>
      </c>
      <c r="F32" s="122">
        <f>IF(E32&lt;&gt;0,"",(IFERROR(MATCH($D32,'十五音-韻母'!$E$5:$E$54,0),0)))</f>
        <v>6</v>
      </c>
      <c r="G32" s="122">
        <f t="shared" si="0"/>
        <v>14</v>
      </c>
      <c r="H32" s="399" t="str" cm="1">
        <f t="array" ref="H32" xml:space="preserve"> IF(E32&lt;&gt;0, INDEX(十五音韻母對照表, E32, $G32), IF(G32&lt;&gt;0, INDEX(十五音韻母對照表, F32, $G32), ""))</f>
        <v>ㄚㆵ</v>
      </c>
      <c r="I32" s="122">
        <f t="shared" si="1"/>
        <v>6</v>
      </c>
      <c r="J32" s="402" t="str" cm="1">
        <f t="array" ref="J32" xml:space="preserve"> IF($E32&lt;&gt;0, INDEX(十五音韻母對照表, $E32, $I32), IF($F32&lt;&gt;0, INDEX(十五音韻母對照表, $F32, $I32), ""))</f>
        <v>at̚</v>
      </c>
    </row>
    <row r="33" spans="2:10" ht="42">
      <c r="B33" s="107">
        <v>25</v>
      </c>
      <c r="C33" s="134" t="s">
        <v>1649</v>
      </c>
      <c r="D33" s="399" t="s">
        <v>202</v>
      </c>
      <c r="E33" s="122">
        <f xml:space="preserve"> IFERROR( MATCH($D33,'十五音-韻母'!$D$5:$D$54,0), 0)</f>
        <v>6</v>
      </c>
      <c r="F33" s="122" t="str">
        <f>IF(E33&lt;&gt;0,"",(IFERROR(MATCH($D33,'十五音-韻母'!$E$5:$E$54,0),0)))</f>
        <v/>
      </c>
      <c r="G33" s="122">
        <f t="shared" si="0"/>
        <v>13</v>
      </c>
      <c r="H33" s="399" t="str" cm="1">
        <f t="array" ref="H33" xml:space="preserve"> IF(E33&lt;&gt;0, INDEX(十五音韻母對照表, E33, $G33), IF(G33&lt;&gt;0, INDEX(十五音韻母對照表, F33, $G33), ""))</f>
        <v>ㄢ</v>
      </c>
      <c r="I33" s="122">
        <f t="shared" si="1"/>
        <v>5</v>
      </c>
      <c r="J33" s="402" t="str" cm="1">
        <f t="array" ref="J33" xml:space="preserve"> IF($E33&lt;&gt;0, INDEX(十五音韻母對照表, $E33, $I33), IF($F33&lt;&gt;0, INDEX(十五音韻母對照表, $F33, $I33), ""))</f>
        <v>an</v>
      </c>
    </row>
    <row r="34" spans="2:10" ht="42">
      <c r="B34" s="107">
        <v>26</v>
      </c>
      <c r="C34" s="134" t="s">
        <v>2335</v>
      </c>
      <c r="D34" s="399" t="s">
        <v>203</v>
      </c>
      <c r="E34" s="122">
        <f xml:space="preserve"> IFERROR( MATCH($D34,'十五音-韻母'!$D$5:$D$54,0), 0)</f>
        <v>0</v>
      </c>
      <c r="F34" s="122">
        <f>IF(E34&lt;&gt;0,"",(IFERROR(MATCH($D34,'十五音-韻母'!$E$5:$E$54,0),0)))</f>
        <v>6</v>
      </c>
      <c r="G34" s="122">
        <f t="shared" si="0"/>
        <v>14</v>
      </c>
      <c r="H34" s="399" t="str" cm="1">
        <f t="array" ref="H34" xml:space="preserve"> IF(E34&lt;&gt;0, INDEX(十五音韻母對照表, E34, $G34), IF(G34&lt;&gt;0, INDEX(十五音韻母對照表, F34, $G34), ""))</f>
        <v>ㄚㆵ</v>
      </c>
      <c r="I34" s="122">
        <f t="shared" si="1"/>
        <v>6</v>
      </c>
      <c r="J34" s="402" t="str" cm="1">
        <f t="array" ref="J34" xml:space="preserve"> IF($E34&lt;&gt;0, INDEX(十五音韻母對照表, $E34, $I34), IF($F34&lt;&gt;0, INDEX(十五音韻母對照表, $F34, $I34), ""))</f>
        <v>at̚</v>
      </c>
    </row>
    <row r="35" spans="2:10" ht="42">
      <c r="B35" s="107">
        <v>27</v>
      </c>
      <c r="C35" s="134" t="s">
        <v>92</v>
      </c>
      <c r="D35" s="399" t="s">
        <v>79</v>
      </c>
      <c r="E35" s="122">
        <f xml:space="preserve"> IFERROR( MATCH($D35,'十五音-韻母'!$D$5:$D$54,0), 0)</f>
        <v>38</v>
      </c>
      <c r="F35" s="122" t="str">
        <f>IF(E35&lt;&gt;0,"",(IFERROR(MATCH($D35,'十五音-韻母'!$E$5:$E$54,0),0)))</f>
        <v/>
      </c>
      <c r="G35" s="122">
        <f t="shared" si="0"/>
        <v>13</v>
      </c>
      <c r="H35" s="399" t="str" cm="1">
        <f t="array" ref="H35" xml:space="preserve"> IF(E35&lt;&gt;0, INDEX(十五音韻母對照表, E35, $G35), IF(G35&lt;&gt;0, INDEX(十五音韻母對照表, F35, $G35), ""))</f>
        <v>ㆭ</v>
      </c>
      <c r="I35" s="122">
        <f t="shared" si="1"/>
        <v>5</v>
      </c>
      <c r="J35" s="402" t="str" cm="1">
        <f t="array" ref="J35" xml:space="preserve"> IF($E35&lt;&gt;0, INDEX(十五音韻母對照表, $E35, $I35), IF($F35&lt;&gt;0, INDEX(十五音韻母對照表, $F35, $I35), ""))</f>
        <v>ŋ̍</v>
      </c>
    </row>
    <row r="36" spans="2:10" ht="42">
      <c r="B36" s="107">
        <v>28</v>
      </c>
      <c r="C36" s="134" t="s">
        <v>548</v>
      </c>
      <c r="D36" s="399" t="s">
        <v>545</v>
      </c>
      <c r="E36" s="122">
        <f xml:space="preserve"> IFERROR( MATCH($D36,'十五音-韻母'!$D$5:$D$54,0), 0)</f>
        <v>0</v>
      </c>
      <c r="F36" s="122">
        <f>IF(E36&lt;&gt;0,"",(IFERROR(MATCH($D36,'十五音-韻母'!$E$5:$E$54,0),0)))</f>
        <v>38</v>
      </c>
      <c r="G36" s="122">
        <f t="shared" si="0"/>
        <v>14</v>
      </c>
      <c r="H36" s="399" t="str" cm="1">
        <f t="array" ref="H36" xml:space="preserve"> IF(E36&lt;&gt;0, INDEX(十五音韻母對照表, E36, $G36), IF(G36&lt;&gt;0, INDEX(十五音韻母對照表, F36, $G36), ""))</f>
        <v>ㆭㆷ</v>
      </c>
      <c r="I36" s="122">
        <f t="shared" si="1"/>
        <v>6</v>
      </c>
      <c r="J36" s="402" t="str" cm="1">
        <f t="array" ref="J36" xml:space="preserve"> IF($E36&lt;&gt;0, INDEX(十五音韻母對照表, $E36, $I36), IF($F36&lt;&gt;0, INDEX(十五音韻母對照表, $F36, $I36), ""))</f>
        <v>ŋ̍h</v>
      </c>
    </row>
    <row r="37" spans="2:10" ht="42">
      <c r="B37" s="107">
        <v>29</v>
      </c>
      <c r="C37" s="134" t="s">
        <v>2336</v>
      </c>
      <c r="D37" s="399" t="s">
        <v>351</v>
      </c>
      <c r="E37" s="122">
        <f xml:space="preserve"> IFERROR( MATCH($D37,'十五音-韻母'!$D$5:$D$54,0), 0)</f>
        <v>21</v>
      </c>
      <c r="F37" s="122" t="str">
        <f>IF(E37&lt;&gt;0,"",(IFERROR(MATCH($D37,'十五音-韻母'!$E$5:$E$54,0),0)))</f>
        <v/>
      </c>
      <c r="G37" s="122">
        <f t="shared" si="0"/>
        <v>13</v>
      </c>
      <c r="H37" s="399" t="str" cm="1">
        <f t="array" ref="H37" xml:space="preserve"> IF(E37&lt;&gt;0, INDEX(十五音韻母對照表, E37, $G37), IF(G37&lt;&gt;0, INDEX(十五音韻母對照表, F37, $G37), ""))</f>
        <v>ㄤ</v>
      </c>
      <c r="I37" s="122">
        <f t="shared" si="1"/>
        <v>5</v>
      </c>
      <c r="J37" s="402" t="str" cm="1">
        <f t="array" ref="J37" xml:space="preserve"> IF($E37&lt;&gt;0, INDEX(十五音韻母對照表, $E37, $I37), IF($F37&lt;&gt;0, INDEX(十五音韻母對照表, $F37, $I37), ""))</f>
        <v>aŋ</v>
      </c>
    </row>
    <row r="38" spans="2:10" ht="42">
      <c r="B38" s="107">
        <v>30</v>
      </c>
      <c r="C38" s="134" t="s">
        <v>2337</v>
      </c>
      <c r="D38" s="399" t="s">
        <v>352</v>
      </c>
      <c r="E38" s="122">
        <f xml:space="preserve"> IFERROR( MATCH($D38,'十五音-韻母'!$D$5:$D$54,0), 0)</f>
        <v>0</v>
      </c>
      <c r="F38" s="122">
        <f>IF(E38&lt;&gt;0,"",(IFERROR(MATCH($D38,'十五音-韻母'!$E$5:$E$54,0),0)))</f>
        <v>21</v>
      </c>
      <c r="G38" s="122">
        <f t="shared" si="0"/>
        <v>14</v>
      </c>
      <c r="H38" s="399" t="str" cm="1">
        <f t="array" ref="H38" xml:space="preserve"> IF(E38&lt;&gt;0, INDEX(十五音韻母對照表, E38, $G38), IF(G38&lt;&gt;0, INDEX(十五音韻母對照表, F38, $G38), ""))</f>
        <v>ㄚㆻ</v>
      </c>
      <c r="I38" s="122">
        <f t="shared" si="1"/>
        <v>6</v>
      </c>
      <c r="J38" s="402" t="str" cm="1">
        <f t="array" ref="J38" xml:space="preserve"> IF($E38&lt;&gt;0, INDEX(十五音韻母對照表, $E38, $I38), IF($F38&lt;&gt;0, INDEX(十五音韻母對照表, $F38, $I38), ""))</f>
        <v>ak̚</v>
      </c>
    </row>
    <row r="39" spans="2:10" ht="42">
      <c r="B39" s="107">
        <v>31</v>
      </c>
      <c r="C39" s="134" t="s">
        <v>1647</v>
      </c>
      <c r="D39" s="399" t="s">
        <v>211</v>
      </c>
      <c r="E39" s="122">
        <f xml:space="preserve"> IFERROR( MATCH($D39,'十五音-韻母'!$D$5:$D$54,0), 0)</f>
        <v>7</v>
      </c>
      <c r="F39" s="122" t="str">
        <f>IF(E39&lt;&gt;0,"",(IFERROR(MATCH($D39,'十五音-韻母'!$E$5:$E$54,0),0)))</f>
        <v/>
      </c>
      <c r="G39" s="122">
        <f t="shared" si="0"/>
        <v>13</v>
      </c>
      <c r="H39" s="399" t="str" cm="1">
        <f t="array" ref="H39" xml:space="preserve"> IF(E39&lt;&gt;0, INDEX(十五音韻母對照表, E39, $G39), IF(G39&lt;&gt;0, INDEX(十五音韻母對照表, F39, $G39), ""))</f>
        <v>ㆲ</v>
      </c>
      <c r="I39" s="122">
        <f t="shared" si="1"/>
        <v>5</v>
      </c>
      <c r="J39" s="402" t="str" cm="1">
        <f t="array" ref="J39" xml:space="preserve"> IF($E39&lt;&gt;0, INDEX(十五音韻母對照表, $E39, $I39), IF($F39&lt;&gt;0, INDEX(十五音韻母對照表, $F39, $I39), ""))</f>
        <v>ɔŋ</v>
      </c>
    </row>
    <row r="40" spans="2:10" ht="42">
      <c r="B40" s="107">
        <v>32</v>
      </c>
      <c r="C40" s="134" t="s">
        <v>2338</v>
      </c>
      <c r="D40" s="399" t="s">
        <v>212</v>
      </c>
      <c r="E40" s="122">
        <f xml:space="preserve"> IFERROR( MATCH($D40,'十五音-韻母'!$D$5:$D$54,0), 0)</f>
        <v>0</v>
      </c>
      <c r="F40" s="122">
        <f>IF(E40&lt;&gt;0,"",(IFERROR(MATCH($D40,'十五音-韻母'!$E$5:$E$54,0),0)))</f>
        <v>7</v>
      </c>
      <c r="G40" s="122">
        <f t="shared" si="0"/>
        <v>14</v>
      </c>
      <c r="H40" s="399" t="str" cm="1">
        <f t="array" ref="H40" xml:space="preserve"> IF(E40&lt;&gt;0, INDEX(十五音韻母對照表, E40, $G40), IF(G40&lt;&gt;0, INDEX(十五音韻母對照表, F40, $G40), ""))</f>
        <v>ㆦㆻ</v>
      </c>
      <c r="I40" s="122">
        <f t="shared" si="1"/>
        <v>6</v>
      </c>
      <c r="J40" s="402" t="str" cm="1">
        <f t="array" ref="J40" xml:space="preserve"> IF($E40&lt;&gt;0, INDEX(十五音韻母對照表, $E40, $I40), IF($F40&lt;&gt;0, INDEX(十五音韻母對照表, $F40, $I40), ""))</f>
        <v>ɔk̚</v>
      </c>
    </row>
    <row r="41" spans="2:10" ht="42">
      <c r="B41" s="107">
        <v>33</v>
      </c>
      <c r="C41" s="134" t="s">
        <v>1617</v>
      </c>
      <c r="D41" s="399" t="s">
        <v>432</v>
      </c>
      <c r="E41" s="122">
        <f xml:space="preserve"> IFERROR( MATCH($D41,'十五音-韻母'!$D$5:$D$54,0), 0)</f>
        <v>29</v>
      </c>
      <c r="F41" s="122" t="str">
        <f>IF(E41&lt;&gt;0,"",(IFERROR(MATCH($D41,'十五音-韻母'!$E$5:$E$54,0),0)))</f>
        <v/>
      </c>
      <c r="G41" s="122">
        <f t="shared" si="0"/>
        <v>13</v>
      </c>
      <c r="H41" s="399" t="str" cm="1">
        <f t="array" ref="H41" xml:space="preserve"> IF(E41&lt;&gt;0, INDEX(十五音韻母對照表, E41, $G41), IF(G41&lt;&gt;0, INDEX(十五音韻母對照表, F41, $G41), ""))</f>
        <v>ㄧ</v>
      </c>
      <c r="I41" s="122">
        <f t="shared" si="1"/>
        <v>5</v>
      </c>
      <c r="J41" s="402" t="str" cm="1">
        <f t="array" ref="J41" xml:space="preserve"> IF($E41&lt;&gt;0, INDEX(十五音韻母對照表, $E41, $I41), IF($F41&lt;&gt;0, INDEX(十五音韻母對照表, $F41, $I41), ""))</f>
        <v>i</v>
      </c>
    </row>
    <row r="42" spans="2:10" ht="42">
      <c r="B42" s="107">
        <v>34</v>
      </c>
      <c r="C42" s="134" t="s">
        <v>2339</v>
      </c>
      <c r="D42" s="399" t="s">
        <v>490</v>
      </c>
      <c r="E42" s="122">
        <f xml:space="preserve"> IFERROR( MATCH($D42,'十五音-韻母'!$D$5:$D$54,0), 0)</f>
        <v>34</v>
      </c>
      <c r="F42" s="122" t="str">
        <f>IF(E42&lt;&gt;0,"",(IFERROR(MATCH($D42,'十五音-韻母'!$E$5:$E$54,0),0)))</f>
        <v/>
      </c>
      <c r="G42" s="122">
        <f t="shared" si="0"/>
        <v>13</v>
      </c>
      <c r="H42" s="399" t="str" cm="1">
        <f t="array" ref="H42" xml:space="preserve"> IF(E42&lt;&gt;0, INDEX(十五音韻母對照表, E42, $G42), IF(G42&lt;&gt;0, INDEX(十五音韻母對照表, F42, $G42), ""))</f>
        <v>ㆪ</v>
      </c>
      <c r="I42" s="122">
        <f t="shared" si="1"/>
        <v>5</v>
      </c>
      <c r="J42" s="402" t="str" cm="1">
        <f t="array" ref="J42" xml:space="preserve"> IF($E42&lt;&gt;0, INDEX(十五音韻母對照表, $E42, $I42), IF($F42&lt;&gt;0, INDEX(十五音韻母對照表, $F42, $I42), ""))</f>
        <v>ĩ</v>
      </c>
    </row>
    <row r="43" spans="2:10" ht="42">
      <c r="B43" s="107">
        <v>35</v>
      </c>
      <c r="C43" s="134" t="s">
        <v>2340</v>
      </c>
      <c r="D43" s="399" t="s">
        <v>433</v>
      </c>
      <c r="E43" s="122">
        <f xml:space="preserve"> IFERROR( MATCH($D43,'十五音-韻母'!$D$5:$D$54,0), 0)</f>
        <v>0</v>
      </c>
      <c r="F43" s="122">
        <f>IF(E43&lt;&gt;0,"",(IFERROR(MATCH($D43,'十五音-韻母'!$E$5:$E$54,0),0)))</f>
        <v>29</v>
      </c>
      <c r="G43" s="122">
        <f t="shared" si="0"/>
        <v>14</v>
      </c>
      <c r="H43" s="399" t="str" cm="1">
        <f t="array" ref="H43" xml:space="preserve"> IF(E43&lt;&gt;0, INDEX(十五音韻母對照表, E43, $G43), IF(G43&lt;&gt;0, INDEX(十五音韻母對照表, F43, $G43), ""))</f>
        <v>ㄧㆷ</v>
      </c>
      <c r="I43" s="122">
        <f t="shared" si="1"/>
        <v>6</v>
      </c>
      <c r="J43" s="402" t="str" cm="1">
        <f t="array" ref="J43" xml:space="preserve"> IF($E43&lt;&gt;0, INDEX(十五音韻母對照表, $E43, $I43), IF($F43&lt;&gt;0, INDEX(十五音韻母對照表, $F43, $I43), ""))</f>
        <v>i?</v>
      </c>
    </row>
    <row r="44" spans="2:10" ht="42">
      <c r="B44" s="107">
        <v>36</v>
      </c>
      <c r="C44" s="135" t="s">
        <v>2341</v>
      </c>
      <c r="D44" s="399" t="s">
        <v>3620</v>
      </c>
      <c r="E44" s="122">
        <f xml:space="preserve"> IFERROR( MATCH($D44,'十五音-韻母'!$D$5:$D$54,0), 0)</f>
        <v>0</v>
      </c>
      <c r="F44" s="122">
        <f>IF(E44&lt;&gt;0,"",(IFERROR(MATCH($D44,'十五音-韻母'!$E$5:$E$54,0),0)))</f>
        <v>34</v>
      </c>
      <c r="G44" s="122">
        <f t="shared" si="0"/>
        <v>14</v>
      </c>
      <c r="H44" s="399" t="str" cm="1">
        <f t="array" ref="H44" xml:space="preserve"> IF(E44&lt;&gt;0, INDEX(十五音韻母對照表, E44, $G44), IF(G44&lt;&gt;0, INDEX(十五音韻母對照表, F44, $G44), ""))</f>
        <v>ㆪ</v>
      </c>
      <c r="I44" s="122">
        <f t="shared" si="1"/>
        <v>6</v>
      </c>
      <c r="J44" s="402" t="str" cm="1">
        <f t="array" ref="J44" xml:space="preserve"> IF($E44&lt;&gt;0, INDEX(十五音韻母對照表, $E44, $I44), IF($F44&lt;&gt;0, INDEX(十五音韻母對照表, $F44, $I44), ""))</f>
        <v>ĩ?</v>
      </c>
    </row>
    <row r="45" spans="2:10" ht="42">
      <c r="B45" s="107">
        <v>37</v>
      </c>
      <c r="C45" s="134" t="s">
        <v>2342</v>
      </c>
      <c r="D45" s="399" t="s">
        <v>379</v>
      </c>
      <c r="E45" s="122">
        <f xml:space="preserve"> IFERROR( MATCH($D45,'十五音-韻母'!$D$5:$D$54,0), 0)</f>
        <v>24</v>
      </c>
      <c r="F45" s="122" t="str">
        <f>IF(E45&lt;&gt;0,"",(IFERROR(MATCH($D45,'十五音-韻母'!$E$5:$E$54,0),0)))</f>
        <v/>
      </c>
      <c r="G45" s="122">
        <f t="shared" si="0"/>
        <v>13</v>
      </c>
      <c r="H45" s="399" t="str" cm="1">
        <f t="array" ref="H45" xml:space="preserve"> IF(E45&lt;&gt;0, INDEX(十五音韻母對照表, E45, $G45), IF(G45&lt;&gt;0, INDEX(十五音韻母對照表, F45, $G45), ""))</f>
        <v>ㄧㄚ</v>
      </c>
      <c r="I45" s="122">
        <f t="shared" si="1"/>
        <v>5</v>
      </c>
      <c r="J45" s="402" t="str" cm="1">
        <f t="array" ref="J45" xml:space="preserve"> IF($E45&lt;&gt;0, INDEX(十五音韻母對照表, $E45, $I45), IF($F45&lt;&gt;0, INDEX(十五音韻母對照表, $F45, $I45), ""))</f>
        <v>ia</v>
      </c>
    </row>
    <row r="46" spans="2:10" ht="42">
      <c r="B46" s="107">
        <v>38</v>
      </c>
      <c r="C46" s="134" t="s">
        <v>2343</v>
      </c>
      <c r="D46" s="399" t="s">
        <v>519</v>
      </c>
      <c r="E46" s="122">
        <f xml:space="preserve"> IFERROR( MATCH($D46,'十五音-韻母'!$D$5:$D$54,0), 0)</f>
        <v>36</v>
      </c>
      <c r="F46" s="122" t="str">
        <f>IF(E46&lt;&gt;0,"",(IFERROR(MATCH($D46,'十五音-韻母'!$E$5:$E$54,0),0)))</f>
        <v/>
      </c>
      <c r="G46" s="122">
        <f t="shared" si="0"/>
        <v>13</v>
      </c>
      <c r="H46" s="399" t="str" cm="1">
        <f t="array" ref="H46" xml:space="preserve"> IF(E46&lt;&gt;0, INDEX(十五音韻母對照表, E46, $G46), IF(G46&lt;&gt;0, INDEX(十五音韻母對照表, F46, $G46), ""))</f>
        <v>ㄧㆩ</v>
      </c>
      <c r="I46" s="122">
        <f t="shared" si="1"/>
        <v>5</v>
      </c>
      <c r="J46" s="402" t="str" cm="1">
        <f t="array" ref="J46" xml:space="preserve"> IF($E46&lt;&gt;0, INDEX(十五音韻母對照表, $E46, $I46), IF($F46&lt;&gt;0, INDEX(十五音韻母對照表, $F46, $I46), ""))</f>
        <v>ĩã</v>
      </c>
    </row>
    <row r="47" spans="2:10" ht="42">
      <c r="B47" s="107">
        <v>39</v>
      </c>
      <c r="C47" s="134" t="s">
        <v>2344</v>
      </c>
      <c r="D47" s="399" t="s">
        <v>380</v>
      </c>
      <c r="E47" s="122">
        <f xml:space="preserve"> IFERROR( MATCH($D47,'十五音-韻母'!$D$5:$D$54,0), 0)</f>
        <v>0</v>
      </c>
      <c r="F47" s="122">
        <f>IF(E47&lt;&gt;0,"",(IFERROR(MATCH($D47,'十五音-韻母'!$E$5:$E$54,0),0)))</f>
        <v>24</v>
      </c>
      <c r="G47" s="122">
        <f t="shared" si="0"/>
        <v>14</v>
      </c>
      <c r="H47" s="399" t="str" cm="1">
        <f t="array" ref="H47" xml:space="preserve"> IF(E47&lt;&gt;0, INDEX(十五音韻母對照表, E47, $G47), IF(G47&lt;&gt;0, INDEX(十五音韻母對照表, F47, $G47), ""))</f>
        <v>ㄧㄚㆷ</v>
      </c>
      <c r="I47" s="122">
        <f t="shared" si="1"/>
        <v>6</v>
      </c>
      <c r="J47" s="402" t="str" cm="1">
        <f t="array" ref="J47" xml:space="preserve"> IF($E47&lt;&gt;0, INDEX(十五音韻母對照表, $E47, $I47), IF($F47&lt;&gt;0, INDEX(十五音韻母對照表, $F47, $I47), ""))</f>
        <v>ia?</v>
      </c>
    </row>
    <row r="48" spans="2:10" ht="42">
      <c r="B48" s="107">
        <v>40</v>
      </c>
      <c r="C48" s="134" t="s">
        <v>526</v>
      </c>
      <c r="D48" s="399" t="s">
        <v>520</v>
      </c>
      <c r="E48" s="122">
        <f xml:space="preserve"> IFERROR( MATCH($D48,'十五音-韻母'!$D$5:$D$54,0), 0)</f>
        <v>0</v>
      </c>
      <c r="F48" s="122">
        <f>IF(E48&lt;&gt;0,"",(IFERROR(MATCH($D48,'十五音-韻母'!$E$5:$E$54,0),0)))</f>
        <v>36</v>
      </c>
      <c r="G48" s="122">
        <f t="shared" si="0"/>
        <v>14</v>
      </c>
      <c r="H48" s="399" t="str" cm="1">
        <f t="array" ref="H48" xml:space="preserve"> IF(E48&lt;&gt;0, INDEX(十五音韻母對照表, E48, $G48), IF(G48&lt;&gt;0, INDEX(十五音韻母對照表, F48, $G48), ""))</f>
        <v>ㄧㆩㆷ</v>
      </c>
      <c r="I48" s="122">
        <f t="shared" si="1"/>
        <v>6</v>
      </c>
      <c r="J48" s="402" t="str" cm="1">
        <f t="array" ref="J48" xml:space="preserve"> IF($E48&lt;&gt;0, INDEX(十五音韻母對照表, $E48, $I48), IF($F48&lt;&gt;0, INDEX(十五音韻母對照表, $F48, $I48), ""))</f>
        <v>iãh</v>
      </c>
    </row>
    <row r="49" spans="2:10" ht="42">
      <c r="B49" s="107">
        <v>41</v>
      </c>
      <c r="C49" s="135" t="s">
        <v>2345</v>
      </c>
      <c r="D49" s="399" t="s">
        <v>3621</v>
      </c>
      <c r="E49" s="122">
        <f xml:space="preserve"> IFERROR( MATCH($D49,'十五音-韻母'!$D$5:$D$54,0), 0)</f>
        <v>0</v>
      </c>
      <c r="F49" s="122">
        <f>IF(E49&lt;&gt;0,"",(IFERROR(MATCH($D49,'十五音-韻母'!$E$5:$E$54,0),0)))</f>
        <v>35</v>
      </c>
      <c r="G49" s="122">
        <f t="shared" si="0"/>
        <v>14</v>
      </c>
      <c r="H49" s="399" t="str" cm="1">
        <f t="array" ref="H49" xml:space="preserve"> IF(E49&lt;&gt;0, INDEX(十五音韻母對照表, E49, $G49), IF(G49&lt;&gt;0, INDEX(十五音韻母對照表, F49, $G49), ""))</f>
        <v>ㄧㆧㆷ</v>
      </c>
      <c r="I49" s="122">
        <f t="shared" si="1"/>
        <v>6</v>
      </c>
      <c r="J49" s="402" t="str" cm="1">
        <f t="array" ref="J49" xml:space="preserve"> IF($E49&lt;&gt;0, INDEX(十五音韻母對照表, $E49, $I49), IF($F49&lt;&gt;0, INDEX(十五音韻母對照表, $F49, $I49), ""))</f>
        <v>ĩɔ̃?</v>
      </c>
    </row>
    <row r="50" spans="2:10" ht="42">
      <c r="B50" s="107">
        <v>42</v>
      </c>
      <c r="C50" s="134" t="s">
        <v>2037</v>
      </c>
      <c r="D50" s="399" t="s">
        <v>480</v>
      </c>
      <c r="E50" s="122">
        <f xml:space="preserve"> IFERROR( MATCH($D50,'十五音-韻母'!$D$5:$D$54,0), 0)</f>
        <v>33</v>
      </c>
      <c r="F50" s="122" t="str">
        <f>IF(E50&lt;&gt;0,"",(IFERROR(MATCH($D50,'十五音-韻母'!$E$5:$E$54,0),0)))</f>
        <v/>
      </c>
      <c r="G50" s="122">
        <f t="shared" si="0"/>
        <v>13</v>
      </c>
      <c r="H50" s="399" t="str" cm="1">
        <f t="array" ref="H50" xml:space="preserve"> IF(E50&lt;&gt;0, INDEX(十五音韻母對照表, E50, $G50), IF(G50&lt;&gt;0, INDEX(十五音韻母對照表, F50, $G50), ""))</f>
        <v>ㄧㄜ</v>
      </c>
      <c r="I50" s="122">
        <f t="shared" si="1"/>
        <v>5</v>
      </c>
      <c r="J50" s="402" t="str" cm="1">
        <f t="array" ref="J50" xml:space="preserve"> IF($E50&lt;&gt;0, INDEX(十五音韻母對照表, $E50, $I50), IF($F50&lt;&gt;0, INDEX(十五音韻母對照表, $F50, $I50), ""))</f>
        <v>io</v>
      </c>
    </row>
    <row r="51" spans="2:10" ht="42">
      <c r="B51" s="107">
        <v>43</v>
      </c>
      <c r="C51" s="134" t="s">
        <v>2346</v>
      </c>
      <c r="D51" s="399" t="s">
        <v>481</v>
      </c>
      <c r="E51" s="122">
        <f xml:space="preserve"> IFERROR( MATCH($D51,'十五音-韻母'!$D$5:$D$54,0), 0)</f>
        <v>0</v>
      </c>
      <c r="F51" s="122">
        <f>IF(E51&lt;&gt;0,"",(IFERROR(MATCH($D51,'十五音-韻母'!$E$5:$E$54,0),0)))</f>
        <v>33</v>
      </c>
      <c r="G51" s="122">
        <f t="shared" si="0"/>
        <v>14</v>
      </c>
      <c r="H51" s="399" t="str" cm="1">
        <f t="array" ref="H51" xml:space="preserve"> IF(E51&lt;&gt;0, INDEX(十五音韻母對照表, E51, $G51), IF(G51&lt;&gt;0, INDEX(十五音韻母對照表, F51, $G51), ""))</f>
        <v>ㄧㄜㆷ</v>
      </c>
      <c r="I51" s="122">
        <f t="shared" si="1"/>
        <v>6</v>
      </c>
      <c r="J51" s="402" t="str" cm="1">
        <f t="array" ref="J51" xml:space="preserve"> IF($E51&lt;&gt;0, INDEX(十五音韻母對照表, $E51, $I51), IF($F51&lt;&gt;0, INDEX(十五音韻母對照表, $F51, $I51), ""))</f>
        <v>iə?</v>
      </c>
    </row>
    <row r="52" spans="2:10" ht="42">
      <c r="B52" s="107">
        <v>44</v>
      </c>
      <c r="C52" s="134" t="s">
        <v>2347</v>
      </c>
      <c r="D52" s="399" t="s">
        <v>439</v>
      </c>
      <c r="E52" s="122">
        <f xml:space="preserve"> IFERROR( MATCH($D52,'十五音-韻母'!$D$5:$D$54,0), 0)</f>
        <v>30</v>
      </c>
      <c r="F52" s="122" t="str">
        <f>IF(E52&lt;&gt;0,"",(IFERROR(MATCH($D52,'十五音-韻母'!$E$5:$E$54,0),0)))</f>
        <v/>
      </c>
      <c r="G52" s="122">
        <f t="shared" si="0"/>
        <v>13</v>
      </c>
      <c r="H52" s="399" t="str" cm="1">
        <f t="array" ref="H52" xml:space="preserve"> IF(E52&lt;&gt;0, INDEX(十五音韻母對照表, E52, $G52), IF(G52&lt;&gt;0, INDEX(十五音韻母對照表, F52, $G52), ""))</f>
        <v>ㄧㄨ</v>
      </c>
      <c r="I52" s="122">
        <f t="shared" si="1"/>
        <v>5</v>
      </c>
      <c r="J52" s="402" t="str" cm="1">
        <f t="array" ref="J52" xml:space="preserve"> IF($E52&lt;&gt;0, INDEX(十五音韻母對照表, $E52, $I52), IF($F52&lt;&gt;0, INDEX(十五音韻母對照表, $F52, $I52), ""))</f>
        <v>iu</v>
      </c>
    </row>
    <row r="53" spans="2:10" ht="42">
      <c r="B53" s="107">
        <v>45</v>
      </c>
      <c r="C53" s="134" t="s">
        <v>2348</v>
      </c>
      <c r="D53" s="399" t="s">
        <v>677</v>
      </c>
      <c r="E53" s="122">
        <f xml:space="preserve"> IFERROR( MATCH($D53,'十五音-韻母'!$D$5:$D$54,0), 0)</f>
        <v>50</v>
      </c>
      <c r="F53" s="122" t="str">
        <f>IF(E53&lt;&gt;0,"",(IFERROR(MATCH($D53,'十五音-韻母'!$E$5:$E$54,0),0)))</f>
        <v/>
      </c>
      <c r="G53" s="122">
        <f t="shared" si="0"/>
        <v>13</v>
      </c>
      <c r="H53" s="399" t="str" cm="1">
        <f t="array" ref="H53" xml:space="preserve"> IF(E53&lt;&gt;0, INDEX(十五音韻母對照表, E53, $G53), IF(G53&lt;&gt;0, INDEX(十五音韻母對照表, F53, $G53), ""))</f>
        <v>ㄧㆫ</v>
      </c>
      <c r="I53" s="122">
        <f t="shared" si="1"/>
        <v>5</v>
      </c>
      <c r="J53" s="402" t="str" cm="1">
        <f t="array" ref="J53" xml:space="preserve"> IF($E53&lt;&gt;0, INDEX(十五音韻母對照表, $E53, $I53), IF($F53&lt;&gt;0, INDEX(十五音韻母對照表, $F53, $I53), ""))</f>
        <v>ĩũ</v>
      </c>
    </row>
    <row r="54" spans="2:10" ht="42">
      <c r="B54" s="107">
        <v>46</v>
      </c>
      <c r="C54" s="134" t="s">
        <v>684</v>
      </c>
      <c r="D54" s="399" t="s">
        <v>678</v>
      </c>
      <c r="E54" s="122">
        <f xml:space="preserve"> IFERROR( MATCH($D54,'十五音-韻母'!$D$5:$D$54,0), 0)</f>
        <v>0</v>
      </c>
      <c r="F54" s="122">
        <f>IF(E54&lt;&gt;0,"",(IFERROR(MATCH($D54,'十五音-韻母'!$E$5:$E$54,0),0)))</f>
        <v>50</v>
      </c>
      <c r="G54" s="122">
        <f t="shared" si="0"/>
        <v>14</v>
      </c>
      <c r="H54" s="399" t="str" cm="1">
        <f t="array" ref="H54" xml:space="preserve"> IF(E54&lt;&gt;0, INDEX(十五音韻母對照表, E54, $G54), IF(G54&lt;&gt;0, INDEX(十五音韻母對照表, F54, $G54), ""))</f>
        <v>ㄧㆫㆷ</v>
      </c>
      <c r="I54" s="122">
        <f t="shared" si="1"/>
        <v>6</v>
      </c>
      <c r="J54" s="402" t="str" cm="1">
        <f t="array" ref="J54" xml:space="preserve"> IF($E54&lt;&gt;0, INDEX(十五音韻母對照表, $E54, $I54), IF($F54&lt;&gt;0, INDEX(十五音韻母對照表, $F54, $I54), ""))</f>
        <v>iũh</v>
      </c>
    </row>
    <row r="55" spans="2:10" ht="42">
      <c r="B55" s="107">
        <v>47</v>
      </c>
      <c r="C55" s="134" t="s">
        <v>2349</v>
      </c>
      <c r="D55" s="399" t="s">
        <v>265</v>
      </c>
      <c r="E55" s="122">
        <f xml:space="preserve"> IFERROR( MATCH($D55,'十五音-韻母'!$D$5:$D$54,0), 0)</f>
        <v>12</v>
      </c>
      <c r="F55" s="122" t="str">
        <f>IF(E55&lt;&gt;0,"",(IFERROR(MATCH($D55,'十五音-韻母'!$E$5:$E$54,0),0)))</f>
        <v/>
      </c>
      <c r="G55" s="122">
        <f t="shared" si="0"/>
        <v>13</v>
      </c>
      <c r="H55" s="399" t="str" cm="1">
        <f t="array" ref="H55" xml:space="preserve"> IF(E55&lt;&gt;0, INDEX(十五音韻母對照表, E55, $G55), IF(G55&lt;&gt;0, INDEX(十五音韻母對照表, F55, $G55), ""))</f>
        <v>ㄧㄠ</v>
      </c>
      <c r="I55" s="122">
        <f t="shared" si="1"/>
        <v>5</v>
      </c>
      <c r="J55" s="402" t="str" cm="1">
        <f t="array" ref="J55" xml:space="preserve"> IF($E55&lt;&gt;0, INDEX(十五音韻母對照表, $E55, $I55), IF($F55&lt;&gt;0, INDEX(十五音韻母對照表, $F55, $I55), ""))</f>
        <v>iaʊ</v>
      </c>
    </row>
    <row r="56" spans="2:10" ht="42">
      <c r="B56" s="107">
        <v>48</v>
      </c>
      <c r="C56" s="134" t="s">
        <v>2350</v>
      </c>
      <c r="D56" s="399" t="s">
        <v>637</v>
      </c>
      <c r="E56" s="122">
        <f xml:space="preserve"> IFERROR( MATCH($D56,'十五音-韻母'!$D$5:$D$54,0), 0)</f>
        <v>46</v>
      </c>
      <c r="F56" s="122" t="str">
        <f>IF(E56&lt;&gt;0,"",(IFERROR(MATCH($D56,'十五音-韻母'!$E$5:$E$54,0),0)))</f>
        <v/>
      </c>
      <c r="G56" s="122">
        <f t="shared" si="0"/>
        <v>13</v>
      </c>
      <c r="H56" s="399" t="str" cm="1">
        <f t="array" ref="H56" xml:space="preserve"> IF(E56&lt;&gt;0, INDEX(十五音韻母對照表, E56, $G56), IF(G56&lt;&gt;0, INDEX(十五音韻母對照表, F56, $G56), ""))</f>
        <v>ㄧㆯ</v>
      </c>
      <c r="I56" s="122">
        <f t="shared" si="1"/>
        <v>5</v>
      </c>
      <c r="J56" s="402" t="str" cm="1">
        <f t="array" ref="J56" xml:space="preserve"> IF($E56&lt;&gt;0, INDEX(十五音韻母對照表, $E56, $I56), IF($F56&lt;&gt;0, INDEX(十五音韻母對照表, $F56, $I56), ""))</f>
        <v>ĩãũ</v>
      </c>
    </row>
    <row r="57" spans="2:10" ht="42">
      <c r="B57" s="107">
        <v>49</v>
      </c>
      <c r="C57" s="135" t="s">
        <v>2351</v>
      </c>
      <c r="D57" s="399" t="s">
        <v>3622</v>
      </c>
      <c r="E57" s="122">
        <f xml:space="preserve"> IFERROR( MATCH($D57,'十五音-韻母'!$D$5:$D$54,0), 0)</f>
        <v>0</v>
      </c>
      <c r="F57" s="122">
        <f>IF(E57&lt;&gt;0,"",(IFERROR(MATCH($D57,'十五音-韻母'!$E$5:$E$54,0),0)))</f>
        <v>46</v>
      </c>
      <c r="G57" s="122">
        <f t="shared" si="0"/>
        <v>14</v>
      </c>
      <c r="H57" s="399" t="str" cm="1">
        <f t="array" ref="H57" xml:space="preserve"> IF(E57&lt;&gt;0, INDEX(十五音韻母對照表, E57, $G57), IF(G57&lt;&gt;0, INDEX(十五音韻母對照表, F57, $G57), ""))</f>
        <v>ㄧㆯㆷ</v>
      </c>
      <c r="I57" s="122">
        <f t="shared" si="1"/>
        <v>6</v>
      </c>
      <c r="J57" s="402" t="str" cm="1">
        <f t="array" ref="J57" xml:space="preserve"> IF($E57&lt;&gt;0, INDEX(十五音韻母對照表, $E57, $I57), IF($F57&lt;&gt;0, INDEX(十五音韻母對照表, $F57, $I57), ""))</f>
        <v>ĩãũ?</v>
      </c>
    </row>
    <row r="58" spans="2:10" ht="42">
      <c r="B58" s="107">
        <v>50</v>
      </c>
      <c r="C58" s="134" t="s">
        <v>2352</v>
      </c>
      <c r="D58" s="399" t="s">
        <v>359</v>
      </c>
      <c r="E58" s="122">
        <f xml:space="preserve"> IFERROR( MATCH($D58,'十五音-韻母'!$D$5:$D$54,0), 0)</f>
        <v>22</v>
      </c>
      <c r="F58" s="122" t="str">
        <f>IF(E58&lt;&gt;0,"",(IFERROR(MATCH($D58,'十五音-韻母'!$E$5:$E$54,0),0)))</f>
        <v/>
      </c>
      <c r="G58" s="122">
        <f t="shared" si="0"/>
        <v>13</v>
      </c>
      <c r="H58" s="399" t="str" cm="1">
        <f t="array" ref="H58" xml:space="preserve"> IF(E58&lt;&gt;0, INDEX(十五音韻母對照表, E58, $G58), IF(G58&lt;&gt;0, INDEX(十五音韻母對照表, F58, $G58), ""))</f>
        <v>ㄧㆰ</v>
      </c>
      <c r="I58" s="122">
        <f t="shared" si="1"/>
        <v>5</v>
      </c>
      <c r="J58" s="402" t="str" cm="1">
        <f t="array" ref="J58" xml:space="preserve"> IF($E58&lt;&gt;0, INDEX(十五音韻母對照表, $E58, $I58), IF($F58&lt;&gt;0, INDEX(十五音韻母對照表, $F58, $I58), ""))</f>
        <v>iam</v>
      </c>
    </row>
    <row r="59" spans="2:10" ht="42">
      <c r="B59" s="107">
        <v>51</v>
      </c>
      <c r="C59" s="134" t="s">
        <v>2353</v>
      </c>
      <c r="D59" s="399" t="s">
        <v>360</v>
      </c>
      <c r="E59" s="122">
        <f xml:space="preserve"> IFERROR( MATCH($D59,'十五音-韻母'!$D$5:$D$54,0), 0)</f>
        <v>0</v>
      </c>
      <c r="F59" s="122">
        <f>IF(E59&lt;&gt;0,"",(IFERROR(MATCH($D59,'十五音-韻母'!$E$5:$E$54,0),0)))</f>
        <v>22</v>
      </c>
      <c r="G59" s="122">
        <f t="shared" si="0"/>
        <v>14</v>
      </c>
      <c r="H59" s="399" t="str" cm="1">
        <f t="array" ref="H59" xml:space="preserve"> IF(E59&lt;&gt;0, INDEX(十五音韻母對照表, E59, $G59), IF(G59&lt;&gt;0, INDEX(十五音韻母對照表, F59, $G59), ""))</f>
        <v>ㄧㄚㆴ</v>
      </c>
      <c r="I59" s="122">
        <f t="shared" si="1"/>
        <v>6</v>
      </c>
      <c r="J59" s="402" t="str" cm="1">
        <f t="array" ref="J59" xml:space="preserve"> IF($E59&lt;&gt;0, INDEX(十五音韻母對照表, $E59, $I59), IF($F59&lt;&gt;0, INDEX(十五音韻母對照表, $F59, $I59), ""))</f>
        <v>iap̚</v>
      </c>
    </row>
    <row r="60" spans="2:10" ht="42">
      <c r="B60" s="107">
        <v>52</v>
      </c>
      <c r="C60" s="134" t="s">
        <v>2354</v>
      </c>
      <c r="D60" s="399" t="s">
        <v>171</v>
      </c>
      <c r="E60" s="122">
        <f xml:space="preserve"> IFERROR( MATCH($D60,'十五音-韻母'!$D$5:$D$54,0), 0)</f>
        <v>3</v>
      </c>
      <c r="F60" s="122" t="str">
        <f>IF(E60&lt;&gt;0,"",(IFERROR(MATCH($D60,'十五音-韻母'!$E$5:$E$54,0),0)))</f>
        <v/>
      </c>
      <c r="G60" s="122">
        <f t="shared" si="0"/>
        <v>13</v>
      </c>
      <c r="H60" s="399" t="str" cm="1">
        <f t="array" ref="H60" xml:space="preserve"> IF(E60&lt;&gt;0, INDEX(十五音韻母對照表, E60, $G60), IF(G60&lt;&gt;0, INDEX(十五音韻母對照表, F60, $G60), ""))</f>
        <v>ㄧㆬ</v>
      </c>
      <c r="I60" s="122">
        <f t="shared" si="1"/>
        <v>5</v>
      </c>
      <c r="J60" s="402" t="str" cm="1">
        <f t="array" ref="J60" xml:space="preserve"> IF($E60&lt;&gt;0, INDEX(十五音韻母對照表, $E60, $I60), IF($F60&lt;&gt;0, INDEX(十五音韻母對照表, $F60, $I60), ""))</f>
        <v>im</v>
      </c>
    </row>
    <row r="61" spans="2:10" ht="42">
      <c r="B61" s="107">
        <v>53</v>
      </c>
      <c r="C61" s="134" t="s">
        <v>2355</v>
      </c>
      <c r="D61" s="399" t="s">
        <v>172</v>
      </c>
      <c r="E61" s="122">
        <f xml:space="preserve"> IFERROR( MATCH($D61,'十五音-韻母'!$D$5:$D$54,0), 0)</f>
        <v>0</v>
      </c>
      <c r="F61" s="122">
        <f>IF(E61&lt;&gt;0,"",(IFERROR(MATCH($D61,'十五音-韻母'!$E$5:$E$54,0),0)))</f>
        <v>3</v>
      </c>
      <c r="G61" s="122">
        <f t="shared" si="0"/>
        <v>14</v>
      </c>
      <c r="H61" s="399" t="str" cm="1">
        <f t="array" ref="H61" xml:space="preserve"> IF(E61&lt;&gt;0, INDEX(十五音韻母對照表, E61, $G61), IF(G61&lt;&gt;0, INDEX(十五音韻母對照表, F61, $G61), ""))</f>
        <v>ㄧㆴ</v>
      </c>
      <c r="I61" s="122">
        <f t="shared" si="1"/>
        <v>6</v>
      </c>
      <c r="J61" s="402" t="str" cm="1">
        <f t="array" ref="J61" xml:space="preserve"> IF($E61&lt;&gt;0, INDEX(十五音韻母對照表, $E61, $I61), IF($F61&lt;&gt;0, INDEX(十五音韻母對照表, $F61, $I61), ""))</f>
        <v>ip̚</v>
      </c>
    </row>
    <row r="62" spans="2:10" ht="42">
      <c r="B62" s="107">
        <v>54</v>
      </c>
      <c r="C62" s="134" t="s">
        <v>2356</v>
      </c>
      <c r="D62" s="399" t="s">
        <v>317</v>
      </c>
      <c r="E62" s="122">
        <f xml:space="preserve"> IFERROR( MATCH($D62,'十五音-韻母'!$D$5:$D$54,0), 0)</f>
        <v>17</v>
      </c>
      <c r="F62" s="122" t="str">
        <f>IF(E62&lt;&gt;0,"",(IFERROR(MATCH($D62,'十五音-韻母'!$E$5:$E$54,0),0)))</f>
        <v/>
      </c>
      <c r="G62" s="122">
        <f t="shared" si="0"/>
        <v>13</v>
      </c>
      <c r="H62" s="399" t="str" cm="1">
        <f t="array" ref="H62" xml:space="preserve"> IF(E62&lt;&gt;0, INDEX(十五音韻母對照表, E62, $G62), IF(G62&lt;&gt;0, INDEX(十五音韻母對照表, F62, $G62), ""))</f>
        <v>ㄧㄣ</v>
      </c>
      <c r="I62" s="122">
        <f t="shared" si="1"/>
        <v>5</v>
      </c>
      <c r="J62" s="402" t="str" cm="1">
        <f t="array" ref="J62" xml:space="preserve"> IF($E62&lt;&gt;0, INDEX(十五音韻母對照表, $E62, $I62), IF($F62&lt;&gt;0, INDEX(十五音韻母對照表, $F62, $I62), ""))</f>
        <v>in</v>
      </c>
    </row>
    <row r="63" spans="2:10" ht="42">
      <c r="B63" s="107">
        <v>55</v>
      </c>
      <c r="C63" s="134" t="s">
        <v>2357</v>
      </c>
      <c r="D63" s="399" t="s">
        <v>318</v>
      </c>
      <c r="E63" s="122">
        <f xml:space="preserve"> IFERROR( MATCH($D63,'十五音-韻母'!$D$5:$D$54,0), 0)</f>
        <v>0</v>
      </c>
      <c r="F63" s="122">
        <f>IF(E63&lt;&gt;0,"",(IFERROR(MATCH($D63,'十五音-韻母'!$E$5:$E$54,0),0)))</f>
        <v>17</v>
      </c>
      <c r="G63" s="122">
        <f t="shared" si="0"/>
        <v>14</v>
      </c>
      <c r="H63" s="399" t="str" cm="1">
        <f t="array" ref="H63" xml:space="preserve"> IF(E63&lt;&gt;0, INDEX(十五音韻母對照表, E63, $G63), IF(G63&lt;&gt;0, INDEX(十五音韻母對照表, F63, $G63), ""))</f>
        <v>ㄧㆵ</v>
      </c>
      <c r="I63" s="122">
        <f t="shared" si="1"/>
        <v>6</v>
      </c>
      <c r="J63" s="402" t="str" cm="1">
        <f t="array" ref="J63" xml:space="preserve"> IF($E63&lt;&gt;0, INDEX(十五音韻母對照表, $E63, $I63), IF($F63&lt;&gt;0, INDEX(十五音韻母對照表, $F63, $I63), ""))</f>
        <v>it̚</v>
      </c>
    </row>
    <row r="64" spans="2:10" ht="42">
      <c r="B64" s="107">
        <v>56</v>
      </c>
      <c r="C64" s="134" t="s">
        <v>2358</v>
      </c>
      <c r="D64" s="399" t="s">
        <v>162</v>
      </c>
      <c r="E64" s="122">
        <f xml:space="preserve"> IFERROR( MATCH($D64,'十五音-韻母'!$D$5:$D$54,0), 0)</f>
        <v>2</v>
      </c>
      <c r="F64" s="122" t="str">
        <f>IF(E64&lt;&gt;0,"",(IFERROR(MATCH($D64,'十五音-韻母'!$E$5:$E$54,0),0)))</f>
        <v/>
      </c>
      <c r="G64" s="122">
        <f t="shared" si="0"/>
        <v>13</v>
      </c>
      <c r="H64" s="399" t="str" cm="1">
        <f t="array" ref="H64" xml:space="preserve"> IF(E64&lt;&gt;0, INDEX(十五音韻母對照表, E64, $G64), IF(G64&lt;&gt;0, INDEX(十五音韻母對照表, F64, $G64), ""))</f>
        <v>ㄧㄢ</v>
      </c>
      <c r="I64" s="122">
        <f t="shared" si="1"/>
        <v>5</v>
      </c>
      <c r="J64" s="402" t="str" cm="1">
        <f t="array" ref="J64" xml:space="preserve"> IF($E64&lt;&gt;0, INDEX(十五音韻母對照表, $E64, $I64), IF($F64&lt;&gt;0, INDEX(十五音韻母對照表, $F64, $I64), ""))</f>
        <v>ian</v>
      </c>
    </row>
    <row r="65" spans="2:10" ht="42">
      <c r="B65" s="107">
        <v>57</v>
      </c>
      <c r="C65" s="134" t="s">
        <v>2359</v>
      </c>
      <c r="D65" s="399" t="s">
        <v>163</v>
      </c>
      <c r="E65" s="122">
        <f xml:space="preserve"> IFERROR( MATCH($D65,'十五音-韻母'!$D$5:$D$54,0), 0)</f>
        <v>0</v>
      </c>
      <c r="F65" s="122">
        <f>IF(E65&lt;&gt;0,"",(IFERROR(MATCH($D65,'十五音-韻母'!$E$5:$E$54,0),0)))</f>
        <v>2</v>
      </c>
      <c r="G65" s="122">
        <f t="shared" si="0"/>
        <v>14</v>
      </c>
      <c r="H65" s="399" t="str" cm="1">
        <f t="array" ref="H65" xml:space="preserve"> IF(E65&lt;&gt;0, INDEX(十五音韻母對照表, E65, $G65), IF(G65&lt;&gt;0, INDEX(十五音韻母對照表, F65, $G65), ""))</f>
        <v>ㄧㄚㆵ</v>
      </c>
      <c r="I65" s="122">
        <f t="shared" si="1"/>
        <v>6</v>
      </c>
      <c r="J65" s="402" t="str" cm="1">
        <f t="array" ref="J65" xml:space="preserve"> IF($E65&lt;&gt;0, INDEX(十五音韻母對照表, $E65, $I65), IF($F65&lt;&gt;0, INDEX(十五音韻母對照表, $F65, $I65), ""))</f>
        <v>iat̚</v>
      </c>
    </row>
    <row r="66" spans="2:10" ht="42">
      <c r="B66" s="107">
        <v>58</v>
      </c>
      <c r="C66" s="134" t="s">
        <v>2360</v>
      </c>
      <c r="D66" s="399" t="s">
        <v>231</v>
      </c>
      <c r="E66" s="122">
        <f xml:space="preserve"> IFERROR( MATCH($D66,'十五音-韻母'!$D$5:$D$54,0), 0)</f>
        <v>9</v>
      </c>
      <c r="F66" s="122" t="str">
        <f>IF(E66&lt;&gt;0,"",(IFERROR(MATCH($D66,'十五音-韻母'!$E$5:$E$54,0),0)))</f>
        <v/>
      </c>
      <c r="G66" s="122">
        <f t="shared" si="0"/>
        <v>13</v>
      </c>
      <c r="H66" s="399" t="str" cm="1">
        <f t="array" ref="H66" xml:space="preserve"> IF(E66&lt;&gt;0, INDEX(十五音韻母對照表, E66, $G66), IF(G66&lt;&gt;0, INDEX(十五音韻母對照表, F66, $G66), ""))</f>
        <v>ㄧㄥ</v>
      </c>
      <c r="I66" s="122">
        <f t="shared" si="1"/>
        <v>5</v>
      </c>
      <c r="J66" s="402" t="str" cm="1">
        <f t="array" ref="J66" xml:space="preserve"> IF($E66&lt;&gt;0, INDEX(十五音韻母對照表, $E66, $I66), IF($F66&lt;&gt;0, INDEX(十五音韻母對照表, $F66, $I66), ""))</f>
        <v>ɪŋ</v>
      </c>
    </row>
    <row r="67" spans="2:10" ht="42">
      <c r="B67" s="107">
        <v>59</v>
      </c>
      <c r="C67" s="134" t="s">
        <v>2361</v>
      </c>
      <c r="D67" s="399" t="s">
        <v>232</v>
      </c>
      <c r="E67" s="122">
        <f xml:space="preserve"> IFERROR( MATCH($D67,'十五音-韻母'!$D$5:$D$54,0), 0)</f>
        <v>0</v>
      </c>
      <c r="F67" s="122">
        <f>IF(E67&lt;&gt;0,"",(IFERROR(MATCH($D67,'十五音-韻母'!$E$5:$E$54,0),0)))</f>
        <v>9</v>
      </c>
      <c r="G67" s="122">
        <f t="shared" si="0"/>
        <v>14</v>
      </c>
      <c r="H67" s="399" t="str" cm="1">
        <f t="array" ref="H67" xml:space="preserve"> IF(E67&lt;&gt;0, INDEX(十五音韻母對照表, E67, $G67), IF(G67&lt;&gt;0, INDEX(十五音韻母對照表, F67, $G67), ""))</f>
        <v>ㄧㆻ</v>
      </c>
      <c r="I67" s="122">
        <f t="shared" si="1"/>
        <v>6</v>
      </c>
      <c r="J67" s="402" t="str" cm="1">
        <f t="array" ref="J67" xml:space="preserve"> IF($E67&lt;&gt;0, INDEX(十五音韻母對照表, $E67, $I67), IF($F67&lt;&gt;0, INDEX(十五音韻母對照表, $F67, $I67), ""))</f>
        <v>ik̚</v>
      </c>
    </row>
    <row r="68" spans="2:10" ht="42">
      <c r="B68" s="107">
        <v>60</v>
      </c>
      <c r="C68" s="134" t="s">
        <v>2362</v>
      </c>
      <c r="D68" s="399" t="s">
        <v>324</v>
      </c>
      <c r="E68" s="122">
        <f xml:space="preserve"> IFERROR( MATCH($D68,'十五音-韻母'!$D$5:$D$54,0), 0)</f>
        <v>18</v>
      </c>
      <c r="F68" s="122" t="str">
        <f>IF(E68&lt;&gt;0,"",(IFERROR(MATCH($D68,'十五音-韻母'!$E$5:$E$54,0),0)))</f>
        <v/>
      </c>
      <c r="G68" s="122">
        <f t="shared" si="0"/>
        <v>13</v>
      </c>
      <c r="H68" s="399" t="str" cm="1">
        <f t="array" ref="H68" xml:space="preserve"> IF(E68&lt;&gt;0, INDEX(十五音韻母對照表, E68, $G68), IF(G68&lt;&gt;0, INDEX(十五音韻母對照表, F68, $G68), ""))</f>
        <v>ㄧㄤ</v>
      </c>
      <c r="I68" s="122">
        <f t="shared" si="1"/>
        <v>5</v>
      </c>
      <c r="J68" s="402" t="str" cm="1">
        <f t="array" ref="J68" xml:space="preserve"> IF($E68&lt;&gt;0, INDEX(十五音韻母對照表, $E68, $I68), IF($F68&lt;&gt;0, INDEX(十五音韻母對照表, $F68, $I68), ""))</f>
        <v>iaŋ</v>
      </c>
    </row>
    <row r="69" spans="2:10" ht="42">
      <c r="B69" s="107">
        <v>61</v>
      </c>
      <c r="C69" s="134" t="s">
        <v>2363</v>
      </c>
      <c r="D69" s="399" t="s">
        <v>325</v>
      </c>
      <c r="E69" s="122">
        <f xml:space="preserve"> IFERROR( MATCH($D69,'十五音-韻母'!$D$5:$D$54,0), 0)</f>
        <v>0</v>
      </c>
      <c r="F69" s="122">
        <f>IF(E69&lt;&gt;0,"",(IFERROR(MATCH($D69,'十五音-韻母'!$E$5:$E$54,0),0)))</f>
        <v>18</v>
      </c>
      <c r="G69" s="122">
        <f t="shared" si="0"/>
        <v>14</v>
      </c>
      <c r="H69" s="399" t="str" cm="1">
        <f t="array" ref="H69" xml:space="preserve"> IF(E69&lt;&gt;0, INDEX(十五音韻母對照表, E69, $G69), IF(G69&lt;&gt;0, INDEX(十五音韻母對照表, F69, $G69), ""))</f>
        <v>ㄧㄚㆻ</v>
      </c>
      <c r="I69" s="122">
        <f t="shared" si="1"/>
        <v>6</v>
      </c>
      <c r="J69" s="402" t="str" cm="1">
        <f t="array" ref="J69" xml:space="preserve"> IF($E69&lt;&gt;0, INDEX(十五音韻母對照表, $E69, $I69), IF($F69&lt;&gt;0, INDEX(十五音韻母對照表, $F69, $I69), ""))</f>
        <v>iak̚</v>
      </c>
    </row>
    <row r="70" spans="2:10" ht="42">
      <c r="B70" s="107">
        <v>62</v>
      </c>
      <c r="C70" s="134" t="s">
        <v>2364</v>
      </c>
      <c r="D70" s="399" t="s">
        <v>289</v>
      </c>
      <c r="E70" s="122">
        <f xml:space="preserve"> IFERROR( MATCH($D70,'十五音-韻母'!$D$5:$D$54,0), 0)</f>
        <v>14</v>
      </c>
      <c r="F70" s="122" t="str">
        <f>IF(E70&lt;&gt;0,"",(IFERROR(MATCH($D70,'十五音-韻母'!$E$5:$E$54,0),0)))</f>
        <v/>
      </c>
      <c r="G70" s="122">
        <f t="shared" si="0"/>
        <v>13</v>
      </c>
      <c r="H70" s="399" t="str" cm="1">
        <f t="array" ref="H70" xml:space="preserve"> IF(E70&lt;&gt;0, INDEX(十五音韻母對照表, E70, $G70), IF(G70&lt;&gt;0, INDEX(十五音韻母對照表, F70, $G70), ""))</f>
        <v>ㄧㆲ</v>
      </c>
      <c r="I70" s="122">
        <f t="shared" si="1"/>
        <v>5</v>
      </c>
      <c r="J70" s="402" t="str" cm="1">
        <f t="array" ref="J70" xml:space="preserve"> IF($E70&lt;&gt;0, INDEX(十五音韻母對照表, $E70, $I70), IF($F70&lt;&gt;0, INDEX(十五音韻母對照表, $F70, $I70), ""))</f>
        <v>iɔŋ</v>
      </c>
    </row>
    <row r="71" spans="2:10" ht="42">
      <c r="B71" s="107">
        <v>63</v>
      </c>
      <c r="C71" s="134" t="s">
        <v>2365</v>
      </c>
      <c r="D71" s="399" t="s">
        <v>290</v>
      </c>
      <c r="E71" s="122">
        <f xml:space="preserve"> IFERROR( MATCH($D71,'十五音-韻母'!$D$5:$D$54,0), 0)</f>
        <v>0</v>
      </c>
      <c r="F71" s="122">
        <f>IF(E71&lt;&gt;0,"",(IFERROR(MATCH($D71,'十五音-韻母'!$E$5:$E$54,0),0)))</f>
        <v>14</v>
      </c>
      <c r="G71" s="122">
        <f t="shared" si="0"/>
        <v>14</v>
      </c>
      <c r="H71" s="399" t="str" cm="1">
        <f t="array" ref="H71" xml:space="preserve"> IF(E71&lt;&gt;0, INDEX(十五音韻母對照表, E71, $G71), IF(G71&lt;&gt;0, INDEX(十五音韻母對照表, F71, $G71), ""))</f>
        <v>ㄧㆦㆻ</v>
      </c>
      <c r="I71" s="122">
        <f t="shared" si="1"/>
        <v>6</v>
      </c>
      <c r="J71" s="402" t="str" cm="1">
        <f t="array" ref="J71" xml:space="preserve"> IF($E71&lt;&gt;0, INDEX(十五音韻母對照表, $E71, $I71), IF($F71&lt;&gt;0, INDEX(十五音韻母對照表, $F71, $I71), ""))</f>
        <v>iɔk̚</v>
      </c>
    </row>
    <row r="72" spans="2:10" ht="42">
      <c r="B72" s="107">
        <v>64</v>
      </c>
      <c r="C72" s="134" t="s">
        <v>1619</v>
      </c>
      <c r="D72" s="399" t="s">
        <v>415</v>
      </c>
      <c r="E72" s="122">
        <f xml:space="preserve"> IFERROR( MATCH($D72,'十五音-韻母'!$D$5:$D$54,0), 0)</f>
        <v>27</v>
      </c>
      <c r="F72" s="122" t="str">
        <f>IF(E72&lt;&gt;0,"",(IFERROR(MATCH($D72,'十五音-韻母'!$E$5:$E$54,0),0)))</f>
        <v/>
      </c>
      <c r="G72" s="122">
        <f t="shared" ref="G72:G92" si="2" xml:space="preserve"> IF(E72&lt;&gt;0, $G$2, IF(F72&lt;&gt;0, $G$3, 0))</f>
        <v>13</v>
      </c>
      <c r="H72" s="399" t="str" cm="1">
        <f t="array" ref="H72" xml:space="preserve"> IF(E72&lt;&gt;0, INDEX(十五音韻母對照表, E72, $G72), IF(G72&lt;&gt;0, INDEX(十五音韻母對照表, F72, $G72), ""))</f>
        <v>ㄨ</v>
      </c>
      <c r="I72" s="122">
        <f t="shared" ref="I72:I92" si="3" xml:space="preserve"> IF($E72&lt;&gt;0, $I$2, IF($F72&lt;&gt;0, $I$3, 0))</f>
        <v>5</v>
      </c>
      <c r="J72" s="402" t="str" cm="1">
        <f t="array" ref="J72" xml:space="preserve"> IF($E72&lt;&gt;0, INDEX(十五音韻母對照表, $E72, $I72), IF($F72&lt;&gt;0, INDEX(十五音韻母對照表, $F72, $I72), ""))</f>
        <v>u</v>
      </c>
    </row>
    <row r="73" spans="2:10" ht="42">
      <c r="B73" s="107">
        <v>65</v>
      </c>
      <c r="C73" s="135" t="s">
        <v>2366</v>
      </c>
      <c r="D73" s="399" t="s">
        <v>1634</v>
      </c>
      <c r="E73" s="122">
        <f xml:space="preserve"> IFERROR( MATCH($D73,'十五音-韻母'!$D$5:$D$54,0), 0)</f>
        <v>0</v>
      </c>
      <c r="F73" s="122">
        <f>IF(E73&lt;&gt;0,"",(IFERROR(MATCH($D73,'十五音-韻母'!$E$5:$E$54,0),0)))</f>
        <v>0</v>
      </c>
      <c r="G73" s="122">
        <f t="shared" si="2"/>
        <v>0</v>
      </c>
      <c r="H73" s="399" t="str" cm="1">
        <f t="array" ref="H73" xml:space="preserve"> IF(E73&lt;&gt;0, INDEX(十五音韻母對照表, E73, $G73), IF(G73&lt;&gt;0, INDEX(十五音韻母對照表, F73, $G73), ""))</f>
        <v/>
      </c>
      <c r="I73" s="122">
        <f t="shared" si="3"/>
        <v>0</v>
      </c>
      <c r="J73" s="402" t="str" cm="1">
        <f t="array" ref="J73" xml:space="preserve"> IF($E73&lt;&gt;0, INDEX(十五音韻母對照表, $E73, $I73), IF($F73&lt;&gt;0, INDEX(十五音韻母對照表, $F73, $I73), ""))</f>
        <v/>
      </c>
    </row>
    <row r="74" spans="2:10" ht="42">
      <c r="B74" s="107">
        <v>66</v>
      </c>
      <c r="C74" s="134" t="s">
        <v>2367</v>
      </c>
      <c r="D74" s="399" t="s">
        <v>416</v>
      </c>
      <c r="E74" s="122">
        <f xml:space="preserve"> IFERROR( MATCH($D74,'十五音-韻母'!$D$5:$D$54,0), 0)</f>
        <v>0</v>
      </c>
      <c r="F74" s="122">
        <f>IF(E74&lt;&gt;0,"",(IFERROR(MATCH($D74,'十五音-韻母'!$E$5:$E$54,0),0)))</f>
        <v>27</v>
      </c>
      <c r="G74" s="122">
        <f t="shared" si="2"/>
        <v>14</v>
      </c>
      <c r="H74" s="399" t="str" cm="1">
        <f t="array" ref="H74" xml:space="preserve"> IF(E74&lt;&gt;0, INDEX(十五音韻母對照表, E74, $G74), IF(G74&lt;&gt;0, INDEX(十五音韻母對照表, F74, $G74), ""))</f>
        <v>ㄨㆷ</v>
      </c>
      <c r="I74" s="122">
        <f t="shared" si="3"/>
        <v>6</v>
      </c>
      <c r="J74" s="402" t="str" cm="1">
        <f t="array" ref="J74" xml:space="preserve"> IF($E74&lt;&gt;0, INDEX(十五音韻母對照表, $E74, $I74), IF($F74&lt;&gt;0, INDEX(十五音韻母對照表, $F74, $I74), ""))</f>
        <v>u?</v>
      </c>
    </row>
    <row r="75" spans="2:10" ht="42">
      <c r="B75" s="107">
        <v>67</v>
      </c>
      <c r="C75" s="134" t="s">
        <v>2368</v>
      </c>
      <c r="D75" s="399" t="s">
        <v>340</v>
      </c>
      <c r="E75" s="122">
        <f xml:space="preserve"> IFERROR( MATCH($D75,'十五音-韻母'!$D$5:$D$54,0), 0)</f>
        <v>20</v>
      </c>
      <c r="F75" s="122" t="str">
        <f>IF(E75&lt;&gt;0,"",(IFERROR(MATCH($D75,'十五音-韻母'!$E$5:$E$54,0),0)))</f>
        <v/>
      </c>
      <c r="G75" s="122">
        <f t="shared" si="2"/>
        <v>13</v>
      </c>
      <c r="H75" s="399" t="str" cm="1">
        <f t="array" ref="H75" xml:space="preserve"> IF(E75&lt;&gt;0, INDEX(十五音韻母對照表, E75, $G75), IF(G75&lt;&gt;0, INDEX(十五音韻母對照表, F75, $G75), ""))</f>
        <v>ㄨㄚ</v>
      </c>
      <c r="I75" s="122">
        <f t="shared" si="3"/>
        <v>5</v>
      </c>
      <c r="J75" s="402" t="str" cm="1">
        <f t="array" ref="J75" xml:space="preserve"> IF($E75&lt;&gt;0, INDEX(十五音韻母對照表, $E75, $I75), IF($F75&lt;&gt;0, INDEX(十五音韻母對照表, $F75, $I75), ""))</f>
        <v>ua</v>
      </c>
    </row>
    <row r="76" spans="2:10" ht="42">
      <c r="B76" s="107">
        <v>68</v>
      </c>
      <c r="C76" s="134" t="s">
        <v>2369</v>
      </c>
      <c r="D76" s="399" t="s">
        <v>532</v>
      </c>
      <c r="E76" s="122">
        <f xml:space="preserve"> IFERROR( MATCH($D76,'十五音-韻母'!$D$5:$D$54,0), 0)</f>
        <v>37</v>
      </c>
      <c r="F76" s="122" t="str">
        <f>IF(E76&lt;&gt;0,"",(IFERROR(MATCH($D76,'十五音-韻母'!$E$5:$E$54,0),0)))</f>
        <v/>
      </c>
      <c r="G76" s="122">
        <f t="shared" si="2"/>
        <v>13</v>
      </c>
      <c r="H76" s="399" t="str" cm="1">
        <f t="array" ref="H76" xml:space="preserve"> IF(E76&lt;&gt;0, INDEX(十五音韻母對照表, E76, $G76), IF(G76&lt;&gt;0, INDEX(十五音韻母對照表, F76, $G76), ""))</f>
        <v>ㄨㆩ</v>
      </c>
      <c r="I76" s="122">
        <f t="shared" si="3"/>
        <v>5</v>
      </c>
      <c r="J76" s="402" t="str" cm="1">
        <f t="array" ref="J76" xml:space="preserve"> IF($E76&lt;&gt;0, INDEX(十五音韻母對照表, $E76, $I76), IF($F76&lt;&gt;0, INDEX(十五音韻母對照表, $F76, $I76), ""))</f>
        <v>ũã</v>
      </c>
    </row>
    <row r="77" spans="2:10" ht="42">
      <c r="B77" s="107">
        <v>69</v>
      </c>
      <c r="C77" s="134" t="s">
        <v>2370</v>
      </c>
      <c r="D77" s="399" t="s">
        <v>341</v>
      </c>
      <c r="E77" s="122">
        <f xml:space="preserve"> IFERROR( MATCH($D77,'十五音-韻母'!$D$5:$D$54,0), 0)</f>
        <v>0</v>
      </c>
      <c r="F77" s="122">
        <f>IF(E77&lt;&gt;0,"",(IFERROR(MATCH($D77,'十五音-韻母'!$E$5:$E$54,0),0)))</f>
        <v>20</v>
      </c>
      <c r="G77" s="122">
        <f t="shared" si="2"/>
        <v>14</v>
      </c>
      <c r="H77" s="399" t="str" cm="1">
        <f t="array" ref="H77" xml:space="preserve"> IF(E77&lt;&gt;0, INDEX(十五音韻母對照表, E77, $G77), IF(G77&lt;&gt;0, INDEX(十五音韻母對照表, F77, $G77), ""))</f>
        <v>ㄨㄚㆷ</v>
      </c>
      <c r="I77" s="122">
        <f t="shared" si="3"/>
        <v>6</v>
      </c>
      <c r="J77" s="402" t="str" cm="1">
        <f t="array" ref="J77" xml:space="preserve"> IF($E77&lt;&gt;0, INDEX(十五音韻母對照表, $E77, $I77), IF($F77&lt;&gt;0, INDEX(十五音韻母對照表, $F77, $I77), ""))</f>
        <v>ua?</v>
      </c>
    </row>
    <row r="78" spans="2:10" ht="42">
      <c r="B78" s="107">
        <v>70</v>
      </c>
      <c r="C78" s="134" t="s">
        <v>2371</v>
      </c>
      <c r="D78" s="399" t="s">
        <v>389</v>
      </c>
      <c r="E78" s="122">
        <f xml:space="preserve"> IFERROR( MATCH($D78,'十五音-韻母'!$D$5:$D$54,0), 0)</f>
        <v>25</v>
      </c>
      <c r="F78" s="122" t="str">
        <f>IF(E78&lt;&gt;0,"",(IFERROR(MATCH($D78,'十五音-韻母'!$E$5:$E$54,0),0)))</f>
        <v/>
      </c>
      <c r="G78" s="122">
        <f t="shared" si="2"/>
        <v>13</v>
      </c>
      <c r="H78" s="399" t="str" cm="1">
        <f t="array" ref="H78" xml:space="preserve"> IF(E78&lt;&gt;0, INDEX(十五音韻母對照表, E78, $G78), IF(G78&lt;&gt;0, INDEX(十五音韻母對照表, F78, $G78), ""))</f>
        <v>ㄨㆤ</v>
      </c>
      <c r="I78" s="122">
        <f t="shared" si="3"/>
        <v>5</v>
      </c>
      <c r="J78" s="402" t="str" cm="1">
        <f t="array" ref="J78" xml:space="preserve"> IF($E78&lt;&gt;0, INDEX(十五音韻母對照表, $E78, $I78), IF($F78&lt;&gt;0, INDEX(十五音韻母對照表, $F78, $I78), ""))</f>
        <v>ue</v>
      </c>
    </row>
    <row r="79" spans="2:10" ht="42">
      <c r="B79" s="107">
        <v>71</v>
      </c>
      <c r="C79" s="135" t="s">
        <v>2372</v>
      </c>
      <c r="D79" s="399" t="s">
        <v>3623</v>
      </c>
      <c r="E79" s="122">
        <f xml:space="preserve"> IFERROR( MATCH($D79,'十五音-韻母'!$D$5:$D$54,0), 0)</f>
        <v>45</v>
      </c>
      <c r="F79" s="122" t="str">
        <f>IF(E79&lt;&gt;0,"",(IFERROR(MATCH($D79,'十五音-韻母'!$E$5:$E$54,0),0)))</f>
        <v/>
      </c>
      <c r="G79" s="122">
        <f t="shared" si="2"/>
        <v>13</v>
      </c>
      <c r="H79" s="399" t="str" cm="1">
        <f t="array" ref="H79" xml:space="preserve"> IF(E79&lt;&gt;0, INDEX(十五音韻母對照表, E79, $G79), IF(G79&lt;&gt;0, INDEX(十五音韻母對照表, F79, $G79), ""))</f>
        <v>ㄨㆥ</v>
      </c>
      <c r="I79" s="122">
        <f t="shared" si="3"/>
        <v>5</v>
      </c>
      <c r="J79" s="402" t="str" cm="1">
        <f t="array" ref="J79" xml:space="preserve"> IF($E79&lt;&gt;0, INDEX(十五音韻母對照表, $E79, $I79), IF($F79&lt;&gt;0, INDEX(十五音韻母對照表, $F79, $I79), ""))</f>
        <v>ũẽ</v>
      </c>
    </row>
    <row r="80" spans="2:10" ht="42">
      <c r="B80" s="107">
        <v>72</v>
      </c>
      <c r="C80" s="134" t="s">
        <v>2373</v>
      </c>
      <c r="D80" s="399" t="s">
        <v>390</v>
      </c>
      <c r="E80" s="122">
        <f xml:space="preserve"> IFERROR( MATCH($D80,'十五音-韻母'!$D$5:$D$54,0), 0)</f>
        <v>0</v>
      </c>
      <c r="F80" s="122">
        <f>IF(E80&lt;&gt;0,"",(IFERROR(MATCH($D80,'十五音-韻母'!$E$5:$E$54,0),0)))</f>
        <v>25</v>
      </c>
      <c r="G80" s="122">
        <f t="shared" si="2"/>
        <v>14</v>
      </c>
      <c r="H80" s="399" t="str" cm="1">
        <f t="array" ref="H80" xml:space="preserve"> IF(E80&lt;&gt;0, INDEX(十五音韻母對照表, E80, $G80), IF(G80&lt;&gt;0, INDEX(十五音韻母對照表, F80, $G80), ""))</f>
        <v>ㄨㆤㆷ</v>
      </c>
      <c r="I80" s="122">
        <f t="shared" si="3"/>
        <v>6</v>
      </c>
      <c r="J80" s="402" t="str" cm="1">
        <f t="array" ref="J80" xml:space="preserve"> IF($E80&lt;&gt;0, INDEX(十五音韻母對照表, $E80, $I80), IF($F80&lt;&gt;0, INDEX(十五音韻母對照表, $F80, $I80), ""))</f>
        <v>ue?</v>
      </c>
    </row>
    <row r="81" spans="2:10" ht="42">
      <c r="B81" s="107">
        <v>73</v>
      </c>
      <c r="C81" s="135" t="s">
        <v>631</v>
      </c>
      <c r="D81" s="399" t="s">
        <v>3624</v>
      </c>
      <c r="E81" s="122">
        <f xml:space="preserve"> IFERROR( MATCH($D81,'十五音-韻母'!$D$5:$D$54,0), 0)</f>
        <v>0</v>
      </c>
      <c r="F81" s="122">
        <f>IF(E81&lt;&gt;0,"",(IFERROR(MATCH($D81,'十五音-韻母'!$E$5:$E$54,0),0)))</f>
        <v>45</v>
      </c>
      <c r="G81" s="122">
        <f t="shared" si="2"/>
        <v>14</v>
      </c>
      <c r="H81" s="399" t="str" cm="1">
        <f t="array" ref="H81" xml:space="preserve"> IF(E81&lt;&gt;0, INDEX(十五音韻母對照表, E81, $G81), IF(G81&lt;&gt;0, INDEX(十五音韻母對照表, F81, $G81), ""))</f>
        <v>ㄨㆥㆷ</v>
      </c>
      <c r="I81" s="122">
        <f t="shared" si="3"/>
        <v>6</v>
      </c>
      <c r="J81" s="402" t="str" cm="1">
        <f t="array" ref="J81" xml:space="preserve"> IF($E81&lt;&gt;0, INDEX(十五音韻母對照表, $E81, $I81), IF($F81&lt;&gt;0, INDEX(十五音韻母對照表, $F81, $I81), ""))</f>
        <v>ũẽ?</v>
      </c>
    </row>
    <row r="82" spans="2:10" ht="42">
      <c r="B82" s="107">
        <v>74</v>
      </c>
      <c r="C82" s="134" t="s">
        <v>181</v>
      </c>
      <c r="D82" s="399" t="s">
        <v>178</v>
      </c>
      <c r="E82" s="122">
        <f xml:space="preserve"> IFERROR( MATCH($D82,'十五音-韻母'!$D$5:$D$54,0), 0)</f>
        <v>4</v>
      </c>
      <c r="F82" s="122" t="str">
        <f>IF(E82&lt;&gt;0,"",(IFERROR(MATCH($D82,'十五音-韻母'!$E$5:$E$54,0),0)))</f>
        <v/>
      </c>
      <c r="G82" s="122">
        <f t="shared" si="2"/>
        <v>13</v>
      </c>
      <c r="H82" s="399" t="str" cm="1">
        <f t="array" ref="H82" xml:space="preserve"> IF(E82&lt;&gt;0, INDEX(十五音韻母對照表, E82, $G82), IF(G82&lt;&gt;0, INDEX(十五音韻母對照表, F82, $G82), ""))</f>
        <v>ㄨㄧ</v>
      </c>
      <c r="I82" s="122">
        <f t="shared" si="3"/>
        <v>5</v>
      </c>
      <c r="J82" s="402" t="str" cm="1">
        <f t="array" ref="J82" xml:space="preserve"> IF($E82&lt;&gt;0, INDEX(十五音韻母對照表, $E82, $I82), IF($F82&lt;&gt;0, INDEX(十五音韻母對照表, $F82, $I82), ""))</f>
        <v>ui</v>
      </c>
    </row>
    <row r="83" spans="2:10" ht="42">
      <c r="B83" s="107">
        <v>75</v>
      </c>
      <c r="C83" s="135" t="s">
        <v>2374</v>
      </c>
      <c r="D83" s="399" t="s">
        <v>2059</v>
      </c>
      <c r="E83" s="122">
        <f xml:space="preserve"> IFERROR( MATCH($D83,'十五音-韻母'!$D$5:$D$54,0), 0)</f>
        <v>32</v>
      </c>
      <c r="F83" s="122" t="str">
        <f>IF(E83&lt;&gt;0,"",(IFERROR(MATCH($D83,'十五音-韻母'!$E$5:$E$54,0),0)))</f>
        <v/>
      </c>
      <c r="G83" s="122">
        <f t="shared" si="2"/>
        <v>13</v>
      </c>
      <c r="H83" s="399" t="str" cm="1">
        <f t="array" ref="H83" xml:space="preserve"> IF(E83&lt;&gt;0, INDEX(十五音韻母對照表, E83, $G83), IF(G83&lt;&gt;0, INDEX(十五音韻母對照表, F83, $G83), ""))</f>
        <v>ㄨㆪ</v>
      </c>
      <c r="I83" s="122">
        <f t="shared" si="3"/>
        <v>5</v>
      </c>
      <c r="J83" s="402" t="str" cm="1">
        <f t="array" ref="J83" xml:space="preserve"> IF($E83&lt;&gt;0, INDEX(十五音韻母對照表, $E83, $I83), IF($F83&lt;&gt;0, INDEX(十五音韻母對照表, $F83, $I83), ""))</f>
        <v>ũĩ</v>
      </c>
    </row>
    <row r="84" spans="2:10" ht="42">
      <c r="B84" s="107">
        <v>76</v>
      </c>
      <c r="C84" s="135" t="s">
        <v>182</v>
      </c>
      <c r="D84" s="399" t="s">
        <v>442</v>
      </c>
      <c r="E84" s="122">
        <f xml:space="preserve"> IFERROR( MATCH($D84,'十五音-韻母'!$D$5:$D$54,0), 0)</f>
        <v>0</v>
      </c>
      <c r="F84" s="122">
        <f>IF(E84&lt;&gt;0,"",(IFERROR(MATCH($D84,'十五音-韻母'!$E$5:$E$54,0),0)))</f>
        <v>30</v>
      </c>
      <c r="G84" s="122">
        <f t="shared" si="2"/>
        <v>14</v>
      </c>
      <c r="H84" s="399" t="str" cm="1">
        <f t="array" ref="H84" xml:space="preserve"> IF(E84&lt;&gt;0, INDEX(十五音韻母對照表, E84, $G84), IF(G84&lt;&gt;0, INDEX(十五音韻母對照表, F84, $G84), ""))</f>
        <v>ㄧㄨㆷ</v>
      </c>
      <c r="I84" s="122">
        <f t="shared" si="3"/>
        <v>6</v>
      </c>
      <c r="J84" s="402" t="str" cm="1">
        <f t="array" ref="J84" xml:space="preserve"> IF($E84&lt;&gt;0, INDEX(十五音韻母對照表, $E84, $I84), IF($F84&lt;&gt;0, INDEX(十五音韻母對照表, $F84, $I84), ""))</f>
        <v>iu?</v>
      </c>
    </row>
    <row r="85" spans="2:10" ht="42">
      <c r="B85" s="107">
        <v>77</v>
      </c>
      <c r="C85" s="134" t="s">
        <v>2375</v>
      </c>
      <c r="D85" s="399" t="s">
        <v>220</v>
      </c>
      <c r="E85" s="122">
        <f xml:space="preserve"> IFERROR( MATCH($D85,'十五音-韻母'!$D$5:$D$54,0), 0)</f>
        <v>8</v>
      </c>
      <c r="F85" s="122" t="str">
        <f>IF(E85&lt;&gt;0,"",(IFERROR(MATCH($D85,'十五音-韻母'!$E$5:$E$54,0),0)))</f>
        <v/>
      </c>
      <c r="G85" s="122">
        <f t="shared" si="2"/>
        <v>13</v>
      </c>
      <c r="H85" s="399" t="str" cm="1">
        <f t="array" ref="H85" xml:space="preserve"> IF(E85&lt;&gt;0, INDEX(十五音韻母對照表, E85, $G85), IF(G85&lt;&gt;0, INDEX(十五音韻母對照表, F85, $G85), ""))</f>
        <v>ㄨㄞ</v>
      </c>
      <c r="I85" s="122">
        <f t="shared" si="3"/>
        <v>5</v>
      </c>
      <c r="J85" s="402" t="str" cm="1">
        <f t="array" ref="J85" xml:space="preserve"> IF($E85&lt;&gt;0, INDEX(十五音韻母對照表, $E85, $I85), IF($F85&lt;&gt;0, INDEX(十五音韻母對照表, $F85, $I85), ""))</f>
        <v>uai</v>
      </c>
    </row>
    <row r="86" spans="2:10" ht="42">
      <c r="B86" s="107">
        <v>78</v>
      </c>
      <c r="C86" s="134" t="s">
        <v>2376</v>
      </c>
      <c r="D86" s="399" t="s">
        <v>610</v>
      </c>
      <c r="E86" s="122">
        <f xml:space="preserve"> IFERROR( MATCH($D86,'十五音-韻母'!$D$5:$D$54,0), 0)</f>
        <v>44</v>
      </c>
      <c r="F86" s="122" t="str">
        <f>IF(E86&lt;&gt;0,"",(IFERROR(MATCH($D86,'十五音-韻母'!$E$5:$E$54,0),0)))</f>
        <v/>
      </c>
      <c r="G86" s="122">
        <f t="shared" si="2"/>
        <v>13</v>
      </c>
      <c r="H86" s="399" t="str" cm="1">
        <f t="array" ref="H86" xml:space="preserve"> IF(E86&lt;&gt;0, INDEX(十五音韻母對照表, E86, $G86), IF(G86&lt;&gt;0, INDEX(十五音韻母對照表, F86, $G86), ""))</f>
        <v>ㄨㆮ</v>
      </c>
      <c r="I86" s="122">
        <f t="shared" si="3"/>
        <v>5</v>
      </c>
      <c r="J86" s="402" t="str" cm="1">
        <f t="array" ref="J86" xml:space="preserve"> IF($E86&lt;&gt;0, INDEX(十五音韻母對照表, $E86, $I86), IF($F86&lt;&gt;0, INDEX(十五音韻母對照表, $F86, $I86), ""))</f>
        <v>ũãĩ</v>
      </c>
    </row>
    <row r="87" spans="2:10" ht="42">
      <c r="B87" s="107">
        <v>79</v>
      </c>
      <c r="C87" s="134" t="s">
        <v>2376</v>
      </c>
      <c r="D87" s="399" t="s">
        <v>610</v>
      </c>
      <c r="E87" s="122">
        <f xml:space="preserve"> IFERROR( MATCH($D87,'十五音-韻母'!$D$5:$D$54,0), 0)</f>
        <v>44</v>
      </c>
      <c r="F87" s="122" t="str">
        <f>IF(E87&lt;&gt;0,"",(IFERROR(MATCH($D87,'十五音-韻母'!$E$5:$E$54,0),0)))</f>
        <v/>
      </c>
      <c r="G87" s="122">
        <f t="shared" si="2"/>
        <v>13</v>
      </c>
      <c r="H87" s="399" t="str" cm="1">
        <f t="array" ref="H87" xml:space="preserve"> IF(E87&lt;&gt;0, INDEX(十五音韻母對照表, E87, $G87), IF(G87&lt;&gt;0, INDEX(十五音韻母對照表, F87, $G87), ""))</f>
        <v>ㄨㆮ</v>
      </c>
      <c r="I87" s="122">
        <f t="shared" si="3"/>
        <v>5</v>
      </c>
      <c r="J87" s="402" t="str" cm="1">
        <f t="array" ref="J87" xml:space="preserve"> IF($E87&lt;&gt;0, INDEX(十五音韻母對照表, $E87, $I87), IF($F87&lt;&gt;0, INDEX(十五音韻母對照表, $F87, $I87), ""))</f>
        <v>ũãĩ</v>
      </c>
    </row>
    <row r="88" spans="2:10" ht="42">
      <c r="B88" s="107">
        <v>80</v>
      </c>
      <c r="C88" s="134" t="s">
        <v>2377</v>
      </c>
      <c r="D88" s="399" t="s">
        <v>153</v>
      </c>
      <c r="E88" s="122">
        <f xml:space="preserve"> IFERROR( MATCH($D88,'十五音-韻母'!$D$5:$D$54,0), 0)</f>
        <v>1</v>
      </c>
      <c r="F88" s="122" t="str">
        <f>IF(E88&lt;&gt;0,"",(IFERROR(MATCH($D88,'十五音-韻母'!$E$5:$E$54,0),0)))</f>
        <v/>
      </c>
      <c r="G88" s="122">
        <f t="shared" si="2"/>
        <v>13</v>
      </c>
      <c r="H88" s="399" t="str" cm="1">
        <f t="array" ref="H88" xml:space="preserve"> IF(E88&lt;&gt;0, INDEX(十五音韻母對照表, E88, $G88), IF(G88&lt;&gt;0, INDEX(十五音韻母對照表, F88, $G88), ""))</f>
        <v>ㄨㄣ</v>
      </c>
      <c r="I88" s="122">
        <f t="shared" si="3"/>
        <v>5</v>
      </c>
      <c r="J88" s="402" t="str" cm="1">
        <f t="array" ref="J88" xml:space="preserve"> IF($E88&lt;&gt;0, INDEX(十五音韻母對照表, $E88, $I88), IF($F88&lt;&gt;0, INDEX(十五音韻母對照表, $F88, $I88), ""))</f>
        <v>un</v>
      </c>
    </row>
    <row r="89" spans="2:10" ht="42">
      <c r="B89" s="107">
        <v>81</v>
      </c>
      <c r="C89" s="134" t="s">
        <v>2378</v>
      </c>
      <c r="D89" s="399" t="s">
        <v>154</v>
      </c>
      <c r="E89" s="122">
        <f xml:space="preserve"> IFERROR( MATCH($D89,'十五音-韻母'!$D$5:$D$54,0), 0)</f>
        <v>0</v>
      </c>
      <c r="F89" s="122">
        <f>IF(E89&lt;&gt;0,"",(IFERROR(MATCH($D89,'十五音-韻母'!$E$5:$E$54,0),0)))</f>
        <v>1</v>
      </c>
      <c r="G89" s="122">
        <f t="shared" si="2"/>
        <v>14</v>
      </c>
      <c r="H89" s="399" t="str" cm="1">
        <f t="array" ref="H89" xml:space="preserve"> IF(E89&lt;&gt;0, INDEX(十五音韻母對照表, E89, $G89), IF(G89&lt;&gt;0, INDEX(十五音韻母對照表, F89, $G89), ""))</f>
        <v>ㄨㆵ</v>
      </c>
      <c r="I89" s="122">
        <f t="shared" si="3"/>
        <v>6</v>
      </c>
      <c r="J89" s="402" t="str" cm="1">
        <f t="array" ref="J89" xml:space="preserve"> IF($E89&lt;&gt;0, INDEX(十五音韻母對照表, $E89, $I89), IF($F89&lt;&gt;0, INDEX(十五音韻母對照表, $F89, $I89), ""))</f>
        <v>ut̚</v>
      </c>
    </row>
    <row r="90" spans="2:10" ht="42">
      <c r="B90" s="107">
        <v>82</v>
      </c>
      <c r="C90" s="134" t="s">
        <v>2379</v>
      </c>
      <c r="D90" s="399" t="s">
        <v>241</v>
      </c>
      <c r="E90" s="122">
        <f xml:space="preserve"> IFERROR( MATCH($D90,'十五音-韻母'!$D$5:$D$54,0), 0)</f>
        <v>10</v>
      </c>
      <c r="F90" s="122" t="str">
        <f>IF(E90&lt;&gt;0,"",(IFERROR(MATCH($D90,'十五音-韻母'!$E$5:$E$54,0),0)))</f>
        <v/>
      </c>
      <c r="G90" s="122">
        <f t="shared" si="2"/>
        <v>13</v>
      </c>
      <c r="H90" s="399" t="str" cm="1">
        <f t="array" ref="H90" xml:space="preserve"> IF(E90&lt;&gt;0, INDEX(十五音韻母對照表, E90, $G90), IF(G90&lt;&gt;0, INDEX(十五音韻母對照表, F90, $G90), ""))</f>
        <v>ㄨㄢ</v>
      </c>
      <c r="I90" s="122">
        <f t="shared" si="3"/>
        <v>5</v>
      </c>
      <c r="J90" s="402" t="str" cm="1">
        <f t="array" ref="J90" xml:space="preserve"> IF($E90&lt;&gt;0, INDEX(十五音韻母對照表, $E90, $I90), IF($F90&lt;&gt;0, INDEX(十五音韻母對照表, $F90, $I90), ""))</f>
        <v>uan</v>
      </c>
    </row>
    <row r="91" spans="2:10" ht="42">
      <c r="B91" s="107">
        <v>83</v>
      </c>
      <c r="C91" s="134" t="s">
        <v>2380</v>
      </c>
      <c r="D91" s="399" t="s">
        <v>242</v>
      </c>
      <c r="E91" s="122">
        <f xml:space="preserve"> IFERROR( MATCH($D91,'十五音-韻母'!$D$5:$D$54,0), 0)</f>
        <v>0</v>
      </c>
      <c r="F91" s="122">
        <f>IF(E91&lt;&gt;0,"",(IFERROR(MATCH($D91,'十五音-韻母'!$E$5:$E$54,0),0)))</f>
        <v>10</v>
      </c>
      <c r="G91" s="122">
        <f t="shared" si="2"/>
        <v>14</v>
      </c>
      <c r="H91" s="399" t="str" cm="1">
        <f t="array" ref="H91" xml:space="preserve"> IF(E91&lt;&gt;0, INDEX(十五音韻母對照表, E91, $G91), IF(G91&lt;&gt;0, INDEX(十五音韻母對照表, F91, $G91), ""))</f>
        <v>ㄨㄚㆵ</v>
      </c>
      <c r="I91" s="122">
        <f t="shared" si="3"/>
        <v>6</v>
      </c>
      <c r="J91" s="402" t="str" cm="1">
        <f t="array" ref="J91" xml:space="preserve"> IF($E91&lt;&gt;0, INDEX(十五音韻母對照表, $E91, $I91), IF($F91&lt;&gt;0, INDEX(十五音韻母對照表, $F91, $I91), ""))</f>
        <v>uat̚</v>
      </c>
    </row>
    <row r="92" spans="2:10" ht="42">
      <c r="B92" s="107">
        <v>84</v>
      </c>
      <c r="C92" s="134" t="s">
        <v>2381</v>
      </c>
      <c r="D92" s="399" t="s">
        <v>598</v>
      </c>
      <c r="E92" s="122">
        <f xml:space="preserve"> IFERROR( MATCH($D92,'十五音-韻母'!$D$5:$D$54,0), 0)</f>
        <v>43</v>
      </c>
      <c r="F92" s="122" t="str">
        <f>IF(E92&lt;&gt;0,"",(IFERROR(MATCH($D92,'十五音-韻母'!$E$5:$E$54,0),0)))</f>
        <v/>
      </c>
      <c r="G92" s="122">
        <f t="shared" si="2"/>
        <v>13</v>
      </c>
      <c r="H92" s="399" t="str" cm="1">
        <f t="array" ref="H92" xml:space="preserve"> IF(E92&lt;&gt;0, INDEX(十五音韻母對照表, E92, $G92), IF(G92&lt;&gt;0, INDEX(十五音韻母對照表, F92, $G92), ""))</f>
        <v>ㄨㄤ</v>
      </c>
      <c r="I92" s="122">
        <f t="shared" si="3"/>
        <v>5</v>
      </c>
      <c r="J92" s="402" t="str" cm="1">
        <f t="array" ref="J92" xml:space="preserve"> IF($E92&lt;&gt;0, INDEX(十五音韻母對照表, $E92, $I92), IF($F92&lt;&gt;0, INDEX(十五音韻母對照表, $F92, $I92), ""))</f>
        <v>uaŋ</v>
      </c>
    </row>
  </sheetData>
  <mergeCells count="4">
    <mergeCell ref="O6:Q6"/>
    <mergeCell ref="S6:U6"/>
    <mergeCell ref="AD6:AF6"/>
    <mergeCell ref="Z6:AB6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970F-1B06-734E-9B4B-E256F34F91A4}">
  <sheetPr codeName="工作表29">
    <tabColor rgb="FFFFFF00"/>
  </sheetPr>
  <dimension ref="B2:U27"/>
  <sheetViews>
    <sheetView workbookViewId="0"/>
  </sheetViews>
  <sheetFormatPr baseColWidth="10" defaultColWidth="10.69921875" defaultRowHeight="27"/>
  <cols>
    <col min="1" max="1" width="4.296875" style="274" customWidth="1"/>
    <col min="2" max="2" width="11.3984375" style="174" customWidth="1"/>
    <col min="3" max="10" width="11.3984375" style="274" customWidth="1"/>
    <col min="11" max="15" width="6.59765625" style="274" customWidth="1"/>
    <col min="16" max="17" width="8" style="274" customWidth="1"/>
    <col min="18" max="18" width="8" style="174" customWidth="1"/>
    <col min="19" max="16384" width="10.69921875" style="274"/>
  </cols>
  <sheetData>
    <row r="2" spans="2:21">
      <c r="B2" s="285" t="s">
        <v>2448</v>
      </c>
      <c r="C2" s="285" t="s">
        <v>2449</v>
      </c>
      <c r="D2" s="285" t="s">
        <v>2450</v>
      </c>
      <c r="E2" s="285" t="s">
        <v>2451</v>
      </c>
      <c r="F2" s="285" t="s">
        <v>2452</v>
      </c>
      <c r="S2" s="285" t="s">
        <v>2448</v>
      </c>
      <c r="T2" s="285" t="s">
        <v>2449</v>
      </c>
      <c r="U2" s="285" t="s">
        <v>2450</v>
      </c>
    </row>
    <row r="3" spans="2:21" s="174" customFormat="1" ht="30" customHeight="1">
      <c r="B3" s="175">
        <v>1</v>
      </c>
      <c r="C3" s="270" t="s">
        <v>2453</v>
      </c>
      <c r="D3" s="175">
        <v>1</v>
      </c>
      <c r="E3" s="175" t="s">
        <v>2454</v>
      </c>
      <c r="F3" s="175">
        <v>44</v>
      </c>
      <c r="H3" s="275"/>
      <c r="I3" s="275"/>
      <c r="J3" s="275"/>
      <c r="K3" s="275"/>
      <c r="L3" s="275"/>
      <c r="M3" s="275"/>
      <c r="N3" s="275"/>
      <c r="Q3" s="276"/>
      <c r="R3" s="276"/>
      <c r="S3" s="175">
        <v>1</v>
      </c>
      <c r="T3" s="270" t="s">
        <v>2453</v>
      </c>
      <c r="U3" s="175">
        <v>1</v>
      </c>
    </row>
    <row r="4" spans="2:21" ht="30" customHeight="1">
      <c r="B4" s="175">
        <v>2</v>
      </c>
      <c r="C4" s="270" t="s">
        <v>2455</v>
      </c>
      <c r="D4" s="175">
        <v>3</v>
      </c>
      <c r="E4" s="273" t="s">
        <v>2456</v>
      </c>
      <c r="F4" s="175">
        <v>53</v>
      </c>
      <c r="Q4" s="276"/>
      <c r="R4" s="276"/>
      <c r="S4" s="175">
        <v>2</v>
      </c>
      <c r="T4" s="270" t="s">
        <v>2455</v>
      </c>
      <c r="U4" s="175">
        <v>3</v>
      </c>
    </row>
    <row r="5" spans="2:21" ht="30" customHeight="1">
      <c r="B5" s="175">
        <v>3</v>
      </c>
      <c r="C5" s="270" t="s">
        <v>2457</v>
      </c>
      <c r="D5" s="175">
        <v>5</v>
      </c>
      <c r="E5" s="273" t="s">
        <v>2458</v>
      </c>
      <c r="F5" s="175">
        <v>21</v>
      </c>
      <c r="H5" s="275"/>
      <c r="I5" s="275"/>
      <c r="J5" s="275"/>
      <c r="K5" s="275"/>
      <c r="L5" s="275"/>
      <c r="M5" s="275"/>
      <c r="N5" s="275"/>
      <c r="Q5" s="276"/>
      <c r="R5" s="276"/>
      <c r="S5" s="175">
        <v>3</v>
      </c>
      <c r="T5" s="270" t="s">
        <v>2457</v>
      </c>
      <c r="U5" s="175">
        <v>5</v>
      </c>
    </row>
    <row r="6" spans="2:21" ht="30" customHeight="1">
      <c r="B6" s="175">
        <v>4</v>
      </c>
      <c r="C6" s="270" t="s">
        <v>2459</v>
      </c>
      <c r="D6" s="175">
        <v>7</v>
      </c>
      <c r="E6" s="175" t="s">
        <v>2460</v>
      </c>
      <c r="F6" s="175" t="s">
        <v>2461</v>
      </c>
      <c r="Q6" s="276"/>
      <c r="R6" s="276"/>
      <c r="S6" s="175">
        <v>4</v>
      </c>
      <c r="T6" s="270" t="s">
        <v>2459</v>
      </c>
      <c r="U6" s="175">
        <v>7</v>
      </c>
    </row>
    <row r="7" spans="2:21" ht="30" customHeight="1">
      <c r="B7" s="175">
        <v>5</v>
      </c>
      <c r="C7" s="270" t="s">
        <v>2462</v>
      </c>
      <c r="D7" s="175">
        <v>2</v>
      </c>
      <c r="E7" s="175" t="s">
        <v>1751</v>
      </c>
      <c r="F7" s="175">
        <v>24</v>
      </c>
      <c r="Q7" s="276"/>
      <c r="R7" s="276"/>
      <c r="S7" s="175">
        <v>5</v>
      </c>
      <c r="T7" s="270" t="s">
        <v>2462</v>
      </c>
      <c r="U7" s="175">
        <v>2</v>
      </c>
    </row>
    <row r="8" spans="2:21" ht="30" customHeight="1">
      <c r="B8" s="175">
        <v>6</v>
      </c>
      <c r="C8" s="270" t="s">
        <v>2463</v>
      </c>
      <c r="D8" s="277">
        <v>4</v>
      </c>
      <c r="E8" s="277"/>
      <c r="F8" s="277"/>
      <c r="Q8" s="276"/>
      <c r="R8" s="276"/>
      <c r="S8" s="175">
        <v>6</v>
      </c>
      <c r="T8" s="270" t="s">
        <v>2463</v>
      </c>
      <c r="U8" s="277">
        <v>4</v>
      </c>
    </row>
    <row r="9" spans="2:21" ht="30" customHeight="1">
      <c r="B9" s="175">
        <v>7</v>
      </c>
      <c r="C9" s="270" t="s">
        <v>2464</v>
      </c>
      <c r="D9" s="175">
        <v>6</v>
      </c>
      <c r="E9" s="273" t="s">
        <v>2465</v>
      </c>
      <c r="F9" s="175">
        <v>33</v>
      </c>
      <c r="Q9" s="284"/>
      <c r="R9" s="276"/>
      <c r="S9" s="175">
        <v>7</v>
      </c>
      <c r="T9" s="270" t="s">
        <v>2464</v>
      </c>
      <c r="U9" s="175">
        <v>6</v>
      </c>
    </row>
    <row r="10" spans="2:21" ht="30" customHeight="1">
      <c r="B10" s="175">
        <v>8</v>
      </c>
      <c r="C10" s="270" t="s">
        <v>2466</v>
      </c>
      <c r="D10" s="175">
        <v>8</v>
      </c>
      <c r="E10" s="175" t="s">
        <v>2467</v>
      </c>
      <c r="F10" s="175" t="s">
        <v>2468</v>
      </c>
      <c r="Q10" s="276"/>
      <c r="R10" s="276"/>
      <c r="S10" s="175">
        <v>8</v>
      </c>
      <c r="T10" s="270" t="s">
        <v>2466</v>
      </c>
      <c r="U10" s="175">
        <v>8</v>
      </c>
    </row>
    <row r="12" spans="2:21">
      <c r="B12" s="274" t="s">
        <v>2469</v>
      </c>
    </row>
    <row r="13" spans="2:21" ht="85" customHeight="1">
      <c r="B13" s="425" t="s">
        <v>2470</v>
      </c>
      <c r="C13" s="425"/>
      <c r="D13" s="425"/>
      <c r="E13" s="425"/>
      <c r="F13" s="425"/>
      <c r="G13" s="425"/>
      <c r="H13" s="425"/>
      <c r="I13" s="425"/>
      <c r="J13" s="425"/>
      <c r="K13" s="425"/>
      <c r="L13" s="425"/>
      <c r="M13" s="425"/>
      <c r="N13" s="425"/>
      <c r="O13" s="425"/>
      <c r="P13" s="425"/>
    </row>
    <row r="14" spans="2:21">
      <c r="B14" s="274"/>
    </row>
    <row r="15" spans="2:21">
      <c r="B15" s="421" t="s">
        <v>2471</v>
      </c>
      <c r="C15" s="421"/>
      <c r="D15" s="421"/>
      <c r="E15" s="421"/>
      <c r="F15" s="421"/>
      <c r="G15" s="421"/>
      <c r="H15" s="421"/>
      <c r="I15" s="421"/>
      <c r="J15" s="421"/>
      <c r="L15" s="422" t="s">
        <v>2472</v>
      </c>
      <c r="M15" s="423"/>
      <c r="N15" s="424"/>
    </row>
    <row r="16" spans="2:21">
      <c r="B16" s="278" t="s">
        <v>2473</v>
      </c>
      <c r="C16" s="279" t="s">
        <v>2474</v>
      </c>
      <c r="D16" s="279" t="s">
        <v>2475</v>
      </c>
      <c r="E16" s="279" t="s">
        <v>2476</v>
      </c>
      <c r="F16" s="279" t="s">
        <v>2477</v>
      </c>
      <c r="G16" s="279" t="s">
        <v>2478</v>
      </c>
      <c r="H16" s="279" t="s">
        <v>2479</v>
      </c>
      <c r="I16" s="279" t="s">
        <v>2480</v>
      </c>
      <c r="J16" s="279" t="s">
        <v>1796</v>
      </c>
      <c r="L16" s="280" t="s">
        <v>2481</v>
      </c>
      <c r="M16" s="280" t="s">
        <v>2481</v>
      </c>
      <c r="N16" s="280" t="s">
        <v>2481</v>
      </c>
    </row>
    <row r="17" spans="2:14">
      <c r="B17" s="175" t="s">
        <v>2482</v>
      </c>
      <c r="C17" s="279" t="s">
        <v>1704</v>
      </c>
      <c r="D17" s="279" t="s">
        <v>1791</v>
      </c>
      <c r="E17" s="279" t="s">
        <v>2483</v>
      </c>
      <c r="F17" s="279" t="s">
        <v>1749</v>
      </c>
      <c r="G17" s="279" t="s">
        <v>1822</v>
      </c>
      <c r="H17" s="279" t="s">
        <v>1773</v>
      </c>
      <c r="I17" s="279" t="s">
        <v>1845</v>
      </c>
      <c r="J17" s="279" t="s">
        <v>1802</v>
      </c>
      <c r="L17" s="280" t="s">
        <v>1854</v>
      </c>
      <c r="M17" s="281" t="s">
        <v>1856</v>
      </c>
      <c r="N17" s="281" t="s">
        <v>2484</v>
      </c>
    </row>
    <row r="18" spans="2:14">
      <c r="B18" s="175" t="s">
        <v>2485</v>
      </c>
      <c r="C18" s="279" t="s">
        <v>2454</v>
      </c>
      <c r="D18" s="279" t="s">
        <v>1793</v>
      </c>
      <c r="E18" s="279" t="s">
        <v>1729</v>
      </c>
      <c r="F18" s="279" t="s">
        <v>1751</v>
      </c>
      <c r="G18" s="279" t="s">
        <v>1824</v>
      </c>
      <c r="H18" s="279" t="s">
        <v>2486</v>
      </c>
      <c r="I18" s="279" t="s">
        <v>2467</v>
      </c>
      <c r="J18" s="279" t="s">
        <v>1855</v>
      </c>
      <c r="L18" s="280" t="s">
        <v>2487</v>
      </c>
      <c r="M18" s="282"/>
      <c r="N18" s="282"/>
    </row>
    <row r="19" spans="2:14">
      <c r="B19" s="175" t="s">
        <v>2488</v>
      </c>
      <c r="C19" s="279">
        <v>44</v>
      </c>
      <c r="D19" s="279">
        <v>24</v>
      </c>
      <c r="E19" s="279">
        <v>53</v>
      </c>
      <c r="F19" s="279">
        <v>21</v>
      </c>
      <c r="G19" s="279">
        <v>33</v>
      </c>
      <c r="H19" s="279" t="s">
        <v>2489</v>
      </c>
      <c r="I19" s="279" t="s">
        <v>2468</v>
      </c>
      <c r="J19" s="279">
        <v>45</v>
      </c>
      <c r="L19" s="280">
        <v>55</v>
      </c>
      <c r="M19" s="280"/>
      <c r="N19" s="280"/>
    </row>
    <row r="20" spans="2:14">
      <c r="B20" s="274"/>
    </row>
    <row r="21" spans="2:14">
      <c r="B21" s="274" t="s">
        <v>2490</v>
      </c>
    </row>
    <row r="22" spans="2:14">
      <c r="B22" s="275" t="s">
        <v>2491</v>
      </c>
    </row>
    <row r="23" spans="2:14">
      <c r="B23" s="275" t="s">
        <v>2492</v>
      </c>
    </row>
    <row r="24" spans="2:14">
      <c r="B24" s="283" t="s">
        <v>2493</v>
      </c>
    </row>
    <row r="25" spans="2:14">
      <c r="B25" s="274" t="s">
        <v>2494</v>
      </c>
    </row>
    <row r="26" spans="2:14">
      <c r="B26" s="274" t="s">
        <v>2495</v>
      </c>
    </row>
    <row r="27" spans="2:14">
      <c r="B27" s="274" t="s">
        <v>2496</v>
      </c>
    </row>
  </sheetData>
  <mergeCells count="3">
    <mergeCell ref="B15:J15"/>
    <mergeCell ref="L15:N15"/>
    <mergeCell ref="B13:P13"/>
  </mergeCells>
  <phoneticPr fontId="1" type="noConversion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9A61D-4F33-0D4A-B65F-7C6F9647BDF8}">
  <sheetPr codeName="工作表28">
    <tabColor rgb="FFFFFF00"/>
  </sheetPr>
  <dimension ref="A1:AJ54"/>
  <sheetViews>
    <sheetView topLeftCell="L1" workbookViewId="0"/>
  </sheetViews>
  <sheetFormatPr baseColWidth="10" defaultColWidth="10.8984375" defaultRowHeight="22" outlineLevelCol="2"/>
  <cols>
    <col min="1" max="1" width="1.8984375" style="303" customWidth="1" outlineLevel="2"/>
    <col min="2" max="11" width="4.296875" style="303" customWidth="1" outlineLevel="1"/>
    <col min="12" max="12" width="2.09765625" style="303" customWidth="1"/>
    <col min="13" max="13" width="3.5" style="303" customWidth="1"/>
    <col min="14" max="14" width="5.3984375" style="303" customWidth="1"/>
    <col min="15" max="16" width="11.09765625" style="303" customWidth="1"/>
    <col min="17" max="17" width="7.59765625" style="303" customWidth="1"/>
    <col min="18" max="25" width="8.3984375" style="303" customWidth="1"/>
    <col min="26" max="26" width="2.09765625" style="303" customWidth="1"/>
    <col min="27" max="28" width="8.5" style="303" customWidth="1"/>
    <col min="29" max="36" width="5.5" style="303" customWidth="1"/>
  </cols>
  <sheetData>
    <row r="1" spans="2:36" ht="25">
      <c r="B1" s="302" t="s">
        <v>2400</v>
      </c>
      <c r="C1" s="287"/>
      <c r="D1" s="287"/>
      <c r="E1" s="301"/>
      <c r="F1" s="301"/>
      <c r="G1" s="301"/>
      <c r="H1" s="301"/>
      <c r="I1" s="301"/>
      <c r="J1" s="301"/>
      <c r="K1" s="301"/>
      <c r="L1" s="301"/>
      <c r="M1" s="302" t="s">
        <v>2401</v>
      </c>
      <c r="O1" s="103">
        <v>9</v>
      </c>
      <c r="R1" s="287">
        <v>12</v>
      </c>
      <c r="S1" s="301"/>
      <c r="T1" s="301"/>
      <c r="U1" s="301">
        <f>R1 + 1</f>
        <v>13</v>
      </c>
      <c r="V1" s="301"/>
      <c r="W1" s="301"/>
      <c r="X1" s="301"/>
      <c r="Y1" s="301"/>
      <c r="AA1" s="304"/>
      <c r="AB1" s="304"/>
      <c r="AC1" s="304"/>
      <c r="AD1" s="304"/>
    </row>
    <row r="2" spans="2:36" ht="25"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305"/>
      <c r="Q2" s="305"/>
      <c r="R2" s="305"/>
      <c r="S2" s="305"/>
      <c r="T2" s="305"/>
      <c r="U2" s="305"/>
      <c r="V2" s="305"/>
      <c r="W2" s="305"/>
      <c r="X2" s="305"/>
      <c r="Y2" s="305"/>
      <c r="AA2" s="304"/>
      <c r="AB2" s="304"/>
      <c r="AC2" s="304"/>
      <c r="AD2" s="304"/>
    </row>
    <row r="3" spans="2:36">
      <c r="B3" s="414" t="s">
        <v>123</v>
      </c>
      <c r="C3" s="414" t="s">
        <v>2402</v>
      </c>
      <c r="D3" s="306" t="s">
        <v>1704</v>
      </c>
      <c r="E3" s="306" t="s">
        <v>2403</v>
      </c>
      <c r="F3" s="306" t="s">
        <v>2404</v>
      </c>
      <c r="G3" s="306" t="s">
        <v>2405</v>
      </c>
      <c r="H3" s="306" t="s">
        <v>2406</v>
      </c>
      <c r="I3" s="306" t="s">
        <v>2407</v>
      </c>
      <c r="J3" s="306" t="s">
        <v>2408</v>
      </c>
      <c r="K3" s="306" t="s">
        <v>1845</v>
      </c>
      <c r="L3" s="305"/>
      <c r="M3" s="428" t="s">
        <v>123</v>
      </c>
      <c r="N3" s="414" t="s">
        <v>2</v>
      </c>
      <c r="O3" s="414" t="s">
        <v>1989</v>
      </c>
      <c r="P3" s="414" t="s">
        <v>1990</v>
      </c>
      <c r="Q3" s="414" t="s">
        <v>2409</v>
      </c>
      <c r="R3" s="306" t="s">
        <v>1704</v>
      </c>
      <c r="S3" s="306" t="s">
        <v>1791</v>
      </c>
      <c r="T3" s="306" t="s">
        <v>2064</v>
      </c>
      <c r="U3" s="306" t="s">
        <v>1802</v>
      </c>
      <c r="V3" s="306" t="s">
        <v>1749</v>
      </c>
      <c r="W3" s="306" t="s">
        <v>1822</v>
      </c>
      <c r="X3" s="306" t="s">
        <v>1773</v>
      </c>
      <c r="Y3" s="306" t="s">
        <v>1845</v>
      </c>
      <c r="AA3" s="427" t="s">
        <v>2410</v>
      </c>
      <c r="AB3" s="427" t="s">
        <v>2411</v>
      </c>
      <c r="AC3" s="306" t="s">
        <v>1704</v>
      </c>
      <c r="AD3" s="306" t="s">
        <v>1791</v>
      </c>
      <c r="AE3" s="306" t="s">
        <v>2064</v>
      </c>
      <c r="AF3" s="306" t="s">
        <v>1802</v>
      </c>
      <c r="AG3" s="306" t="s">
        <v>1749</v>
      </c>
      <c r="AH3" s="306" t="s">
        <v>1822</v>
      </c>
      <c r="AI3" s="306" t="s">
        <v>1773</v>
      </c>
      <c r="AJ3" s="306" t="s">
        <v>1845</v>
      </c>
    </row>
    <row r="4" spans="2:36">
      <c r="B4" s="426"/>
      <c r="C4" s="426"/>
      <c r="D4" s="306">
        <v>1</v>
      </c>
      <c r="E4" s="306">
        <v>2</v>
      </c>
      <c r="F4" s="306">
        <v>3</v>
      </c>
      <c r="G4" s="306">
        <v>4</v>
      </c>
      <c r="H4" s="306">
        <v>5</v>
      </c>
      <c r="I4" s="306">
        <v>6</v>
      </c>
      <c r="J4" s="306">
        <v>7</v>
      </c>
      <c r="K4" s="306">
        <v>8</v>
      </c>
      <c r="L4" s="305"/>
      <c r="M4" s="429"/>
      <c r="N4" s="426"/>
      <c r="O4" s="426"/>
      <c r="P4" s="426"/>
      <c r="Q4" s="426"/>
      <c r="R4" s="306">
        <v>1</v>
      </c>
      <c r="S4" s="306">
        <v>2</v>
      </c>
      <c r="T4" s="306">
        <v>3</v>
      </c>
      <c r="U4" s="306">
        <v>4</v>
      </c>
      <c r="V4" s="306">
        <v>5</v>
      </c>
      <c r="W4" s="306">
        <v>6</v>
      </c>
      <c r="X4" s="306">
        <v>7</v>
      </c>
      <c r="Y4" s="306">
        <v>8</v>
      </c>
      <c r="AA4" s="426"/>
      <c r="AB4" s="426"/>
      <c r="AC4" s="306">
        <v>1</v>
      </c>
      <c r="AD4" s="306">
        <v>2</v>
      </c>
      <c r="AE4" s="306">
        <v>3</v>
      </c>
      <c r="AF4" s="306">
        <v>4</v>
      </c>
      <c r="AG4" s="306">
        <v>5</v>
      </c>
      <c r="AH4" s="306">
        <v>6</v>
      </c>
      <c r="AI4" s="306">
        <v>7</v>
      </c>
      <c r="AJ4" s="306">
        <v>8</v>
      </c>
    </row>
    <row r="5" spans="2:36" ht="34">
      <c r="B5" s="307">
        <v>1</v>
      </c>
      <c r="C5" s="308" t="s">
        <v>424</v>
      </c>
      <c r="D5" s="308" t="s">
        <v>1806</v>
      </c>
      <c r="E5" s="308" t="s">
        <v>1711</v>
      </c>
      <c r="F5" s="308" t="s">
        <v>1797</v>
      </c>
      <c r="G5" s="310" t="s">
        <v>1797</v>
      </c>
      <c r="H5" s="308" t="s">
        <v>1733</v>
      </c>
      <c r="I5" s="308" t="s">
        <v>1778</v>
      </c>
      <c r="J5" s="308" t="s">
        <v>1806</v>
      </c>
      <c r="K5" s="309" t="s">
        <v>1711</v>
      </c>
      <c r="L5" s="305"/>
      <c r="M5" s="307">
        <v>1</v>
      </c>
      <c r="N5" s="311" t="s">
        <v>152</v>
      </c>
      <c r="O5" s="315" t="str" cm="1">
        <f t="array" ref="O5">INDEX(韻母對照表, (($M5-1)*2 +1), $O$1)</f>
        <v>un</v>
      </c>
      <c r="P5" s="315" t="str" cm="1">
        <f t="array" ref="P5">INDEX(韻母對照表, (($M5-1)*2 +2), $O$1)</f>
        <v>ut</v>
      </c>
      <c r="Q5" s="311" t="s">
        <v>415</v>
      </c>
      <c r="R5" s="316" t="str">
        <f xml:space="preserve"> IF(AND(R$4&lt;&gt;4,R$4&lt;&gt;8),  SUBSTITUTE($O5, $Q5,  INDEX($AC5:$AJ5, 1, R$4)),  SUBSTITUTE($P5, $Q5,  INDEX($AC5:$AJ5, 1, R$4)))</f>
        <v>ūn</v>
      </c>
      <c r="S5" s="316" t="str">
        <f t="shared" ref="S5:Y20" si="0" xml:space="preserve"> IF(AND(S$4&lt;&gt;4,S$4&lt;&gt;8),  SUBSTITUTE($O5, $Q5,  INDEX($AC5:$AJ5, 1, S$4)),  SUBSTITUTE($P5, $Q5,  INDEX($AC5:$AJ5, 1, S$4)))</f>
        <v>ún</v>
      </c>
      <c r="T5" s="316" t="str">
        <f t="shared" si="0"/>
        <v>ǔn</v>
      </c>
      <c r="U5" s="317" t="str">
        <f t="shared" si="0"/>
        <v>ǔt</v>
      </c>
      <c r="V5" s="316" t="str">
        <f t="shared" si="0"/>
        <v>ùn</v>
      </c>
      <c r="W5" s="316" t="str">
        <f t="shared" si="0"/>
        <v>ûn</v>
      </c>
      <c r="X5" s="316" t="str">
        <f t="shared" si="0"/>
        <v>ūn</v>
      </c>
      <c r="Y5" s="317" t="str">
        <f t="shared" si="0"/>
        <v>út</v>
      </c>
      <c r="AA5" s="304">
        <f t="shared" ref="AA5:AA12" si="1">FIND(Q5, O5, 1)</f>
        <v>1</v>
      </c>
      <c r="AB5" s="304">
        <f t="shared" ref="AB5:AB36" si="2">MATCH(Q5, $C$5:$C$12, 0)</f>
        <v>6</v>
      </c>
      <c r="AC5" s="304" t="str">
        <f t="shared" ref="AC5:AJ14" si="3">INDEX($D$5:$K$12, $AB5, AC$4)</f>
        <v>ū</v>
      </c>
      <c r="AD5" s="304" t="str">
        <f t="shared" si="3"/>
        <v>ú</v>
      </c>
      <c r="AE5" s="304" t="str">
        <f t="shared" si="3"/>
        <v>ǔ</v>
      </c>
      <c r="AF5" s="304" t="str">
        <f t="shared" si="3"/>
        <v>ǔ</v>
      </c>
      <c r="AG5" s="304" t="str">
        <f t="shared" si="3"/>
        <v>ù</v>
      </c>
      <c r="AH5" s="304" t="str">
        <f t="shared" si="3"/>
        <v>û</v>
      </c>
      <c r="AI5" s="304" t="str">
        <f t="shared" si="3"/>
        <v>ū</v>
      </c>
      <c r="AJ5" s="304" t="str">
        <f t="shared" si="3"/>
        <v>ú</v>
      </c>
    </row>
    <row r="6" spans="2:36" ht="34">
      <c r="B6" s="307">
        <v>2</v>
      </c>
      <c r="C6" s="308" t="s">
        <v>278</v>
      </c>
      <c r="D6" s="308" t="s">
        <v>2412</v>
      </c>
      <c r="E6" s="308" t="s">
        <v>2413</v>
      </c>
      <c r="F6" s="308" t="s">
        <v>2414</v>
      </c>
      <c r="G6" s="310" t="s">
        <v>2414</v>
      </c>
      <c r="H6" s="308" t="s">
        <v>2415</v>
      </c>
      <c r="I6" s="308" t="s">
        <v>2416</v>
      </c>
      <c r="J6" s="308" t="s">
        <v>2412</v>
      </c>
      <c r="K6" s="309" t="s">
        <v>2413</v>
      </c>
      <c r="L6" s="305"/>
      <c r="M6" s="307">
        <v>2</v>
      </c>
      <c r="N6" s="311" t="s">
        <v>161</v>
      </c>
      <c r="O6" s="315" t="str" cm="1">
        <f t="array" ref="O6">INDEX(韻母對照表, (($M6-1)*2 +1), $O$1)</f>
        <v>ian</v>
      </c>
      <c r="P6" s="315" t="str" cm="1">
        <f t="array" ref="P6">INDEX(韻母對照表, (($M6-1)*2 +2), $O$1)</f>
        <v>iat</v>
      </c>
      <c r="Q6" s="311" t="s">
        <v>424</v>
      </c>
      <c r="R6" s="316" t="str">
        <f t="shared" ref="R6:Y37" si="4" xml:space="preserve"> IF(AND(R$4&lt;&gt;4,R$4&lt;&gt;8),  SUBSTITUTE($O6, $Q6,  INDEX($AC6:$AJ6, 1, R$4)),  SUBSTITUTE($P6, $Q6,  INDEX($AC6:$AJ6, 1, R$4)))</f>
        <v>iān</v>
      </c>
      <c r="S6" s="316" t="str">
        <f t="shared" si="0"/>
        <v>ián</v>
      </c>
      <c r="T6" s="316" t="str">
        <f t="shared" si="0"/>
        <v>iǎn</v>
      </c>
      <c r="U6" s="317" t="str">
        <f t="shared" si="0"/>
        <v>iǎt</v>
      </c>
      <c r="V6" s="316" t="str">
        <f t="shared" si="0"/>
        <v>iàn</v>
      </c>
      <c r="W6" s="316" t="str">
        <f t="shared" si="0"/>
        <v>iân</v>
      </c>
      <c r="X6" s="316" t="str">
        <f t="shared" si="0"/>
        <v>iān</v>
      </c>
      <c r="Y6" s="317" t="str">
        <f t="shared" si="0"/>
        <v>iát</v>
      </c>
      <c r="AA6" s="304">
        <f t="shared" si="1"/>
        <v>2</v>
      </c>
      <c r="AB6" s="304">
        <f t="shared" si="2"/>
        <v>1</v>
      </c>
      <c r="AC6" s="304" t="str">
        <f t="shared" si="3"/>
        <v>ā</v>
      </c>
      <c r="AD6" s="304" t="str">
        <f t="shared" si="3"/>
        <v>á</v>
      </c>
      <c r="AE6" s="304" t="str">
        <f t="shared" si="3"/>
        <v>ǎ</v>
      </c>
      <c r="AF6" s="304" t="str">
        <f t="shared" si="3"/>
        <v>ǎ</v>
      </c>
      <c r="AG6" s="304" t="str">
        <f t="shared" si="3"/>
        <v>à</v>
      </c>
      <c r="AH6" s="304" t="str">
        <f t="shared" si="3"/>
        <v>â</v>
      </c>
      <c r="AI6" s="304" t="str">
        <f t="shared" si="3"/>
        <v>ā</v>
      </c>
      <c r="AJ6" s="304" t="str">
        <f t="shared" si="3"/>
        <v>á</v>
      </c>
    </row>
    <row r="7" spans="2:36" ht="34">
      <c r="B7" s="307">
        <v>3</v>
      </c>
      <c r="C7" s="308" t="s">
        <v>432</v>
      </c>
      <c r="D7" s="308" t="s">
        <v>2417</v>
      </c>
      <c r="E7" s="308" t="s">
        <v>2418</v>
      </c>
      <c r="F7" s="308" t="s">
        <v>2419</v>
      </c>
      <c r="G7" s="310" t="s">
        <v>2419</v>
      </c>
      <c r="H7" s="308" t="s">
        <v>2420</v>
      </c>
      <c r="I7" s="308" t="s">
        <v>2421</v>
      </c>
      <c r="J7" s="308" t="s">
        <v>2417</v>
      </c>
      <c r="K7" s="309" t="s">
        <v>2418</v>
      </c>
      <c r="L7" s="305"/>
      <c r="M7" s="307">
        <v>3</v>
      </c>
      <c r="N7" s="311" t="s">
        <v>170</v>
      </c>
      <c r="O7" s="315" t="str" cm="1">
        <f t="array" ref="O7">INDEX(韻母對照表, (($M7-1)*2 +1), $O$1)</f>
        <v>im</v>
      </c>
      <c r="P7" s="315" t="str" cm="1">
        <f t="array" ref="P7">INDEX(韻母對照表, (($M7-1)*2 +2), $O$1)</f>
        <v>ip</v>
      </c>
      <c r="Q7" s="311" t="s">
        <v>432</v>
      </c>
      <c r="R7" s="316" t="str">
        <f t="shared" si="4"/>
        <v>īm</v>
      </c>
      <c r="S7" s="316" t="str">
        <f t="shared" si="0"/>
        <v>ím</v>
      </c>
      <c r="T7" s="316" t="str">
        <f t="shared" si="0"/>
        <v>ǐm</v>
      </c>
      <c r="U7" s="317" t="str">
        <f t="shared" si="0"/>
        <v>ǐp</v>
      </c>
      <c r="V7" s="316" t="str">
        <f t="shared" si="0"/>
        <v>ìm</v>
      </c>
      <c r="W7" s="316" t="str">
        <f t="shared" si="0"/>
        <v>îm</v>
      </c>
      <c r="X7" s="316" t="str">
        <f t="shared" si="0"/>
        <v>īm</v>
      </c>
      <c r="Y7" s="317" t="str">
        <f t="shared" si="0"/>
        <v>íp</v>
      </c>
      <c r="AA7" s="304">
        <f t="shared" si="1"/>
        <v>1</v>
      </c>
      <c r="AB7" s="304">
        <f t="shared" si="2"/>
        <v>3</v>
      </c>
      <c r="AC7" s="304" t="str">
        <f t="shared" si="3"/>
        <v>ī</v>
      </c>
      <c r="AD7" s="304" t="str">
        <f t="shared" si="3"/>
        <v>í</v>
      </c>
      <c r="AE7" s="304" t="str">
        <f t="shared" si="3"/>
        <v>ǐ</v>
      </c>
      <c r="AF7" s="304" t="str">
        <f t="shared" si="3"/>
        <v>ǐ</v>
      </c>
      <c r="AG7" s="304" t="str">
        <f t="shared" si="3"/>
        <v>ì</v>
      </c>
      <c r="AH7" s="304" t="str">
        <f t="shared" si="3"/>
        <v>î</v>
      </c>
      <c r="AI7" s="304" t="str">
        <f t="shared" si="3"/>
        <v>ī</v>
      </c>
      <c r="AJ7" s="304" t="str">
        <f t="shared" si="3"/>
        <v>í</v>
      </c>
    </row>
    <row r="8" spans="2:36" ht="34">
      <c r="B8" s="307">
        <v>4</v>
      </c>
      <c r="C8" s="308" t="s">
        <v>299</v>
      </c>
      <c r="D8" s="308" t="s">
        <v>2422</v>
      </c>
      <c r="E8" s="308" t="s">
        <v>2423</v>
      </c>
      <c r="F8" s="308" t="s">
        <v>2424</v>
      </c>
      <c r="G8" s="310" t="s">
        <v>2424</v>
      </c>
      <c r="H8" s="308" t="s">
        <v>2425</v>
      </c>
      <c r="I8" s="308" t="s">
        <v>2426</v>
      </c>
      <c r="J8" s="308" t="s">
        <v>2422</v>
      </c>
      <c r="K8" s="309" t="s">
        <v>2423</v>
      </c>
      <c r="L8" s="305"/>
      <c r="M8" s="307">
        <v>4</v>
      </c>
      <c r="N8" s="311" t="s">
        <v>177</v>
      </c>
      <c r="O8" s="315" t="str" cm="1">
        <f t="array" ref="O8">INDEX(韻母對照表, (($M8-1)*2 +1), $O$1)</f>
        <v>ui</v>
      </c>
      <c r="P8" s="315" t="str" cm="1">
        <f t="array" ref="P8">INDEX(韻母對照表, (($M8-1)*2 +2), $O$1)</f>
        <v>uih</v>
      </c>
      <c r="Q8" s="311" t="s">
        <v>415</v>
      </c>
      <c r="R8" s="316" t="str">
        <f t="shared" si="4"/>
        <v>ūi</v>
      </c>
      <c r="S8" s="316" t="str">
        <f t="shared" si="0"/>
        <v>úi</v>
      </c>
      <c r="T8" s="316" t="str">
        <f t="shared" si="0"/>
        <v>ǔi</v>
      </c>
      <c r="U8" s="317" t="str">
        <f t="shared" si="0"/>
        <v>ǔih</v>
      </c>
      <c r="V8" s="316" t="str">
        <f t="shared" si="0"/>
        <v>ùi</v>
      </c>
      <c r="W8" s="316" t="str">
        <f t="shared" si="0"/>
        <v>ûi</v>
      </c>
      <c r="X8" s="316" t="str">
        <f t="shared" si="0"/>
        <v>ūi</v>
      </c>
      <c r="Y8" s="317" t="str">
        <f t="shared" si="0"/>
        <v>úih</v>
      </c>
      <c r="AA8" s="304">
        <f t="shared" si="1"/>
        <v>1</v>
      </c>
      <c r="AB8" s="304">
        <f t="shared" si="2"/>
        <v>6</v>
      </c>
      <c r="AC8" s="304" t="str">
        <f t="shared" si="3"/>
        <v>ū</v>
      </c>
      <c r="AD8" s="304" t="str">
        <f t="shared" si="3"/>
        <v>ú</v>
      </c>
      <c r="AE8" s="304" t="str">
        <f t="shared" si="3"/>
        <v>ǔ</v>
      </c>
      <c r="AF8" s="304" t="str">
        <f t="shared" si="3"/>
        <v>ǔ</v>
      </c>
      <c r="AG8" s="304" t="str">
        <f t="shared" si="3"/>
        <v>ù</v>
      </c>
      <c r="AH8" s="304" t="str">
        <f t="shared" si="3"/>
        <v>û</v>
      </c>
      <c r="AI8" s="304" t="str">
        <f t="shared" si="3"/>
        <v>ū</v>
      </c>
      <c r="AJ8" s="304" t="str">
        <f t="shared" si="3"/>
        <v>ú</v>
      </c>
    </row>
    <row r="9" spans="2:36" ht="34">
      <c r="B9" s="307">
        <v>5</v>
      </c>
      <c r="C9" s="308" t="s">
        <v>252</v>
      </c>
      <c r="D9" s="308" t="s">
        <v>2427</v>
      </c>
      <c r="E9" s="308" t="s">
        <v>2428</v>
      </c>
      <c r="F9" s="308" t="s">
        <v>2429</v>
      </c>
      <c r="G9" s="310" t="s">
        <v>2429</v>
      </c>
      <c r="H9" s="308" t="s">
        <v>2430</v>
      </c>
      <c r="I9" s="308" t="s">
        <v>2431</v>
      </c>
      <c r="J9" s="308" t="s">
        <v>2427</v>
      </c>
      <c r="K9" s="309" t="s">
        <v>2428</v>
      </c>
      <c r="L9" s="305"/>
      <c r="M9" s="307">
        <v>5</v>
      </c>
      <c r="N9" s="311" t="s">
        <v>187</v>
      </c>
      <c r="O9" s="315" t="str" cm="1">
        <f t="array" ref="O9">INDEX(韻母對照表, (($M9-1)*2 +1), $O$1)</f>
        <v>e</v>
      </c>
      <c r="P9" s="315" t="str" cm="1">
        <f t="array" ref="P9">INDEX(韻母對照表, (($M9-1)*2 +2), $O$1)</f>
        <v>eh</v>
      </c>
      <c r="Q9" s="311" t="s">
        <v>278</v>
      </c>
      <c r="R9" s="316" t="str">
        <f t="shared" si="4"/>
        <v>ē</v>
      </c>
      <c r="S9" s="316" t="str">
        <f t="shared" si="0"/>
        <v>é</v>
      </c>
      <c r="T9" s="316" t="str">
        <f t="shared" si="0"/>
        <v>ě</v>
      </c>
      <c r="U9" s="317" t="str">
        <f t="shared" si="0"/>
        <v>ěh</v>
      </c>
      <c r="V9" s="316" t="str">
        <f t="shared" si="0"/>
        <v>è</v>
      </c>
      <c r="W9" s="316" t="str">
        <f t="shared" si="0"/>
        <v>ê</v>
      </c>
      <c r="X9" s="316" t="str">
        <f t="shared" si="0"/>
        <v>ē</v>
      </c>
      <c r="Y9" s="317" t="str">
        <f t="shared" si="0"/>
        <v>éh</v>
      </c>
      <c r="AA9" s="304">
        <f t="shared" si="1"/>
        <v>1</v>
      </c>
      <c r="AB9" s="304">
        <f t="shared" si="2"/>
        <v>2</v>
      </c>
      <c r="AC9" s="304" t="str">
        <f t="shared" si="3"/>
        <v>ē</v>
      </c>
      <c r="AD9" s="304" t="str">
        <f t="shared" si="3"/>
        <v>é</v>
      </c>
      <c r="AE9" s="304" t="str">
        <f t="shared" si="3"/>
        <v>ě</v>
      </c>
      <c r="AF9" s="304" t="str">
        <f t="shared" si="3"/>
        <v>ě</v>
      </c>
      <c r="AG9" s="304" t="str">
        <f t="shared" si="3"/>
        <v>è</v>
      </c>
      <c r="AH9" s="304" t="str">
        <f t="shared" si="3"/>
        <v>ê</v>
      </c>
      <c r="AI9" s="304" t="str">
        <f t="shared" si="3"/>
        <v>ē</v>
      </c>
      <c r="AJ9" s="304" t="str">
        <f t="shared" si="3"/>
        <v>é</v>
      </c>
    </row>
    <row r="10" spans="2:36" ht="34">
      <c r="B10" s="307">
        <v>6</v>
      </c>
      <c r="C10" s="308" t="s">
        <v>415</v>
      </c>
      <c r="D10" s="308" t="s">
        <v>2432</v>
      </c>
      <c r="E10" s="308" t="s">
        <v>2433</v>
      </c>
      <c r="F10" s="308" t="s">
        <v>2434</v>
      </c>
      <c r="G10" s="310" t="s">
        <v>2434</v>
      </c>
      <c r="H10" s="308" t="s">
        <v>2435</v>
      </c>
      <c r="I10" s="308" t="s">
        <v>2436</v>
      </c>
      <c r="J10" s="308" t="s">
        <v>2432</v>
      </c>
      <c r="K10" s="309" t="s">
        <v>2433</v>
      </c>
      <c r="L10" s="305"/>
      <c r="M10" s="307">
        <v>6</v>
      </c>
      <c r="N10" s="311" t="s">
        <v>201</v>
      </c>
      <c r="O10" s="315" t="str" cm="1">
        <f t="array" ref="O10">INDEX(韻母對照表, (($M10-1)*2 +1), $O$1)</f>
        <v>an</v>
      </c>
      <c r="P10" s="315" t="str" cm="1">
        <f t="array" ref="P10">INDEX(韻母對照表, (($M10-1)*2 +2), $O$1)</f>
        <v>at</v>
      </c>
      <c r="Q10" s="311" t="s">
        <v>424</v>
      </c>
      <c r="R10" s="316" t="str">
        <f t="shared" si="4"/>
        <v>ān</v>
      </c>
      <c r="S10" s="316" t="str">
        <f t="shared" si="0"/>
        <v>án</v>
      </c>
      <c r="T10" s="316" t="str">
        <f t="shared" si="0"/>
        <v>ǎn</v>
      </c>
      <c r="U10" s="317" t="str">
        <f t="shared" si="0"/>
        <v>ǎt</v>
      </c>
      <c r="V10" s="316" t="str">
        <f t="shared" si="0"/>
        <v>àn</v>
      </c>
      <c r="W10" s="316" t="str">
        <f t="shared" si="0"/>
        <v>ân</v>
      </c>
      <c r="X10" s="316" t="str">
        <f t="shared" si="0"/>
        <v>ān</v>
      </c>
      <c r="Y10" s="317" t="str">
        <f t="shared" si="0"/>
        <v>át</v>
      </c>
      <c r="AA10" s="304">
        <f t="shared" si="1"/>
        <v>1</v>
      </c>
      <c r="AB10" s="304">
        <f t="shared" si="2"/>
        <v>1</v>
      </c>
      <c r="AC10" s="304" t="str">
        <f t="shared" si="3"/>
        <v>ā</v>
      </c>
      <c r="AD10" s="304" t="str">
        <f t="shared" si="3"/>
        <v>á</v>
      </c>
      <c r="AE10" s="304" t="str">
        <f t="shared" si="3"/>
        <v>ǎ</v>
      </c>
      <c r="AF10" s="304" t="str">
        <f t="shared" si="3"/>
        <v>ǎ</v>
      </c>
      <c r="AG10" s="304" t="str">
        <f t="shared" si="3"/>
        <v>à</v>
      </c>
      <c r="AH10" s="304" t="str">
        <f t="shared" si="3"/>
        <v>â</v>
      </c>
      <c r="AI10" s="304" t="str">
        <f t="shared" si="3"/>
        <v>ā</v>
      </c>
      <c r="AJ10" s="304" t="str">
        <f t="shared" si="3"/>
        <v>á</v>
      </c>
    </row>
    <row r="11" spans="2:36" ht="34">
      <c r="B11" s="307">
        <v>7</v>
      </c>
      <c r="C11" s="308" t="s">
        <v>64</v>
      </c>
      <c r="D11" s="308" t="s">
        <v>2437</v>
      </c>
      <c r="E11" s="308" t="s">
        <v>2438</v>
      </c>
      <c r="F11" s="308" t="s">
        <v>2439</v>
      </c>
      <c r="G11" s="310" t="s">
        <v>2439</v>
      </c>
      <c r="H11" s="308" t="s">
        <v>2440</v>
      </c>
      <c r="I11" s="308" t="s">
        <v>2441</v>
      </c>
      <c r="J11" s="308" t="s">
        <v>2437</v>
      </c>
      <c r="K11" s="309" t="s">
        <v>2438</v>
      </c>
      <c r="L11" s="305"/>
      <c r="M11" s="307">
        <v>7</v>
      </c>
      <c r="N11" s="311" t="s">
        <v>210</v>
      </c>
      <c r="O11" s="315" t="str" cm="1">
        <f t="array" ref="O11">INDEX(韻母對照表, (($M11-1)*2 +1), $O$1)</f>
        <v>ong</v>
      </c>
      <c r="P11" s="315" t="str" cm="1">
        <f t="array" ref="P11">INDEX(韻母對照表, (($M11-1)*2 +2), $O$1)</f>
        <v>ok</v>
      </c>
      <c r="Q11" s="311" t="s">
        <v>299</v>
      </c>
      <c r="R11" s="316" t="str">
        <f t="shared" si="4"/>
        <v>ōng</v>
      </c>
      <c r="S11" s="316" t="str">
        <f t="shared" si="0"/>
        <v>óng</v>
      </c>
      <c r="T11" s="316" t="str">
        <f t="shared" si="0"/>
        <v>ǒng</v>
      </c>
      <c r="U11" s="317" t="str">
        <f t="shared" si="0"/>
        <v>ǒk</v>
      </c>
      <c r="V11" s="316" t="str">
        <f t="shared" si="0"/>
        <v>òng</v>
      </c>
      <c r="W11" s="316" t="str">
        <f t="shared" si="0"/>
        <v>ông</v>
      </c>
      <c r="X11" s="316" t="str">
        <f t="shared" si="0"/>
        <v>ōng</v>
      </c>
      <c r="Y11" s="317" t="str">
        <f t="shared" si="0"/>
        <v>ók</v>
      </c>
      <c r="AA11" s="304">
        <f t="shared" si="1"/>
        <v>1</v>
      </c>
      <c r="AB11" s="304">
        <f t="shared" si="2"/>
        <v>4</v>
      </c>
      <c r="AC11" s="304" t="str">
        <f t="shared" si="3"/>
        <v>ō</v>
      </c>
      <c r="AD11" s="304" t="str">
        <f t="shared" si="3"/>
        <v>ó</v>
      </c>
      <c r="AE11" s="304" t="str">
        <f t="shared" si="3"/>
        <v>ǒ</v>
      </c>
      <c r="AF11" s="304" t="str">
        <f t="shared" si="3"/>
        <v>ǒ</v>
      </c>
      <c r="AG11" s="304" t="str">
        <f t="shared" si="3"/>
        <v>ò</v>
      </c>
      <c r="AH11" s="304" t="str">
        <f t="shared" si="3"/>
        <v>ô</v>
      </c>
      <c r="AI11" s="304" t="str">
        <f t="shared" si="3"/>
        <v>ō</v>
      </c>
      <c r="AJ11" s="304" t="str">
        <f t="shared" si="3"/>
        <v>ó</v>
      </c>
    </row>
    <row r="12" spans="2:36" ht="34">
      <c r="B12" s="307">
        <v>8</v>
      </c>
      <c r="C12" s="308" t="s">
        <v>92</v>
      </c>
      <c r="D12" s="308" t="s">
        <v>2442</v>
      </c>
      <c r="E12" s="308" t="s">
        <v>2443</v>
      </c>
      <c r="F12" s="308" t="s">
        <v>2444</v>
      </c>
      <c r="G12" s="310" t="s">
        <v>2445</v>
      </c>
      <c r="H12" s="318" t="s">
        <v>2446</v>
      </c>
      <c r="I12" s="318" t="s">
        <v>2447</v>
      </c>
      <c r="J12" s="318" t="s">
        <v>2442</v>
      </c>
      <c r="K12" s="319" t="s">
        <v>2443</v>
      </c>
      <c r="L12" s="305"/>
      <c r="M12" s="307">
        <v>8</v>
      </c>
      <c r="N12" s="311" t="s">
        <v>219</v>
      </c>
      <c r="O12" s="315" t="str" cm="1">
        <f t="array" ref="O12">INDEX(韻母對照表, (($M12-1)*2 +1), $O$1)</f>
        <v>uai</v>
      </c>
      <c r="P12" s="315" t="str" cm="1">
        <f t="array" ref="P12">INDEX(韻母對照表, (($M12-1)*2 +2), $O$1)</f>
        <v>uaih</v>
      </c>
      <c r="Q12" s="311" t="s">
        <v>424</v>
      </c>
      <c r="R12" s="316" t="str">
        <f t="shared" si="4"/>
        <v>uāi</v>
      </c>
      <c r="S12" s="316" t="str">
        <f t="shared" si="0"/>
        <v>uái</v>
      </c>
      <c r="T12" s="316" t="str">
        <f t="shared" si="0"/>
        <v>uǎi</v>
      </c>
      <c r="U12" s="317" t="str">
        <f t="shared" si="0"/>
        <v>uǎih</v>
      </c>
      <c r="V12" s="316" t="str">
        <f t="shared" si="0"/>
        <v>uài</v>
      </c>
      <c r="W12" s="316" t="str">
        <f t="shared" si="0"/>
        <v>uâi</v>
      </c>
      <c r="X12" s="316" t="str">
        <f t="shared" si="0"/>
        <v>uāi</v>
      </c>
      <c r="Y12" s="317" t="str">
        <f t="shared" si="0"/>
        <v>uáih</v>
      </c>
      <c r="AA12" s="304">
        <f t="shared" si="1"/>
        <v>2</v>
      </c>
      <c r="AB12" s="304">
        <f t="shared" si="2"/>
        <v>1</v>
      </c>
      <c r="AC12" s="304" t="str">
        <f t="shared" si="3"/>
        <v>ā</v>
      </c>
      <c r="AD12" s="304" t="str">
        <f t="shared" si="3"/>
        <v>á</v>
      </c>
      <c r="AE12" s="304" t="str">
        <f t="shared" si="3"/>
        <v>ǎ</v>
      </c>
      <c r="AF12" s="304" t="str">
        <f t="shared" si="3"/>
        <v>ǎ</v>
      </c>
      <c r="AG12" s="304" t="str">
        <f t="shared" si="3"/>
        <v>à</v>
      </c>
      <c r="AH12" s="304" t="str">
        <f t="shared" si="3"/>
        <v>â</v>
      </c>
      <c r="AI12" s="304" t="str">
        <f t="shared" si="3"/>
        <v>ā</v>
      </c>
      <c r="AJ12" s="304" t="str">
        <f t="shared" si="3"/>
        <v>á</v>
      </c>
    </row>
    <row r="13" spans="2:36" ht="34">
      <c r="B13" s="305"/>
      <c r="C13" s="305"/>
      <c r="D13" s="305"/>
      <c r="E13" s="305"/>
      <c r="F13" s="305"/>
      <c r="G13" s="305"/>
      <c r="H13" s="305"/>
      <c r="I13" s="305"/>
      <c r="J13" s="305"/>
      <c r="K13" s="305"/>
      <c r="L13" s="305"/>
      <c r="M13" s="307">
        <v>9</v>
      </c>
      <c r="N13" s="311" t="s">
        <v>230</v>
      </c>
      <c r="O13" s="315" t="str" cm="1">
        <f t="array" ref="O13">INDEX(韻母對照表, (($M13-1)*2 +1), $O$1)</f>
        <v>ing</v>
      </c>
      <c r="P13" s="315" t="str" cm="1">
        <f t="array" ref="P13">INDEX(韻母對照表, (($M13-1)*2 +2), $O$1)</f>
        <v>ik</v>
      </c>
      <c r="Q13" s="311" t="s">
        <v>1617</v>
      </c>
      <c r="R13" s="316" t="str">
        <f t="shared" si="4"/>
        <v>īng</v>
      </c>
      <c r="S13" s="316" t="str">
        <f t="shared" si="0"/>
        <v>íng</v>
      </c>
      <c r="T13" s="316" t="str">
        <f t="shared" si="0"/>
        <v>ǐng</v>
      </c>
      <c r="U13" s="317" t="str">
        <f t="shared" si="0"/>
        <v>ǐk</v>
      </c>
      <c r="V13" s="316" t="str">
        <f t="shared" si="0"/>
        <v>ìng</v>
      </c>
      <c r="W13" s="316" t="str">
        <f t="shared" si="0"/>
        <v>îng</v>
      </c>
      <c r="X13" s="316" t="str">
        <f t="shared" si="0"/>
        <v>īng</v>
      </c>
      <c r="Y13" s="317" t="str">
        <f t="shared" si="0"/>
        <v>ík</v>
      </c>
      <c r="AA13" s="304">
        <f>FIND(Q13, O13, 1)</f>
        <v>1</v>
      </c>
      <c r="AB13" s="304">
        <f t="shared" si="2"/>
        <v>3</v>
      </c>
      <c r="AC13" s="304" t="str">
        <f t="shared" si="3"/>
        <v>ī</v>
      </c>
      <c r="AD13" s="304" t="str">
        <f t="shared" si="3"/>
        <v>í</v>
      </c>
      <c r="AE13" s="304" t="str">
        <f t="shared" si="3"/>
        <v>ǐ</v>
      </c>
      <c r="AF13" s="304" t="str">
        <f t="shared" si="3"/>
        <v>ǐ</v>
      </c>
      <c r="AG13" s="304" t="str">
        <f t="shared" si="3"/>
        <v>ì</v>
      </c>
      <c r="AH13" s="304" t="str">
        <f t="shared" si="3"/>
        <v>î</v>
      </c>
      <c r="AI13" s="304" t="str">
        <f t="shared" si="3"/>
        <v>ī</v>
      </c>
      <c r="AJ13" s="304" t="str">
        <f t="shared" si="3"/>
        <v>í</v>
      </c>
    </row>
    <row r="14" spans="2:36" ht="34">
      <c r="B14" s="305"/>
      <c r="C14" s="305"/>
      <c r="D14" s="305"/>
      <c r="E14" s="305"/>
      <c r="F14" s="305"/>
      <c r="G14" s="305"/>
      <c r="H14" s="305"/>
      <c r="I14" s="305"/>
      <c r="J14" s="305"/>
      <c r="K14" s="305"/>
      <c r="L14" s="314"/>
      <c r="M14" s="307">
        <v>10</v>
      </c>
      <c r="N14" s="311" t="s">
        <v>240</v>
      </c>
      <c r="O14" s="315" t="str" cm="1">
        <f t="array" ref="O14">INDEX(韻母對照表, (($M14-1)*2 +1), $O$1)</f>
        <v>uan</v>
      </c>
      <c r="P14" s="315" t="str" cm="1">
        <f t="array" ref="P14">INDEX(韻母對照表, (($M14-1)*2 +2), $O$1)</f>
        <v>uat</v>
      </c>
      <c r="Q14" s="311" t="s">
        <v>424</v>
      </c>
      <c r="R14" s="316" t="str">
        <f t="shared" si="4"/>
        <v>uān</v>
      </c>
      <c r="S14" s="316" t="str">
        <f t="shared" si="0"/>
        <v>uán</v>
      </c>
      <c r="T14" s="316" t="str">
        <f t="shared" si="0"/>
        <v>uǎn</v>
      </c>
      <c r="U14" s="317" t="str">
        <f t="shared" si="0"/>
        <v>uǎt</v>
      </c>
      <c r="V14" s="316" t="str">
        <f t="shared" si="0"/>
        <v>uàn</v>
      </c>
      <c r="W14" s="316" t="str">
        <f t="shared" si="0"/>
        <v>uân</v>
      </c>
      <c r="X14" s="316" t="str">
        <f t="shared" si="0"/>
        <v>uān</v>
      </c>
      <c r="Y14" s="317" t="str">
        <f t="shared" si="0"/>
        <v>uát</v>
      </c>
      <c r="AA14" s="304">
        <f t="shared" ref="AA14:AA54" si="5">FIND(Q14, O14, 1)</f>
        <v>2</v>
      </c>
      <c r="AB14" s="304">
        <f t="shared" si="2"/>
        <v>1</v>
      </c>
      <c r="AC14" s="304" t="str">
        <f t="shared" si="3"/>
        <v>ā</v>
      </c>
      <c r="AD14" s="304" t="str">
        <f t="shared" si="3"/>
        <v>á</v>
      </c>
      <c r="AE14" s="304" t="str">
        <f t="shared" si="3"/>
        <v>ǎ</v>
      </c>
      <c r="AF14" s="304" t="str">
        <f t="shared" si="3"/>
        <v>ǎ</v>
      </c>
      <c r="AG14" s="304" t="str">
        <f t="shared" si="3"/>
        <v>à</v>
      </c>
      <c r="AH14" s="304" t="str">
        <f t="shared" si="3"/>
        <v>â</v>
      </c>
      <c r="AI14" s="304" t="str">
        <f t="shared" si="3"/>
        <v>ā</v>
      </c>
      <c r="AJ14" s="304" t="str">
        <f t="shared" si="3"/>
        <v>á</v>
      </c>
    </row>
    <row r="15" spans="2:36" ht="34">
      <c r="B15" s="305"/>
      <c r="C15" s="305"/>
      <c r="D15" s="305"/>
      <c r="E15" s="305"/>
      <c r="F15" s="305"/>
      <c r="G15" s="305"/>
      <c r="H15" s="305"/>
      <c r="I15" s="305"/>
      <c r="J15" s="305"/>
      <c r="K15" s="305"/>
      <c r="L15" s="305"/>
      <c r="M15" s="307">
        <v>11</v>
      </c>
      <c r="N15" s="311" t="s">
        <v>251</v>
      </c>
      <c r="O15" s="315" t="str" cm="1">
        <f t="array" ref="O15">INDEX(韻母對照表, (($M15-1)*2 +1), $O$1)</f>
        <v>oo</v>
      </c>
      <c r="P15" s="315" t="str" cm="1">
        <f t="array" ref="P15">INDEX(韻母對照表, (($M15-1)*2 +2), $O$1)</f>
        <v>ooh</v>
      </c>
      <c r="Q15" s="311" t="s">
        <v>252</v>
      </c>
      <c r="R15" s="316" t="str">
        <f t="shared" si="4"/>
        <v>ōo</v>
      </c>
      <c r="S15" s="316" t="str">
        <f t="shared" si="0"/>
        <v>óo</v>
      </c>
      <c r="T15" s="316" t="str">
        <f t="shared" si="0"/>
        <v>ǒo</v>
      </c>
      <c r="U15" s="317" t="str">
        <f t="shared" si="0"/>
        <v>ǒoh</v>
      </c>
      <c r="V15" s="316" t="str">
        <f t="shared" si="0"/>
        <v>òo</v>
      </c>
      <c r="W15" s="316" t="str">
        <f t="shared" si="0"/>
        <v>ôo</v>
      </c>
      <c r="X15" s="316" t="str">
        <f t="shared" si="0"/>
        <v>ōo</v>
      </c>
      <c r="Y15" s="317" t="str">
        <f t="shared" si="0"/>
        <v>óoh</v>
      </c>
      <c r="AA15" s="304">
        <f t="shared" si="5"/>
        <v>1</v>
      </c>
      <c r="AB15" s="304">
        <f t="shared" si="2"/>
        <v>5</v>
      </c>
      <c r="AC15" s="304" t="str">
        <f t="shared" ref="AC15:AJ24" si="6">INDEX($D$5:$K$12, $AB15, AC$4)</f>
        <v>ōo</v>
      </c>
      <c r="AD15" s="304" t="str">
        <f t="shared" si="6"/>
        <v>óo</v>
      </c>
      <c r="AE15" s="304" t="str">
        <f t="shared" si="6"/>
        <v>ǒo</v>
      </c>
      <c r="AF15" s="304" t="str">
        <f t="shared" si="6"/>
        <v>ǒo</v>
      </c>
      <c r="AG15" s="304" t="str">
        <f t="shared" si="6"/>
        <v>òo</v>
      </c>
      <c r="AH15" s="304" t="str">
        <f t="shared" si="6"/>
        <v>ôo</v>
      </c>
      <c r="AI15" s="304" t="str">
        <f t="shared" si="6"/>
        <v>ōo</v>
      </c>
      <c r="AJ15" s="304" t="str">
        <f t="shared" si="6"/>
        <v>óo</v>
      </c>
    </row>
    <row r="16" spans="2:36" ht="34">
      <c r="B16" s="305"/>
      <c r="C16" s="305"/>
      <c r="D16" s="305"/>
      <c r="E16" s="305"/>
      <c r="F16" s="305"/>
      <c r="G16" s="305"/>
      <c r="H16" s="305"/>
      <c r="I16" s="305"/>
      <c r="J16" s="305"/>
      <c r="K16" s="305"/>
      <c r="L16" s="305"/>
      <c r="M16" s="307">
        <v>12</v>
      </c>
      <c r="N16" s="311" t="s">
        <v>264</v>
      </c>
      <c r="O16" s="315" t="str" cm="1">
        <f t="array" ref="O16">INDEX(韻母對照表, (($M16-1)*2 +1), $O$1)</f>
        <v>iao</v>
      </c>
      <c r="P16" s="315" t="str" cm="1">
        <f t="array" ref="P16">INDEX(韻母對照表, (($M16-1)*2 +2), $O$1)</f>
        <v>iaoh</v>
      </c>
      <c r="Q16" s="311" t="s">
        <v>424</v>
      </c>
      <c r="R16" s="316" t="str">
        <f t="shared" si="4"/>
        <v>iāo</v>
      </c>
      <c r="S16" s="316" t="str">
        <f t="shared" si="0"/>
        <v>iáo</v>
      </c>
      <c r="T16" s="316" t="str">
        <f t="shared" si="0"/>
        <v>iǎo</v>
      </c>
      <c r="U16" s="317" t="str">
        <f t="shared" si="0"/>
        <v>iǎoh</v>
      </c>
      <c r="V16" s="316" t="str">
        <f t="shared" si="0"/>
        <v>iào</v>
      </c>
      <c r="W16" s="316" t="str">
        <f t="shared" si="0"/>
        <v>iâo</v>
      </c>
      <c r="X16" s="316" t="str">
        <f t="shared" si="0"/>
        <v>iāo</v>
      </c>
      <c r="Y16" s="317" t="str">
        <f t="shared" si="0"/>
        <v>iáoh</v>
      </c>
      <c r="AA16" s="304">
        <f t="shared" si="5"/>
        <v>2</v>
      </c>
      <c r="AB16" s="304">
        <f t="shared" si="2"/>
        <v>1</v>
      </c>
      <c r="AC16" s="304" t="str">
        <f t="shared" si="6"/>
        <v>ā</v>
      </c>
      <c r="AD16" s="304" t="str">
        <f t="shared" si="6"/>
        <v>á</v>
      </c>
      <c r="AE16" s="304" t="str">
        <f t="shared" si="6"/>
        <v>ǎ</v>
      </c>
      <c r="AF16" s="304" t="str">
        <f t="shared" si="6"/>
        <v>ǎ</v>
      </c>
      <c r="AG16" s="304" t="str">
        <f t="shared" si="6"/>
        <v>à</v>
      </c>
      <c r="AH16" s="304" t="str">
        <f t="shared" si="6"/>
        <v>â</v>
      </c>
      <c r="AI16" s="304" t="str">
        <f t="shared" si="6"/>
        <v>ā</v>
      </c>
      <c r="AJ16" s="304" t="str">
        <f t="shared" si="6"/>
        <v>á</v>
      </c>
    </row>
    <row r="17" spans="13:36" ht="34">
      <c r="M17" s="307">
        <v>13</v>
      </c>
      <c r="N17" s="311" t="s">
        <v>277</v>
      </c>
      <c r="O17" s="315" t="str" cm="1">
        <f t="array" ref="O17">INDEX(韻母對照表, (($M17-1)*2 +1), $O$1)</f>
        <v>e</v>
      </c>
      <c r="P17" s="315" t="str" cm="1">
        <f t="array" ref="P17">INDEX(韻母對照表, (($M17-1)*2 +2), $O$1)</f>
        <v>eh</v>
      </c>
      <c r="Q17" s="311" t="s">
        <v>278</v>
      </c>
      <c r="R17" s="316" t="str">
        <f t="shared" si="4"/>
        <v>ē</v>
      </c>
      <c r="S17" s="316" t="str">
        <f t="shared" si="0"/>
        <v>é</v>
      </c>
      <c r="T17" s="316" t="str">
        <f t="shared" si="0"/>
        <v>ě</v>
      </c>
      <c r="U17" s="317" t="str">
        <f t="shared" si="0"/>
        <v>ěh</v>
      </c>
      <c r="V17" s="316" t="str">
        <f t="shared" si="0"/>
        <v>è</v>
      </c>
      <c r="W17" s="316" t="str">
        <f t="shared" si="0"/>
        <v>ê</v>
      </c>
      <c r="X17" s="316" t="str">
        <f t="shared" si="0"/>
        <v>ē</v>
      </c>
      <c r="Y17" s="317" t="str">
        <f t="shared" si="0"/>
        <v>éh</v>
      </c>
      <c r="AA17" s="304">
        <f t="shared" si="5"/>
        <v>1</v>
      </c>
      <c r="AB17" s="304">
        <f t="shared" si="2"/>
        <v>2</v>
      </c>
      <c r="AC17" s="304" t="str">
        <f t="shared" si="6"/>
        <v>ē</v>
      </c>
      <c r="AD17" s="304" t="str">
        <f t="shared" si="6"/>
        <v>é</v>
      </c>
      <c r="AE17" s="304" t="str">
        <f t="shared" si="6"/>
        <v>ě</v>
      </c>
      <c r="AF17" s="304" t="str">
        <f t="shared" si="6"/>
        <v>ě</v>
      </c>
      <c r="AG17" s="304" t="str">
        <f t="shared" si="6"/>
        <v>è</v>
      </c>
      <c r="AH17" s="304" t="str">
        <f t="shared" si="6"/>
        <v>ê</v>
      </c>
      <c r="AI17" s="304" t="str">
        <f t="shared" si="6"/>
        <v>ē</v>
      </c>
      <c r="AJ17" s="304" t="str">
        <f t="shared" si="6"/>
        <v>é</v>
      </c>
    </row>
    <row r="18" spans="13:36" ht="34">
      <c r="M18" s="307">
        <v>14</v>
      </c>
      <c r="N18" s="311" t="s">
        <v>288</v>
      </c>
      <c r="O18" s="315" t="str" cm="1">
        <f t="array" ref="O18">INDEX(韻母對照表, (($M18-1)*2 +1), $O$1)</f>
        <v>iong</v>
      </c>
      <c r="P18" s="315" t="str" cm="1">
        <f t="array" ref="P18">INDEX(韻母對照表, (($M18-1)*2 +2), $O$1)</f>
        <v>iok</v>
      </c>
      <c r="Q18" s="311" t="s">
        <v>299</v>
      </c>
      <c r="R18" s="316" t="str">
        <f t="shared" si="4"/>
        <v>iōng</v>
      </c>
      <c r="S18" s="316" t="str">
        <f t="shared" si="0"/>
        <v>ióng</v>
      </c>
      <c r="T18" s="316" t="str">
        <f t="shared" si="0"/>
        <v>iǒng</v>
      </c>
      <c r="U18" s="317" t="str">
        <f t="shared" si="0"/>
        <v>iǒk</v>
      </c>
      <c r="V18" s="316" t="str">
        <f t="shared" si="0"/>
        <v>iòng</v>
      </c>
      <c r="W18" s="316" t="str">
        <f t="shared" si="0"/>
        <v>iông</v>
      </c>
      <c r="X18" s="316" t="str">
        <f t="shared" si="0"/>
        <v>iōng</v>
      </c>
      <c r="Y18" s="317" t="str">
        <f t="shared" si="0"/>
        <v>iók</v>
      </c>
      <c r="AA18" s="304">
        <f t="shared" si="5"/>
        <v>2</v>
      </c>
      <c r="AB18" s="304">
        <f t="shared" si="2"/>
        <v>4</v>
      </c>
      <c r="AC18" s="304" t="str">
        <f t="shared" si="6"/>
        <v>ō</v>
      </c>
      <c r="AD18" s="304" t="str">
        <f t="shared" si="6"/>
        <v>ó</v>
      </c>
      <c r="AE18" s="304" t="str">
        <f t="shared" si="6"/>
        <v>ǒ</v>
      </c>
      <c r="AF18" s="304" t="str">
        <f t="shared" si="6"/>
        <v>ǒ</v>
      </c>
      <c r="AG18" s="304" t="str">
        <f t="shared" si="6"/>
        <v>ò</v>
      </c>
      <c r="AH18" s="304" t="str">
        <f t="shared" si="6"/>
        <v>ô</v>
      </c>
      <c r="AI18" s="304" t="str">
        <f t="shared" si="6"/>
        <v>ō</v>
      </c>
      <c r="AJ18" s="304" t="str">
        <f t="shared" si="6"/>
        <v>ó</v>
      </c>
    </row>
    <row r="19" spans="13:36" ht="34">
      <c r="M19" s="307">
        <v>15</v>
      </c>
      <c r="N19" s="311" t="s">
        <v>298</v>
      </c>
      <c r="O19" s="315" t="str" cm="1">
        <f t="array" ref="O19">INDEX(韻母對照表, (($M19-1)*2 +1), $O$1)</f>
        <v>o</v>
      </c>
      <c r="P19" s="315" t="str" cm="1">
        <f t="array" ref="P19">INDEX(韻母對照表, (($M19-1)*2 +2), $O$1)</f>
        <v>oh</v>
      </c>
      <c r="Q19" s="311" t="s">
        <v>299</v>
      </c>
      <c r="R19" s="316" t="str">
        <f t="shared" si="4"/>
        <v>ō</v>
      </c>
      <c r="S19" s="316" t="str">
        <f t="shared" si="0"/>
        <v>ó</v>
      </c>
      <c r="T19" s="316" t="str">
        <f t="shared" si="0"/>
        <v>ǒ</v>
      </c>
      <c r="U19" s="317" t="str">
        <f t="shared" si="0"/>
        <v>ǒh</v>
      </c>
      <c r="V19" s="316" t="str">
        <f t="shared" si="0"/>
        <v>ò</v>
      </c>
      <c r="W19" s="316" t="str">
        <f t="shared" si="0"/>
        <v>ô</v>
      </c>
      <c r="X19" s="316" t="str">
        <f t="shared" si="0"/>
        <v>ō</v>
      </c>
      <c r="Y19" s="317" t="str">
        <f t="shared" si="0"/>
        <v>óh</v>
      </c>
      <c r="AA19" s="304">
        <f t="shared" si="5"/>
        <v>1</v>
      </c>
      <c r="AB19" s="304">
        <f t="shared" si="2"/>
        <v>4</v>
      </c>
      <c r="AC19" s="304" t="str">
        <f t="shared" si="6"/>
        <v>ō</v>
      </c>
      <c r="AD19" s="304" t="str">
        <f t="shared" si="6"/>
        <v>ó</v>
      </c>
      <c r="AE19" s="304" t="str">
        <f t="shared" si="6"/>
        <v>ǒ</v>
      </c>
      <c r="AF19" s="304" t="str">
        <f t="shared" si="6"/>
        <v>ǒ</v>
      </c>
      <c r="AG19" s="304" t="str">
        <f t="shared" si="6"/>
        <v>ò</v>
      </c>
      <c r="AH19" s="304" t="str">
        <f t="shared" si="6"/>
        <v>ô</v>
      </c>
      <c r="AI19" s="304" t="str">
        <f t="shared" si="6"/>
        <v>ō</v>
      </c>
      <c r="AJ19" s="304" t="str">
        <f t="shared" si="6"/>
        <v>ó</v>
      </c>
    </row>
    <row r="20" spans="13:36" ht="34">
      <c r="M20" s="307">
        <v>16</v>
      </c>
      <c r="N20" s="311" t="s">
        <v>306</v>
      </c>
      <c r="O20" s="315" t="str" cm="1">
        <f t="array" ref="O20">INDEX(韻母對照表, (($M20-1)*2 +1), $O$1)</f>
        <v>ai</v>
      </c>
      <c r="P20" s="315" t="str" cm="1">
        <f t="array" ref="P20">INDEX(韻母對照表, (($M20-1)*2 +2), $O$1)</f>
        <v>aih</v>
      </c>
      <c r="Q20" s="311" t="s">
        <v>424</v>
      </c>
      <c r="R20" s="316" t="str">
        <f t="shared" si="4"/>
        <v>āi</v>
      </c>
      <c r="S20" s="316" t="str">
        <f t="shared" si="0"/>
        <v>ái</v>
      </c>
      <c r="T20" s="316" t="str">
        <f t="shared" si="0"/>
        <v>ǎi</v>
      </c>
      <c r="U20" s="317" t="str">
        <f t="shared" si="0"/>
        <v>ǎih</v>
      </c>
      <c r="V20" s="316" t="str">
        <f t="shared" si="0"/>
        <v>ài</v>
      </c>
      <c r="W20" s="316" t="str">
        <f t="shared" si="0"/>
        <v>âi</v>
      </c>
      <c r="X20" s="316" t="str">
        <f t="shared" si="0"/>
        <v>āi</v>
      </c>
      <c r="Y20" s="317" t="str">
        <f t="shared" si="0"/>
        <v>áih</v>
      </c>
      <c r="AA20" s="304">
        <f t="shared" si="5"/>
        <v>1</v>
      </c>
      <c r="AB20" s="304">
        <f t="shared" si="2"/>
        <v>1</v>
      </c>
      <c r="AC20" s="304" t="str">
        <f t="shared" si="6"/>
        <v>ā</v>
      </c>
      <c r="AD20" s="304" t="str">
        <f t="shared" si="6"/>
        <v>á</v>
      </c>
      <c r="AE20" s="304" t="str">
        <f t="shared" si="6"/>
        <v>ǎ</v>
      </c>
      <c r="AF20" s="304" t="str">
        <f t="shared" si="6"/>
        <v>ǎ</v>
      </c>
      <c r="AG20" s="304" t="str">
        <f t="shared" si="6"/>
        <v>à</v>
      </c>
      <c r="AH20" s="304" t="str">
        <f t="shared" si="6"/>
        <v>â</v>
      </c>
      <c r="AI20" s="304" t="str">
        <f t="shared" si="6"/>
        <v>ā</v>
      </c>
      <c r="AJ20" s="304" t="str">
        <f t="shared" si="6"/>
        <v>á</v>
      </c>
    </row>
    <row r="21" spans="13:36" ht="34">
      <c r="M21" s="307">
        <v>17</v>
      </c>
      <c r="N21" s="311" t="s">
        <v>316</v>
      </c>
      <c r="O21" s="315" t="str" cm="1">
        <f t="array" ref="O21">INDEX(韻母對照表, (($M21-1)*2 +1), $O$1)</f>
        <v>in</v>
      </c>
      <c r="P21" s="315" t="str" cm="1">
        <f t="array" ref="P21">INDEX(韻母對照表, (($M21-1)*2 +2), $O$1)</f>
        <v>it</v>
      </c>
      <c r="Q21" s="311" t="s">
        <v>432</v>
      </c>
      <c r="R21" s="316" t="str">
        <f t="shared" si="4"/>
        <v>īn</v>
      </c>
      <c r="S21" s="316" t="str">
        <f t="shared" si="4"/>
        <v>ín</v>
      </c>
      <c r="T21" s="316" t="str">
        <f t="shared" si="4"/>
        <v>ǐn</v>
      </c>
      <c r="U21" s="317" t="str">
        <f t="shared" si="4"/>
        <v>ǐt</v>
      </c>
      <c r="V21" s="316" t="str">
        <f t="shared" si="4"/>
        <v>ìn</v>
      </c>
      <c r="W21" s="316" t="str">
        <f t="shared" si="4"/>
        <v>în</v>
      </c>
      <c r="X21" s="316" t="str">
        <f t="shared" si="4"/>
        <v>īn</v>
      </c>
      <c r="Y21" s="317" t="str">
        <f t="shared" si="4"/>
        <v>ít</v>
      </c>
      <c r="AA21" s="304">
        <f t="shared" si="5"/>
        <v>1</v>
      </c>
      <c r="AB21" s="304">
        <f t="shared" si="2"/>
        <v>3</v>
      </c>
      <c r="AC21" s="304" t="str">
        <f t="shared" si="6"/>
        <v>ī</v>
      </c>
      <c r="AD21" s="304" t="str">
        <f t="shared" si="6"/>
        <v>í</v>
      </c>
      <c r="AE21" s="304" t="str">
        <f t="shared" si="6"/>
        <v>ǐ</v>
      </c>
      <c r="AF21" s="304" t="str">
        <f t="shared" si="6"/>
        <v>ǐ</v>
      </c>
      <c r="AG21" s="304" t="str">
        <f t="shared" si="6"/>
        <v>ì</v>
      </c>
      <c r="AH21" s="304" t="str">
        <f t="shared" si="6"/>
        <v>î</v>
      </c>
      <c r="AI21" s="304" t="str">
        <f t="shared" si="6"/>
        <v>ī</v>
      </c>
      <c r="AJ21" s="304" t="str">
        <f t="shared" si="6"/>
        <v>í</v>
      </c>
    </row>
    <row r="22" spans="13:36" ht="34">
      <c r="M22" s="307">
        <v>18</v>
      </c>
      <c r="N22" s="311" t="s">
        <v>323</v>
      </c>
      <c r="O22" s="315" t="str" cm="1">
        <f t="array" ref="O22">INDEX(韻母對照表, (($M22-1)*2 +1), $O$1)</f>
        <v>iang</v>
      </c>
      <c r="P22" s="315" t="str" cm="1">
        <f t="array" ref="P22">INDEX(韻母對照表, (($M22-1)*2 +2), $O$1)</f>
        <v>iak</v>
      </c>
      <c r="Q22" s="311" t="s">
        <v>424</v>
      </c>
      <c r="R22" s="316" t="str">
        <f t="shared" si="4"/>
        <v>iāng</v>
      </c>
      <c r="S22" s="316" t="str">
        <f t="shared" si="4"/>
        <v>iáng</v>
      </c>
      <c r="T22" s="316" t="str">
        <f t="shared" si="4"/>
        <v>iǎng</v>
      </c>
      <c r="U22" s="317" t="str">
        <f t="shared" si="4"/>
        <v>iǎk</v>
      </c>
      <c r="V22" s="316" t="str">
        <f t="shared" si="4"/>
        <v>iàng</v>
      </c>
      <c r="W22" s="316" t="str">
        <f t="shared" si="4"/>
        <v>iâng</v>
      </c>
      <c r="X22" s="316" t="str">
        <f t="shared" si="4"/>
        <v>iāng</v>
      </c>
      <c r="Y22" s="317" t="str">
        <f t="shared" si="4"/>
        <v>iák</v>
      </c>
      <c r="AA22" s="304">
        <f t="shared" si="5"/>
        <v>2</v>
      </c>
      <c r="AB22" s="304">
        <f t="shared" si="2"/>
        <v>1</v>
      </c>
      <c r="AC22" s="304" t="str">
        <f t="shared" si="6"/>
        <v>ā</v>
      </c>
      <c r="AD22" s="304" t="str">
        <f t="shared" si="6"/>
        <v>á</v>
      </c>
      <c r="AE22" s="304" t="str">
        <f t="shared" si="6"/>
        <v>ǎ</v>
      </c>
      <c r="AF22" s="304" t="str">
        <f t="shared" si="6"/>
        <v>ǎ</v>
      </c>
      <c r="AG22" s="304" t="str">
        <f t="shared" si="6"/>
        <v>à</v>
      </c>
      <c r="AH22" s="304" t="str">
        <f t="shared" si="6"/>
        <v>â</v>
      </c>
      <c r="AI22" s="304" t="str">
        <f t="shared" si="6"/>
        <v>ā</v>
      </c>
      <c r="AJ22" s="304" t="str">
        <f t="shared" si="6"/>
        <v>á</v>
      </c>
    </row>
    <row r="23" spans="13:36" ht="34">
      <c r="M23" s="307">
        <v>19</v>
      </c>
      <c r="N23" s="311" t="s">
        <v>333</v>
      </c>
      <c r="O23" s="315" t="str" cm="1">
        <f t="array" ref="O23">INDEX(韻母對照表, (($M23-1)*2 +1), $O$1)</f>
        <v>am</v>
      </c>
      <c r="P23" s="315" t="str" cm="1">
        <f t="array" ref="P23">INDEX(韻母對照表, (($M23-1)*2 +2), $O$1)</f>
        <v>ap</v>
      </c>
      <c r="Q23" s="311" t="s">
        <v>424</v>
      </c>
      <c r="R23" s="316" t="str">
        <f t="shared" si="4"/>
        <v>ām</v>
      </c>
      <c r="S23" s="316" t="str">
        <f t="shared" si="4"/>
        <v>ám</v>
      </c>
      <c r="T23" s="316" t="str">
        <f t="shared" si="4"/>
        <v>ǎm</v>
      </c>
      <c r="U23" s="317" t="str">
        <f t="shared" si="4"/>
        <v>ǎp</v>
      </c>
      <c r="V23" s="316" t="str">
        <f t="shared" si="4"/>
        <v>àm</v>
      </c>
      <c r="W23" s="316" t="str">
        <f t="shared" si="4"/>
        <v>âm</v>
      </c>
      <c r="X23" s="316" t="str">
        <f t="shared" si="4"/>
        <v>ām</v>
      </c>
      <c r="Y23" s="317" t="str">
        <f t="shared" si="4"/>
        <v>áp</v>
      </c>
      <c r="AA23" s="304">
        <f t="shared" si="5"/>
        <v>1</v>
      </c>
      <c r="AB23" s="304">
        <f t="shared" si="2"/>
        <v>1</v>
      </c>
      <c r="AC23" s="304" t="str">
        <f t="shared" si="6"/>
        <v>ā</v>
      </c>
      <c r="AD23" s="304" t="str">
        <f t="shared" si="6"/>
        <v>á</v>
      </c>
      <c r="AE23" s="304" t="str">
        <f t="shared" si="6"/>
        <v>ǎ</v>
      </c>
      <c r="AF23" s="304" t="str">
        <f t="shared" si="6"/>
        <v>ǎ</v>
      </c>
      <c r="AG23" s="304" t="str">
        <f t="shared" si="6"/>
        <v>à</v>
      </c>
      <c r="AH23" s="304" t="str">
        <f t="shared" si="6"/>
        <v>â</v>
      </c>
      <c r="AI23" s="304" t="str">
        <f t="shared" si="6"/>
        <v>ā</v>
      </c>
      <c r="AJ23" s="304" t="str">
        <f t="shared" si="6"/>
        <v>á</v>
      </c>
    </row>
    <row r="24" spans="13:36" ht="34">
      <c r="M24" s="307">
        <v>20</v>
      </c>
      <c r="N24" s="311" t="s">
        <v>339</v>
      </c>
      <c r="O24" s="315" t="str" cm="1">
        <f t="array" ref="O24">INDEX(韻母對照表, (($M24-1)*2 +1), $O$1)</f>
        <v>ua</v>
      </c>
      <c r="P24" s="315" t="str" cm="1">
        <f t="array" ref="P24">INDEX(韻母對照表, (($M24-1)*2 +2), $O$1)</f>
        <v>uah</v>
      </c>
      <c r="Q24" s="311" t="s">
        <v>1619</v>
      </c>
      <c r="R24" s="316" t="str">
        <f t="shared" si="4"/>
        <v>ūa</v>
      </c>
      <c r="S24" s="316" t="str">
        <f t="shared" si="4"/>
        <v>úa</v>
      </c>
      <c r="T24" s="316" t="str">
        <f t="shared" si="4"/>
        <v>ǔa</v>
      </c>
      <c r="U24" s="317" t="str">
        <f t="shared" si="4"/>
        <v>ǔah</v>
      </c>
      <c r="V24" s="316" t="str">
        <f t="shared" si="4"/>
        <v>ùa</v>
      </c>
      <c r="W24" s="316" t="str">
        <f t="shared" si="4"/>
        <v>ûa</v>
      </c>
      <c r="X24" s="316" t="str">
        <f t="shared" si="4"/>
        <v>ūa</v>
      </c>
      <c r="Y24" s="317" t="str">
        <f t="shared" si="4"/>
        <v>úah</v>
      </c>
      <c r="AA24" s="304">
        <f t="shared" si="5"/>
        <v>1</v>
      </c>
      <c r="AB24" s="304">
        <f t="shared" si="2"/>
        <v>6</v>
      </c>
      <c r="AC24" s="304" t="str">
        <f t="shared" si="6"/>
        <v>ū</v>
      </c>
      <c r="AD24" s="304" t="str">
        <f t="shared" si="6"/>
        <v>ú</v>
      </c>
      <c r="AE24" s="304" t="str">
        <f t="shared" si="6"/>
        <v>ǔ</v>
      </c>
      <c r="AF24" s="304" t="str">
        <f t="shared" si="6"/>
        <v>ǔ</v>
      </c>
      <c r="AG24" s="304" t="str">
        <f t="shared" si="6"/>
        <v>ù</v>
      </c>
      <c r="AH24" s="304" t="str">
        <f t="shared" si="6"/>
        <v>û</v>
      </c>
      <c r="AI24" s="304" t="str">
        <f t="shared" si="6"/>
        <v>ū</v>
      </c>
      <c r="AJ24" s="304" t="str">
        <f t="shared" si="6"/>
        <v>ú</v>
      </c>
    </row>
    <row r="25" spans="13:36" ht="34">
      <c r="M25" s="307">
        <v>21</v>
      </c>
      <c r="N25" s="311" t="s">
        <v>350</v>
      </c>
      <c r="O25" s="315" t="str" cm="1">
        <f t="array" ref="O25">INDEX(韻母對照表, (($M25-1)*2 +1), $O$1)</f>
        <v>ang</v>
      </c>
      <c r="P25" s="315" t="str" cm="1">
        <f t="array" ref="P25">INDEX(韻母對照表, (($M25-1)*2 +2), $O$1)</f>
        <v>ak</v>
      </c>
      <c r="Q25" s="311" t="s">
        <v>424</v>
      </c>
      <c r="R25" s="316" t="str">
        <f t="shared" si="4"/>
        <v>āng</v>
      </c>
      <c r="S25" s="316" t="str">
        <f t="shared" si="4"/>
        <v>áng</v>
      </c>
      <c r="T25" s="316" t="str">
        <f t="shared" si="4"/>
        <v>ǎng</v>
      </c>
      <c r="U25" s="317" t="str">
        <f t="shared" si="4"/>
        <v>ǎk</v>
      </c>
      <c r="V25" s="316" t="str">
        <f t="shared" si="4"/>
        <v>àng</v>
      </c>
      <c r="W25" s="316" t="str">
        <f t="shared" si="4"/>
        <v>âng</v>
      </c>
      <c r="X25" s="316" t="str">
        <f t="shared" si="4"/>
        <v>āng</v>
      </c>
      <c r="Y25" s="317" t="str">
        <f t="shared" si="4"/>
        <v>ák</v>
      </c>
      <c r="AA25" s="304">
        <f t="shared" si="5"/>
        <v>1</v>
      </c>
      <c r="AB25" s="304">
        <f t="shared" si="2"/>
        <v>1</v>
      </c>
      <c r="AC25" s="304" t="str">
        <f t="shared" ref="AC25:AJ34" si="7">INDEX($D$5:$K$12, $AB25, AC$4)</f>
        <v>ā</v>
      </c>
      <c r="AD25" s="304" t="str">
        <f t="shared" si="7"/>
        <v>á</v>
      </c>
      <c r="AE25" s="304" t="str">
        <f t="shared" si="7"/>
        <v>ǎ</v>
      </c>
      <c r="AF25" s="304" t="str">
        <f t="shared" si="7"/>
        <v>ǎ</v>
      </c>
      <c r="AG25" s="304" t="str">
        <f t="shared" si="7"/>
        <v>à</v>
      </c>
      <c r="AH25" s="304" t="str">
        <f t="shared" si="7"/>
        <v>â</v>
      </c>
      <c r="AI25" s="304" t="str">
        <f t="shared" si="7"/>
        <v>ā</v>
      </c>
      <c r="AJ25" s="304" t="str">
        <f t="shared" si="7"/>
        <v>á</v>
      </c>
    </row>
    <row r="26" spans="13:36" ht="34">
      <c r="M26" s="307">
        <v>22</v>
      </c>
      <c r="N26" s="311" t="s">
        <v>358</v>
      </c>
      <c r="O26" s="315" t="str" cm="1">
        <f t="array" ref="O26">INDEX(韻母對照表, (($M26-1)*2 +1), $O$1)</f>
        <v>iam</v>
      </c>
      <c r="P26" s="315" t="str" cm="1">
        <f t="array" ref="P26">INDEX(韻母對照表, (($M26-1)*2 +2), $O$1)</f>
        <v>iap</v>
      </c>
      <c r="Q26" s="311" t="s">
        <v>424</v>
      </c>
      <c r="R26" s="316" t="str">
        <f t="shared" si="4"/>
        <v>iām</v>
      </c>
      <c r="S26" s="316" t="str">
        <f t="shared" si="4"/>
        <v>iám</v>
      </c>
      <c r="T26" s="316" t="str">
        <f t="shared" si="4"/>
        <v>iǎm</v>
      </c>
      <c r="U26" s="317" t="str">
        <f t="shared" si="4"/>
        <v>iǎp</v>
      </c>
      <c r="V26" s="316" t="str">
        <f t="shared" si="4"/>
        <v>iàm</v>
      </c>
      <c r="W26" s="316" t="str">
        <f t="shared" si="4"/>
        <v>iâm</v>
      </c>
      <c r="X26" s="316" t="str">
        <f t="shared" si="4"/>
        <v>iām</v>
      </c>
      <c r="Y26" s="317" t="str">
        <f t="shared" si="4"/>
        <v>iáp</v>
      </c>
      <c r="AA26" s="304">
        <f t="shared" si="5"/>
        <v>2</v>
      </c>
      <c r="AB26" s="304">
        <f t="shared" si="2"/>
        <v>1</v>
      </c>
      <c r="AC26" s="304" t="str">
        <f t="shared" si="7"/>
        <v>ā</v>
      </c>
      <c r="AD26" s="304" t="str">
        <f t="shared" si="7"/>
        <v>á</v>
      </c>
      <c r="AE26" s="304" t="str">
        <f t="shared" si="7"/>
        <v>ǎ</v>
      </c>
      <c r="AF26" s="304" t="str">
        <f t="shared" si="7"/>
        <v>ǎ</v>
      </c>
      <c r="AG26" s="304" t="str">
        <f t="shared" si="7"/>
        <v>à</v>
      </c>
      <c r="AH26" s="304" t="str">
        <f t="shared" si="7"/>
        <v>â</v>
      </c>
      <c r="AI26" s="304" t="str">
        <f t="shared" si="7"/>
        <v>ā</v>
      </c>
      <c r="AJ26" s="304" t="str">
        <f t="shared" si="7"/>
        <v>á</v>
      </c>
    </row>
    <row r="27" spans="13:36" ht="34">
      <c r="M27" s="307">
        <v>23</v>
      </c>
      <c r="N27" s="311" t="s">
        <v>367</v>
      </c>
      <c r="O27" s="315" t="str" cm="1">
        <f t="array" ref="O27">INDEX(韻母對照表, (($M27-1)*2 +1), $O$1)</f>
        <v>ao</v>
      </c>
      <c r="P27" s="315" t="str" cm="1">
        <f t="array" ref="P27">INDEX(韻母對照表, (($M27-1)*2 +2), $O$1)</f>
        <v>aoh</v>
      </c>
      <c r="Q27" s="311" t="s">
        <v>424</v>
      </c>
      <c r="R27" s="316" t="str">
        <f t="shared" si="4"/>
        <v>āo</v>
      </c>
      <c r="S27" s="316" t="str">
        <f t="shared" si="4"/>
        <v>áo</v>
      </c>
      <c r="T27" s="316" t="str">
        <f t="shared" si="4"/>
        <v>ǎo</v>
      </c>
      <c r="U27" s="317" t="str">
        <f t="shared" si="4"/>
        <v>ǎoh</v>
      </c>
      <c r="V27" s="316" t="str">
        <f t="shared" si="4"/>
        <v>ào</v>
      </c>
      <c r="W27" s="316" t="str">
        <f t="shared" si="4"/>
        <v>âo</v>
      </c>
      <c r="X27" s="316" t="str">
        <f t="shared" si="4"/>
        <v>āo</v>
      </c>
      <c r="Y27" s="317" t="str">
        <f t="shared" si="4"/>
        <v>áoh</v>
      </c>
      <c r="AA27" s="304">
        <f t="shared" si="5"/>
        <v>1</v>
      </c>
      <c r="AB27" s="304">
        <f t="shared" si="2"/>
        <v>1</v>
      </c>
      <c r="AC27" s="304" t="str">
        <f t="shared" si="7"/>
        <v>ā</v>
      </c>
      <c r="AD27" s="304" t="str">
        <f t="shared" si="7"/>
        <v>á</v>
      </c>
      <c r="AE27" s="304" t="str">
        <f t="shared" si="7"/>
        <v>ǎ</v>
      </c>
      <c r="AF27" s="304" t="str">
        <f t="shared" si="7"/>
        <v>ǎ</v>
      </c>
      <c r="AG27" s="304" t="str">
        <f t="shared" si="7"/>
        <v>à</v>
      </c>
      <c r="AH27" s="304" t="str">
        <f t="shared" si="7"/>
        <v>â</v>
      </c>
      <c r="AI27" s="304" t="str">
        <f t="shared" si="7"/>
        <v>ā</v>
      </c>
      <c r="AJ27" s="304" t="str">
        <f t="shared" si="7"/>
        <v>á</v>
      </c>
    </row>
    <row r="28" spans="13:36" ht="34">
      <c r="M28" s="307">
        <v>24</v>
      </c>
      <c r="N28" s="311" t="s">
        <v>378</v>
      </c>
      <c r="O28" s="315" t="str" cm="1">
        <f t="array" ref="O28">INDEX(韻母對照表, (($M28-1)*2 +1), $O$1)</f>
        <v>ia</v>
      </c>
      <c r="P28" s="315" t="str" cm="1">
        <f t="array" ref="P28">INDEX(韻母對照表, (($M28-1)*2 +2), $O$1)</f>
        <v>iah</v>
      </c>
      <c r="Q28" s="311" t="s">
        <v>424</v>
      </c>
      <c r="R28" s="316" t="str">
        <f t="shared" si="4"/>
        <v>iā</v>
      </c>
      <c r="S28" s="316" t="str">
        <f t="shared" si="4"/>
        <v>iá</v>
      </c>
      <c r="T28" s="316" t="str">
        <f t="shared" si="4"/>
        <v>iǎ</v>
      </c>
      <c r="U28" s="317" t="str">
        <f t="shared" si="4"/>
        <v>iǎh</v>
      </c>
      <c r="V28" s="316" t="str">
        <f t="shared" si="4"/>
        <v>ià</v>
      </c>
      <c r="W28" s="316" t="str">
        <f t="shared" si="4"/>
        <v>iâ</v>
      </c>
      <c r="X28" s="316" t="str">
        <f t="shared" si="4"/>
        <v>iā</v>
      </c>
      <c r="Y28" s="317" t="str">
        <f t="shared" si="4"/>
        <v>iáh</v>
      </c>
      <c r="AA28" s="304">
        <f t="shared" si="5"/>
        <v>2</v>
      </c>
      <c r="AB28" s="304">
        <f t="shared" si="2"/>
        <v>1</v>
      </c>
      <c r="AC28" s="304" t="str">
        <f t="shared" si="7"/>
        <v>ā</v>
      </c>
      <c r="AD28" s="304" t="str">
        <f t="shared" si="7"/>
        <v>á</v>
      </c>
      <c r="AE28" s="304" t="str">
        <f t="shared" si="7"/>
        <v>ǎ</v>
      </c>
      <c r="AF28" s="304" t="str">
        <f t="shared" si="7"/>
        <v>ǎ</v>
      </c>
      <c r="AG28" s="304" t="str">
        <f t="shared" si="7"/>
        <v>à</v>
      </c>
      <c r="AH28" s="304" t="str">
        <f t="shared" si="7"/>
        <v>â</v>
      </c>
      <c r="AI28" s="304" t="str">
        <f t="shared" si="7"/>
        <v>ā</v>
      </c>
      <c r="AJ28" s="304" t="str">
        <f t="shared" si="7"/>
        <v>á</v>
      </c>
    </row>
    <row r="29" spans="13:36" ht="34">
      <c r="M29" s="307">
        <v>25</v>
      </c>
      <c r="N29" s="311" t="s">
        <v>388</v>
      </c>
      <c r="O29" s="315" t="str" cm="1">
        <f t="array" ref="O29">INDEX(韻母對照表, (($M29-1)*2 +1), $O$1)</f>
        <v>ue</v>
      </c>
      <c r="P29" s="315" t="str" cm="1">
        <f t="array" ref="P29">INDEX(韻母對照表, (($M29-1)*2 +2), $O$1)</f>
        <v>ueh</v>
      </c>
      <c r="Q29" s="311" t="s">
        <v>1619</v>
      </c>
      <c r="R29" s="316" t="str">
        <f t="shared" si="4"/>
        <v>ūe</v>
      </c>
      <c r="S29" s="316" t="str">
        <f t="shared" si="4"/>
        <v>úe</v>
      </c>
      <c r="T29" s="316" t="str">
        <f t="shared" si="4"/>
        <v>ǔe</v>
      </c>
      <c r="U29" s="317" t="str">
        <f t="shared" si="4"/>
        <v>ǔeh</v>
      </c>
      <c r="V29" s="316" t="str">
        <f t="shared" si="4"/>
        <v>ùe</v>
      </c>
      <c r="W29" s="316" t="str">
        <f t="shared" si="4"/>
        <v>ûe</v>
      </c>
      <c r="X29" s="316" t="str">
        <f t="shared" si="4"/>
        <v>ūe</v>
      </c>
      <c r="Y29" s="317" t="str">
        <f t="shared" si="4"/>
        <v>úeh</v>
      </c>
      <c r="AA29" s="304">
        <f t="shared" si="5"/>
        <v>1</v>
      </c>
      <c r="AB29" s="304">
        <f t="shared" si="2"/>
        <v>6</v>
      </c>
      <c r="AC29" s="304" t="str">
        <f t="shared" si="7"/>
        <v>ū</v>
      </c>
      <c r="AD29" s="304" t="str">
        <f t="shared" si="7"/>
        <v>ú</v>
      </c>
      <c r="AE29" s="304" t="str">
        <f t="shared" si="7"/>
        <v>ǔ</v>
      </c>
      <c r="AF29" s="304" t="str">
        <f t="shared" si="7"/>
        <v>ǔ</v>
      </c>
      <c r="AG29" s="304" t="str">
        <f t="shared" si="7"/>
        <v>ù</v>
      </c>
      <c r="AH29" s="304" t="str">
        <f t="shared" si="7"/>
        <v>û</v>
      </c>
      <c r="AI29" s="304" t="str">
        <f t="shared" si="7"/>
        <v>ū</v>
      </c>
      <c r="AJ29" s="304" t="str">
        <f t="shared" si="7"/>
        <v>ú</v>
      </c>
    </row>
    <row r="30" spans="13:36" ht="34">
      <c r="M30" s="307">
        <v>26</v>
      </c>
      <c r="N30" s="311" t="s">
        <v>399</v>
      </c>
      <c r="O30" s="315" t="str" cm="1">
        <f t="array" ref="O30">INDEX(韻母對照表, (($M30-1)*2 +1), $O$1)</f>
        <v>na</v>
      </c>
      <c r="P30" s="315" t="str" cm="1">
        <f t="array" ref="P30">INDEX(韻母對照表, (($M30-1)*2 +2), $O$1)</f>
        <v>nah</v>
      </c>
      <c r="Q30" s="311" t="s">
        <v>424</v>
      </c>
      <c r="R30" s="316" t="str">
        <f t="shared" si="4"/>
        <v>nā</v>
      </c>
      <c r="S30" s="316" t="str">
        <f t="shared" si="4"/>
        <v>ná</v>
      </c>
      <c r="T30" s="316" t="str">
        <f t="shared" si="4"/>
        <v>nǎ</v>
      </c>
      <c r="U30" s="317" t="str">
        <f t="shared" si="4"/>
        <v>nǎh</v>
      </c>
      <c r="V30" s="316" t="str">
        <f t="shared" si="4"/>
        <v>nà</v>
      </c>
      <c r="W30" s="316" t="str">
        <f t="shared" si="4"/>
        <v>nâ</v>
      </c>
      <c r="X30" s="316" t="str">
        <f t="shared" si="4"/>
        <v>nā</v>
      </c>
      <c r="Y30" s="317" t="str">
        <f t="shared" si="4"/>
        <v>náh</v>
      </c>
      <c r="AA30" s="304">
        <f t="shared" si="5"/>
        <v>2</v>
      </c>
      <c r="AB30" s="304">
        <f t="shared" si="2"/>
        <v>1</v>
      </c>
      <c r="AC30" s="304" t="str">
        <f t="shared" si="7"/>
        <v>ā</v>
      </c>
      <c r="AD30" s="304" t="str">
        <f t="shared" si="7"/>
        <v>á</v>
      </c>
      <c r="AE30" s="304" t="str">
        <f t="shared" si="7"/>
        <v>ǎ</v>
      </c>
      <c r="AF30" s="304" t="str">
        <f t="shared" si="7"/>
        <v>ǎ</v>
      </c>
      <c r="AG30" s="304" t="str">
        <f t="shared" si="7"/>
        <v>à</v>
      </c>
      <c r="AH30" s="304" t="str">
        <f t="shared" si="7"/>
        <v>â</v>
      </c>
      <c r="AI30" s="304" t="str">
        <f t="shared" si="7"/>
        <v>ā</v>
      </c>
      <c r="AJ30" s="304" t="str">
        <f t="shared" si="7"/>
        <v>á</v>
      </c>
    </row>
    <row r="31" spans="13:36" ht="34">
      <c r="M31" s="307">
        <v>27</v>
      </c>
      <c r="N31" s="311" t="s">
        <v>414</v>
      </c>
      <c r="O31" s="315" t="str" cm="1">
        <f t="array" ref="O31">INDEX(韻母對照表, (($M31-1)*2 +1), $O$1)</f>
        <v>u</v>
      </c>
      <c r="P31" s="315" t="str" cm="1">
        <f t="array" ref="P31">INDEX(韻母對照表, (($M31-1)*2 +2), $O$1)</f>
        <v>uh</v>
      </c>
      <c r="Q31" s="311" t="s">
        <v>415</v>
      </c>
      <c r="R31" s="316" t="str">
        <f t="shared" si="4"/>
        <v>ū</v>
      </c>
      <c r="S31" s="316" t="str">
        <f t="shared" si="4"/>
        <v>ú</v>
      </c>
      <c r="T31" s="316" t="str">
        <f t="shared" si="4"/>
        <v>ǔ</v>
      </c>
      <c r="U31" s="317" t="str">
        <f t="shared" si="4"/>
        <v>ǔh</v>
      </c>
      <c r="V31" s="316" t="str">
        <f t="shared" si="4"/>
        <v>ù</v>
      </c>
      <c r="W31" s="316" t="str">
        <f t="shared" si="4"/>
        <v>û</v>
      </c>
      <c r="X31" s="316" t="str">
        <f t="shared" si="4"/>
        <v>ū</v>
      </c>
      <c r="Y31" s="317" t="str">
        <f t="shared" si="4"/>
        <v>úh</v>
      </c>
      <c r="AA31" s="304">
        <f t="shared" si="5"/>
        <v>1</v>
      </c>
      <c r="AB31" s="304">
        <f t="shared" si="2"/>
        <v>6</v>
      </c>
      <c r="AC31" s="304" t="str">
        <f t="shared" si="7"/>
        <v>ū</v>
      </c>
      <c r="AD31" s="304" t="str">
        <f t="shared" si="7"/>
        <v>ú</v>
      </c>
      <c r="AE31" s="304" t="str">
        <f t="shared" si="7"/>
        <v>ǔ</v>
      </c>
      <c r="AF31" s="304" t="str">
        <f t="shared" si="7"/>
        <v>ǔ</v>
      </c>
      <c r="AG31" s="304" t="str">
        <f t="shared" si="7"/>
        <v>ù</v>
      </c>
      <c r="AH31" s="304" t="str">
        <f t="shared" si="7"/>
        <v>û</v>
      </c>
      <c r="AI31" s="304" t="str">
        <f t="shared" si="7"/>
        <v>ū</v>
      </c>
      <c r="AJ31" s="304" t="str">
        <f t="shared" si="7"/>
        <v>ú</v>
      </c>
    </row>
    <row r="32" spans="13:36" ht="34">
      <c r="M32" s="307">
        <v>28</v>
      </c>
      <c r="N32" s="311" t="s">
        <v>398</v>
      </c>
      <c r="O32" s="315" t="str" cm="1">
        <f t="array" ref="O32">INDEX(韻母對照表, (($M32-1)*2 +1), $O$1)</f>
        <v>a</v>
      </c>
      <c r="P32" s="315" t="str" cm="1">
        <f t="array" ref="P32">INDEX(韻母對照表, (($M32-1)*2 +2), $O$1)</f>
        <v>ah</v>
      </c>
      <c r="Q32" s="311" t="s">
        <v>424</v>
      </c>
      <c r="R32" s="316" t="str">
        <f t="shared" si="4"/>
        <v>ā</v>
      </c>
      <c r="S32" s="316" t="str">
        <f t="shared" si="4"/>
        <v>á</v>
      </c>
      <c r="T32" s="316" t="str">
        <f t="shared" si="4"/>
        <v>ǎ</v>
      </c>
      <c r="U32" s="317" t="str">
        <f t="shared" si="4"/>
        <v>ǎh</v>
      </c>
      <c r="V32" s="316" t="str">
        <f t="shared" si="4"/>
        <v>à</v>
      </c>
      <c r="W32" s="316" t="str">
        <f t="shared" si="4"/>
        <v>â</v>
      </c>
      <c r="X32" s="316" t="str">
        <f t="shared" si="4"/>
        <v>ā</v>
      </c>
      <c r="Y32" s="317" t="str">
        <f t="shared" si="4"/>
        <v>áh</v>
      </c>
      <c r="AA32" s="304">
        <f t="shared" si="5"/>
        <v>1</v>
      </c>
      <c r="AB32" s="304">
        <f t="shared" si="2"/>
        <v>1</v>
      </c>
      <c r="AC32" s="304" t="str">
        <f t="shared" si="7"/>
        <v>ā</v>
      </c>
      <c r="AD32" s="304" t="str">
        <f t="shared" si="7"/>
        <v>á</v>
      </c>
      <c r="AE32" s="304" t="str">
        <f t="shared" si="7"/>
        <v>ǎ</v>
      </c>
      <c r="AF32" s="304" t="str">
        <f t="shared" si="7"/>
        <v>ǎ</v>
      </c>
      <c r="AG32" s="304" t="str">
        <f t="shared" si="7"/>
        <v>à</v>
      </c>
      <c r="AH32" s="304" t="str">
        <f t="shared" si="7"/>
        <v>â</v>
      </c>
      <c r="AI32" s="304" t="str">
        <f t="shared" si="7"/>
        <v>ā</v>
      </c>
      <c r="AJ32" s="304" t="str">
        <f t="shared" si="7"/>
        <v>á</v>
      </c>
    </row>
    <row r="33" spans="13:36" ht="34">
      <c r="M33" s="307">
        <v>29</v>
      </c>
      <c r="N33" s="311" t="s">
        <v>431</v>
      </c>
      <c r="O33" s="315" t="str" cm="1">
        <f t="array" ref="O33">INDEX(韻母對照表, (($M33-1)*2 +1), $O$1)</f>
        <v>i</v>
      </c>
      <c r="P33" s="315" t="str" cm="1">
        <f t="array" ref="P33">INDEX(韻母對照表, (($M33-1)*2 +2), $O$1)</f>
        <v>ih</v>
      </c>
      <c r="Q33" s="311" t="s">
        <v>432</v>
      </c>
      <c r="R33" s="316" t="str">
        <f t="shared" si="4"/>
        <v>ī</v>
      </c>
      <c r="S33" s="316" t="str">
        <f t="shared" si="4"/>
        <v>í</v>
      </c>
      <c r="T33" s="316" t="str">
        <f t="shared" si="4"/>
        <v>ǐ</v>
      </c>
      <c r="U33" s="317" t="str">
        <f t="shared" si="4"/>
        <v>ǐh</v>
      </c>
      <c r="V33" s="316" t="str">
        <f t="shared" si="4"/>
        <v>ì</v>
      </c>
      <c r="W33" s="316" t="str">
        <f t="shared" si="4"/>
        <v>î</v>
      </c>
      <c r="X33" s="316" t="str">
        <f t="shared" si="4"/>
        <v>ī</v>
      </c>
      <c r="Y33" s="317" t="str">
        <f t="shared" si="4"/>
        <v>íh</v>
      </c>
      <c r="AA33" s="304">
        <f t="shared" si="5"/>
        <v>1</v>
      </c>
      <c r="AB33" s="304">
        <f t="shared" si="2"/>
        <v>3</v>
      </c>
      <c r="AC33" s="304" t="str">
        <f t="shared" si="7"/>
        <v>ī</v>
      </c>
      <c r="AD33" s="304" t="str">
        <f t="shared" si="7"/>
        <v>í</v>
      </c>
      <c r="AE33" s="304" t="str">
        <f t="shared" si="7"/>
        <v>ǐ</v>
      </c>
      <c r="AF33" s="304" t="str">
        <f t="shared" si="7"/>
        <v>ǐ</v>
      </c>
      <c r="AG33" s="304" t="str">
        <f t="shared" si="7"/>
        <v>ì</v>
      </c>
      <c r="AH33" s="304" t="str">
        <f t="shared" si="7"/>
        <v>î</v>
      </c>
      <c r="AI33" s="304" t="str">
        <f t="shared" si="7"/>
        <v>ī</v>
      </c>
      <c r="AJ33" s="304" t="str">
        <f t="shared" si="7"/>
        <v>í</v>
      </c>
    </row>
    <row r="34" spans="13:36" ht="34">
      <c r="M34" s="307">
        <v>30</v>
      </c>
      <c r="N34" s="311" t="s">
        <v>438</v>
      </c>
      <c r="O34" s="315" t="str" cm="1">
        <f t="array" ref="O34">INDEX(韻母對照表, (($M34-1)*2 +1), $O$1)</f>
        <v>iu</v>
      </c>
      <c r="P34" s="315" t="str" cm="1">
        <f t="array" ref="P34">INDEX(韻母對照表, (($M34-1)*2 +2), $O$1)</f>
        <v>iuh</v>
      </c>
      <c r="Q34" s="311" t="s">
        <v>415</v>
      </c>
      <c r="R34" s="316" t="str">
        <f t="shared" si="4"/>
        <v>iū</v>
      </c>
      <c r="S34" s="316" t="str">
        <f t="shared" si="4"/>
        <v>iú</v>
      </c>
      <c r="T34" s="316" t="str">
        <f t="shared" si="4"/>
        <v>iǔ</v>
      </c>
      <c r="U34" s="317" t="str">
        <f t="shared" si="4"/>
        <v>iǔh</v>
      </c>
      <c r="V34" s="316" t="str">
        <f t="shared" si="4"/>
        <v>iù</v>
      </c>
      <c r="W34" s="316" t="str">
        <f t="shared" si="4"/>
        <v>iû</v>
      </c>
      <c r="X34" s="316" t="str">
        <f t="shared" si="4"/>
        <v>iū</v>
      </c>
      <c r="Y34" s="317" t="str">
        <f t="shared" si="4"/>
        <v>iúh</v>
      </c>
      <c r="AA34" s="304">
        <f t="shared" si="5"/>
        <v>2</v>
      </c>
      <c r="AB34" s="304">
        <f t="shared" si="2"/>
        <v>6</v>
      </c>
      <c r="AC34" s="304" t="str">
        <f t="shared" si="7"/>
        <v>ū</v>
      </c>
      <c r="AD34" s="304" t="str">
        <f t="shared" si="7"/>
        <v>ú</v>
      </c>
      <c r="AE34" s="304" t="str">
        <f t="shared" si="7"/>
        <v>ǔ</v>
      </c>
      <c r="AF34" s="304" t="str">
        <f t="shared" si="7"/>
        <v>ǔ</v>
      </c>
      <c r="AG34" s="304" t="str">
        <f t="shared" si="7"/>
        <v>ù</v>
      </c>
      <c r="AH34" s="304" t="str">
        <f t="shared" si="7"/>
        <v>û</v>
      </c>
      <c r="AI34" s="304" t="str">
        <f t="shared" si="7"/>
        <v>ū</v>
      </c>
      <c r="AJ34" s="304" t="str">
        <f t="shared" si="7"/>
        <v>ú</v>
      </c>
    </row>
    <row r="35" spans="13:36" ht="34">
      <c r="M35" s="307">
        <v>31</v>
      </c>
      <c r="N35" s="311" t="s">
        <v>448</v>
      </c>
      <c r="O35" s="315" t="str" cm="1">
        <f t="array" ref="O35">INDEX(韻母對照表, (($M35-1)*2 +1), $O$1)</f>
        <v>ne</v>
      </c>
      <c r="P35" s="315" t="str" cm="1">
        <f t="array" ref="P35">INDEX(韻母對照表, (($M35-1)*2 +2), $O$1)</f>
        <v>neh</v>
      </c>
      <c r="Q35" s="311" t="s">
        <v>278</v>
      </c>
      <c r="R35" s="316" t="str">
        <f t="shared" si="4"/>
        <v>nē</v>
      </c>
      <c r="S35" s="316" t="str">
        <f t="shared" si="4"/>
        <v>né</v>
      </c>
      <c r="T35" s="316" t="str">
        <f t="shared" si="4"/>
        <v>ně</v>
      </c>
      <c r="U35" s="317" t="str">
        <f t="shared" si="4"/>
        <v>něh</v>
      </c>
      <c r="V35" s="316" t="str">
        <f t="shared" si="4"/>
        <v>nè</v>
      </c>
      <c r="W35" s="316" t="str">
        <f t="shared" si="4"/>
        <v>nê</v>
      </c>
      <c r="X35" s="316" t="str">
        <f t="shared" si="4"/>
        <v>nē</v>
      </c>
      <c r="Y35" s="317" t="str">
        <f t="shared" si="4"/>
        <v>néh</v>
      </c>
      <c r="AA35" s="304">
        <f t="shared" si="5"/>
        <v>2</v>
      </c>
      <c r="AB35" s="304">
        <f t="shared" si="2"/>
        <v>2</v>
      </c>
      <c r="AC35" s="304" t="str">
        <f t="shared" ref="AC35:AJ44" si="8">INDEX($D$5:$K$12, $AB35, AC$4)</f>
        <v>ē</v>
      </c>
      <c r="AD35" s="304" t="str">
        <f t="shared" si="8"/>
        <v>é</v>
      </c>
      <c r="AE35" s="304" t="str">
        <f t="shared" si="8"/>
        <v>ě</v>
      </c>
      <c r="AF35" s="304" t="str">
        <f t="shared" si="8"/>
        <v>ě</v>
      </c>
      <c r="AG35" s="304" t="str">
        <f t="shared" si="8"/>
        <v>è</v>
      </c>
      <c r="AH35" s="304" t="str">
        <f t="shared" si="8"/>
        <v>ê</v>
      </c>
      <c r="AI35" s="304" t="str">
        <f t="shared" si="8"/>
        <v>ē</v>
      </c>
      <c r="AJ35" s="304" t="str">
        <f t="shared" si="8"/>
        <v>é</v>
      </c>
    </row>
    <row r="36" spans="13:36" ht="34">
      <c r="M36" s="307">
        <v>32</v>
      </c>
      <c r="N36" s="311" t="s">
        <v>464</v>
      </c>
      <c r="O36" s="315" t="str" cm="1">
        <f t="array" ref="O36">INDEX(韻母對照表, (($M36-1)*2 +1), $O$1)</f>
        <v>nui</v>
      </c>
      <c r="P36" s="315" t="str" cm="1">
        <f t="array" ref="P36">INDEX(韻母對照表, (($M36-1)*2 +2), $O$1)</f>
        <v>nuih</v>
      </c>
      <c r="Q36" s="311" t="s">
        <v>415</v>
      </c>
      <c r="R36" s="316" t="str">
        <f t="shared" si="4"/>
        <v>nūi</v>
      </c>
      <c r="S36" s="316" t="str">
        <f t="shared" si="4"/>
        <v>núi</v>
      </c>
      <c r="T36" s="316" t="str">
        <f t="shared" si="4"/>
        <v>nǔi</v>
      </c>
      <c r="U36" s="317" t="str">
        <f t="shared" si="4"/>
        <v>nǔih</v>
      </c>
      <c r="V36" s="316" t="str">
        <f t="shared" si="4"/>
        <v>nùi</v>
      </c>
      <c r="W36" s="316" t="str">
        <f t="shared" si="4"/>
        <v>nûi</v>
      </c>
      <c r="X36" s="316" t="str">
        <f t="shared" si="4"/>
        <v>nūi</v>
      </c>
      <c r="Y36" s="317" t="str">
        <f t="shared" si="4"/>
        <v>núih</v>
      </c>
      <c r="AA36" s="304">
        <f t="shared" si="5"/>
        <v>2</v>
      </c>
      <c r="AB36" s="304">
        <f t="shared" si="2"/>
        <v>6</v>
      </c>
      <c r="AC36" s="304" t="str">
        <f t="shared" si="8"/>
        <v>ū</v>
      </c>
      <c r="AD36" s="304" t="str">
        <f t="shared" si="8"/>
        <v>ú</v>
      </c>
      <c r="AE36" s="304" t="str">
        <f t="shared" si="8"/>
        <v>ǔ</v>
      </c>
      <c r="AF36" s="304" t="str">
        <f t="shared" si="8"/>
        <v>ǔ</v>
      </c>
      <c r="AG36" s="304" t="str">
        <f t="shared" si="8"/>
        <v>ù</v>
      </c>
      <c r="AH36" s="304" t="str">
        <f t="shared" si="8"/>
        <v>û</v>
      </c>
      <c r="AI36" s="304" t="str">
        <f t="shared" si="8"/>
        <v>ū</v>
      </c>
      <c r="AJ36" s="304" t="str">
        <f t="shared" si="8"/>
        <v>ú</v>
      </c>
    </row>
    <row r="37" spans="13:36" ht="34">
      <c r="M37" s="307">
        <v>33</v>
      </c>
      <c r="N37" s="311" t="s">
        <v>479</v>
      </c>
      <c r="O37" s="315" t="str" cm="1">
        <f t="array" ref="O37">INDEX(韻母對照表, (($M37-1)*2 +1), $O$1)</f>
        <v>io</v>
      </c>
      <c r="P37" s="315" t="str" cm="1">
        <f t="array" ref="P37">INDEX(韻母對照表, (($M37-1)*2 +2), $O$1)</f>
        <v>ioh</v>
      </c>
      <c r="Q37" s="311" t="s">
        <v>299</v>
      </c>
      <c r="R37" s="316" t="str">
        <f t="shared" si="4"/>
        <v>iō</v>
      </c>
      <c r="S37" s="316" t="str">
        <f t="shared" si="4"/>
        <v>ió</v>
      </c>
      <c r="T37" s="316" t="str">
        <f t="shared" si="4"/>
        <v>iǒ</v>
      </c>
      <c r="U37" s="317" t="str">
        <f t="shared" si="4"/>
        <v>iǒh</v>
      </c>
      <c r="V37" s="316" t="str">
        <f t="shared" si="4"/>
        <v>iò</v>
      </c>
      <c r="W37" s="316" t="str">
        <f t="shared" si="4"/>
        <v>iô</v>
      </c>
      <c r="X37" s="316" t="str">
        <f t="shared" si="4"/>
        <v>iō</v>
      </c>
      <c r="Y37" s="317" t="str">
        <f t="shared" si="4"/>
        <v>ióh</v>
      </c>
      <c r="AA37" s="304">
        <f t="shared" si="5"/>
        <v>2</v>
      </c>
      <c r="AB37" s="304">
        <f t="shared" ref="AB37:AB54" si="9">MATCH(Q37, $C$5:$C$12, 0)</f>
        <v>4</v>
      </c>
      <c r="AC37" s="304" t="str">
        <f t="shared" si="8"/>
        <v>ō</v>
      </c>
      <c r="AD37" s="304" t="str">
        <f t="shared" si="8"/>
        <v>ó</v>
      </c>
      <c r="AE37" s="304" t="str">
        <f t="shared" si="8"/>
        <v>ǒ</v>
      </c>
      <c r="AF37" s="304" t="str">
        <f t="shared" si="8"/>
        <v>ǒ</v>
      </c>
      <c r="AG37" s="304" t="str">
        <f t="shared" si="8"/>
        <v>ò</v>
      </c>
      <c r="AH37" s="304" t="str">
        <f t="shared" si="8"/>
        <v>ô</v>
      </c>
      <c r="AI37" s="304" t="str">
        <f t="shared" si="8"/>
        <v>ō</v>
      </c>
      <c r="AJ37" s="304" t="str">
        <f t="shared" si="8"/>
        <v>ó</v>
      </c>
    </row>
    <row r="38" spans="13:36" ht="34">
      <c r="M38" s="307">
        <v>34</v>
      </c>
      <c r="N38" s="311" t="s">
        <v>489</v>
      </c>
      <c r="O38" s="315" t="str" cm="1">
        <f t="array" ref="O38">INDEX(韻母對照表, (($M38-1)*2 +1), $O$1)</f>
        <v>ni</v>
      </c>
      <c r="P38" s="315" t="str" cm="1">
        <f t="array" ref="P38">INDEX(韻母對照表, (($M38-1)*2 +2), $O$1)</f>
        <v>nih</v>
      </c>
      <c r="Q38" s="311" t="s">
        <v>432</v>
      </c>
      <c r="R38" s="316" t="str">
        <f t="shared" ref="R38:Y54" si="10" xml:space="preserve"> IF(AND(R$4&lt;&gt;4,R$4&lt;&gt;8),  SUBSTITUTE($O38, $Q38,  INDEX($AC38:$AJ38, 1, R$4)),  SUBSTITUTE($P38, $Q38,  INDEX($AC38:$AJ38, 1, R$4)))</f>
        <v>nī</v>
      </c>
      <c r="S38" s="316" t="str">
        <f t="shared" si="10"/>
        <v>ní</v>
      </c>
      <c r="T38" s="316" t="str">
        <f t="shared" si="10"/>
        <v>nǐ</v>
      </c>
      <c r="U38" s="317" t="str">
        <f t="shared" si="10"/>
        <v>nǐh</v>
      </c>
      <c r="V38" s="316" t="str">
        <f t="shared" si="10"/>
        <v>nì</v>
      </c>
      <c r="W38" s="316" t="str">
        <f t="shared" si="10"/>
        <v>nî</v>
      </c>
      <c r="X38" s="316" t="str">
        <f t="shared" si="10"/>
        <v>nī</v>
      </c>
      <c r="Y38" s="317" t="str">
        <f t="shared" si="10"/>
        <v>níh</v>
      </c>
      <c r="AA38" s="304">
        <f t="shared" si="5"/>
        <v>2</v>
      </c>
      <c r="AB38" s="304">
        <f t="shared" si="9"/>
        <v>3</v>
      </c>
      <c r="AC38" s="304" t="str">
        <f t="shared" si="8"/>
        <v>ī</v>
      </c>
      <c r="AD38" s="304" t="str">
        <f t="shared" si="8"/>
        <v>í</v>
      </c>
      <c r="AE38" s="304" t="str">
        <f t="shared" si="8"/>
        <v>ǐ</v>
      </c>
      <c r="AF38" s="304" t="str">
        <f t="shared" si="8"/>
        <v>ǐ</v>
      </c>
      <c r="AG38" s="304" t="str">
        <f t="shared" si="8"/>
        <v>ì</v>
      </c>
      <c r="AH38" s="304" t="str">
        <f t="shared" si="8"/>
        <v>î</v>
      </c>
      <c r="AI38" s="304" t="str">
        <f t="shared" si="8"/>
        <v>ī</v>
      </c>
      <c r="AJ38" s="304" t="str">
        <f t="shared" si="8"/>
        <v>í</v>
      </c>
    </row>
    <row r="39" spans="13:36" ht="34">
      <c r="M39" s="307">
        <v>35</v>
      </c>
      <c r="N39" s="311" t="s">
        <v>1991</v>
      </c>
      <c r="O39" s="315" t="str" cm="1">
        <f t="array" ref="O39">INDEX(韻母對照表, (($M39-1)*2 +1), $O$1)</f>
        <v>nioo</v>
      </c>
      <c r="P39" s="315" t="str" cm="1">
        <f t="array" ref="P39">INDEX(韻母對照表, (($M39-1)*2 +2), $O$1)</f>
        <v>niooh</v>
      </c>
      <c r="Q39" s="311" t="s">
        <v>299</v>
      </c>
      <c r="R39" s="316" t="str">
        <f t="shared" si="10"/>
        <v>niōō</v>
      </c>
      <c r="S39" s="316" t="str">
        <f t="shared" si="10"/>
        <v>nióó</v>
      </c>
      <c r="T39" s="316" t="str">
        <f t="shared" si="10"/>
        <v>niǒǒ</v>
      </c>
      <c r="U39" s="317" t="str">
        <f t="shared" si="10"/>
        <v>niǒǒh</v>
      </c>
      <c r="V39" s="316" t="str">
        <f t="shared" si="10"/>
        <v>niòò</v>
      </c>
      <c r="W39" s="316" t="str">
        <f t="shared" si="10"/>
        <v>niôô</v>
      </c>
      <c r="X39" s="316" t="str">
        <f t="shared" si="10"/>
        <v>niōō</v>
      </c>
      <c r="Y39" s="317" t="str">
        <f t="shared" si="10"/>
        <v>nióóh</v>
      </c>
      <c r="AA39" s="304">
        <f t="shared" si="5"/>
        <v>3</v>
      </c>
      <c r="AB39" s="304">
        <f t="shared" si="9"/>
        <v>4</v>
      </c>
      <c r="AC39" s="304" t="str">
        <f t="shared" si="8"/>
        <v>ō</v>
      </c>
      <c r="AD39" s="304" t="str">
        <f t="shared" si="8"/>
        <v>ó</v>
      </c>
      <c r="AE39" s="304" t="str">
        <f t="shared" si="8"/>
        <v>ǒ</v>
      </c>
      <c r="AF39" s="304" t="str">
        <f t="shared" si="8"/>
        <v>ǒ</v>
      </c>
      <c r="AG39" s="304" t="str">
        <f t="shared" si="8"/>
        <v>ò</v>
      </c>
      <c r="AH39" s="304" t="str">
        <f t="shared" si="8"/>
        <v>ô</v>
      </c>
      <c r="AI39" s="304" t="str">
        <f t="shared" si="8"/>
        <v>ō</v>
      </c>
      <c r="AJ39" s="304" t="str">
        <f t="shared" si="8"/>
        <v>ó</v>
      </c>
    </row>
    <row r="40" spans="13:36" ht="34">
      <c r="M40" s="307">
        <v>36</v>
      </c>
      <c r="N40" s="311" t="s">
        <v>518</v>
      </c>
      <c r="O40" s="315" t="str" cm="1">
        <f t="array" ref="O40">INDEX(韻母對照表, (($M40-1)*2 +1), $O$1)</f>
        <v>nia</v>
      </c>
      <c r="P40" s="315" t="str" cm="1">
        <f t="array" ref="P40">INDEX(韻母對照表, (($M40-1)*2 +2), $O$1)</f>
        <v>niah</v>
      </c>
      <c r="Q40" s="311" t="s">
        <v>424</v>
      </c>
      <c r="R40" s="316" t="str">
        <f t="shared" si="10"/>
        <v>niā</v>
      </c>
      <c r="S40" s="316" t="str">
        <f t="shared" si="10"/>
        <v>niá</v>
      </c>
      <c r="T40" s="316" t="str">
        <f t="shared" si="10"/>
        <v>niǎ</v>
      </c>
      <c r="U40" s="317" t="str">
        <f t="shared" si="10"/>
        <v>niǎh</v>
      </c>
      <c r="V40" s="316" t="str">
        <f t="shared" si="10"/>
        <v>nià</v>
      </c>
      <c r="W40" s="316" t="str">
        <f t="shared" si="10"/>
        <v>niâ</v>
      </c>
      <c r="X40" s="316" t="str">
        <f t="shared" si="10"/>
        <v>niā</v>
      </c>
      <c r="Y40" s="317" t="str">
        <f t="shared" si="10"/>
        <v>niáh</v>
      </c>
      <c r="AA40" s="304">
        <f t="shared" si="5"/>
        <v>3</v>
      </c>
      <c r="AB40" s="304">
        <f t="shared" si="9"/>
        <v>1</v>
      </c>
      <c r="AC40" s="304" t="str">
        <f t="shared" si="8"/>
        <v>ā</v>
      </c>
      <c r="AD40" s="304" t="str">
        <f t="shared" si="8"/>
        <v>á</v>
      </c>
      <c r="AE40" s="304" t="str">
        <f t="shared" si="8"/>
        <v>ǎ</v>
      </c>
      <c r="AF40" s="304" t="str">
        <f t="shared" si="8"/>
        <v>ǎ</v>
      </c>
      <c r="AG40" s="304" t="str">
        <f t="shared" si="8"/>
        <v>à</v>
      </c>
      <c r="AH40" s="304" t="str">
        <f t="shared" si="8"/>
        <v>â</v>
      </c>
      <c r="AI40" s="304" t="str">
        <f t="shared" si="8"/>
        <v>ā</v>
      </c>
      <c r="AJ40" s="304" t="str">
        <f t="shared" si="8"/>
        <v>á</v>
      </c>
    </row>
    <row r="41" spans="13:36" ht="34">
      <c r="M41" s="307">
        <v>37</v>
      </c>
      <c r="N41" s="311" t="s">
        <v>463</v>
      </c>
      <c r="O41" s="315" t="str" cm="1">
        <f t="array" ref="O41">INDEX(韻母對照表, (($M41-1)*2 +1), $O$1)</f>
        <v>nua</v>
      </c>
      <c r="P41" s="315" t="str" cm="1">
        <f t="array" ref="P41">INDEX(韻母對照表, (($M41-1)*2 +2), $O$1)</f>
        <v>nuah</v>
      </c>
      <c r="Q41" s="311" t="s">
        <v>1619</v>
      </c>
      <c r="R41" s="316" t="str">
        <f t="shared" si="10"/>
        <v>nūa</v>
      </c>
      <c r="S41" s="316" t="str">
        <f t="shared" si="10"/>
        <v>núa</v>
      </c>
      <c r="T41" s="316" t="str">
        <f t="shared" si="10"/>
        <v>nǔa</v>
      </c>
      <c r="U41" s="317" t="str">
        <f t="shared" si="10"/>
        <v>nǔah</v>
      </c>
      <c r="V41" s="316" t="str">
        <f t="shared" si="10"/>
        <v>nùa</v>
      </c>
      <c r="W41" s="316" t="str">
        <f t="shared" si="10"/>
        <v>nûa</v>
      </c>
      <c r="X41" s="316" t="str">
        <f t="shared" si="10"/>
        <v>nūa</v>
      </c>
      <c r="Y41" s="317" t="str">
        <f t="shared" si="10"/>
        <v>núah</v>
      </c>
      <c r="AA41" s="304">
        <f t="shared" si="5"/>
        <v>2</v>
      </c>
      <c r="AB41" s="304">
        <f t="shared" si="9"/>
        <v>6</v>
      </c>
      <c r="AC41" s="304" t="str">
        <f t="shared" si="8"/>
        <v>ū</v>
      </c>
      <c r="AD41" s="304" t="str">
        <f t="shared" si="8"/>
        <v>ú</v>
      </c>
      <c r="AE41" s="304" t="str">
        <f t="shared" si="8"/>
        <v>ǔ</v>
      </c>
      <c r="AF41" s="304" t="str">
        <f t="shared" si="8"/>
        <v>ǔ</v>
      </c>
      <c r="AG41" s="304" t="str">
        <f t="shared" si="8"/>
        <v>ù</v>
      </c>
      <c r="AH41" s="304" t="str">
        <f t="shared" si="8"/>
        <v>û</v>
      </c>
      <c r="AI41" s="304" t="str">
        <f t="shared" si="8"/>
        <v>ū</v>
      </c>
      <c r="AJ41" s="304" t="str">
        <f t="shared" si="8"/>
        <v>ú</v>
      </c>
    </row>
    <row r="42" spans="13:36" ht="34">
      <c r="M42" s="307">
        <v>38</v>
      </c>
      <c r="N42" s="311" t="s">
        <v>488</v>
      </c>
      <c r="O42" s="315" t="str" cm="1">
        <f t="array" ref="O42">INDEX(韻母對照表, (($M42-1)*2 +1), $O$1)</f>
        <v>ng</v>
      </c>
      <c r="P42" s="315" t="str" cm="1">
        <f t="array" ref="P42">INDEX(韻母對照表, (($M42-1)*2 +2), $O$1)</f>
        <v>ngh</v>
      </c>
      <c r="Q42" s="311" t="s">
        <v>79</v>
      </c>
      <c r="R42" s="316" t="str">
        <f t="shared" si="10"/>
        <v>n̄g</v>
      </c>
      <c r="S42" s="316" t="str">
        <f t="shared" si="10"/>
        <v>ńg</v>
      </c>
      <c r="T42" s="316" t="str">
        <f t="shared" si="10"/>
        <v>ňg</v>
      </c>
      <c r="U42" s="317" t="str">
        <f t="shared" si="10"/>
        <v>ňh</v>
      </c>
      <c r="V42" s="316" t="str">
        <f t="shared" si="10"/>
        <v>ǹg</v>
      </c>
      <c r="W42" s="316" t="str">
        <f t="shared" si="10"/>
        <v>n̂g</v>
      </c>
      <c r="X42" s="316" t="str">
        <f t="shared" si="10"/>
        <v>n̄g</v>
      </c>
      <c r="Y42" s="317" t="str">
        <f t="shared" si="10"/>
        <v>ńgh</v>
      </c>
      <c r="AA42" s="304">
        <f t="shared" si="5"/>
        <v>1</v>
      </c>
      <c r="AB42" s="304">
        <f t="shared" si="9"/>
        <v>8</v>
      </c>
      <c r="AC42" s="304" t="str">
        <f t="shared" si="8"/>
        <v>n̄g</v>
      </c>
      <c r="AD42" s="304" t="str">
        <f t="shared" si="8"/>
        <v>ńg</v>
      </c>
      <c r="AE42" s="304" t="str">
        <f t="shared" si="8"/>
        <v>ňg</v>
      </c>
      <c r="AF42" s="304" t="str">
        <f t="shared" si="8"/>
        <v>ň</v>
      </c>
      <c r="AG42" s="304" t="str">
        <f t="shared" si="8"/>
        <v>ǹg</v>
      </c>
      <c r="AH42" s="304" t="str">
        <f t="shared" si="8"/>
        <v>n̂g</v>
      </c>
      <c r="AI42" s="304" t="str">
        <f t="shared" si="8"/>
        <v>n̄g</v>
      </c>
      <c r="AJ42" s="304" t="str">
        <f t="shared" si="8"/>
        <v>ńg</v>
      </c>
    </row>
    <row r="43" spans="13:36" ht="34">
      <c r="M43" s="307">
        <v>39</v>
      </c>
      <c r="N43" s="311" t="s">
        <v>553</v>
      </c>
      <c r="O43" s="315" t="str" cm="1">
        <f t="array" ref="O43">INDEX(韻母對照表, (($M43-1)*2 +1), $O$1)</f>
        <v>e</v>
      </c>
      <c r="P43" s="315" t="str" cm="1">
        <f t="array" ref="P43">INDEX(韻母對照表, (($M43-1)*2 +2), $O$1)</f>
        <v>eh</v>
      </c>
      <c r="Q43" s="311" t="s">
        <v>278</v>
      </c>
      <c r="R43" s="316" t="str">
        <f t="shared" si="10"/>
        <v>ē</v>
      </c>
      <c r="S43" s="316" t="str">
        <f t="shared" si="10"/>
        <v>é</v>
      </c>
      <c r="T43" s="316" t="str">
        <f t="shared" si="10"/>
        <v>ě</v>
      </c>
      <c r="U43" s="317" t="str">
        <f t="shared" si="10"/>
        <v>ěh</v>
      </c>
      <c r="V43" s="316" t="str">
        <f t="shared" si="10"/>
        <v>è</v>
      </c>
      <c r="W43" s="316" t="str">
        <f t="shared" si="10"/>
        <v>ê</v>
      </c>
      <c r="X43" s="316" t="str">
        <f t="shared" si="10"/>
        <v>ē</v>
      </c>
      <c r="Y43" s="317" t="str">
        <f t="shared" si="10"/>
        <v>éh</v>
      </c>
      <c r="AA43" s="304">
        <f t="shared" si="5"/>
        <v>1</v>
      </c>
      <c r="AB43" s="304">
        <f t="shared" si="9"/>
        <v>2</v>
      </c>
      <c r="AC43" s="304" t="str">
        <f t="shared" si="8"/>
        <v>ē</v>
      </c>
      <c r="AD43" s="304" t="str">
        <f t="shared" si="8"/>
        <v>é</v>
      </c>
      <c r="AE43" s="304" t="str">
        <f t="shared" si="8"/>
        <v>ě</v>
      </c>
      <c r="AF43" s="304" t="str">
        <f t="shared" si="8"/>
        <v>ě</v>
      </c>
      <c r="AG43" s="304" t="str">
        <f t="shared" si="8"/>
        <v>è</v>
      </c>
      <c r="AH43" s="304" t="str">
        <f t="shared" si="8"/>
        <v>ê</v>
      </c>
      <c r="AI43" s="304" t="str">
        <f t="shared" si="8"/>
        <v>ē</v>
      </c>
      <c r="AJ43" s="304" t="str">
        <f t="shared" si="8"/>
        <v>é</v>
      </c>
    </row>
    <row r="44" spans="13:36" ht="34">
      <c r="M44" s="307">
        <v>40</v>
      </c>
      <c r="N44" s="311" t="s">
        <v>705</v>
      </c>
      <c r="O44" s="315" t="str" cm="1">
        <f t="array" ref="O44">INDEX(韻母對照表, (($M44-1)*2 +1), $O$1)</f>
        <v>nai</v>
      </c>
      <c r="P44" s="315" t="str" cm="1">
        <f t="array" ref="P44">INDEX(韻母對照表, (($M44-1)*2 +2), $O$1)</f>
        <v>naih</v>
      </c>
      <c r="Q44" s="311" t="s">
        <v>424</v>
      </c>
      <c r="R44" s="316" t="str">
        <f t="shared" si="10"/>
        <v>nāi</v>
      </c>
      <c r="S44" s="316" t="str">
        <f t="shared" si="10"/>
        <v>nái</v>
      </c>
      <c r="T44" s="316" t="str">
        <f t="shared" si="10"/>
        <v>nǎi</v>
      </c>
      <c r="U44" s="317" t="str">
        <f t="shared" si="10"/>
        <v>nǎih</v>
      </c>
      <c r="V44" s="316" t="str">
        <f t="shared" si="10"/>
        <v>nài</v>
      </c>
      <c r="W44" s="316" t="str">
        <f t="shared" si="10"/>
        <v>nâi</v>
      </c>
      <c r="X44" s="316" t="str">
        <f t="shared" si="10"/>
        <v>nāi</v>
      </c>
      <c r="Y44" s="317" t="str">
        <f t="shared" si="10"/>
        <v>náih</v>
      </c>
      <c r="AA44" s="304">
        <f t="shared" si="5"/>
        <v>2</v>
      </c>
      <c r="AB44" s="304">
        <f t="shared" si="9"/>
        <v>1</v>
      </c>
      <c r="AC44" s="304" t="str">
        <f t="shared" si="8"/>
        <v>ā</v>
      </c>
      <c r="AD44" s="304" t="str">
        <f t="shared" si="8"/>
        <v>á</v>
      </c>
      <c r="AE44" s="304" t="str">
        <f t="shared" si="8"/>
        <v>ǎ</v>
      </c>
      <c r="AF44" s="304" t="str">
        <f t="shared" si="8"/>
        <v>ǎ</v>
      </c>
      <c r="AG44" s="304" t="str">
        <f t="shared" si="8"/>
        <v>à</v>
      </c>
      <c r="AH44" s="304" t="str">
        <f t="shared" si="8"/>
        <v>â</v>
      </c>
      <c r="AI44" s="304" t="str">
        <f t="shared" si="8"/>
        <v>ā</v>
      </c>
      <c r="AJ44" s="304" t="str">
        <f t="shared" si="8"/>
        <v>á</v>
      </c>
    </row>
    <row r="45" spans="13:36" ht="34">
      <c r="M45" s="307">
        <v>41</v>
      </c>
      <c r="N45" s="311" t="s">
        <v>572</v>
      </c>
      <c r="O45" s="315" t="str" cm="1">
        <f t="array" ref="O45">INDEX(韻母對照表, (($M45-1)*2 +1), $O$1)</f>
        <v>noo</v>
      </c>
      <c r="P45" s="315" t="str" cm="1">
        <f t="array" ref="P45">INDEX(韻母對照表, (($M45-1)*2 +2), $O$1)</f>
        <v>nooh</v>
      </c>
      <c r="Q45" s="311" t="s">
        <v>299</v>
      </c>
      <c r="R45" s="316" t="str">
        <f t="shared" si="10"/>
        <v>nōō</v>
      </c>
      <c r="S45" s="316" t="str">
        <f t="shared" si="10"/>
        <v>nóó</v>
      </c>
      <c r="T45" s="316" t="str">
        <f t="shared" si="10"/>
        <v>nǒǒ</v>
      </c>
      <c r="U45" s="317" t="str">
        <f t="shared" si="10"/>
        <v>nǒǒh</v>
      </c>
      <c r="V45" s="316" t="str">
        <f t="shared" si="10"/>
        <v>nòò</v>
      </c>
      <c r="W45" s="316" t="str">
        <f t="shared" si="10"/>
        <v>nôô</v>
      </c>
      <c r="X45" s="316" t="str">
        <f t="shared" si="10"/>
        <v>nōō</v>
      </c>
      <c r="Y45" s="317" t="str">
        <f t="shared" si="10"/>
        <v>nóóh</v>
      </c>
      <c r="AA45" s="304">
        <f t="shared" si="5"/>
        <v>2</v>
      </c>
      <c r="AB45" s="304">
        <f t="shared" si="9"/>
        <v>4</v>
      </c>
      <c r="AC45" s="304" t="str">
        <f t="shared" ref="AC45:AJ54" si="11">INDEX($D$5:$K$12, $AB45, AC$4)</f>
        <v>ō</v>
      </c>
      <c r="AD45" s="304" t="str">
        <f t="shared" si="11"/>
        <v>ó</v>
      </c>
      <c r="AE45" s="304" t="str">
        <f t="shared" si="11"/>
        <v>ǒ</v>
      </c>
      <c r="AF45" s="304" t="str">
        <f t="shared" si="11"/>
        <v>ǒ</v>
      </c>
      <c r="AG45" s="304" t="str">
        <f t="shared" si="11"/>
        <v>ò</v>
      </c>
      <c r="AH45" s="304" t="str">
        <f t="shared" si="11"/>
        <v>ô</v>
      </c>
      <c r="AI45" s="304" t="str">
        <f t="shared" si="11"/>
        <v>ō</v>
      </c>
      <c r="AJ45" s="304" t="str">
        <f t="shared" si="11"/>
        <v>ó</v>
      </c>
    </row>
    <row r="46" spans="13:36" ht="34">
      <c r="M46" s="307">
        <v>42</v>
      </c>
      <c r="N46" s="311" t="s">
        <v>544</v>
      </c>
      <c r="O46" s="315" t="str" cm="1">
        <f t="array" ref="O46">INDEX(韻母對照表, (($M46-1)*2 +1), $O$1)</f>
        <v>m</v>
      </c>
      <c r="P46" s="315" t="str" cm="1">
        <f t="array" ref="P46">INDEX(韻母對照表, (($M46-1)*2 +2), $O$1)</f>
        <v>mh</v>
      </c>
      <c r="Q46" s="311" t="s">
        <v>64</v>
      </c>
      <c r="R46" s="316" t="str">
        <f t="shared" si="10"/>
        <v>m̄</v>
      </c>
      <c r="S46" s="316" t="str">
        <f t="shared" si="10"/>
        <v>ḿ</v>
      </c>
      <c r="T46" s="316" t="str">
        <f t="shared" si="10"/>
        <v>m̌</v>
      </c>
      <c r="U46" s="317" t="str">
        <f t="shared" si="10"/>
        <v>m̌h</v>
      </c>
      <c r="V46" s="316" t="str">
        <f t="shared" si="10"/>
        <v>m̀</v>
      </c>
      <c r="W46" s="316" t="str">
        <f t="shared" si="10"/>
        <v>m̂</v>
      </c>
      <c r="X46" s="316" t="str">
        <f t="shared" si="10"/>
        <v>m̄</v>
      </c>
      <c r="Y46" s="317" t="str">
        <f t="shared" si="10"/>
        <v>ḿh</v>
      </c>
      <c r="AA46" s="304">
        <f t="shared" si="5"/>
        <v>1</v>
      </c>
      <c r="AB46" s="304">
        <f t="shared" si="9"/>
        <v>7</v>
      </c>
      <c r="AC46" s="304" t="str">
        <f t="shared" si="11"/>
        <v>m̄</v>
      </c>
      <c r="AD46" s="304" t="str">
        <f t="shared" si="11"/>
        <v>ḿ</v>
      </c>
      <c r="AE46" s="304" t="str">
        <f t="shared" si="11"/>
        <v>m̌</v>
      </c>
      <c r="AF46" s="304" t="str">
        <f t="shared" si="11"/>
        <v>m̌</v>
      </c>
      <c r="AG46" s="304" t="str">
        <f t="shared" si="11"/>
        <v>m̀</v>
      </c>
      <c r="AH46" s="304" t="str">
        <f t="shared" si="11"/>
        <v>m̂</v>
      </c>
      <c r="AI46" s="304" t="str">
        <f t="shared" si="11"/>
        <v>m̄</v>
      </c>
      <c r="AJ46" s="304" t="str">
        <f t="shared" si="11"/>
        <v>ḿ</v>
      </c>
    </row>
    <row r="47" spans="13:36" ht="34">
      <c r="M47" s="307">
        <v>43</v>
      </c>
      <c r="N47" s="311" t="s">
        <v>597</v>
      </c>
      <c r="O47" s="315" t="str" cm="1">
        <f t="array" ref="O47">INDEX(韻母對照表, (($M47-1)*2 +1), $O$1)</f>
        <v>uang</v>
      </c>
      <c r="P47" s="315" t="str" cm="1">
        <f t="array" ref="P47">INDEX(韻母對照表, (($M47-1)*2 +2), $O$1)</f>
        <v>uak</v>
      </c>
      <c r="Q47" s="311" t="s">
        <v>424</v>
      </c>
      <c r="R47" s="316" t="str">
        <f t="shared" si="10"/>
        <v>uāng</v>
      </c>
      <c r="S47" s="316" t="str">
        <f t="shared" si="10"/>
        <v>uáng</v>
      </c>
      <c r="T47" s="316" t="str">
        <f t="shared" si="10"/>
        <v>uǎng</v>
      </c>
      <c r="U47" s="317" t="str">
        <f t="shared" si="10"/>
        <v>uǎk</v>
      </c>
      <c r="V47" s="316" t="str">
        <f t="shared" si="10"/>
        <v>uàng</v>
      </c>
      <c r="W47" s="316" t="str">
        <f t="shared" si="10"/>
        <v>uâng</v>
      </c>
      <c r="X47" s="316" t="str">
        <f t="shared" si="10"/>
        <v>uāng</v>
      </c>
      <c r="Y47" s="317" t="str">
        <f t="shared" si="10"/>
        <v>uák</v>
      </c>
      <c r="AA47" s="304">
        <f t="shared" si="5"/>
        <v>2</v>
      </c>
      <c r="AB47" s="304">
        <f t="shared" si="9"/>
        <v>1</v>
      </c>
      <c r="AC47" s="304" t="str">
        <f t="shared" si="11"/>
        <v>ā</v>
      </c>
      <c r="AD47" s="304" t="str">
        <f t="shared" si="11"/>
        <v>á</v>
      </c>
      <c r="AE47" s="304" t="str">
        <f t="shared" si="11"/>
        <v>ǎ</v>
      </c>
      <c r="AF47" s="304" t="str">
        <f t="shared" si="11"/>
        <v>ǎ</v>
      </c>
      <c r="AG47" s="304" t="str">
        <f t="shared" si="11"/>
        <v>à</v>
      </c>
      <c r="AH47" s="304" t="str">
        <f t="shared" si="11"/>
        <v>â</v>
      </c>
      <c r="AI47" s="304" t="str">
        <f t="shared" si="11"/>
        <v>ā</v>
      </c>
      <c r="AJ47" s="304" t="str">
        <f t="shared" si="11"/>
        <v>á</v>
      </c>
    </row>
    <row r="48" spans="13:36" ht="34">
      <c r="M48" s="307">
        <v>44</v>
      </c>
      <c r="N48" s="311" t="s">
        <v>558</v>
      </c>
      <c r="O48" s="315" t="str" cm="1">
        <f t="array" ref="O48">INDEX(韻母對照表, (($M48-1)*2 +1), $O$1)</f>
        <v>nuai</v>
      </c>
      <c r="P48" s="315" t="str" cm="1">
        <f t="array" ref="P48">INDEX(韻母對照表, (($M48-1)*2 +2), $O$1)</f>
        <v>nuaih</v>
      </c>
      <c r="Q48" s="311" t="s">
        <v>424</v>
      </c>
      <c r="R48" s="316" t="str">
        <f t="shared" si="10"/>
        <v>nuāi</v>
      </c>
      <c r="S48" s="316" t="str">
        <f t="shared" si="10"/>
        <v>nuái</v>
      </c>
      <c r="T48" s="316" t="str">
        <f t="shared" si="10"/>
        <v>nuǎi</v>
      </c>
      <c r="U48" s="317" t="str">
        <f t="shared" si="10"/>
        <v>nuǎih</v>
      </c>
      <c r="V48" s="316" t="str">
        <f t="shared" si="10"/>
        <v>nuài</v>
      </c>
      <c r="W48" s="316" t="str">
        <f t="shared" si="10"/>
        <v>nuâi</v>
      </c>
      <c r="X48" s="316" t="str">
        <f t="shared" si="10"/>
        <v>nuāi</v>
      </c>
      <c r="Y48" s="317" t="str">
        <f t="shared" si="10"/>
        <v>nuáih</v>
      </c>
      <c r="AA48" s="304">
        <f t="shared" si="5"/>
        <v>3</v>
      </c>
      <c r="AB48" s="304">
        <f t="shared" si="9"/>
        <v>1</v>
      </c>
      <c r="AC48" s="304" t="str">
        <f t="shared" si="11"/>
        <v>ā</v>
      </c>
      <c r="AD48" s="304" t="str">
        <f t="shared" si="11"/>
        <v>á</v>
      </c>
      <c r="AE48" s="304" t="str">
        <f t="shared" si="11"/>
        <v>ǎ</v>
      </c>
      <c r="AF48" s="304" t="str">
        <f t="shared" si="11"/>
        <v>ǎ</v>
      </c>
      <c r="AG48" s="304" t="str">
        <f t="shared" si="11"/>
        <v>à</v>
      </c>
      <c r="AH48" s="304" t="str">
        <f t="shared" si="11"/>
        <v>â</v>
      </c>
      <c r="AI48" s="304" t="str">
        <f t="shared" si="11"/>
        <v>ā</v>
      </c>
      <c r="AJ48" s="304" t="str">
        <f t="shared" si="11"/>
        <v>á</v>
      </c>
    </row>
    <row r="49" spans="13:36" ht="34">
      <c r="M49" s="307">
        <v>45</v>
      </c>
      <c r="N49" s="311" t="s">
        <v>623</v>
      </c>
      <c r="O49" s="315" t="str" cm="1">
        <f t="array" ref="O49">INDEX(韻母對照表, (($M49-1)*2 +1), $O$1)</f>
        <v>nue</v>
      </c>
      <c r="P49" s="315" t="str" cm="1">
        <f t="array" ref="P49">INDEX(韻母對照表, (($M49-1)*2 +2), $O$1)</f>
        <v>nueh</v>
      </c>
      <c r="Q49" s="311" t="s">
        <v>1619</v>
      </c>
      <c r="R49" s="316" t="str">
        <f t="shared" si="10"/>
        <v>nūe</v>
      </c>
      <c r="S49" s="316" t="str">
        <f t="shared" si="10"/>
        <v>núe</v>
      </c>
      <c r="T49" s="316" t="str">
        <f t="shared" si="10"/>
        <v>nǔe</v>
      </c>
      <c r="U49" s="317" t="str">
        <f t="shared" si="10"/>
        <v>nǔeh</v>
      </c>
      <c r="V49" s="316" t="str">
        <f t="shared" si="10"/>
        <v>nùe</v>
      </c>
      <c r="W49" s="316" t="str">
        <f t="shared" si="10"/>
        <v>nûe</v>
      </c>
      <c r="X49" s="316" t="str">
        <f t="shared" si="10"/>
        <v>nūe</v>
      </c>
      <c r="Y49" s="317" t="str">
        <f t="shared" si="10"/>
        <v>núeh</v>
      </c>
      <c r="AA49" s="304">
        <f t="shared" si="5"/>
        <v>2</v>
      </c>
      <c r="AB49" s="304">
        <f t="shared" si="9"/>
        <v>6</v>
      </c>
      <c r="AC49" s="304" t="str">
        <f t="shared" si="11"/>
        <v>ū</v>
      </c>
      <c r="AD49" s="304" t="str">
        <f t="shared" si="11"/>
        <v>ú</v>
      </c>
      <c r="AE49" s="304" t="str">
        <f t="shared" si="11"/>
        <v>ǔ</v>
      </c>
      <c r="AF49" s="304" t="str">
        <f t="shared" si="11"/>
        <v>ǔ</v>
      </c>
      <c r="AG49" s="304" t="str">
        <f t="shared" si="11"/>
        <v>ù</v>
      </c>
      <c r="AH49" s="304" t="str">
        <f t="shared" si="11"/>
        <v>û</v>
      </c>
      <c r="AI49" s="304" t="str">
        <f t="shared" si="11"/>
        <v>ū</v>
      </c>
      <c r="AJ49" s="304" t="str">
        <f t="shared" si="11"/>
        <v>ú</v>
      </c>
    </row>
    <row r="50" spans="13:36" ht="34">
      <c r="M50" s="307">
        <v>46</v>
      </c>
      <c r="N50" s="311" t="s">
        <v>636</v>
      </c>
      <c r="O50" s="315" t="str" cm="1">
        <f t="array" ref="O50">INDEX(韻母對照表, (($M50-1)*2 +1), $O$1)</f>
        <v>niao</v>
      </c>
      <c r="P50" s="315" t="str" cm="1">
        <f t="array" ref="P50">INDEX(韻母對照表, (($M50-1)*2 +2), $O$1)</f>
        <v>niaoh</v>
      </c>
      <c r="Q50" s="311" t="s">
        <v>424</v>
      </c>
      <c r="R50" s="316" t="str">
        <f t="shared" si="10"/>
        <v>niāo</v>
      </c>
      <c r="S50" s="316" t="str">
        <f t="shared" si="10"/>
        <v>niáo</v>
      </c>
      <c r="T50" s="316" t="str">
        <f t="shared" si="10"/>
        <v>niǎo</v>
      </c>
      <c r="U50" s="317" t="str">
        <f t="shared" si="10"/>
        <v>niǎoh</v>
      </c>
      <c r="V50" s="316" t="str">
        <f t="shared" si="10"/>
        <v>niào</v>
      </c>
      <c r="W50" s="316" t="str">
        <f t="shared" si="10"/>
        <v>niâo</v>
      </c>
      <c r="X50" s="316" t="str">
        <f t="shared" si="10"/>
        <v>niāo</v>
      </c>
      <c r="Y50" s="317" t="str">
        <f t="shared" si="10"/>
        <v>niáoh</v>
      </c>
      <c r="AA50" s="304">
        <f t="shared" si="5"/>
        <v>3</v>
      </c>
      <c r="AB50" s="304">
        <f t="shared" si="9"/>
        <v>1</v>
      </c>
      <c r="AC50" s="304" t="str">
        <f t="shared" si="11"/>
        <v>ā</v>
      </c>
      <c r="AD50" s="304" t="str">
        <f t="shared" si="11"/>
        <v>á</v>
      </c>
      <c r="AE50" s="304" t="str">
        <f t="shared" si="11"/>
        <v>ǎ</v>
      </c>
      <c r="AF50" s="304" t="str">
        <f t="shared" si="11"/>
        <v>ǎ</v>
      </c>
      <c r="AG50" s="304" t="str">
        <f t="shared" si="11"/>
        <v>à</v>
      </c>
      <c r="AH50" s="304" t="str">
        <f t="shared" si="11"/>
        <v>â</v>
      </c>
      <c r="AI50" s="304" t="str">
        <f t="shared" si="11"/>
        <v>ā</v>
      </c>
      <c r="AJ50" s="304" t="str">
        <f t="shared" si="11"/>
        <v>á</v>
      </c>
    </row>
    <row r="51" spans="13:36" ht="34">
      <c r="M51" s="307">
        <v>47</v>
      </c>
      <c r="N51" s="311" t="s">
        <v>721</v>
      </c>
      <c r="O51" s="315" t="str" cm="1">
        <f t="array" ref="O51">INDEX(韻母對照表, (($M51-1)*2 +1), $O$1)</f>
        <v>om</v>
      </c>
      <c r="P51" s="315" t="str" cm="1">
        <f t="array" ref="P51">INDEX(韻母對照表, (($M51-1)*2 +2), $O$1)</f>
        <v>op</v>
      </c>
      <c r="Q51" s="311" t="s">
        <v>299</v>
      </c>
      <c r="R51" s="316" t="str">
        <f t="shared" si="10"/>
        <v>ōm</v>
      </c>
      <c r="S51" s="316" t="str">
        <f t="shared" si="10"/>
        <v>óm</v>
      </c>
      <c r="T51" s="316" t="str">
        <f t="shared" si="10"/>
        <v>ǒm</v>
      </c>
      <c r="U51" s="317" t="str">
        <f t="shared" si="10"/>
        <v>ǒp</v>
      </c>
      <c r="V51" s="316" t="str">
        <f t="shared" si="10"/>
        <v>òm</v>
      </c>
      <c r="W51" s="316" t="str">
        <f t="shared" si="10"/>
        <v>ôm</v>
      </c>
      <c r="X51" s="316" t="str">
        <f t="shared" si="10"/>
        <v>ōm</v>
      </c>
      <c r="Y51" s="317" t="str">
        <f t="shared" si="10"/>
        <v>óp</v>
      </c>
      <c r="AA51" s="304">
        <f t="shared" si="5"/>
        <v>1</v>
      </c>
      <c r="AB51" s="304">
        <f t="shared" si="9"/>
        <v>4</v>
      </c>
      <c r="AC51" s="304" t="str">
        <f t="shared" si="11"/>
        <v>ō</v>
      </c>
      <c r="AD51" s="304" t="str">
        <f t="shared" si="11"/>
        <v>ó</v>
      </c>
      <c r="AE51" s="304" t="str">
        <f t="shared" si="11"/>
        <v>ǒ</v>
      </c>
      <c r="AF51" s="304" t="str">
        <f t="shared" si="11"/>
        <v>ǒ</v>
      </c>
      <c r="AG51" s="304" t="str">
        <f t="shared" si="11"/>
        <v>ò</v>
      </c>
      <c r="AH51" s="304" t="str">
        <f t="shared" si="11"/>
        <v>ô</v>
      </c>
      <c r="AI51" s="304" t="str">
        <f t="shared" si="11"/>
        <v>ō</v>
      </c>
      <c r="AJ51" s="304" t="str">
        <f t="shared" si="11"/>
        <v>ó</v>
      </c>
    </row>
    <row r="52" spans="13:36" ht="34">
      <c r="M52" s="307">
        <v>48</v>
      </c>
      <c r="N52" s="311" t="s">
        <v>656</v>
      </c>
      <c r="O52" s="315" t="str" cm="1">
        <f t="array" ref="O52">INDEX(韻母對照表, (($M52-1)*2 +1), $O$1)</f>
        <v>nao</v>
      </c>
      <c r="P52" s="315" t="str" cm="1">
        <f t="array" ref="P52">INDEX(韻母對照表, (($M52-1)*2 +2), $O$1)</f>
        <v>naoh</v>
      </c>
      <c r="Q52" s="311" t="s">
        <v>424</v>
      </c>
      <c r="R52" s="316" t="str">
        <f t="shared" si="10"/>
        <v>nāo</v>
      </c>
      <c r="S52" s="316" t="str">
        <f t="shared" si="10"/>
        <v>náo</v>
      </c>
      <c r="T52" s="316" t="str">
        <f t="shared" si="10"/>
        <v>nǎo</v>
      </c>
      <c r="U52" s="317" t="str">
        <f t="shared" si="10"/>
        <v>nǎoh</v>
      </c>
      <c r="V52" s="316" t="str">
        <f t="shared" si="10"/>
        <v>nào</v>
      </c>
      <c r="W52" s="316" t="str">
        <f t="shared" si="10"/>
        <v>nâo</v>
      </c>
      <c r="X52" s="316" t="str">
        <f t="shared" si="10"/>
        <v>nāo</v>
      </c>
      <c r="Y52" s="317" t="str">
        <f t="shared" si="10"/>
        <v>náoh</v>
      </c>
      <c r="AA52" s="304">
        <f t="shared" si="5"/>
        <v>2</v>
      </c>
      <c r="AB52" s="304">
        <f t="shared" si="9"/>
        <v>1</v>
      </c>
      <c r="AC52" s="304" t="str">
        <f t="shared" si="11"/>
        <v>ā</v>
      </c>
      <c r="AD52" s="304" t="str">
        <f t="shared" si="11"/>
        <v>á</v>
      </c>
      <c r="AE52" s="304" t="str">
        <f t="shared" si="11"/>
        <v>ǎ</v>
      </c>
      <c r="AF52" s="304" t="str">
        <f t="shared" si="11"/>
        <v>ǎ</v>
      </c>
      <c r="AG52" s="304" t="str">
        <f t="shared" si="11"/>
        <v>à</v>
      </c>
      <c r="AH52" s="304" t="str">
        <f t="shared" si="11"/>
        <v>â</v>
      </c>
      <c r="AI52" s="304" t="str">
        <f t="shared" si="11"/>
        <v>ā</v>
      </c>
      <c r="AJ52" s="304" t="str">
        <f t="shared" si="11"/>
        <v>á</v>
      </c>
    </row>
    <row r="53" spans="13:36" ht="34">
      <c r="M53" s="307">
        <v>49</v>
      </c>
      <c r="N53" s="311" t="s">
        <v>668</v>
      </c>
      <c r="O53" s="315" t="str" cm="1">
        <f t="array" ref="O53">INDEX(韻母對照表, (($M53-1)*2 +1), $O$1)</f>
        <v>no</v>
      </c>
      <c r="P53" s="315" t="str" cm="1">
        <f t="array" ref="P53">INDEX(韻母對照表, (($M53-1)*2 +2), $O$1)</f>
        <v>noh</v>
      </c>
      <c r="Q53" s="311" t="s">
        <v>299</v>
      </c>
      <c r="R53" s="316" t="str">
        <f t="shared" si="10"/>
        <v>nō</v>
      </c>
      <c r="S53" s="316" t="str">
        <f t="shared" si="10"/>
        <v>nó</v>
      </c>
      <c r="T53" s="316" t="str">
        <f t="shared" si="10"/>
        <v>nǒ</v>
      </c>
      <c r="U53" s="317" t="str">
        <f t="shared" si="10"/>
        <v>nǒh</v>
      </c>
      <c r="V53" s="316" t="str">
        <f t="shared" si="10"/>
        <v>nò</v>
      </c>
      <c r="W53" s="316" t="str">
        <f t="shared" si="10"/>
        <v>nô</v>
      </c>
      <c r="X53" s="316" t="str">
        <f t="shared" si="10"/>
        <v>nō</v>
      </c>
      <c r="Y53" s="317" t="str">
        <f t="shared" si="10"/>
        <v>nóh</v>
      </c>
      <c r="AA53" s="304">
        <f t="shared" si="5"/>
        <v>2</v>
      </c>
      <c r="AB53" s="304">
        <f t="shared" si="9"/>
        <v>4</v>
      </c>
      <c r="AC53" s="304" t="str">
        <f t="shared" si="11"/>
        <v>ō</v>
      </c>
      <c r="AD53" s="304" t="str">
        <f t="shared" si="11"/>
        <v>ó</v>
      </c>
      <c r="AE53" s="304" t="str">
        <f t="shared" si="11"/>
        <v>ǒ</v>
      </c>
      <c r="AF53" s="304" t="str">
        <f t="shared" si="11"/>
        <v>ǒ</v>
      </c>
      <c r="AG53" s="304" t="str">
        <f t="shared" si="11"/>
        <v>ò</v>
      </c>
      <c r="AH53" s="304" t="str">
        <f t="shared" si="11"/>
        <v>ô</v>
      </c>
      <c r="AI53" s="304" t="str">
        <f t="shared" si="11"/>
        <v>ō</v>
      </c>
      <c r="AJ53" s="304" t="str">
        <f t="shared" si="11"/>
        <v>ó</v>
      </c>
    </row>
    <row r="54" spans="13:36" ht="34">
      <c r="M54" s="307">
        <v>50</v>
      </c>
      <c r="N54" s="311" t="s">
        <v>676</v>
      </c>
      <c r="O54" s="315" t="str" cm="1">
        <f t="array" ref="O54">INDEX(韻母對照表, (($M54-1)*2 +1), $O$1)</f>
        <v>niu</v>
      </c>
      <c r="P54" s="315" t="str" cm="1">
        <f t="array" ref="P54">INDEX(韻母對照表, (($M54-1)*2 +2), $O$1)</f>
        <v>niuh</v>
      </c>
      <c r="Q54" s="311" t="s">
        <v>415</v>
      </c>
      <c r="R54" s="316" t="str">
        <f t="shared" si="10"/>
        <v>niū</v>
      </c>
      <c r="S54" s="316" t="str">
        <f t="shared" si="10"/>
        <v>niú</v>
      </c>
      <c r="T54" s="316" t="str">
        <f t="shared" si="10"/>
        <v>niǔ</v>
      </c>
      <c r="U54" s="317" t="str">
        <f t="shared" si="10"/>
        <v>niǔh</v>
      </c>
      <c r="V54" s="316" t="str">
        <f t="shared" si="10"/>
        <v>niù</v>
      </c>
      <c r="W54" s="316" t="str">
        <f t="shared" si="10"/>
        <v>niû</v>
      </c>
      <c r="X54" s="316" t="str">
        <f t="shared" si="10"/>
        <v>niū</v>
      </c>
      <c r="Y54" s="317" t="str">
        <f t="shared" si="10"/>
        <v>niúh</v>
      </c>
      <c r="AA54" s="304">
        <f t="shared" si="5"/>
        <v>3</v>
      </c>
      <c r="AB54" s="304">
        <f t="shared" si="9"/>
        <v>6</v>
      </c>
      <c r="AC54" s="304" t="str">
        <f t="shared" si="11"/>
        <v>ū</v>
      </c>
      <c r="AD54" s="304" t="str">
        <f t="shared" si="11"/>
        <v>ú</v>
      </c>
      <c r="AE54" s="304" t="str">
        <f t="shared" si="11"/>
        <v>ǔ</v>
      </c>
      <c r="AF54" s="304" t="str">
        <f t="shared" si="11"/>
        <v>ǔ</v>
      </c>
      <c r="AG54" s="304" t="str">
        <f t="shared" si="11"/>
        <v>ù</v>
      </c>
      <c r="AH54" s="304" t="str">
        <f t="shared" si="11"/>
        <v>û</v>
      </c>
      <c r="AI54" s="304" t="str">
        <f t="shared" si="11"/>
        <v>ū</v>
      </c>
      <c r="AJ54" s="304" t="str">
        <f t="shared" si="11"/>
        <v>ú</v>
      </c>
    </row>
  </sheetData>
  <mergeCells count="9">
    <mergeCell ref="Q3:Q4"/>
    <mergeCell ref="AA3:AA4"/>
    <mergeCell ref="AB3:AB4"/>
    <mergeCell ref="B3:B4"/>
    <mergeCell ref="C3:C4"/>
    <mergeCell ref="M3:M4"/>
    <mergeCell ref="N3:N4"/>
    <mergeCell ref="O3:O4"/>
    <mergeCell ref="P3:P4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5031-8DFB-9249-83E6-F4AB867D816C}">
  <sheetPr codeName="工作表3">
    <tabColor rgb="FFFF0000"/>
  </sheetPr>
  <dimension ref="A1:L26"/>
  <sheetViews>
    <sheetView topLeftCell="C6" workbookViewId="0"/>
  </sheetViews>
  <sheetFormatPr baseColWidth="10" defaultColWidth="10.8984375" defaultRowHeight="27" outlineLevelRow="1" outlineLevelCol="1"/>
  <cols>
    <col min="1" max="1" width="4" hidden="1" customWidth="1" outlineLevel="1"/>
    <col min="2" max="2" width="10.69921875" style="6" hidden="1" customWidth="1" outlineLevel="1"/>
    <col min="3" max="3" width="2.69921875" style="69" customWidth="1" collapsed="1"/>
    <col min="4" max="4" width="6.296875" style="69" customWidth="1"/>
    <col min="5" max="6" width="10.5" style="70" customWidth="1"/>
    <col min="7" max="10" width="10.5" style="71" customWidth="1"/>
    <col min="11" max="12" width="10.69921875" style="69"/>
  </cols>
  <sheetData>
    <row r="1" spans="2:10" ht="12" hidden="1" customHeight="1" outlineLevel="1"/>
    <row r="2" spans="2:10" ht="27" hidden="1" customHeight="1" outlineLevel="1">
      <c r="F2" s="144">
        <v>4</v>
      </c>
      <c r="G2" s="143">
        <v>5</v>
      </c>
      <c r="H2" s="143">
        <v>6</v>
      </c>
      <c r="I2" s="143">
        <v>7</v>
      </c>
      <c r="J2" s="143">
        <v>3</v>
      </c>
    </row>
    <row r="3" spans="2:10" ht="23" hidden="1" outlineLevel="1">
      <c r="D3" s="102" cm="1">
        <f t="array" ref="D3">COLUMN()-COLUMN(($C:$C))</f>
        <v>1</v>
      </c>
      <c r="E3" s="102" cm="1">
        <f t="array" ref="E3">COLUMN()-COLUMN(($C:$C))</f>
        <v>2</v>
      </c>
      <c r="F3" s="102" cm="1">
        <f t="array" ref="F3">COLUMN()-COLUMN(($C:$C))</f>
        <v>3</v>
      </c>
      <c r="G3" s="102" cm="1">
        <f t="array" ref="G3">COLUMN()-COLUMN(($C:$C))</f>
        <v>4</v>
      </c>
      <c r="H3" s="102" cm="1">
        <f t="array" ref="H3">COLUMN()-COLUMN(($C:$C))</f>
        <v>5</v>
      </c>
      <c r="I3" s="102" cm="1">
        <f t="array" ref="I3">COLUMN()-COLUMN(($C:$C))</f>
        <v>6</v>
      </c>
      <c r="J3" s="102" cm="1">
        <f t="array" ref="J3">COLUMN()-COLUMN(($C:$C))</f>
        <v>7</v>
      </c>
    </row>
    <row r="4" spans="2:10" ht="21" customHeight="1" collapsed="1"/>
    <row r="5" spans="2:10" ht="28">
      <c r="B5" s="127" t="s">
        <v>688</v>
      </c>
      <c r="C5" s="74"/>
      <c r="D5" s="125" t="s">
        <v>0</v>
      </c>
      <c r="E5" s="125" t="s">
        <v>722</v>
      </c>
      <c r="F5" s="126" t="s">
        <v>723</v>
      </c>
      <c r="G5" s="127" t="s">
        <v>724</v>
      </c>
      <c r="H5" s="73" t="s">
        <v>725</v>
      </c>
      <c r="I5" s="73" t="s">
        <v>726</v>
      </c>
      <c r="J5" s="125" t="s">
        <v>6</v>
      </c>
    </row>
    <row r="6" spans="2:10" s="149" customFormat="1" ht="36">
      <c r="B6" s="145">
        <f xml:space="preserve"> MATCH(E6, 十五音聲母清單!$I$5:$I$26,0)</f>
        <v>2</v>
      </c>
      <c r="C6" s="146"/>
      <c r="D6" s="147">
        <v>1</v>
      </c>
      <c r="E6" s="148" t="s">
        <v>26</v>
      </c>
      <c r="F6" s="148" t="str" cm="1">
        <f t="array" ref="F6" xml:space="preserve"> INDEX(十五音聲母清單!$B$5:$I$26, $B6, F$2)</f>
        <v>邊</v>
      </c>
      <c r="G6" s="148" t="str" cm="1">
        <f t="array" ref="G6" xml:space="preserve"> INDEX(十五音聲母清單!$B$5:$I$26, $B6, G$2)</f>
        <v>p</v>
      </c>
      <c r="H6" s="148" t="str" cm="1">
        <f t="array" ref="H6" xml:space="preserve"> INDEX(十五音聲母清單!$B$5:$I$26, $B6, H$2)</f>
        <v>p</v>
      </c>
      <c r="I6" s="148" t="str" cm="1">
        <f t="array" ref="I6" xml:space="preserve"> INDEX(十五音聲母清單!$B$5:$I$26, $B6, I$2)</f>
        <v>b</v>
      </c>
      <c r="J6" s="148" t="str" cm="1">
        <f t="array" ref="J6" xml:space="preserve"> INDEX(十五音聲母清單!$B$5:$I$26, $B6, J$2)</f>
        <v>p</v>
      </c>
    </row>
    <row r="7" spans="2:10" s="149" customFormat="1" ht="36">
      <c r="B7" s="145">
        <f xml:space="preserve"> MATCH(E7, 十五音聲母清單!$I$5:$I$26,0)</f>
        <v>6</v>
      </c>
      <c r="C7" s="146"/>
      <c r="D7" s="147">
        <v>2</v>
      </c>
      <c r="E7" s="148" t="s">
        <v>50</v>
      </c>
      <c r="F7" s="148" t="str" cm="1">
        <f t="array" ref="F7" xml:space="preserve"> INDEX(十五音聲母清單!$B$5:$I$26, $B7, F$2)</f>
        <v>頗</v>
      </c>
      <c r="G7" s="148" t="str" cm="1">
        <f t="array" ref="G7" xml:space="preserve"> INDEX(十五音聲母清單!$B$5:$I$26, $B7, G$2)</f>
        <v>ph</v>
      </c>
      <c r="H7" s="148" t="str" cm="1">
        <f t="array" ref="H7" xml:space="preserve"> INDEX(十五音聲母清單!$B$5:$I$26, $B7, H$2)</f>
        <v>ph</v>
      </c>
      <c r="I7" s="148" t="str" cm="1">
        <f t="array" ref="I7" xml:space="preserve"> INDEX(十五音聲母清單!$B$5:$I$26, $B7, I$2)</f>
        <v>p</v>
      </c>
      <c r="J7" s="148" t="str" cm="1">
        <f t="array" ref="J7" xml:space="preserve"> INDEX(十五音聲母清單!$B$5:$I$26, $B7, J$2)</f>
        <v>pʰ</v>
      </c>
    </row>
    <row r="8" spans="2:10" s="149" customFormat="1" ht="36">
      <c r="B8" s="145">
        <f xml:space="preserve"> MATCH(E8, 十五音聲母清單!$I$5:$I$26,0)</f>
        <v>20</v>
      </c>
      <c r="C8" s="146"/>
      <c r="D8" s="147">
        <v>3</v>
      </c>
      <c r="E8" s="148" t="s">
        <v>91</v>
      </c>
      <c r="F8" s="148" t="str" cm="1">
        <f t="array" ref="F8" xml:space="preserve"> INDEX(十五音聲母清單!$B$5:$I$26, $B8, F$2)</f>
        <v>毛</v>
      </c>
      <c r="G8" s="148" t="str" cm="1">
        <f t="array" ref="G8" xml:space="preserve"> INDEX(十五音聲母清單!$B$5:$I$26, $B8, G$2)</f>
        <v>m</v>
      </c>
      <c r="H8" s="148" t="str" cm="1">
        <f t="array" ref="H8" xml:space="preserve"> INDEX(十五音聲母清單!$B$5:$I$26, $B8, H$2)</f>
        <v>m</v>
      </c>
      <c r="I8" s="148" t="str" cm="1">
        <f t="array" ref="I8" xml:space="preserve"> INDEX(十五音聲母清單!$B$5:$I$26, $B8, I$2)</f>
        <v>bbn</v>
      </c>
      <c r="J8" s="148" t="str" cm="1">
        <f t="array" ref="J8" xml:space="preserve"> INDEX(十五音聲母清單!$B$5:$I$26, $B8, J$2)</f>
        <v>m</v>
      </c>
    </row>
    <row r="9" spans="2:10" s="149" customFormat="1" ht="36">
      <c r="B9" s="145">
        <f xml:space="preserve"> MATCH(E9, 十五音聲母清單!$I$5:$I$26,0)</f>
        <v>15</v>
      </c>
      <c r="C9" s="146"/>
      <c r="D9" s="147">
        <v>4</v>
      </c>
      <c r="E9" s="148" t="s">
        <v>96</v>
      </c>
      <c r="F9" s="148" t="str" cm="1">
        <f t="array" ref="F9" xml:space="preserve"> INDEX(十五音聲母清單!$B$5:$I$26, $B9, F$2)</f>
        <v>門</v>
      </c>
      <c r="G9" s="148" t="str" cm="1">
        <f t="array" ref="G9" xml:space="preserve"> INDEX(十五音聲母清單!$B$5:$I$26, $B9, G$2)</f>
        <v>b</v>
      </c>
      <c r="H9" s="148" t="str" cm="1">
        <f t="array" ref="H9" xml:space="preserve"> INDEX(十五音聲母清單!$B$5:$I$26, $B9, H$2)</f>
        <v>b</v>
      </c>
      <c r="I9" s="148" t="str" cm="1">
        <f t="array" ref="I9" xml:space="preserve"> INDEX(十五音聲母清單!$B$5:$I$26, $B9, I$2)</f>
        <v>bb</v>
      </c>
      <c r="J9" s="148" t="str" cm="1">
        <f t="array" ref="J9" xml:space="preserve"> INDEX(十五音聲母清單!$B$5:$I$26, $B9, J$2)</f>
        <v>b</v>
      </c>
    </row>
    <row r="10" spans="2:10" s="149" customFormat="1" ht="36">
      <c r="B10" s="145">
        <f xml:space="preserve"> MATCH(E10, 十五音聲母清單!$I$5:$I$26,0)</f>
        <v>5</v>
      </c>
      <c r="C10" s="146"/>
      <c r="D10" s="147">
        <v>5</v>
      </c>
      <c r="E10" s="148" t="s">
        <v>45</v>
      </c>
      <c r="F10" s="148" t="str" cm="1">
        <f t="array" ref="F10" xml:space="preserve"> INDEX(十五音聲母清單!$B$5:$I$26, $B10, F$2)</f>
        <v>地</v>
      </c>
      <c r="G10" s="148" t="str" cm="1">
        <f t="array" ref="G10" xml:space="preserve"> INDEX(十五音聲母清單!$B$5:$I$26, $B10, G$2)</f>
        <v>t</v>
      </c>
      <c r="H10" s="148" t="str" cm="1">
        <f t="array" ref="H10" xml:space="preserve"> INDEX(十五音聲母清單!$B$5:$I$26, $B10, H$2)</f>
        <v>t</v>
      </c>
      <c r="I10" s="148" t="str" cm="1">
        <f t="array" ref="I10" xml:space="preserve"> INDEX(十五音聲母清單!$B$5:$I$26, $B10, I$2)</f>
        <v>d</v>
      </c>
      <c r="J10" s="148" t="str" cm="1">
        <f t="array" ref="J10" xml:space="preserve"> INDEX(十五音聲母清單!$B$5:$I$26, $B10, J$2)</f>
        <v>t</v>
      </c>
    </row>
    <row r="11" spans="2:10" s="149" customFormat="1" ht="36">
      <c r="B11" s="145">
        <f xml:space="preserve"> MATCH(E11, 十五音聲母清單!$I$5:$I$26,0)</f>
        <v>7</v>
      </c>
      <c r="C11" s="146"/>
      <c r="D11" s="147">
        <v>6</v>
      </c>
      <c r="E11" s="148" t="s">
        <v>55</v>
      </c>
      <c r="F11" s="148" t="str" cm="1">
        <f t="array" ref="F11" xml:space="preserve"> INDEX(十五音聲母清單!$B$5:$I$26, $B11, F$2)</f>
        <v>他</v>
      </c>
      <c r="G11" s="148" t="str" cm="1">
        <f t="array" ref="G11" xml:space="preserve"> INDEX(十五音聲母清單!$B$5:$I$26, $B11, G$2)</f>
        <v>th</v>
      </c>
      <c r="H11" s="148" t="str" cm="1">
        <f t="array" ref="H11" xml:space="preserve"> INDEX(十五音聲母清單!$B$5:$I$26, $B11, H$2)</f>
        <v>th</v>
      </c>
      <c r="I11" s="148" t="str" cm="1">
        <f t="array" ref="I11" xml:space="preserve"> INDEX(十五音聲母清單!$B$5:$I$26, $B11, I$2)</f>
        <v>t</v>
      </c>
      <c r="J11" s="148" t="str" cm="1">
        <f t="array" ref="J11" xml:space="preserve"> INDEX(十五音聲母清單!$B$5:$I$26, $B11, J$2)</f>
        <v>tʰ</v>
      </c>
    </row>
    <row r="12" spans="2:10" s="149" customFormat="1" ht="36">
      <c r="B12" s="145">
        <f xml:space="preserve"> MATCH(E12, 十五音聲母清單!$I$5:$I$26,0)</f>
        <v>21</v>
      </c>
      <c r="C12" s="146"/>
      <c r="D12" s="147">
        <v>7</v>
      </c>
      <c r="E12" s="148" t="s">
        <v>20</v>
      </c>
      <c r="F12" s="148" t="str" cm="1">
        <f t="array" ref="F12" xml:space="preserve"> INDEX(十五音聲母清單!$B$5:$I$26, $B12, F$2)</f>
        <v>耐</v>
      </c>
      <c r="G12" s="148" t="str" cm="1">
        <f t="array" ref="G12" xml:space="preserve"> INDEX(十五音聲母清單!$B$5:$I$26, $B12, G$2)</f>
        <v>n</v>
      </c>
      <c r="H12" s="148" t="str" cm="1">
        <f t="array" ref="H12" xml:space="preserve"> INDEX(十五音聲母清單!$B$5:$I$26, $B12, H$2)</f>
        <v>n</v>
      </c>
      <c r="I12" s="148" t="str" cm="1">
        <f t="array" ref="I12" xml:space="preserve"> INDEX(十五音聲母清單!$B$5:$I$26, $B12, I$2)</f>
        <v>ln</v>
      </c>
      <c r="J12" s="148" t="str" cm="1">
        <f t="array" ref="J12" xml:space="preserve"> INDEX(十五音聲母清單!$B$5:$I$26, $B12, J$2)</f>
        <v>n</v>
      </c>
    </row>
    <row r="13" spans="2:10" s="149" customFormat="1" ht="36">
      <c r="B13" s="145">
        <f xml:space="preserve"> MATCH(E13, 十五音聲母清單!$I$5:$I$26,0)</f>
        <v>1</v>
      </c>
      <c r="C13" s="146"/>
      <c r="D13" s="147">
        <v>8</v>
      </c>
      <c r="E13" s="148" t="s">
        <v>15</v>
      </c>
      <c r="F13" s="148" t="str" cm="1">
        <f t="array" ref="F13" xml:space="preserve"> INDEX(十五音聲母清單!$B$5:$I$26, $B13, F$2)</f>
        <v>柳</v>
      </c>
      <c r="G13" s="148" t="str" cm="1">
        <f t="array" ref="G13" xml:space="preserve"> INDEX(十五音聲母清單!$B$5:$I$26, $B13, G$2)</f>
        <v>l</v>
      </c>
      <c r="H13" s="148" t="str" cm="1">
        <f t="array" ref="H13" xml:space="preserve"> INDEX(十五音聲母清單!$B$5:$I$26, $B13, H$2)</f>
        <v>l</v>
      </c>
      <c r="I13" s="148" t="str" cm="1">
        <f t="array" ref="I13" xml:space="preserve"> INDEX(十五音聲母清單!$B$5:$I$26, $B13, I$2)</f>
        <v>l</v>
      </c>
      <c r="J13" s="148" t="str" cm="1">
        <f t="array" ref="J13" xml:space="preserve"> INDEX(十五音聲母清單!$B$5:$I$26, $B13, J$2)</f>
        <v>l</v>
      </c>
    </row>
    <row r="14" spans="2:10" s="149" customFormat="1" ht="36">
      <c r="B14" s="145">
        <f xml:space="preserve"> MATCH(E14, 十五音聲母清單!$I$5:$I$26,0)</f>
        <v>8</v>
      </c>
      <c r="C14" s="146"/>
      <c r="D14" s="147">
        <v>9</v>
      </c>
      <c r="E14" s="148" t="s">
        <v>727</v>
      </c>
      <c r="F14" s="148" t="str" cm="1">
        <f t="array" ref="F14" xml:space="preserve"> INDEX(十五音聲母清單!$B$5:$I$26, $B14, F$2)</f>
        <v>曾</v>
      </c>
      <c r="G14" s="148" t="str" cm="1">
        <f t="array" ref="G14" xml:space="preserve"> INDEX(十五音聲母清單!$B$5:$I$26, $B14, G$2)</f>
        <v>ch</v>
      </c>
      <c r="H14" s="148" t="str" cm="1">
        <f t="array" ref="H14" xml:space="preserve"> INDEX(十五音聲母清單!$B$5:$I$26, $B14, H$2)</f>
        <v>ts</v>
      </c>
      <c r="I14" s="148" t="str" cm="1">
        <f t="array" ref="I14" xml:space="preserve"> INDEX(十五音聲母清單!$B$5:$I$26, $B14, I$2)</f>
        <v>z</v>
      </c>
      <c r="J14" s="148" t="str" cm="1">
        <f t="array" ref="J14" xml:space="preserve"> INDEX(十五音聲母清單!$B$5:$I$26, $B14, J$2)</f>
        <v>ʦ</v>
      </c>
    </row>
    <row r="15" spans="2:10" s="149" customFormat="1" ht="36">
      <c r="B15" s="145">
        <f xml:space="preserve"> MATCH(E15, 十五音聲母清單!$I$5:$I$26,0)</f>
        <v>9</v>
      </c>
      <c r="C15" s="146"/>
      <c r="D15" s="147">
        <v>10</v>
      </c>
      <c r="E15" s="148" t="s">
        <v>728</v>
      </c>
      <c r="F15" s="148" t="str" cm="1">
        <f t="array" ref="F15" xml:space="preserve"> INDEX(十五音聲母清單!$B$5:$I$26, $B15, F$2)</f>
        <v>曾</v>
      </c>
      <c r="G15" s="148" t="str" cm="1">
        <f t="array" ref="G15" xml:space="preserve"> INDEX(十五音聲母清單!$B$5:$I$26, $B15, G$2)</f>
        <v>chi</v>
      </c>
      <c r="H15" s="148" t="str" cm="1">
        <f t="array" ref="H15" xml:space="preserve"> INDEX(十五音聲母清單!$B$5:$I$26, $B15, H$2)</f>
        <v>tsi</v>
      </c>
      <c r="I15" s="148" t="str" cm="1">
        <f t="array" ref="I15" xml:space="preserve"> INDEX(十五音聲母清單!$B$5:$I$26, $B15, I$2)</f>
        <v>zi</v>
      </c>
      <c r="J15" s="148" t="str" cm="1">
        <f t="array" ref="J15" xml:space="preserve"> INDEX(十五音聲母清單!$B$5:$I$26, $B15, J$2)</f>
        <v>ʨ</v>
      </c>
    </row>
    <row r="16" spans="2:10" s="149" customFormat="1" ht="36">
      <c r="B16" s="145">
        <f xml:space="preserve"> MATCH(E16, 十五音聲母清單!$I$5:$I$26,0)</f>
        <v>17</v>
      </c>
      <c r="C16" s="146"/>
      <c r="D16" s="147">
        <v>11</v>
      </c>
      <c r="E16" s="148" t="s">
        <v>729</v>
      </c>
      <c r="F16" s="148" t="str" cm="1">
        <f t="array" ref="F16" xml:space="preserve"> INDEX(十五音聲母清單!$B$5:$I$26, $B16, F$2)</f>
        <v>出</v>
      </c>
      <c r="G16" s="148" t="str" cm="1">
        <f t="array" ref="G16" xml:space="preserve"> INDEX(十五音聲母清單!$B$5:$I$26, $B16, G$2)</f>
        <v>chh</v>
      </c>
      <c r="H16" s="148" t="str" cm="1">
        <f t="array" ref="H16" xml:space="preserve"> INDEX(十五音聲母清單!$B$5:$I$26, $B16, H$2)</f>
        <v>tsh</v>
      </c>
      <c r="I16" s="148" t="str" cm="1">
        <f t="array" ref="I16" xml:space="preserve"> INDEX(十五音聲母清單!$B$5:$I$26, $B16, I$2)</f>
        <v>c</v>
      </c>
      <c r="J16" s="148" t="str" cm="1">
        <f t="array" ref="J16" xml:space="preserve"> INDEX(十五音聲母清單!$B$5:$I$26, $B16, J$2)</f>
        <v>ʦʰ</v>
      </c>
    </row>
    <row r="17" spans="2:10" s="149" customFormat="1" ht="36">
      <c r="B17" s="145">
        <f xml:space="preserve"> MATCH(E17, 十五音聲母清單!$I$5:$I$26,0)</f>
        <v>18</v>
      </c>
      <c r="C17" s="146"/>
      <c r="D17" s="147">
        <v>12</v>
      </c>
      <c r="E17" s="148" t="s">
        <v>730</v>
      </c>
      <c r="F17" s="148" t="str" cm="1">
        <f t="array" ref="F17" xml:space="preserve"> INDEX(十五音聲母清單!$B$5:$I$26, $B17, F$2)</f>
        <v>出</v>
      </c>
      <c r="G17" s="148" t="str" cm="1">
        <f t="array" ref="G17" xml:space="preserve"> INDEX(十五音聲母清單!$B$5:$I$26, $B17, G$2)</f>
        <v>chhi</v>
      </c>
      <c r="H17" s="148" t="str" cm="1">
        <f t="array" ref="H17" xml:space="preserve"> INDEX(十五音聲母清單!$B$5:$I$26, $B17, H$2)</f>
        <v>tshi</v>
      </c>
      <c r="I17" s="148" t="str" cm="1">
        <f t="array" ref="I17" xml:space="preserve"> INDEX(十五音聲母清單!$B$5:$I$26, $B17, I$2)</f>
        <v>ci</v>
      </c>
      <c r="J17" s="148" t="str" cm="1">
        <f t="array" ref="J17" xml:space="preserve"> INDEX(十五音聲母清單!$B$5:$I$26, $B17, J$2)</f>
        <v>ʨʰ</v>
      </c>
    </row>
    <row r="18" spans="2:10" s="149" customFormat="1" ht="36">
      <c r="B18" s="145">
        <f xml:space="preserve"> MATCH(E18, 十五音聲母清單!$I$5:$I$26,0)</f>
        <v>12</v>
      </c>
      <c r="C18" s="146"/>
      <c r="D18" s="147">
        <v>13</v>
      </c>
      <c r="E18" s="148" t="s">
        <v>731</v>
      </c>
      <c r="F18" s="148" t="str" cm="1">
        <f t="array" ref="F18" xml:space="preserve"> INDEX(十五音聲母清單!$B$5:$I$26, $B18, F$2)</f>
        <v>時</v>
      </c>
      <c r="G18" s="148" t="str" cm="1">
        <f t="array" ref="G18" xml:space="preserve"> INDEX(十五音聲母清單!$B$5:$I$26, $B18, G$2)</f>
        <v>s</v>
      </c>
      <c r="H18" s="148" t="str" cm="1">
        <f t="array" ref="H18" xml:space="preserve"> INDEX(十五音聲母清單!$B$5:$I$26, $B18, H$2)</f>
        <v>s</v>
      </c>
      <c r="I18" s="148" t="str" cm="1">
        <f t="array" ref="I18" xml:space="preserve"> INDEX(十五音聲母清單!$B$5:$I$26, $B18, I$2)</f>
        <v>s</v>
      </c>
      <c r="J18" s="148" t="str" cm="1">
        <f t="array" ref="J18" xml:space="preserve"> INDEX(十五音聲母清單!$B$5:$I$26, $B18, J$2)</f>
        <v>s</v>
      </c>
    </row>
    <row r="19" spans="2:10" s="149" customFormat="1" ht="36">
      <c r="B19" s="145">
        <f xml:space="preserve"> MATCH(E19, 十五音聲母清單!$I$5:$I$26,0)</f>
        <v>13</v>
      </c>
      <c r="C19" s="146"/>
      <c r="D19" s="147">
        <v>14</v>
      </c>
      <c r="E19" s="147" t="s">
        <v>732</v>
      </c>
      <c r="F19" s="148" t="str" cm="1">
        <f t="array" ref="F19" xml:space="preserve"> INDEX(十五音聲母清單!$B$5:$I$26, $B19, F$2)</f>
        <v>時</v>
      </c>
      <c r="G19" s="148" t="str" cm="1">
        <f t="array" ref="G19" xml:space="preserve"> INDEX(十五音聲母清單!$B$5:$I$26, $B19, G$2)</f>
        <v>si</v>
      </c>
      <c r="H19" s="148" t="str" cm="1">
        <f t="array" ref="H19" xml:space="preserve"> INDEX(十五音聲母清單!$B$5:$I$26, $B19, H$2)</f>
        <v>si</v>
      </c>
      <c r="I19" s="148" t="str" cm="1">
        <f t="array" ref="I19" xml:space="preserve"> INDEX(十五音聲母清單!$B$5:$I$26, $B19, I$2)</f>
        <v>si</v>
      </c>
      <c r="J19" s="148" t="str" cm="1">
        <f t="array" ref="J19" xml:space="preserve"> INDEX(十五音聲母清單!$B$5:$I$26, $B19, J$2)</f>
        <v>ɕ</v>
      </c>
    </row>
    <row r="20" spans="2:10" s="149" customFormat="1" ht="36">
      <c r="B20" s="145">
        <f xml:space="preserve"> MATCH(E20, 十五音聲母清單!$I$5:$I$26,0)</f>
        <v>10</v>
      </c>
      <c r="C20" s="146"/>
      <c r="D20" s="147">
        <v>15</v>
      </c>
      <c r="E20" s="148" t="s">
        <v>733</v>
      </c>
      <c r="F20" s="148" t="str" cm="1">
        <f t="array" ref="F20" xml:space="preserve"> INDEX(十五音聲母清單!$B$5:$I$26, $B20, F$2)</f>
        <v>入</v>
      </c>
      <c r="G20" s="148" t="str" cm="1">
        <f t="array" ref="G20" xml:space="preserve"> INDEX(十五音聲母清單!$B$5:$I$26, $B20, G$2)</f>
        <v>j</v>
      </c>
      <c r="H20" s="148" t="str" cm="1">
        <f t="array" ref="H20" xml:space="preserve"> INDEX(十五音聲母清單!$B$5:$I$26, $B20, H$2)</f>
        <v>j</v>
      </c>
      <c r="I20" s="148" t="str" cm="1">
        <f t="array" ref="I20" xml:space="preserve"> INDEX(十五音聲母清單!$B$5:$I$26, $B20, I$2)</f>
        <v>zz</v>
      </c>
      <c r="J20" s="148" t="str" cm="1">
        <f t="array" ref="J20" xml:space="preserve"> INDEX(十五音聲母清單!$B$5:$I$26, $B20, J$2)</f>
        <v>ʣ</v>
      </c>
    </row>
    <row r="21" spans="2:10" s="149" customFormat="1" ht="36">
      <c r="B21" s="145">
        <f xml:space="preserve"> MATCH(E21, 十五音聲母清單!$I$5:$I$26,0)</f>
        <v>11</v>
      </c>
      <c r="C21" s="146"/>
      <c r="D21" s="147">
        <v>16</v>
      </c>
      <c r="E21" s="148" t="s">
        <v>734</v>
      </c>
      <c r="F21" s="148" t="str" cm="1">
        <f t="array" ref="F21" xml:space="preserve"> INDEX(十五音聲母清單!$B$5:$I$26, $B21, F$2)</f>
        <v>入</v>
      </c>
      <c r="G21" s="148" t="str" cm="1">
        <f t="array" ref="G21" xml:space="preserve"> INDEX(十五音聲母清單!$B$5:$I$26, $B21, G$2)</f>
        <v>ji</v>
      </c>
      <c r="H21" s="148" t="str" cm="1">
        <f t="array" ref="H21" xml:space="preserve"> INDEX(十五音聲母清單!$B$5:$I$26, $B21, H$2)</f>
        <v>ji</v>
      </c>
      <c r="I21" s="148" t="str" cm="1">
        <f t="array" ref="I21" xml:space="preserve"> INDEX(十五音聲母清單!$B$5:$I$26, $B21, I$2)</f>
        <v>zzi</v>
      </c>
      <c r="J21" s="148" t="str" cm="1">
        <f t="array" ref="J21" xml:space="preserve"> INDEX(十五音聲母清單!$B$5:$I$26, $B21, J$2)</f>
        <v>ʥ</v>
      </c>
    </row>
    <row r="22" spans="2:10" s="149" customFormat="1" ht="36">
      <c r="B22" s="145">
        <f xml:space="preserve"> MATCH(E22, 十五音聲母清單!$I$5:$I$26,0)</f>
        <v>3</v>
      </c>
      <c r="C22" s="146"/>
      <c r="D22" s="147">
        <v>17</v>
      </c>
      <c r="E22" s="148" t="s">
        <v>32</v>
      </c>
      <c r="F22" s="148" t="str" cm="1">
        <f t="array" ref="F22" xml:space="preserve"> INDEX(十五音聲母清單!$B$5:$I$26, $B22, F$2)</f>
        <v>求</v>
      </c>
      <c r="G22" s="148" t="str" cm="1">
        <f t="array" ref="G22" xml:space="preserve"> INDEX(十五音聲母清單!$B$5:$I$26, $B22, G$2)</f>
        <v>k</v>
      </c>
      <c r="H22" s="148" t="str" cm="1">
        <f t="array" ref="H22" xml:space="preserve"> INDEX(十五音聲母清單!$B$5:$I$26, $B22, H$2)</f>
        <v>k</v>
      </c>
      <c r="I22" s="148" t="str" cm="1">
        <f t="array" ref="I22" xml:space="preserve"> INDEX(十五音聲母清單!$B$5:$I$26, $B22, I$2)</f>
        <v>g</v>
      </c>
      <c r="J22" s="148" t="str" cm="1">
        <f t="array" ref="J22" xml:space="preserve"> INDEX(十五音聲母清單!$B$5:$I$26, $B22, J$2)</f>
        <v>k</v>
      </c>
    </row>
    <row r="23" spans="2:10" ht="36">
      <c r="B23" s="145">
        <f xml:space="preserve"> MATCH(E23, 十五音聲母清單!$I$5:$I$26,0)</f>
        <v>4</v>
      </c>
      <c r="D23" s="147">
        <v>18</v>
      </c>
      <c r="E23" s="254" t="s">
        <v>38</v>
      </c>
      <c r="F23" s="148" t="str" cm="1">
        <f t="array" ref="F23" xml:space="preserve"> INDEX(十五音聲母清單!$B$5:$I$26, $B23, F$2)</f>
        <v>去</v>
      </c>
      <c r="G23" s="148" t="str" cm="1">
        <f t="array" ref="G23" xml:space="preserve"> INDEX(十五音聲母清單!$B$5:$I$26, $B23, G$2)</f>
        <v>kh</v>
      </c>
      <c r="H23" s="148" t="str" cm="1">
        <f t="array" ref="H23" xml:space="preserve"> INDEX(十五音聲母清單!$B$5:$I$26, $B23, H$2)</f>
        <v>kh</v>
      </c>
      <c r="I23" s="148" t="str" cm="1">
        <f t="array" ref="I23" xml:space="preserve"> INDEX(十五音聲母清單!$B$5:$I$26, $B23, I$2)</f>
        <v>k</v>
      </c>
      <c r="J23" s="148" t="str" cm="1">
        <f t="array" ref="J23" xml:space="preserve"> INDEX(十五音聲母清單!$B$5:$I$26, $B23, J$2)</f>
        <v>kʰ</v>
      </c>
    </row>
    <row r="24" spans="2:10" ht="36">
      <c r="B24" s="145">
        <f xml:space="preserve"> MATCH(E24, 十五音聲母清單!$I$5:$I$26,0)</f>
        <v>22</v>
      </c>
      <c r="D24" s="147">
        <v>19</v>
      </c>
      <c r="E24" s="254" t="s">
        <v>107</v>
      </c>
      <c r="F24" s="148" t="str" cm="1">
        <f t="array" ref="F24" xml:space="preserve"> INDEX(十五音聲母清單!$B$5:$I$26, $B24, F$2)</f>
        <v>雅</v>
      </c>
      <c r="G24" s="148" t="str" cm="1">
        <f t="array" ref="G24" xml:space="preserve"> INDEX(十五音聲母清單!$B$5:$I$26, $B24, G$2)</f>
        <v>ng</v>
      </c>
      <c r="H24" s="148" t="str" cm="1">
        <f t="array" ref="H24" xml:space="preserve"> INDEX(十五音聲母清單!$B$5:$I$26, $B24, H$2)</f>
        <v>ng</v>
      </c>
      <c r="I24" s="148" t="str" cm="1">
        <f t="array" ref="I24" xml:space="preserve"> INDEX(十五音聲母清單!$B$5:$I$26, $B24, I$2)</f>
        <v>ggn</v>
      </c>
      <c r="J24" s="148" t="str" cm="1">
        <f t="array" ref="J24" xml:space="preserve"> INDEX(十五音聲母清單!$B$5:$I$26, $B24, J$2)</f>
        <v>ŋ</v>
      </c>
    </row>
    <row r="25" spans="2:10" ht="36">
      <c r="B25" s="145">
        <f xml:space="preserve"> MATCH(E25, 十五音聲母清單!$I$5:$I$26,0)</f>
        <v>16</v>
      </c>
      <c r="D25" s="147">
        <v>20</v>
      </c>
      <c r="E25" s="254" t="s">
        <v>102</v>
      </c>
      <c r="F25" s="148" t="str" cm="1">
        <f t="array" ref="F25" xml:space="preserve"> INDEX(十五音聲母清單!$B$5:$I$26, $B25, F$2)</f>
        <v>語</v>
      </c>
      <c r="G25" s="148" t="str" cm="1">
        <f t="array" ref="G25" xml:space="preserve"> INDEX(十五音聲母清單!$B$5:$I$26, $B25, G$2)</f>
        <v>g</v>
      </c>
      <c r="H25" s="148" t="str" cm="1">
        <f t="array" ref="H25" xml:space="preserve"> INDEX(十五音聲母清單!$B$5:$I$26, $B25, H$2)</f>
        <v>g</v>
      </c>
      <c r="I25" s="148" t="str" cm="1">
        <f t="array" ref="I25" xml:space="preserve"> INDEX(十五音聲母清單!$B$5:$I$26, $B25, I$2)</f>
        <v>gg</v>
      </c>
      <c r="J25" s="148" t="str" cm="1">
        <f t="array" ref="J25" xml:space="preserve"> INDEX(十五音聲母清單!$B$5:$I$26, $B25, J$2)</f>
        <v>ɡ</v>
      </c>
    </row>
    <row r="26" spans="2:10" ht="36">
      <c r="B26" s="145">
        <f xml:space="preserve"> MATCH(E26, 十五音聲母清單!$I$5:$I$26,0)</f>
        <v>19</v>
      </c>
      <c r="D26" s="147">
        <v>21</v>
      </c>
      <c r="E26" s="254" t="s">
        <v>121</v>
      </c>
      <c r="F26" s="148" t="str" cm="1">
        <f t="array" ref="F26" xml:space="preserve"> INDEX(十五音聲母清單!$B$5:$I$26, $B26, F$2)</f>
        <v>喜</v>
      </c>
      <c r="G26" s="148" t="str" cm="1">
        <f t="array" ref="G26" xml:space="preserve"> INDEX(十五音聲母清單!$B$5:$I$26, $B26, G$2)</f>
        <v>h</v>
      </c>
      <c r="H26" s="148" t="str" cm="1">
        <f t="array" ref="H26" xml:space="preserve"> INDEX(十五音聲母清單!$B$5:$I$26, $B26, H$2)</f>
        <v>h</v>
      </c>
      <c r="I26" s="148" t="str" cm="1">
        <f t="array" ref="I26" xml:space="preserve"> INDEX(十五音聲母清單!$B$5:$I$26, $B26, I$2)</f>
        <v>h</v>
      </c>
      <c r="J26" s="148" t="str" cm="1">
        <f t="array" ref="J26" xml:space="preserve"> INDEX(十五音聲母清單!$B$5:$I$26, $B26, J$2)</f>
        <v>h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22696-E033-9240-A197-6D3E7179B514}">
  <sheetPr codeName="工作表4">
    <tabColor rgb="FF00B0F0"/>
  </sheetPr>
  <dimension ref="A1:M86"/>
  <sheetViews>
    <sheetView topLeftCell="E1" workbookViewId="0">
      <selection activeCell="L22" sqref="L22"/>
    </sheetView>
  </sheetViews>
  <sheetFormatPr baseColWidth="10" defaultColWidth="10.69921875" defaultRowHeight="27" outlineLevelRow="1" outlineLevelCol="1"/>
  <cols>
    <col min="1" max="1" width="2.69921875" style="238" hidden="1" customWidth="1" outlineLevel="1"/>
    <col min="2" max="2" width="10.69921875" style="240" hidden="1" customWidth="1" outlineLevel="1"/>
    <col min="3" max="4" width="12.09765625" style="174" hidden="1" customWidth="1" outlineLevel="1"/>
    <col min="5" max="5" width="2.69921875" style="238" customWidth="1" collapsed="1"/>
    <col min="6" max="6" width="7.796875" style="174" bestFit="1" customWidth="1"/>
    <col min="7" max="7" width="17.5" style="240" customWidth="1"/>
    <col min="8" max="8" width="17.5" style="240" customWidth="1" outlineLevel="1"/>
    <col min="9" max="9" width="17.5" style="174" customWidth="1"/>
    <col min="10" max="13" width="17.5" style="240" customWidth="1"/>
    <col min="14" max="16384" width="10.69921875" style="238"/>
  </cols>
  <sheetData>
    <row r="1" spans="2:13" outlineLevel="1">
      <c r="B1" s="244" cm="1">
        <f t="array" ref="B1">COLUMN()-COLUMN(($A:$A))</f>
        <v>1</v>
      </c>
      <c r="C1" s="237" cm="1">
        <f t="array" ref="C1">COLUMN()-COLUMN(($A:$A))</f>
        <v>2</v>
      </c>
      <c r="D1" s="237" cm="1">
        <f t="array" ref="D1">COLUMN()-COLUMN(($A:$A))</f>
        <v>3</v>
      </c>
      <c r="F1" s="237" cm="1">
        <f t="array" ref="F1">COLUMN()-COLUMN(($E:$E))</f>
        <v>1</v>
      </c>
      <c r="G1" s="237" cm="1">
        <f t="array" ref="G1">COLUMN()-COLUMN(($E:$E))</f>
        <v>2</v>
      </c>
      <c r="H1" s="237" cm="1">
        <f t="array" ref="H1">COLUMN()-COLUMN(($E:$E))</f>
        <v>3</v>
      </c>
      <c r="I1" s="237" cm="1">
        <f t="array" ref="I1">COLUMN()-COLUMN(($E:$E))</f>
        <v>4</v>
      </c>
      <c r="J1" s="237" cm="1">
        <f t="array" ref="J1">COLUMN()-COLUMN(($E:$E))</f>
        <v>5</v>
      </c>
      <c r="K1" s="237" cm="1">
        <f t="array" ref="K1">COLUMN()-COLUMN(($E:$E))</f>
        <v>6</v>
      </c>
      <c r="L1" s="237" cm="1">
        <f t="array" ref="L1">COLUMN()-COLUMN(($E:$E))</f>
        <v>7</v>
      </c>
      <c r="M1" s="237" cm="1">
        <f t="array" ref="M1">COLUMN()-COLUMN(($E:$E))</f>
        <v>8</v>
      </c>
    </row>
    <row r="2" spans="2:13" s="174" customFormat="1" ht="30" customHeight="1" outlineLevel="1">
      <c r="B2" s="238"/>
      <c r="D2" s="239">
        <v>2</v>
      </c>
      <c r="G2" s="239">
        <v>10</v>
      </c>
      <c r="H2" s="239">
        <v>5</v>
      </c>
      <c r="I2" s="239">
        <v>3</v>
      </c>
      <c r="J2" s="239">
        <v>7</v>
      </c>
      <c r="K2" s="239">
        <v>8</v>
      </c>
      <c r="L2" s="239">
        <v>9</v>
      </c>
      <c r="M2" s="239">
        <v>6</v>
      </c>
    </row>
    <row r="3" spans="2:13">
      <c r="G3" s="242"/>
      <c r="H3" s="241"/>
      <c r="J3" s="242"/>
      <c r="K3" s="242"/>
      <c r="L3" s="242"/>
      <c r="M3" s="241"/>
    </row>
    <row r="4" spans="2:13" s="174" customFormat="1">
      <c r="B4" s="253" t="s">
        <v>698</v>
      </c>
      <c r="C4" s="246" t="s">
        <v>735</v>
      </c>
      <c r="D4" s="243" t="s">
        <v>692</v>
      </c>
      <c r="F4" s="243" t="s">
        <v>693</v>
      </c>
      <c r="G4" s="243" t="s">
        <v>736</v>
      </c>
      <c r="H4" s="243" t="s">
        <v>694</v>
      </c>
      <c r="I4" s="243" t="s">
        <v>737</v>
      </c>
      <c r="J4" s="243" t="s">
        <v>738</v>
      </c>
      <c r="K4" s="243" t="s">
        <v>739</v>
      </c>
      <c r="L4" s="243" t="s">
        <v>740</v>
      </c>
      <c r="M4" s="243" t="s">
        <v>695</v>
      </c>
    </row>
    <row r="5" spans="2:13">
      <c r="B5" s="245" t="s">
        <v>427</v>
      </c>
      <c r="C5" s="21">
        <f xml:space="preserve"> MATCH(B5, 十五音韻母清單!$K$6:$K$105,0)</f>
        <v>55</v>
      </c>
      <c r="D5" s="21" cm="1">
        <f t="array" ref="D5" xml:space="preserve"> INDEX(十五音韻母清單!$B$6:$K$105, $C5, D$2)</f>
        <v>28</v>
      </c>
      <c r="F5" s="21">
        <v>1</v>
      </c>
      <c r="G5" s="23" t="str" cm="1">
        <f t="array" ref="G5" xml:space="preserve"> INDEX(十五音韻母清單!$B$6:$K$105, $C5, G$2)</f>
        <v>ㄚ</v>
      </c>
      <c r="H5" s="23" t="str" cm="1">
        <f t="array" ref="H5" xml:space="preserve"> INDEX(十五音韻母清單!$B$6:$K$105, $C5, H$2)</f>
        <v>a</v>
      </c>
      <c r="I5" s="21" t="str" cm="1">
        <f t="array" ref="I5" xml:space="preserve"> INDEX(十五音韻母清單!$B$6:$K$105, $C5, I$2)</f>
        <v>膠</v>
      </c>
      <c r="J5" s="23" t="str" cm="1">
        <f t="array" ref="J5" xml:space="preserve"> INDEX(十五音韻母清單!$B$6:$K$105, 方音韻母排序!$C5,方音韻母排序!J$2)</f>
        <v>a</v>
      </c>
      <c r="K5" s="23" t="str" cm="1">
        <f t="array" ref="K5" xml:space="preserve"> INDEX(十五音韻母清單!$B$6:$K$105, 方音韻母排序!$C5,方音韻母排序!K$2)</f>
        <v>a</v>
      </c>
      <c r="L5" s="23" t="str" cm="1">
        <f t="array" ref="L5" xml:space="preserve"> INDEX(十五音韻母清單!$B$6:$K$105, 方音韻母排序!$C5,方音韻母排序!L$2)</f>
        <v>a</v>
      </c>
      <c r="M5" s="23" t="str" cm="1">
        <f t="array" ref="M5" xml:space="preserve"> INDEX(十五音韻母清單!$B$6:$K$105, 方音韻母排序!$C5,方音韻母排序!M$2)</f>
        <v>a</v>
      </c>
    </row>
    <row r="6" spans="2:13">
      <c r="B6" s="245" t="s">
        <v>408</v>
      </c>
      <c r="C6" s="21">
        <f xml:space="preserve"> MATCH(B6, 十五音韻母清單!$K$6:$K$105,0)</f>
        <v>51</v>
      </c>
      <c r="D6" s="21" cm="1">
        <f t="array" ref="D6" xml:space="preserve"> INDEX(十五音韻母清單!$B$6:$K$105, $C6, D$2)</f>
        <v>26</v>
      </c>
      <c r="F6" s="21">
        <v>2</v>
      </c>
      <c r="G6" s="23" t="str" cm="1">
        <f t="array" ref="G6" xml:space="preserve"> INDEX(十五音韻母清單!$B$6:$K$105, $C6, G$2)</f>
        <v>ㆩ</v>
      </c>
      <c r="H6" s="23" t="str" cm="1">
        <f t="array" ref="H6" xml:space="preserve"> INDEX(十五音韻母清單!$B$6:$K$105, $C6, H$2)</f>
        <v>ann</v>
      </c>
      <c r="I6" s="21" t="str" cm="1">
        <f t="array" ref="I6" xml:space="preserve"> INDEX(十五音韻母清單!$B$6:$K$105, $C6, I$2)</f>
        <v>監</v>
      </c>
      <c r="J6" s="23" t="str" cm="1">
        <f t="array" ref="J6" xml:space="preserve"> INDEX(十五音韻母清單!$B$6:$K$105, 方音韻母排序!$C6,方音韻母排序!J$2)</f>
        <v>aⁿ</v>
      </c>
      <c r="K6" s="23" t="str" cm="1">
        <f t="array" ref="K6" xml:space="preserve"> INDEX(十五音韻母清單!$B$6:$K$105, 方音韻母排序!$C6,方音韻母排序!K$2)</f>
        <v>ann</v>
      </c>
      <c r="L6" s="23" t="str" cm="1">
        <f t="array" ref="L6" xml:space="preserve"> INDEX(十五音韻母清單!$B$6:$K$105, 方音韻母排序!$C6,方音韻母排序!L$2)</f>
        <v>na</v>
      </c>
      <c r="M6" s="23" t="str" cm="1">
        <f t="array" ref="M6" xml:space="preserve"> INDEX(十五音韻母清單!$B$6:$K$105, 方音韻母排序!$C6,方音韻母排序!M$2)</f>
        <v>ã</v>
      </c>
    </row>
    <row r="7" spans="2:13">
      <c r="B7" s="245" t="s">
        <v>428</v>
      </c>
      <c r="C7" s="21">
        <f xml:space="preserve"> MATCH(B7, 十五音韻母清單!$K$6:$K$105,0)</f>
        <v>56</v>
      </c>
      <c r="D7" s="21" cm="1">
        <f t="array" ref="D7" xml:space="preserve"> INDEX(十五音韻母清單!$B$6:$K$105, $C7, D$2)</f>
        <v>28</v>
      </c>
      <c r="F7" s="21">
        <v>3</v>
      </c>
      <c r="G7" s="23" t="str" cm="1">
        <f t="array" ref="G7" xml:space="preserve"> INDEX(十五音韻母清單!$B$6:$K$105, $C7, G$2)</f>
        <v>ㄚㆷ</v>
      </c>
      <c r="H7" s="23" t="str" cm="1">
        <f t="array" ref="H7" xml:space="preserve"> INDEX(十五音韻母清單!$B$6:$K$105, $C7, H$2)</f>
        <v>ah</v>
      </c>
      <c r="I7" s="21" t="str" cm="1">
        <f t="array" ref="I7" xml:space="preserve"> INDEX(十五音韻母清單!$B$6:$K$105, $C7, I$2)</f>
        <v>膠</v>
      </c>
      <c r="J7" s="23" t="str" cm="1">
        <f t="array" ref="J7" xml:space="preserve"> INDEX(十五音韻母清單!$B$6:$K$105, 方音韻母排序!$C7,方音韻母排序!J$2)</f>
        <v>ah</v>
      </c>
      <c r="K7" s="23" t="str" cm="1">
        <f t="array" ref="K7" xml:space="preserve"> INDEX(十五音韻母清單!$B$6:$K$105, 方音韻母排序!$C7,方音韻母排序!K$2)</f>
        <v>ah</v>
      </c>
      <c r="L7" s="23" t="str" cm="1">
        <f t="array" ref="L7" xml:space="preserve"> INDEX(十五音韻母清單!$B$6:$K$105, 方音韻母排序!$C7,方音韻母排序!L$2)</f>
        <v>ah</v>
      </c>
      <c r="M7" s="23" t="str" cm="1">
        <f t="array" ref="M7" xml:space="preserve"> INDEX(十五音韻母清單!$B$6:$K$105, 方音韻母排序!$C7,方音韻母排序!M$2)</f>
        <v>a?</v>
      </c>
    </row>
    <row r="8" spans="2:13">
      <c r="B8" s="245" t="s">
        <v>409</v>
      </c>
      <c r="C8" s="21">
        <f xml:space="preserve"> MATCH(B8, 十五音韻母清單!$K$6:$K$105,0)</f>
        <v>52</v>
      </c>
      <c r="D8" s="21" cm="1">
        <f t="array" ref="D8" xml:space="preserve"> INDEX(十五音韻母清單!$B$6:$K$105, $C8, D$2)</f>
        <v>26</v>
      </c>
      <c r="F8" s="21">
        <v>4</v>
      </c>
      <c r="G8" s="23" t="str" cm="1">
        <f t="array" ref="G8" xml:space="preserve"> INDEX(十五音韻母清單!$B$6:$K$105, $C8, G$2)</f>
        <v>ㆩㆷ</v>
      </c>
      <c r="H8" s="23" t="str" cm="1">
        <f t="array" ref="H8" xml:space="preserve"> INDEX(十五音韻母清單!$B$6:$K$105, $C8, H$2)</f>
        <v>annh</v>
      </c>
      <c r="I8" s="21" t="str" cm="1">
        <f t="array" ref="I8" xml:space="preserve"> INDEX(十五音韻母清單!$B$6:$K$105, $C8, I$2)</f>
        <v>監</v>
      </c>
      <c r="J8" s="23" t="str" cm="1">
        <f t="array" ref="J8" xml:space="preserve"> INDEX(十五音韻母清單!$B$6:$K$105, 方音韻母排序!$C8,方音韻母排序!J$2)</f>
        <v>ahⁿ</v>
      </c>
      <c r="K8" s="23" t="str" cm="1">
        <f t="array" ref="K8" xml:space="preserve"> INDEX(十五音韻母清單!$B$6:$K$105, 方音韻母排序!$C8,方音韻母排序!K$2)</f>
        <v>annh</v>
      </c>
      <c r="L8" s="23" t="str" cm="1">
        <f t="array" ref="L8" xml:space="preserve"> INDEX(十五音韻母清單!$B$6:$K$105, 方音韻母排序!$C8,方音韻母排序!L$2)</f>
        <v>nah</v>
      </c>
      <c r="M8" s="23" t="str" cm="1">
        <f t="array" ref="M8" xml:space="preserve"> INDEX(十五音韻母清單!$B$6:$K$105, 方音韻母排序!$C8,方音韻母排序!M$2)</f>
        <v>ã?</v>
      </c>
    </row>
    <row r="9" spans="2:13">
      <c r="B9" s="245" t="s">
        <v>336</v>
      </c>
      <c r="C9" s="21">
        <f xml:space="preserve"> MATCH(B9, 十五音韻母清單!$K$6:$K$105,0)</f>
        <v>37</v>
      </c>
      <c r="D9" s="21" cm="1">
        <f t="array" ref="D9" xml:space="preserve"> INDEX(十五音韻母清單!$B$6:$K$105, $C9, D$2)</f>
        <v>19</v>
      </c>
      <c r="F9" s="21">
        <v>5</v>
      </c>
      <c r="G9" s="23" t="str" cm="1">
        <f t="array" ref="G9" xml:space="preserve"> INDEX(十五音韻母清單!$B$6:$K$105, $C9, G$2)</f>
        <v>ㆰ</v>
      </c>
      <c r="H9" s="23" t="str" cm="1">
        <f t="array" ref="H9" xml:space="preserve"> INDEX(十五音韻母清單!$B$6:$K$105, $C9, H$2)</f>
        <v>am</v>
      </c>
      <c r="I9" s="21" t="str" cm="1">
        <f t="array" ref="I9" xml:space="preserve"> INDEX(十五音韻母清單!$B$6:$K$105, $C9, I$2)</f>
        <v>甘</v>
      </c>
      <c r="J9" s="23" t="str" cm="1">
        <f t="array" ref="J9" xml:space="preserve"> INDEX(十五音韻母清單!$B$6:$K$105, 方音韻母排序!$C9,方音韻母排序!J$2)</f>
        <v>am</v>
      </c>
      <c r="K9" s="23" t="str" cm="1">
        <f t="array" ref="K9" xml:space="preserve"> INDEX(十五音韻母清單!$B$6:$K$105, 方音韻母排序!$C9,方音韻母排序!K$2)</f>
        <v>am</v>
      </c>
      <c r="L9" s="23" t="str" cm="1">
        <f t="array" ref="L9" xml:space="preserve"> INDEX(十五音韻母清單!$B$6:$K$105, 方音韻母排序!$C9,方音韻母排序!L$2)</f>
        <v>am</v>
      </c>
      <c r="M9" s="23" t="str" cm="1">
        <f t="array" ref="M9" xml:space="preserve"> INDEX(十五音韻母清單!$B$6:$K$105, 方音韻母排序!$C9,方音韻母排序!M$2)</f>
        <v>am</v>
      </c>
    </row>
    <row r="10" spans="2:13">
      <c r="B10" s="245" t="s">
        <v>207</v>
      </c>
      <c r="C10" s="21">
        <f xml:space="preserve"> MATCH(B10, 十五音韻母清單!$K$6:$K$105,0)</f>
        <v>11</v>
      </c>
      <c r="D10" s="21" cm="1">
        <f t="array" ref="D10" xml:space="preserve"> INDEX(十五音韻母清單!$B$6:$K$105, $C10, D$2)</f>
        <v>6</v>
      </c>
      <c r="F10" s="21">
        <v>6</v>
      </c>
      <c r="G10" s="23" t="str" cm="1">
        <f t="array" ref="G10" xml:space="preserve"> INDEX(十五音韻母清單!$B$6:$K$105, $C10, G$2)</f>
        <v>ㄢ</v>
      </c>
      <c r="H10" s="23" t="str" cm="1">
        <f t="array" ref="H10" xml:space="preserve"> INDEX(十五音韻母清單!$B$6:$K$105, $C10, H$2)</f>
        <v>an</v>
      </c>
      <c r="I10" s="21" t="str" cm="1">
        <f t="array" ref="I10" xml:space="preserve"> INDEX(十五音韻母清單!$B$6:$K$105, $C10, I$2)</f>
        <v>干</v>
      </c>
      <c r="J10" s="23" t="str" cm="1">
        <f t="array" ref="J10" xml:space="preserve"> INDEX(十五音韻母清單!$B$6:$K$105, 方音韻母排序!$C10,方音韻母排序!J$2)</f>
        <v>an</v>
      </c>
      <c r="K10" s="23" t="str" cm="1">
        <f t="array" ref="K10" xml:space="preserve"> INDEX(十五音韻母清單!$B$6:$K$105, 方音韻母排序!$C10,方音韻母排序!K$2)</f>
        <v>an</v>
      </c>
      <c r="L10" s="23" t="str" cm="1">
        <f t="array" ref="L10" xml:space="preserve"> INDEX(十五音韻母清單!$B$6:$K$105, 方音韻母排序!$C10,方音韻母排序!L$2)</f>
        <v>an</v>
      </c>
      <c r="M10" s="23" t="str" cm="1">
        <f t="array" ref="M10" xml:space="preserve"> INDEX(十五音韻母清單!$B$6:$K$105, 方音韻母排序!$C10,方音韻母排序!M$2)</f>
        <v>an</v>
      </c>
    </row>
    <row r="11" spans="2:13">
      <c r="B11" s="245" t="s">
        <v>355</v>
      </c>
      <c r="C11" s="21">
        <f xml:space="preserve"> MATCH(B11, 十五音韻母清單!$K$6:$K$105,0)</f>
        <v>41</v>
      </c>
      <c r="D11" s="21" cm="1">
        <f t="array" ref="D11" xml:space="preserve"> INDEX(十五音韻母清單!$B$6:$K$105, $C11, D$2)</f>
        <v>21</v>
      </c>
      <c r="F11" s="21">
        <v>7</v>
      </c>
      <c r="G11" s="23" t="str" cm="1">
        <f t="array" ref="G11" xml:space="preserve"> INDEX(十五音韻母清單!$B$6:$K$105, $C11, G$2)</f>
        <v>ㄤ</v>
      </c>
      <c r="H11" s="23" t="str" cm="1">
        <f t="array" ref="H11" xml:space="preserve"> INDEX(十五音韻母清單!$B$6:$K$105, $C11, H$2)</f>
        <v>ang</v>
      </c>
      <c r="I11" s="21" t="str" cm="1">
        <f t="array" ref="I11" xml:space="preserve"> INDEX(十五音韻母清單!$B$6:$K$105, $C11, I$2)</f>
        <v>江</v>
      </c>
      <c r="J11" s="23" t="str" cm="1">
        <f t="array" ref="J11" xml:space="preserve"> INDEX(十五音韻母清單!$B$6:$K$105, 方音韻母排序!$C11,方音韻母排序!J$2)</f>
        <v>ang</v>
      </c>
      <c r="K11" s="23" t="str" cm="1">
        <f t="array" ref="K11" xml:space="preserve"> INDEX(十五音韻母清單!$B$6:$K$105, 方音韻母排序!$C11,方音韻母排序!K$2)</f>
        <v>ang</v>
      </c>
      <c r="L11" s="23" t="str" cm="1">
        <f t="array" ref="L11" xml:space="preserve"> INDEX(十五音韻母清單!$B$6:$K$105, 方音韻母排序!$C11,方音韻母排序!L$2)</f>
        <v>ang</v>
      </c>
      <c r="M11" s="23" t="str" cm="1">
        <f t="array" ref="M11" xml:space="preserve"> INDEX(十五音韻母清單!$B$6:$K$105, 方音韻母排序!$C11,方音韻母排序!M$2)</f>
        <v>aŋ</v>
      </c>
    </row>
    <row r="12" spans="2:13">
      <c r="B12" s="245" t="s">
        <v>337</v>
      </c>
      <c r="C12" s="21">
        <f xml:space="preserve"> MATCH(B12, 十五音韻母清單!$K$6:$K$105,0)</f>
        <v>38</v>
      </c>
      <c r="D12" s="21" cm="1">
        <f t="array" ref="D12" xml:space="preserve"> INDEX(十五音韻母清單!$B$6:$K$105, $C12, D$2)</f>
        <v>19</v>
      </c>
      <c r="F12" s="21">
        <v>8</v>
      </c>
      <c r="G12" s="23" t="str" cm="1">
        <f t="array" ref="G12" xml:space="preserve"> INDEX(十五音韻母清單!$B$6:$K$105, $C12, G$2)</f>
        <v>ㄚㆴ</v>
      </c>
      <c r="H12" s="23" t="str" cm="1">
        <f t="array" ref="H12" xml:space="preserve"> INDEX(十五音韻母清單!$B$6:$K$105, $C12, H$2)</f>
        <v>ap</v>
      </c>
      <c r="I12" s="21" t="str" cm="1">
        <f t="array" ref="I12" xml:space="preserve"> INDEX(十五音韻母清單!$B$6:$K$105, $C12, I$2)</f>
        <v>甘</v>
      </c>
      <c r="J12" s="23" t="str" cm="1">
        <f t="array" ref="J12" xml:space="preserve"> INDEX(十五音韻母清單!$B$6:$K$105, 方音韻母排序!$C12,方音韻母排序!J$2)</f>
        <v>ap</v>
      </c>
      <c r="K12" s="23" t="str" cm="1">
        <f t="array" ref="K12" xml:space="preserve"> INDEX(十五音韻母清單!$B$6:$K$105, 方音韻母排序!$C12,方音韻母排序!K$2)</f>
        <v>ap</v>
      </c>
      <c r="L12" s="23" t="str" cm="1">
        <f t="array" ref="L12" xml:space="preserve"> INDEX(十五音韻母清單!$B$6:$K$105, 方音韻母排序!$C12,方音韻母排序!L$2)</f>
        <v>ap</v>
      </c>
      <c r="M12" s="23" t="str" cm="1">
        <f t="array" ref="M12" xml:space="preserve"> INDEX(十五音韻母清單!$B$6:$K$105, 方音韻母排序!$C12,方音韻母排序!M$2)</f>
        <v>ap̚</v>
      </c>
    </row>
    <row r="13" spans="2:13">
      <c r="B13" s="245" t="s">
        <v>208</v>
      </c>
      <c r="C13" s="21">
        <f xml:space="preserve"> MATCH(B13, 十五音韻母清單!$K$6:$K$105,0)</f>
        <v>12</v>
      </c>
      <c r="D13" s="21" cm="1">
        <f t="array" ref="D13" xml:space="preserve"> INDEX(十五音韻母清單!$B$6:$K$105, $C13, D$2)</f>
        <v>6</v>
      </c>
      <c r="F13" s="21">
        <v>9</v>
      </c>
      <c r="G13" s="23" t="str" cm="1">
        <f t="array" ref="G13" xml:space="preserve"> INDEX(十五音韻母清單!$B$6:$K$105, $C13, G$2)</f>
        <v>ㄚㆵ</v>
      </c>
      <c r="H13" s="23" t="str" cm="1">
        <f t="array" ref="H13" xml:space="preserve"> INDEX(十五音韻母清單!$B$6:$K$105, $C13, H$2)</f>
        <v>ap</v>
      </c>
      <c r="I13" s="21" t="str" cm="1">
        <f t="array" ref="I13" xml:space="preserve"> INDEX(十五音韻母清單!$B$6:$K$105, $C13, I$2)</f>
        <v>干</v>
      </c>
      <c r="J13" s="23" t="str" cm="1">
        <f t="array" ref="J13" xml:space="preserve"> INDEX(十五音韻母清單!$B$6:$K$105, 方音韻母排序!$C13,方音韻母排序!J$2)</f>
        <v>at</v>
      </c>
      <c r="K13" s="23" t="str" cm="1">
        <f t="array" ref="K13" xml:space="preserve"> INDEX(十五音韻母清單!$B$6:$K$105, 方音韻母排序!$C13,方音韻母排序!K$2)</f>
        <v>ap</v>
      </c>
      <c r="L13" s="23" t="str" cm="1">
        <f t="array" ref="L13" xml:space="preserve"> INDEX(十五音韻母清單!$B$6:$K$105, 方音韻母排序!$C13,方音韻母排序!L$2)</f>
        <v>at</v>
      </c>
      <c r="M13" s="23" t="str" cm="1">
        <f t="array" ref="M13" xml:space="preserve"> INDEX(十五音韻母清單!$B$6:$K$105, 方音韻母排序!$C13,方音韻母排序!M$2)</f>
        <v>at̚</v>
      </c>
    </row>
    <row r="14" spans="2:13">
      <c r="B14" s="249" t="s">
        <v>741</v>
      </c>
      <c r="C14" s="21">
        <f xml:space="preserve"> MATCH(B14, 十五音韻母清單!$K$6:$K$105,0)</f>
        <v>42</v>
      </c>
      <c r="D14" s="21" cm="1">
        <f t="array" ref="D14" xml:space="preserve"> INDEX(十五音韻母清單!$B$6:$K$105, $C14, D$2)</f>
        <v>21</v>
      </c>
      <c r="F14" s="21">
        <v>10</v>
      </c>
      <c r="G14" s="23" t="str" cm="1">
        <f t="array" ref="G14" xml:space="preserve"> INDEX(十五音韻母清單!$B$6:$K$105, $C14, G$2)</f>
        <v>ㄚㆻ</v>
      </c>
      <c r="H14" s="23" t="str" cm="1">
        <f t="array" ref="H14" xml:space="preserve"> INDEX(十五音韻母清單!$B$6:$K$105, $C14, H$2)</f>
        <v>ak</v>
      </c>
      <c r="I14" s="21" t="str" cm="1">
        <f t="array" ref="I14" xml:space="preserve"> INDEX(十五音韻母清單!$B$6:$K$105, $C14, I$2)</f>
        <v>江</v>
      </c>
      <c r="J14" s="23" t="str" cm="1">
        <f t="array" ref="J14" xml:space="preserve"> INDEX(十五音韻母清單!$B$6:$K$105, 方音韻母排序!$C14,方音韻母排序!J$2)</f>
        <v>ak</v>
      </c>
      <c r="K14" s="23" t="str" cm="1">
        <f t="array" ref="K14" xml:space="preserve"> INDEX(十五音韻母清單!$B$6:$K$105, 方音韻母排序!$C14,方音韻母排序!K$2)</f>
        <v>ak</v>
      </c>
      <c r="L14" s="23" t="str" cm="1">
        <f t="array" ref="L14" xml:space="preserve"> INDEX(十五音韻母清單!$B$6:$K$105, 方音韻母排序!$C14,方音韻母排序!L$2)</f>
        <v>ak</v>
      </c>
      <c r="M14" s="23" t="str" cm="1">
        <f t="array" ref="M14" xml:space="preserve"> INDEX(十五音韻母清單!$B$6:$K$105, 方音韻母排序!$C14,方音韻母排序!M$2)</f>
        <v>ak̚</v>
      </c>
    </row>
    <row r="15" spans="2:13">
      <c r="B15" s="245" t="s">
        <v>312</v>
      </c>
      <c r="C15" s="21">
        <f xml:space="preserve"> MATCH(B15, 十五音韻母清單!$K$6:$K$105,0)</f>
        <v>31</v>
      </c>
      <c r="D15" s="21" cm="1">
        <f t="array" ref="D15" xml:space="preserve"> INDEX(十五音韻母清單!$B$6:$K$105, $C15, D$2)</f>
        <v>16</v>
      </c>
      <c r="F15" s="21">
        <v>11</v>
      </c>
      <c r="G15" s="23" t="str" cm="1">
        <f t="array" ref="G15" xml:space="preserve"> INDEX(十五音韻母清單!$B$6:$K$105, $C15, G$2)</f>
        <v>ㄞ</v>
      </c>
      <c r="H15" s="23" t="str" cm="1">
        <f t="array" ref="H15" xml:space="preserve"> INDEX(十五音韻母清單!$B$6:$K$105, $C15, H$2)</f>
        <v>ai</v>
      </c>
      <c r="I15" s="21" t="str" cm="1">
        <f t="array" ref="I15" xml:space="preserve"> INDEX(十五音韻母清單!$B$6:$K$105, $C15, I$2)</f>
        <v>皆</v>
      </c>
      <c r="J15" s="23" t="str" cm="1">
        <f t="array" ref="J15" xml:space="preserve"> INDEX(十五音韻母清單!$B$6:$K$105, 方音韻母排序!$C15,方音韻母排序!J$2)</f>
        <v>ai</v>
      </c>
      <c r="K15" s="23" t="str" cm="1">
        <f t="array" ref="K15" xml:space="preserve"> INDEX(十五音韻母清單!$B$6:$K$105, 方音韻母排序!$C15,方音韻母排序!K$2)</f>
        <v>ai</v>
      </c>
      <c r="L15" s="23" t="str" cm="1">
        <f t="array" ref="L15" xml:space="preserve"> INDEX(十五音韻母清單!$B$6:$K$105, 方音韻母排序!$C15,方音韻母排序!L$2)</f>
        <v>ai</v>
      </c>
      <c r="M15" s="23" t="str" cm="1">
        <f t="array" ref="M15" xml:space="preserve"> INDEX(十五音韻母清單!$B$6:$K$105, 方音韻母排序!$C15,方音韻母排序!M$2)</f>
        <v>ai</v>
      </c>
    </row>
    <row r="16" spans="2:13">
      <c r="B16" s="245" t="s">
        <v>567</v>
      </c>
      <c r="C16" s="21">
        <f xml:space="preserve"> MATCH(B16, 十五音韻母清單!$K$6:$K$105,0)</f>
        <v>79</v>
      </c>
      <c r="D16" s="21" cm="1">
        <f t="array" ref="D16" xml:space="preserve"> INDEX(十五音韻母清單!$B$6:$K$105, $C16, D$2)</f>
        <v>40</v>
      </c>
      <c r="F16" s="21">
        <v>12</v>
      </c>
      <c r="G16" s="23" t="str" cm="1">
        <f t="array" ref="G16" xml:space="preserve"> INDEX(十五音韻母清單!$B$6:$K$105, $C16, G$2)</f>
        <v>ㆮ</v>
      </c>
      <c r="H16" s="23" t="str" cm="1">
        <f t="array" ref="H16" xml:space="preserve"> INDEX(十五音韻母清單!$B$6:$K$105, $C16, H$2)</f>
        <v>ainn</v>
      </c>
      <c r="I16" s="21" t="str" cm="1">
        <f t="array" ref="I16" xml:space="preserve"> INDEX(十五音韻母清單!$B$6:$K$105, $C16, I$2)</f>
        <v>閒</v>
      </c>
      <c r="J16" s="23" t="str" cm="1">
        <f t="array" ref="J16" xml:space="preserve"> INDEX(十五音韻母清單!$B$6:$K$105, 方音韻母排序!$C16,方音韻母排序!J$2)</f>
        <v>aiⁿ</v>
      </c>
      <c r="K16" s="23" t="str" cm="1">
        <f t="array" ref="K16" xml:space="preserve"> INDEX(十五音韻母清單!$B$6:$K$105, 方音韻母排序!$C16,方音韻母排序!K$2)</f>
        <v>ainn</v>
      </c>
      <c r="L16" s="23" t="str" cm="1">
        <f t="array" ref="L16" xml:space="preserve"> INDEX(十五音韻母清單!$B$6:$K$105, 方音韻母排序!$C16,方音韻母排序!L$2)</f>
        <v>nai</v>
      </c>
      <c r="M16" s="23" t="str" cm="1">
        <f t="array" ref="M16" xml:space="preserve"> INDEX(十五音韻母清單!$B$6:$K$105, 方音韻母排序!$C16,方音韻母排序!M$2)</f>
        <v>ãĩ</v>
      </c>
    </row>
    <row r="17" spans="2:13">
      <c r="B17" s="245" t="s">
        <v>313</v>
      </c>
      <c r="C17" s="21">
        <f xml:space="preserve"> MATCH(B17, 十五音韻母清單!$K$6:$K$105,0)</f>
        <v>32</v>
      </c>
      <c r="D17" s="21" cm="1">
        <f t="array" ref="D17" xml:space="preserve"> INDEX(十五音韻母清單!$B$6:$K$105, $C17, D$2)</f>
        <v>16</v>
      </c>
      <c r="F17" s="21">
        <v>13</v>
      </c>
      <c r="G17" s="23" t="str" cm="1">
        <f t="array" ref="G17" xml:space="preserve"> INDEX(十五音韻母清單!$B$6:$K$105, $C17, G$2)</f>
        <v>ㄞㆷ</v>
      </c>
      <c r="H17" s="23" t="str" cm="1">
        <f t="array" ref="H17" xml:space="preserve"> INDEX(十五音韻母清單!$B$6:$K$105, $C17, H$2)</f>
        <v>aih</v>
      </c>
      <c r="I17" s="21" t="str" cm="1">
        <f t="array" ref="I17" xml:space="preserve"> INDEX(十五音韻母清單!$B$6:$K$105, $C17, I$2)</f>
        <v>皆</v>
      </c>
      <c r="J17" s="23" t="str" cm="1">
        <f t="array" ref="J17" xml:space="preserve"> INDEX(十五音韻母清單!$B$6:$K$105, 方音韻母排序!$C17,方音韻母排序!J$2)</f>
        <v>aih</v>
      </c>
      <c r="K17" s="23" t="str" cm="1">
        <f t="array" ref="K17" xml:space="preserve"> INDEX(十五音韻母清單!$B$6:$K$105, 方音韻母排序!$C17,方音韻母排序!K$2)</f>
        <v>aih</v>
      </c>
      <c r="L17" s="23" t="str" cm="1">
        <f t="array" ref="L17" xml:space="preserve"> INDEX(十五音韻母清單!$B$6:$K$105, 方音韻母排序!$C17,方音韻母排序!L$2)</f>
        <v>aih</v>
      </c>
      <c r="M17" s="23" t="str" cm="1">
        <f t="array" ref="M17" xml:space="preserve"> INDEX(十五音韻母清單!$B$6:$K$105, 方音韻母排序!$C17,方音韻母排序!M$2)</f>
        <v>ai?</v>
      </c>
    </row>
    <row r="18" spans="2:13">
      <c r="B18" s="245" t="s">
        <v>374</v>
      </c>
      <c r="C18" s="21">
        <f xml:space="preserve"> MATCH(B18, 十五音韻母清單!$K$6:$K$105,0)</f>
        <v>45</v>
      </c>
      <c r="D18" s="21" cm="1">
        <f t="array" ref="D18" xml:space="preserve"> INDEX(十五音韻母清單!$B$6:$K$105, $C18, D$2)</f>
        <v>23</v>
      </c>
      <c r="F18" s="21">
        <v>14</v>
      </c>
      <c r="G18" s="23" t="str" cm="1">
        <f t="array" ref="G18" xml:space="preserve"> INDEX(十五音韻母清單!$B$6:$K$105, $C18, G$2)</f>
        <v>ㄠ</v>
      </c>
      <c r="H18" s="23" t="str" cm="1">
        <f t="array" ref="H18" xml:space="preserve"> INDEX(十五音韻母清單!$B$6:$K$105, $C18, H$2)</f>
        <v>au</v>
      </c>
      <c r="I18" s="21" t="str" cm="1">
        <f t="array" ref="I18" xml:space="preserve"> INDEX(十五音韻母清單!$B$6:$K$105, $C18, I$2)</f>
        <v>交</v>
      </c>
      <c r="J18" s="23" t="str" cm="1">
        <f t="array" ref="J18" xml:space="preserve"> INDEX(十五音韻母清單!$B$6:$K$105, 方音韻母排序!$C18,方音韻母排序!J$2)</f>
        <v>au</v>
      </c>
      <c r="K18" s="23" t="str" cm="1">
        <f t="array" ref="K18" xml:space="preserve"> INDEX(十五音韻母清單!$B$6:$K$105, 方音韻母排序!$C18,方音韻母排序!K$2)</f>
        <v>au</v>
      </c>
      <c r="L18" s="23" t="str" cm="1">
        <f t="array" ref="L18" xml:space="preserve"> INDEX(十五音韻母清單!$B$6:$K$105, 方音韻母排序!$C18,方音韻母排序!L$2)</f>
        <v>ao</v>
      </c>
      <c r="M18" s="23" t="str" cm="1">
        <f t="array" ref="M18" xml:space="preserve"> INDEX(十五音韻母清單!$B$6:$K$105, 方音韻母排序!$C18,方音韻母排序!M$2)</f>
        <v>aʊ</v>
      </c>
    </row>
    <row r="19" spans="2:13">
      <c r="B19" s="245" t="s">
        <v>375</v>
      </c>
      <c r="C19" s="21">
        <f xml:space="preserve"> MATCH(B19, 十五音韻母清單!$K$6:$K$105,0)</f>
        <v>46</v>
      </c>
      <c r="D19" s="21" cm="1">
        <f t="array" ref="D19" xml:space="preserve"> INDEX(十五音韻母清單!$B$6:$K$105, $C19, D$2)</f>
        <v>23</v>
      </c>
      <c r="F19" s="21">
        <v>15</v>
      </c>
      <c r="G19" s="23" t="str" cm="1">
        <f t="array" ref="G19" xml:space="preserve"> INDEX(十五音韻母清單!$B$6:$K$105, $C19, G$2)</f>
        <v>ㄠㆷ</v>
      </c>
      <c r="H19" s="23" t="str" cm="1">
        <f t="array" ref="H19" xml:space="preserve"> INDEX(十五音韻母清單!$B$6:$K$105, $C19, H$2)</f>
        <v>auh</v>
      </c>
      <c r="I19" s="21" t="str" cm="1">
        <f t="array" ref="I19" xml:space="preserve"> INDEX(十五音韻母清單!$B$6:$K$105, $C19, I$2)</f>
        <v>交</v>
      </c>
      <c r="J19" s="23" t="str" cm="1">
        <f t="array" ref="J19" xml:space="preserve"> INDEX(十五音韻母清單!$B$6:$K$105, 方音韻母排序!$C19,方音韻母排序!J$2)</f>
        <v>auh</v>
      </c>
      <c r="K19" s="23" t="str" cm="1">
        <f t="array" ref="K19" xml:space="preserve"> INDEX(十五音韻母清單!$B$6:$K$105, 方音韻母排序!$C19,方音韻母排序!K$2)</f>
        <v>auh</v>
      </c>
      <c r="L19" s="23" t="str" cm="1">
        <f t="array" ref="L19" xml:space="preserve"> INDEX(十五音韻母清單!$B$6:$K$105, 方音韻母排序!$C19,方音韻母排序!L$2)</f>
        <v>aoh</v>
      </c>
      <c r="M19" s="23" t="str" cm="1">
        <f t="array" ref="M19" xml:space="preserve"> INDEX(十五音韻母清單!$B$6:$K$105, 方音韻母排序!$C19,方音韻母排序!M$2)</f>
        <v>au?</v>
      </c>
    </row>
    <row r="20" spans="2:13">
      <c r="B20" s="245" t="s">
        <v>555</v>
      </c>
      <c r="C20" s="21">
        <f xml:space="preserve"> MATCH(B20, 十五音韻母清單!$K$6:$K$105,0)</f>
        <v>77</v>
      </c>
      <c r="D20" s="21" cm="1">
        <f t="array" ref="D20" xml:space="preserve"> INDEX(十五音韻母清單!$B$6:$K$105, $C20, D$2)</f>
        <v>39</v>
      </c>
      <c r="F20" s="21">
        <v>16</v>
      </c>
      <c r="G20" s="23" t="str" cm="1">
        <f t="array" ref="G20" xml:space="preserve"> INDEX(十五音韻母清單!$B$6:$K$105, $C20, G$2)</f>
        <v>ㆤ</v>
      </c>
      <c r="H20" s="23" t="str" cm="1">
        <f t="array" ref="H20" xml:space="preserve"> INDEX(十五音韻母清單!$B$6:$K$105, $C20, H$2)</f>
        <v>e</v>
      </c>
      <c r="I20" s="21" t="str" cm="1">
        <f t="array" ref="I20" xml:space="preserve"> INDEX(十五音韻母清單!$B$6:$K$105, $C20, I$2)</f>
        <v>伽</v>
      </c>
      <c r="J20" s="23" t="str" cm="1">
        <f t="array" ref="J20" xml:space="preserve"> INDEX(十五音韻母清單!$B$6:$K$105, 方音韻母排序!$C20,方音韻母排序!J$2)</f>
        <v>e</v>
      </c>
      <c r="K20" s="23" t="str" cm="1">
        <f t="array" ref="K20" xml:space="preserve"> INDEX(十五音韻母清單!$B$6:$K$105, 方音韻母排序!$C20,方音韻母排序!K$2)</f>
        <v>e</v>
      </c>
      <c r="L20" s="23" t="str" cm="1">
        <f t="array" ref="L20" xml:space="preserve"> INDEX(十五音韻母清單!$B$6:$K$105, 方音韻母排序!$C20,方音韻母排序!L$2)</f>
        <v>e</v>
      </c>
      <c r="M20" s="23" t="str" cm="1">
        <f t="array" ref="M20" xml:space="preserve"> INDEX(十五音韻母清單!$B$6:$K$105, 方音韻母排序!$C20,方音韻母排序!M$2)</f>
        <v>e</v>
      </c>
    </row>
    <row r="21" spans="2:13">
      <c r="B21" s="245" t="s">
        <v>457</v>
      </c>
      <c r="C21" s="21">
        <f xml:space="preserve"> MATCH(B21, 十五音韻母清單!$K$6:$K$105,0)</f>
        <v>61</v>
      </c>
      <c r="D21" s="21" cm="1">
        <f t="array" ref="D21" xml:space="preserve"> INDEX(十五音韻母清單!$B$6:$K$105, $C21, D$2)</f>
        <v>31</v>
      </c>
      <c r="F21" s="21">
        <v>17</v>
      </c>
      <c r="G21" s="23" t="str" cm="1">
        <f t="array" ref="G21" xml:space="preserve"> INDEX(十五音韻母清單!$B$6:$K$105, $C21, G$2)</f>
        <v>ㆥ</v>
      </c>
      <c r="H21" s="23" t="str" cm="1">
        <f t="array" ref="H21" xml:space="preserve"> INDEX(十五音韻母清單!$B$6:$K$105, $C21, H$2)</f>
        <v>enn</v>
      </c>
      <c r="I21" s="21" t="str" cm="1">
        <f t="array" ref="I21" xml:space="preserve"> INDEX(十五音韻母清單!$B$6:$K$105, $C21, I$2)</f>
        <v>更</v>
      </c>
      <c r="J21" s="23" t="str" cm="1">
        <f t="array" ref="J21" xml:space="preserve"> INDEX(十五音韻母清單!$B$6:$K$105, 方音韻母排序!$C21,方音韻母排序!J$2)</f>
        <v>eⁿ</v>
      </c>
      <c r="K21" s="23" t="str" cm="1">
        <f t="array" ref="K21" xml:space="preserve"> INDEX(十五音韻母清單!$B$6:$K$105, 方音韻母排序!$C21,方音韻母排序!K$2)</f>
        <v>enn</v>
      </c>
      <c r="L21" s="23" t="str" cm="1">
        <f t="array" ref="L21" xml:space="preserve"> INDEX(十五音韻母清單!$B$6:$K$105, 方音韻母排序!$C21,方音韻母排序!L$2)</f>
        <v>ne</v>
      </c>
      <c r="M21" s="23" t="str" cm="1">
        <f t="array" ref="M21" xml:space="preserve"> INDEX(十五音韻母清單!$B$6:$K$105, 方音韻母排序!$C21,方音韻母排序!M$2)</f>
        <v>ẽ</v>
      </c>
    </row>
    <row r="22" spans="2:13">
      <c r="B22" s="245" t="s">
        <v>556</v>
      </c>
      <c r="C22" s="21">
        <f xml:space="preserve"> MATCH(B22, 十五音韻母清單!$K$6:$K$105,0)</f>
        <v>78</v>
      </c>
      <c r="D22" s="21" cm="1">
        <f t="array" ref="D22" xml:space="preserve"> INDEX(十五音韻母清單!$B$6:$K$105, $C22, D$2)</f>
        <v>39</v>
      </c>
      <c r="F22" s="21">
        <v>18</v>
      </c>
      <c r="G22" s="23" t="str" cm="1">
        <f t="array" ref="G22" xml:space="preserve"> INDEX(十五音韻母清單!$B$6:$K$105, $C22, G$2)</f>
        <v>ㆤㆷ</v>
      </c>
      <c r="H22" s="23" t="str" cm="1">
        <f t="array" ref="H22" xml:space="preserve"> INDEX(十五音韻母清單!$B$6:$K$105, $C22, H$2)</f>
        <v>eh</v>
      </c>
      <c r="I22" s="21" t="str" cm="1">
        <f t="array" ref="I22" xml:space="preserve"> INDEX(十五音韻母清單!$B$6:$K$105, $C22, I$2)</f>
        <v>伽</v>
      </c>
      <c r="J22" s="23" t="str" cm="1">
        <f t="array" ref="J22" xml:space="preserve"> INDEX(十五音韻母清單!$B$6:$K$105, 方音韻母排序!$C22,方音韻母排序!J$2)</f>
        <v>eh</v>
      </c>
      <c r="K22" s="23" t="str" cm="1">
        <f t="array" ref="K22" xml:space="preserve"> INDEX(十五音韻母清單!$B$6:$K$105, 方音韻母排序!$C22,方音韻母排序!K$2)</f>
        <v>eh</v>
      </c>
      <c r="L22" s="23" t="str" cm="1">
        <f t="array" ref="L22" xml:space="preserve"> INDEX(十五音韻母清單!$B$6:$K$105, 方音韻母排序!$C22,方音韻母排序!L$2)</f>
        <v>eh</v>
      </c>
      <c r="M22" s="23" t="str" cm="1">
        <f t="array" ref="M22" xml:space="preserve"> INDEX(十五音韻母清單!$B$6:$K$105, 方音韻母排序!$C22,方音韻母排序!M$2)</f>
        <v>e?</v>
      </c>
    </row>
    <row r="23" spans="2:13">
      <c r="B23" s="245" t="s">
        <v>458</v>
      </c>
      <c r="C23" s="21">
        <f xml:space="preserve"> MATCH(B23, 十五音韻母清單!$K$6:$K$105,0)</f>
        <v>62</v>
      </c>
      <c r="D23" s="21" cm="1">
        <f t="array" ref="D23" xml:space="preserve"> INDEX(十五音韻母清單!$B$6:$K$105, $C23, D$2)</f>
        <v>31</v>
      </c>
      <c r="F23" s="21">
        <v>19</v>
      </c>
      <c r="G23" s="23" t="str" cm="1">
        <f t="array" ref="G23" xml:space="preserve"> INDEX(十五音韻母清單!$B$6:$K$105, $C23, G$2)</f>
        <v>ㆥㆷ</v>
      </c>
      <c r="H23" s="23" t="str" cm="1">
        <f t="array" ref="H23" xml:space="preserve"> INDEX(十五音韻母清單!$B$6:$K$105, $C23, H$2)</f>
        <v>ennh</v>
      </c>
      <c r="I23" s="21" t="str" cm="1">
        <f t="array" ref="I23" xml:space="preserve"> INDEX(十五音韻母清單!$B$6:$K$105, $C23, I$2)</f>
        <v>更</v>
      </c>
      <c r="J23" s="23" t="str" cm="1">
        <f t="array" ref="J23" xml:space="preserve"> INDEX(十五音韻母清單!$B$6:$K$105, 方音韻母排序!$C23,方音韻母排序!J$2)</f>
        <v>ehⁿ</v>
      </c>
      <c r="K23" s="23" t="str" cm="1">
        <f t="array" ref="K23" xml:space="preserve"> INDEX(十五音韻母清單!$B$6:$K$105, 方音韻母排序!$C23,方音韻母排序!K$2)</f>
        <v>ennh</v>
      </c>
      <c r="L23" s="23" t="str" cm="1">
        <f t="array" ref="L23" xml:space="preserve"> INDEX(十五音韻母清單!$B$6:$K$105, 方音韻母排序!$C23,方音韻母排序!L$2)</f>
        <v>neh</v>
      </c>
      <c r="M23" s="23" t="str" cm="1">
        <f t="array" ref="M23" xml:space="preserve"> INDEX(十五音韻母清單!$B$6:$K$105, 方音韻母排序!$C23,方音韻母排序!M$2)</f>
        <v>ẽ?</v>
      </c>
    </row>
    <row r="24" spans="2:13">
      <c r="B24" s="245" t="s">
        <v>435</v>
      </c>
      <c r="C24" s="21">
        <f xml:space="preserve"> MATCH(B24, 十五音韻母清單!$K$6:$K$105,0)</f>
        <v>57</v>
      </c>
      <c r="D24" s="21" cm="1">
        <f t="array" ref="D24" xml:space="preserve"> INDEX(十五音韻母清單!$B$6:$K$105, $C24, D$2)</f>
        <v>29</v>
      </c>
      <c r="F24" s="21">
        <v>20</v>
      </c>
      <c r="G24" s="23" t="str" cm="1">
        <f t="array" ref="G24" xml:space="preserve"> INDEX(十五音韻母清單!$B$6:$K$105, $C24, G$2)</f>
        <v>ㄧ</v>
      </c>
      <c r="H24" s="23" t="str" cm="1">
        <f t="array" ref="H24" xml:space="preserve"> INDEX(十五音韻母清單!$B$6:$K$105, $C24, H$2)</f>
        <v>i</v>
      </c>
      <c r="I24" s="21" t="str" cm="1">
        <f t="array" ref="I24" xml:space="preserve"> INDEX(十五音韻母清單!$B$6:$K$105, $C24, I$2)</f>
        <v>居</v>
      </c>
      <c r="J24" s="23" t="str" cm="1">
        <f t="array" ref="J24" xml:space="preserve"> INDEX(十五音韻母清單!$B$6:$K$105, 方音韻母排序!$C24,方音韻母排序!J$2)</f>
        <v>i</v>
      </c>
      <c r="K24" s="23" t="str" cm="1">
        <f t="array" ref="K24" xml:space="preserve"> INDEX(十五音韻母清單!$B$6:$K$105, 方音韻母排序!$C24,方音韻母排序!K$2)</f>
        <v>i</v>
      </c>
      <c r="L24" s="23" t="str" cm="1">
        <f t="array" ref="L24" xml:space="preserve"> INDEX(十五音韻母清單!$B$6:$K$105, 方音韻母排序!$C24,方音韻母排序!L$2)</f>
        <v>i</v>
      </c>
      <c r="M24" s="23" t="str" cm="1">
        <f t="array" ref="M24" xml:space="preserve"> INDEX(十五音韻母清單!$B$6:$K$105, 方音韻母排序!$C24,方音韻母排序!M$2)</f>
        <v>i</v>
      </c>
    </row>
    <row r="25" spans="2:13">
      <c r="B25" s="245" t="s">
        <v>498</v>
      </c>
      <c r="C25" s="21">
        <f xml:space="preserve"> MATCH(B25, 十五音韻母清單!$K$6:$K$105,0)</f>
        <v>67</v>
      </c>
      <c r="D25" s="21" cm="1">
        <f t="array" ref="D25" xml:space="preserve"> INDEX(十五音韻母清單!$B$6:$K$105, $C25, D$2)</f>
        <v>34</v>
      </c>
      <c r="F25" s="21">
        <v>21</v>
      </c>
      <c r="G25" s="23" t="str" cm="1">
        <f t="array" ref="G25" xml:space="preserve"> INDEX(十五音韻母清單!$B$6:$K$105, $C25, G$2)</f>
        <v>ㆪ</v>
      </c>
      <c r="H25" s="23" t="str" cm="1">
        <f t="array" ref="H25" xml:space="preserve"> INDEX(十五音韻母清單!$B$6:$K$105, $C25, H$2)</f>
        <v>inn</v>
      </c>
      <c r="I25" s="21" t="str" cm="1">
        <f t="array" ref="I25" xml:space="preserve"> INDEX(十五音韻母清單!$B$6:$K$105, $C25, I$2)</f>
        <v>梔</v>
      </c>
      <c r="J25" s="23" t="str" cm="1">
        <f t="array" ref="J25" xml:space="preserve"> INDEX(十五音韻母清單!$B$6:$K$105, 方音韻母排序!$C25,方音韻母排序!J$2)</f>
        <v>iⁿ</v>
      </c>
      <c r="K25" s="23" t="str" cm="1">
        <f t="array" ref="K25" xml:space="preserve"> INDEX(十五音韻母清單!$B$6:$K$105, 方音韻母排序!$C25,方音韻母排序!K$2)</f>
        <v>inn</v>
      </c>
      <c r="L25" s="23" t="str" cm="1">
        <f t="array" ref="L25" xml:space="preserve"> INDEX(十五音韻母清單!$B$6:$K$105, 方音韻母排序!$C25,方音韻母排序!L$2)</f>
        <v>ni</v>
      </c>
      <c r="M25" s="23" t="str" cm="1">
        <f t="array" ref="M25" xml:space="preserve"> INDEX(十五音韻母清單!$B$6:$K$105, 方音韻母排序!$C25,方音韻母排序!M$2)</f>
        <v>ĩ</v>
      </c>
    </row>
    <row r="26" spans="2:13">
      <c r="B26" s="245" t="s">
        <v>436</v>
      </c>
      <c r="C26" s="21">
        <f xml:space="preserve"> MATCH(B26, 十五音韻母清單!$K$6:$K$105,0)</f>
        <v>58</v>
      </c>
      <c r="D26" s="21" cm="1">
        <f t="array" ref="D26" xml:space="preserve"> INDEX(十五音韻母清單!$B$6:$K$105, $C26, D$2)</f>
        <v>29</v>
      </c>
      <c r="F26" s="21">
        <v>22</v>
      </c>
      <c r="G26" s="23" t="str" cm="1">
        <f t="array" ref="G26" xml:space="preserve"> INDEX(十五音韻母清單!$B$6:$K$105, $C26, G$2)</f>
        <v>ㄧㆷ</v>
      </c>
      <c r="H26" s="23" t="str" cm="1">
        <f t="array" ref="H26" xml:space="preserve"> INDEX(十五音韻母清單!$B$6:$K$105, $C26, H$2)</f>
        <v>ih</v>
      </c>
      <c r="I26" s="21" t="str" cm="1">
        <f t="array" ref="I26" xml:space="preserve"> INDEX(十五音韻母清單!$B$6:$K$105, $C26, I$2)</f>
        <v>居</v>
      </c>
      <c r="J26" s="23" t="str" cm="1">
        <f t="array" ref="J26" xml:space="preserve"> INDEX(十五音韻母清單!$B$6:$K$105, 方音韻母排序!$C26,方音韻母排序!J$2)</f>
        <v>ih</v>
      </c>
      <c r="K26" s="23" t="str" cm="1">
        <f t="array" ref="K26" xml:space="preserve"> INDEX(十五音韻母清單!$B$6:$K$105, 方音韻母排序!$C26,方音韻母排序!K$2)</f>
        <v>ih</v>
      </c>
      <c r="L26" s="23" t="str" cm="1">
        <f t="array" ref="L26" xml:space="preserve"> INDEX(十五音韻母清單!$B$6:$K$105, 方音韻母排序!$C26,方音韻母排序!L$2)</f>
        <v>ih</v>
      </c>
      <c r="M26" s="23" t="str" cm="1">
        <f t="array" ref="M26" xml:space="preserve"> INDEX(十五音韻母清單!$B$6:$K$105, 方音韻母排序!$C26,方音韻母排序!M$2)</f>
        <v>i?</v>
      </c>
    </row>
    <row r="27" spans="2:13">
      <c r="B27" s="245" t="s">
        <v>174</v>
      </c>
      <c r="C27" s="21">
        <f xml:space="preserve"> MATCH(B27, 十五音韻母清單!$K$6:$K$105,0)</f>
        <v>5</v>
      </c>
      <c r="D27" s="21" cm="1">
        <f t="array" ref="D27" xml:space="preserve"> INDEX(十五音韻母清單!$B$6:$K$105, $C27, D$2)</f>
        <v>3</v>
      </c>
      <c r="F27" s="21">
        <v>23</v>
      </c>
      <c r="G27" s="23" t="str" cm="1">
        <f t="array" ref="G27" xml:space="preserve"> INDEX(十五音韻母清單!$B$6:$K$105, $C27, G$2)</f>
        <v>ㄧㆬ</v>
      </c>
      <c r="H27" s="23" t="str" cm="1">
        <f t="array" ref="H27" xml:space="preserve"> INDEX(十五音韻母清單!$B$6:$K$105, $C27, H$2)</f>
        <v>im</v>
      </c>
      <c r="I27" s="21" t="str" cm="1">
        <f t="array" ref="I27" xml:space="preserve"> INDEX(十五音韻母清單!$B$6:$K$105, $C27, I$2)</f>
        <v>金</v>
      </c>
      <c r="J27" s="23" t="str" cm="1">
        <f t="array" ref="J27" xml:space="preserve"> INDEX(十五音韻母清單!$B$6:$K$105, 方音韻母排序!$C27,方音韻母排序!J$2)</f>
        <v>im</v>
      </c>
      <c r="K27" s="23" t="str" cm="1">
        <f t="array" ref="K27" xml:space="preserve"> INDEX(十五音韻母清單!$B$6:$K$105, 方音韻母排序!$C27,方音韻母排序!K$2)</f>
        <v>im</v>
      </c>
      <c r="L27" s="23" t="str" cm="1">
        <f t="array" ref="L27" xml:space="preserve"> INDEX(十五音韻母清單!$B$6:$K$105, 方音韻母排序!$C27,方音韻母排序!L$2)</f>
        <v>im</v>
      </c>
      <c r="M27" s="23" t="str" cm="1">
        <f t="array" ref="M27" xml:space="preserve"> INDEX(十五音韻母清單!$B$6:$K$105, 方音韻母排序!$C27,方音韻母排序!M$2)</f>
        <v>im</v>
      </c>
    </row>
    <row r="28" spans="2:13">
      <c r="B28" s="245" t="s">
        <v>320</v>
      </c>
      <c r="C28" s="21">
        <f xml:space="preserve"> MATCH(B28, 十五音韻母清單!$K$6:$K$105,0)</f>
        <v>33</v>
      </c>
      <c r="D28" s="21" cm="1">
        <f t="array" ref="D28" xml:space="preserve"> INDEX(十五音韻母清單!$B$6:$K$105, $C28, D$2)</f>
        <v>17</v>
      </c>
      <c r="F28" s="21">
        <v>24</v>
      </c>
      <c r="G28" s="23" t="str" cm="1">
        <f t="array" ref="G28" xml:space="preserve"> INDEX(十五音韻母清單!$B$6:$K$105, $C28, G$2)</f>
        <v>ㄧㄣ</v>
      </c>
      <c r="H28" s="23" t="str" cm="1">
        <f t="array" ref="H28" xml:space="preserve"> INDEX(十五音韻母清單!$B$6:$K$105, $C28, H$2)</f>
        <v>in</v>
      </c>
      <c r="I28" s="21" t="str" cm="1">
        <f t="array" ref="I28" xml:space="preserve"> INDEX(十五音韻母清單!$B$6:$K$105, $C28, I$2)</f>
        <v>巾</v>
      </c>
      <c r="J28" s="23" t="str" cm="1">
        <f t="array" ref="J28" xml:space="preserve"> INDEX(十五音韻母清單!$B$6:$K$105, 方音韻母排序!$C28,方音韻母排序!J$2)</f>
        <v>in</v>
      </c>
      <c r="K28" s="23" t="str" cm="1">
        <f t="array" ref="K28" xml:space="preserve"> INDEX(十五音韻母清單!$B$6:$K$105, 方音韻母排序!$C28,方音韻母排序!K$2)</f>
        <v>in</v>
      </c>
      <c r="L28" s="23" t="str" cm="1">
        <f t="array" ref="L28" xml:space="preserve"> INDEX(十五音韻母清單!$B$6:$K$105, 方音韻母排序!$C28,方音韻母排序!L$2)</f>
        <v>in</v>
      </c>
      <c r="M28" s="23" t="str" cm="1">
        <f t="array" ref="M28" xml:space="preserve"> INDEX(十五音韻母清單!$B$6:$K$105, 方音韻母排序!$C28,方音韻母排序!M$2)</f>
        <v>in</v>
      </c>
    </row>
    <row r="29" spans="2:13">
      <c r="B29" s="245" t="s">
        <v>708</v>
      </c>
      <c r="C29" s="21">
        <f xml:space="preserve"> MATCH(B29, 十五音韻母清單!$K$6:$K$105,0)</f>
        <v>17</v>
      </c>
      <c r="D29" s="21" cm="1">
        <f t="array" ref="D29" xml:space="preserve"> INDEX(十五音韻母清單!$B$6:$K$105, $C29, D$2)</f>
        <v>9</v>
      </c>
      <c r="F29" s="21">
        <v>25</v>
      </c>
      <c r="G29" s="23" t="str" cm="1">
        <f t="array" ref="G29" xml:space="preserve"> INDEX(十五音韻母清單!$B$6:$K$105, $C29, G$2)</f>
        <v>ㄧㄥ</v>
      </c>
      <c r="H29" s="23" t="str" cm="1">
        <f t="array" ref="H29" xml:space="preserve"> INDEX(十五音韻母清單!$B$6:$K$105, $C29, H$2)</f>
        <v>ing</v>
      </c>
      <c r="I29" s="21" t="str" cm="1">
        <f t="array" ref="I29" xml:space="preserve"> INDEX(十五音韻母清單!$B$6:$K$105, $C29, I$2)</f>
        <v>經</v>
      </c>
      <c r="J29" s="23" t="str" cm="1">
        <f t="array" ref="J29" xml:space="preserve"> INDEX(十五音韻母清單!$B$6:$K$105, 方音韻母排序!$C29,方音韻母排序!J$2)</f>
        <v>eng</v>
      </c>
      <c r="K29" s="23" t="str" cm="1">
        <f t="array" ref="K29" xml:space="preserve"> INDEX(十五音韻母清單!$B$6:$K$105, 方音韻母排序!$C29,方音韻母排序!K$2)</f>
        <v>ing</v>
      </c>
      <c r="L29" s="23" t="str" cm="1">
        <f t="array" ref="L29" xml:space="preserve"> INDEX(十五音韻母清單!$B$6:$K$105, 方音韻母排序!$C29,方音韻母排序!L$2)</f>
        <v>ing</v>
      </c>
      <c r="M29" s="23" t="str" cm="1">
        <f t="array" ref="M29" xml:space="preserve"> INDEX(十五音韻母清單!$B$6:$K$105, 方音韻母排序!$C29,方音韻母排序!M$2)</f>
        <v>ɪŋ</v>
      </c>
    </row>
    <row r="30" spans="2:13">
      <c r="B30" s="245" t="s">
        <v>175</v>
      </c>
      <c r="C30" s="21">
        <f xml:space="preserve"> MATCH(B30, 十五音韻母清單!$K$6:$K$105,0)</f>
        <v>6</v>
      </c>
      <c r="D30" s="21" cm="1">
        <f t="array" ref="D30" xml:space="preserve"> INDEX(十五音韻母清單!$B$6:$K$105, $C30, D$2)</f>
        <v>3</v>
      </c>
      <c r="F30" s="21">
        <v>26</v>
      </c>
      <c r="G30" s="23" t="str" cm="1">
        <f t="array" ref="G30" xml:space="preserve"> INDEX(十五音韻母清單!$B$6:$K$105, $C30, G$2)</f>
        <v>ㄧㆴ</v>
      </c>
      <c r="H30" s="23" t="str" cm="1">
        <f t="array" ref="H30" xml:space="preserve"> INDEX(十五音韻母清單!$B$6:$K$105, $C30, H$2)</f>
        <v>ip</v>
      </c>
      <c r="I30" s="21" t="str" cm="1">
        <f t="array" ref="I30" xml:space="preserve"> INDEX(十五音韻母清單!$B$6:$K$105, $C30, I$2)</f>
        <v>金</v>
      </c>
      <c r="J30" s="23" t="str" cm="1">
        <f t="array" ref="J30" xml:space="preserve"> INDEX(十五音韻母清單!$B$6:$K$105, 方音韻母排序!$C30,方音韻母排序!J$2)</f>
        <v>ip</v>
      </c>
      <c r="K30" s="23" t="str" cm="1">
        <f t="array" ref="K30" xml:space="preserve"> INDEX(十五音韻母清單!$B$6:$K$105, 方音韻母排序!$C30,方音韻母排序!K$2)</f>
        <v>ip</v>
      </c>
      <c r="L30" s="23" t="str" cm="1">
        <f t="array" ref="L30" xml:space="preserve"> INDEX(十五音韻母清單!$B$6:$K$105, 方音韻母排序!$C30,方音韻母排序!L$2)</f>
        <v>ip</v>
      </c>
      <c r="M30" s="23" t="str" cm="1">
        <f t="array" ref="M30" xml:space="preserve"> INDEX(十五音韻母清單!$B$6:$K$105, 方音韻母排序!$C30,方音韻母排序!M$2)</f>
        <v>ip̚</v>
      </c>
    </row>
    <row r="31" spans="2:13">
      <c r="B31" s="245" t="s">
        <v>321</v>
      </c>
      <c r="C31" s="21">
        <f xml:space="preserve"> MATCH(B31, 十五音韻母清單!$K$6:$K$105,0)</f>
        <v>34</v>
      </c>
      <c r="D31" s="21" cm="1">
        <f t="array" ref="D31" xml:space="preserve"> INDEX(十五音韻母清單!$B$6:$K$105, $C31, D$2)</f>
        <v>17</v>
      </c>
      <c r="F31" s="21">
        <v>27</v>
      </c>
      <c r="G31" s="23" t="str" cm="1">
        <f t="array" ref="G31" xml:space="preserve"> INDEX(十五音韻母清單!$B$6:$K$105, $C31, G$2)</f>
        <v>ㄧㆵ</v>
      </c>
      <c r="H31" s="23" t="str" cm="1">
        <f t="array" ref="H31" xml:space="preserve"> INDEX(十五音韻母清單!$B$6:$K$105, $C31, H$2)</f>
        <v>it</v>
      </c>
      <c r="I31" s="21" t="str" cm="1">
        <f t="array" ref="I31" xml:space="preserve"> INDEX(十五音韻母清單!$B$6:$K$105, $C31, I$2)</f>
        <v>巾</v>
      </c>
      <c r="J31" s="23" t="str" cm="1">
        <f t="array" ref="J31" xml:space="preserve"> INDEX(十五音韻母清單!$B$6:$K$105, 方音韻母排序!$C31,方音韻母排序!J$2)</f>
        <v>it</v>
      </c>
      <c r="K31" s="23" t="str" cm="1">
        <f t="array" ref="K31" xml:space="preserve"> INDEX(十五音韻母清單!$B$6:$K$105, 方音韻母排序!$C31,方音韻母排序!K$2)</f>
        <v>it</v>
      </c>
      <c r="L31" s="23" t="str" cm="1">
        <f t="array" ref="L31" xml:space="preserve"> INDEX(十五音韻母清單!$B$6:$K$105, 方音韻母排序!$C31,方音韻母排序!L$2)</f>
        <v>it</v>
      </c>
      <c r="M31" s="23" t="str" cm="1">
        <f t="array" ref="M31" xml:space="preserve"> INDEX(十五音韻母清單!$B$6:$K$105, 方音韻母排序!$C31,方音韻母排序!M$2)</f>
        <v>it̚</v>
      </c>
    </row>
    <row r="32" spans="2:13">
      <c r="B32" s="245" t="s">
        <v>707</v>
      </c>
      <c r="C32" s="21">
        <f xml:space="preserve"> MATCH(B32, 十五音韻母清單!$K$6:$K$105,0)</f>
        <v>18</v>
      </c>
      <c r="D32" s="21" cm="1">
        <f t="array" ref="D32" xml:space="preserve"> INDEX(十五音韻母清單!$B$6:$K$105, $C32, D$2)</f>
        <v>9</v>
      </c>
      <c r="F32" s="21">
        <v>28</v>
      </c>
      <c r="G32" s="23" t="str" cm="1">
        <f t="array" ref="G32" xml:space="preserve"> INDEX(十五音韻母清單!$B$6:$K$105, $C32, G$2)</f>
        <v>ㄧㆻ</v>
      </c>
      <c r="H32" s="23" t="str" cm="1">
        <f t="array" ref="H32" xml:space="preserve"> INDEX(十五音韻母清單!$B$6:$K$105, $C32, H$2)</f>
        <v>ik</v>
      </c>
      <c r="I32" s="21" t="str" cm="1">
        <f t="array" ref="I32" xml:space="preserve"> INDEX(十五音韻母清單!$B$6:$K$105, $C32, I$2)</f>
        <v>經</v>
      </c>
      <c r="J32" s="23" t="str" cm="1">
        <f t="array" ref="J32" xml:space="preserve"> INDEX(十五音韻母清單!$B$6:$K$105, 方音韻母排序!$C32,方音韻母排序!J$2)</f>
        <v>ek</v>
      </c>
      <c r="K32" s="23" t="str" cm="1">
        <f t="array" ref="K32" xml:space="preserve"> INDEX(十五音韻母清單!$B$6:$K$105, 方音韻母排序!$C32,方音韻母排序!K$2)</f>
        <v>ik</v>
      </c>
      <c r="L32" s="23" t="str" cm="1">
        <f t="array" ref="L32" xml:space="preserve"> INDEX(十五音韻母清單!$B$6:$K$105, 方音韻母排序!$C32,方音韻母排序!L$2)</f>
        <v>ik</v>
      </c>
      <c r="M32" s="23" t="str" cm="1">
        <f t="array" ref="M32" xml:space="preserve"> INDEX(十五音韻母清單!$B$6:$K$105, 方音韻母排序!$C32,方音韻母排序!M$2)</f>
        <v>ik̚</v>
      </c>
    </row>
    <row r="33" spans="2:13">
      <c r="B33" s="245" t="s">
        <v>382</v>
      </c>
      <c r="C33" s="21">
        <f xml:space="preserve"> MATCH(B33, 十五音韻母清單!$K$6:$K$105,0)</f>
        <v>47</v>
      </c>
      <c r="D33" s="21" cm="1">
        <f t="array" ref="D33" xml:space="preserve"> INDEX(十五音韻母清單!$B$6:$K$105, $C33, D$2)</f>
        <v>24</v>
      </c>
      <c r="F33" s="21">
        <v>29</v>
      </c>
      <c r="G33" s="23" t="str" cm="1">
        <f t="array" ref="G33" xml:space="preserve"> INDEX(十五音韻母清單!$B$6:$K$105, $C33, G$2)</f>
        <v>ㄧㄚ</v>
      </c>
      <c r="H33" s="23" t="str" cm="1">
        <f t="array" ref="H33" xml:space="preserve"> INDEX(十五音韻母清單!$B$6:$K$105, $C33, H$2)</f>
        <v>ia</v>
      </c>
      <c r="I33" s="21" t="str" cm="1">
        <f t="array" ref="I33" xml:space="preserve"> INDEX(十五音韻母清單!$B$6:$K$105, $C33, I$2)</f>
        <v>迦</v>
      </c>
      <c r="J33" s="23" t="str" cm="1">
        <f t="array" ref="J33" xml:space="preserve"> INDEX(十五音韻母清單!$B$6:$K$105, 方音韻母排序!$C33,方音韻母排序!J$2)</f>
        <v>ia</v>
      </c>
      <c r="K33" s="23" t="str" cm="1">
        <f t="array" ref="K33" xml:space="preserve"> INDEX(十五音韻母清單!$B$6:$K$105, 方音韻母排序!$C33,方音韻母排序!K$2)</f>
        <v>ia</v>
      </c>
      <c r="L33" s="23" t="str" cm="1">
        <f t="array" ref="L33" xml:space="preserve"> INDEX(十五音韻母清單!$B$6:$K$105, 方音韻母排序!$C33,方音韻母排序!L$2)</f>
        <v>ia</v>
      </c>
      <c r="M33" s="23" t="str" cm="1">
        <f t="array" ref="M33" xml:space="preserve"> INDEX(十五音韻母清單!$B$6:$K$105, 方音韻母排序!$C33,方音韻母排序!M$2)</f>
        <v>ia</v>
      </c>
    </row>
    <row r="34" spans="2:13">
      <c r="B34" s="245" t="s">
        <v>527</v>
      </c>
      <c r="C34" s="21">
        <f xml:space="preserve"> MATCH(B34, 十五音韻母清單!$K$6:$K$105,0)</f>
        <v>71</v>
      </c>
      <c r="D34" s="21" cm="1">
        <f t="array" ref="D34" xml:space="preserve"> INDEX(十五音韻母清單!$B$6:$K$105, $C34, D$2)</f>
        <v>36</v>
      </c>
      <c r="F34" s="21">
        <v>30</v>
      </c>
      <c r="G34" s="23" t="str" cm="1">
        <f t="array" ref="G34" xml:space="preserve"> INDEX(十五音韻母清單!$B$6:$K$105, $C34, G$2)</f>
        <v>ㄧㆩ</v>
      </c>
      <c r="H34" s="23" t="str" cm="1">
        <f t="array" ref="H34" xml:space="preserve"> INDEX(十五音韻母清單!$B$6:$K$105, $C34, H$2)</f>
        <v>iann</v>
      </c>
      <c r="I34" s="21" t="str" cm="1">
        <f t="array" ref="I34" xml:space="preserve"> INDEX(十五音韻母清單!$B$6:$K$105, $C34, I$2)</f>
        <v>驚</v>
      </c>
      <c r="J34" s="23" t="str" cm="1">
        <f t="array" ref="J34" xml:space="preserve"> INDEX(十五音韻母清單!$B$6:$K$105, 方音韻母排序!$C34,方音韻母排序!J$2)</f>
        <v>iaⁿ</v>
      </c>
      <c r="K34" s="23" t="str" cm="1">
        <f t="array" ref="K34" xml:space="preserve"> INDEX(十五音韻母清單!$B$6:$K$105, 方音韻母排序!$C34,方音韻母排序!K$2)</f>
        <v>iann</v>
      </c>
      <c r="L34" s="23" t="str" cm="1">
        <f t="array" ref="L34" xml:space="preserve"> INDEX(十五音韻母清單!$B$6:$K$105, 方音韻母排序!$C34,方音韻母排序!L$2)</f>
        <v>nia</v>
      </c>
      <c r="M34" s="23" t="str" cm="1">
        <f t="array" ref="M34" xml:space="preserve"> INDEX(十五音韻母清單!$B$6:$K$105, 方音韻母排序!$C34,方音韻母排序!M$2)</f>
        <v>ĩã</v>
      </c>
    </row>
    <row r="35" spans="2:13">
      <c r="B35" s="245" t="s">
        <v>383</v>
      </c>
      <c r="C35" s="21">
        <f xml:space="preserve"> MATCH(B35, 十五音韻母清單!$K$6:$K$105,0)</f>
        <v>48</v>
      </c>
      <c r="D35" s="21" cm="1">
        <f t="array" ref="D35" xml:space="preserve"> INDEX(十五音韻母清單!$B$6:$K$105, $C35, D$2)</f>
        <v>24</v>
      </c>
      <c r="F35" s="21">
        <v>31</v>
      </c>
      <c r="G35" s="23" t="str" cm="1">
        <f t="array" ref="G35" xml:space="preserve"> INDEX(十五音韻母清單!$B$6:$K$105, $C35, G$2)</f>
        <v>ㄧㄚㆷ</v>
      </c>
      <c r="H35" s="23" t="str" cm="1">
        <f t="array" ref="H35" xml:space="preserve"> INDEX(十五音韻母清單!$B$6:$K$105, $C35, H$2)</f>
        <v>iah</v>
      </c>
      <c r="I35" s="21" t="str" cm="1">
        <f t="array" ref="I35" xml:space="preserve"> INDEX(十五音韻母清單!$B$6:$K$105, $C35, I$2)</f>
        <v>迦</v>
      </c>
      <c r="J35" s="23" t="str" cm="1">
        <f t="array" ref="J35" xml:space="preserve"> INDEX(十五音韻母清單!$B$6:$K$105, 方音韻母排序!$C35,方音韻母排序!J$2)</f>
        <v>iah</v>
      </c>
      <c r="K35" s="23" t="str" cm="1">
        <f t="array" ref="K35" xml:space="preserve"> INDEX(十五音韻母清單!$B$6:$K$105, 方音韻母排序!$C35,方音韻母排序!K$2)</f>
        <v>iah</v>
      </c>
      <c r="L35" s="23" t="str" cm="1">
        <f t="array" ref="L35" xml:space="preserve"> INDEX(十五音韻母清單!$B$6:$K$105, 方音韻母排序!$C35,方音韻母排序!L$2)</f>
        <v>iah</v>
      </c>
      <c r="M35" s="23" t="str" cm="1">
        <f t="array" ref="M35" xml:space="preserve"> INDEX(十五音韻母清單!$B$6:$K$105, 方音韻母排序!$C35,方音韻母排序!M$2)</f>
        <v>ia?</v>
      </c>
    </row>
    <row r="36" spans="2:13">
      <c r="B36" s="245" t="s">
        <v>528</v>
      </c>
      <c r="C36" s="21">
        <f xml:space="preserve"> MATCH(B36, 十五音韻母清單!$K$6:$K$105,0)</f>
        <v>72</v>
      </c>
      <c r="D36" s="21" cm="1">
        <f t="array" ref="D36" xml:space="preserve"> INDEX(十五音韻母清單!$B$6:$K$105, $C36, D$2)</f>
        <v>36</v>
      </c>
      <c r="F36" s="21">
        <v>32</v>
      </c>
      <c r="G36" s="23" t="str" cm="1">
        <f t="array" ref="G36" xml:space="preserve"> INDEX(十五音韻母清單!$B$6:$K$105, $C36, G$2)</f>
        <v>ㄧㆩㆷ</v>
      </c>
      <c r="H36" s="23" t="str" cm="1">
        <f t="array" ref="H36" xml:space="preserve"> INDEX(十五音韻母清單!$B$6:$K$105, $C36, H$2)</f>
        <v>iannh</v>
      </c>
      <c r="I36" s="21" t="str" cm="1">
        <f t="array" ref="I36" xml:space="preserve"> INDEX(十五音韻母清單!$B$6:$K$105, $C36, I$2)</f>
        <v>驚</v>
      </c>
      <c r="J36" s="23" t="str" cm="1">
        <f t="array" ref="J36" xml:space="preserve"> INDEX(十五音韻母清單!$B$6:$K$105, 方音韻母排序!$C36,方音韻母排序!J$2)</f>
        <v>iahⁿ</v>
      </c>
      <c r="K36" s="23" t="str" cm="1">
        <f t="array" ref="K36" xml:space="preserve"> INDEX(十五音韻母清單!$B$6:$K$105, 方音韻母排序!$C36,方音韻母排序!K$2)</f>
        <v>iannh</v>
      </c>
      <c r="L36" s="23" t="str" cm="1">
        <f t="array" ref="L36" xml:space="preserve"> INDEX(十五音韻母清單!$B$6:$K$105, 方音韻母排序!$C36,方音韻母排序!L$2)</f>
        <v>niah</v>
      </c>
      <c r="M36" s="23" t="str" cm="1">
        <f t="array" ref="M36" xml:space="preserve"> INDEX(十五音韻母清單!$B$6:$K$105, 方音韻母排序!$C36,方音韻母排序!M$2)</f>
        <v>iãh</v>
      </c>
    </row>
    <row r="37" spans="2:13">
      <c r="B37" s="245" t="s">
        <v>362</v>
      </c>
      <c r="C37" s="21">
        <f xml:space="preserve"> MATCH(B37, 十五音韻母清單!$K$6:$K$105,0)</f>
        <v>43</v>
      </c>
      <c r="D37" s="21" cm="1">
        <f t="array" ref="D37" xml:space="preserve"> INDEX(十五音韻母清單!$B$6:$K$105, $C37, D$2)</f>
        <v>22</v>
      </c>
      <c r="F37" s="21">
        <v>33</v>
      </c>
      <c r="G37" s="23" t="str" cm="1">
        <f t="array" ref="G37" xml:space="preserve"> INDEX(十五音韻母清單!$B$6:$K$105, $C37, G$2)</f>
        <v>ㄧㆰ</v>
      </c>
      <c r="H37" s="23" t="str" cm="1">
        <f t="array" ref="H37" xml:space="preserve"> INDEX(十五音韻母清單!$B$6:$K$105, $C37, H$2)</f>
        <v>iam</v>
      </c>
      <c r="I37" s="21" t="str" cm="1">
        <f t="array" ref="I37" xml:space="preserve"> INDEX(十五音韻母清單!$B$6:$K$105, $C37, I$2)</f>
        <v>兼</v>
      </c>
      <c r="J37" s="23" t="str" cm="1">
        <f t="array" ref="J37" xml:space="preserve"> INDEX(十五音韻母清單!$B$6:$K$105, 方音韻母排序!$C37,方音韻母排序!J$2)</f>
        <v>iam</v>
      </c>
      <c r="K37" s="23" t="str" cm="1">
        <f t="array" ref="K37" xml:space="preserve"> INDEX(十五音韻母清單!$B$6:$K$105, 方音韻母排序!$C37,方音韻母排序!K$2)</f>
        <v>iam</v>
      </c>
      <c r="L37" s="23" t="str" cm="1">
        <f t="array" ref="L37" xml:space="preserve"> INDEX(十五音韻母清單!$B$6:$K$105, 方音韻母排序!$C37,方音韻母排序!L$2)</f>
        <v>iam</v>
      </c>
      <c r="M37" s="23" t="str" cm="1">
        <f t="array" ref="M37" xml:space="preserve"> INDEX(十五音韻母清單!$B$6:$K$105, 方音韻母排序!$C37,方音韻母排序!M$2)</f>
        <v>iam</v>
      </c>
    </row>
    <row r="38" spans="2:13">
      <c r="B38" s="245" t="s">
        <v>165</v>
      </c>
      <c r="C38" s="21">
        <f xml:space="preserve"> MATCH(B38, 十五音韻母清單!$K$6:$K$105,0)</f>
        <v>3</v>
      </c>
      <c r="D38" s="21" cm="1">
        <f t="array" ref="D38" xml:space="preserve"> INDEX(十五音韻母清單!$B$6:$K$105, $C38, D$2)</f>
        <v>2</v>
      </c>
      <c r="F38" s="21">
        <v>34</v>
      </c>
      <c r="G38" s="23" t="str" cm="1">
        <f t="array" ref="G38" xml:space="preserve"> INDEX(十五音韻母清單!$B$6:$K$105, $C38, G$2)</f>
        <v>ㄧㄢ</v>
      </c>
      <c r="H38" s="23" t="str" cm="1">
        <f t="array" ref="H38" xml:space="preserve"> INDEX(十五音韻母清單!$B$6:$K$105, $C38, H$2)</f>
        <v>ian</v>
      </c>
      <c r="I38" s="21" t="str" cm="1">
        <f t="array" ref="I38" xml:space="preserve"> INDEX(十五音韻母清單!$B$6:$K$105, $C38, I$2)</f>
        <v>堅</v>
      </c>
      <c r="J38" s="23" t="str" cm="1">
        <f t="array" ref="J38" xml:space="preserve"> INDEX(十五音韻母清單!$B$6:$K$105, 方音韻母排序!$C38,方音韻母排序!J$2)</f>
        <v>ian</v>
      </c>
      <c r="K38" s="23" t="str" cm="1">
        <f t="array" ref="K38" xml:space="preserve"> INDEX(十五音韻母清單!$B$6:$K$105, 方音韻母排序!$C38,方音韻母排序!K$2)</f>
        <v>ian</v>
      </c>
      <c r="L38" s="23" t="str" cm="1">
        <f t="array" ref="L38" xml:space="preserve"> INDEX(十五音韻母清單!$B$6:$K$105, 方音韻母排序!$C38,方音韻母排序!L$2)</f>
        <v>ian</v>
      </c>
      <c r="M38" s="23" t="str" cm="1">
        <f t="array" ref="M38" xml:space="preserve"> INDEX(十五音韻母清單!$B$6:$K$105, 方音韻母排序!$C38,方音韻母排序!M$2)</f>
        <v>ian</v>
      </c>
    </row>
    <row r="39" spans="2:13">
      <c r="B39" s="245" t="s">
        <v>328</v>
      </c>
      <c r="C39" s="21">
        <f xml:space="preserve"> MATCH(B39, 十五音韻母清單!$K$6:$K$105,0)</f>
        <v>35</v>
      </c>
      <c r="D39" s="21" cm="1">
        <f t="array" ref="D39" xml:space="preserve"> INDEX(十五音韻母清單!$B$6:$K$105, $C39, D$2)</f>
        <v>18</v>
      </c>
      <c r="F39" s="21">
        <v>35</v>
      </c>
      <c r="G39" s="23" t="str" cm="1">
        <f t="array" ref="G39" xml:space="preserve"> INDEX(十五音韻母清單!$B$6:$K$105, $C39, G$2)</f>
        <v>ㄧㄤ</v>
      </c>
      <c r="H39" s="23" t="str" cm="1">
        <f t="array" ref="H39" xml:space="preserve"> INDEX(十五音韻母清單!$B$6:$K$105, $C39, H$2)</f>
        <v>iang</v>
      </c>
      <c r="I39" s="21" t="str" cm="1">
        <f t="array" ref="I39" xml:space="preserve"> INDEX(十五音韻母清單!$B$6:$K$105, $C39, I$2)</f>
        <v>姜</v>
      </c>
      <c r="J39" s="23" t="str" cm="1">
        <f t="array" ref="J39" xml:space="preserve"> INDEX(十五音韻母清單!$B$6:$K$105, 方音韻母排序!$C39,方音韻母排序!J$2)</f>
        <v>iang</v>
      </c>
      <c r="K39" s="23" t="str" cm="1">
        <f t="array" ref="K39" xml:space="preserve"> INDEX(十五音韻母清單!$B$6:$K$105, 方音韻母排序!$C39,方音韻母排序!K$2)</f>
        <v>iang</v>
      </c>
      <c r="L39" s="23" t="str" cm="1">
        <f t="array" ref="L39" xml:space="preserve"> INDEX(十五音韻母清單!$B$6:$K$105, 方音韻母排序!$C39,方音韻母排序!L$2)</f>
        <v>iang</v>
      </c>
      <c r="M39" s="23" t="str" cm="1">
        <f t="array" ref="M39" xml:space="preserve"> INDEX(十五音韻母清單!$B$6:$K$105, 方音韻母排序!$C39,方音韻母排序!M$2)</f>
        <v>iaŋ</v>
      </c>
    </row>
    <row r="40" spans="2:13">
      <c r="B40" s="245" t="s">
        <v>363</v>
      </c>
      <c r="C40" s="21">
        <f xml:space="preserve"> MATCH(B40, 十五音韻母清單!$K$6:$K$105,0)</f>
        <v>44</v>
      </c>
      <c r="D40" s="21" cm="1">
        <f t="array" ref="D40" xml:space="preserve"> INDEX(十五音韻母清單!$B$6:$K$105, $C40, D$2)</f>
        <v>22</v>
      </c>
      <c r="F40" s="21">
        <v>36</v>
      </c>
      <c r="G40" s="23" t="str" cm="1">
        <f t="array" ref="G40" xml:space="preserve"> INDEX(十五音韻母清單!$B$6:$K$105, $C40, G$2)</f>
        <v>ㄧㄚㆴ</v>
      </c>
      <c r="H40" s="23" t="str" cm="1">
        <f t="array" ref="H40" xml:space="preserve"> INDEX(十五音韻母清單!$B$6:$K$105, $C40, H$2)</f>
        <v>iap</v>
      </c>
      <c r="I40" s="21" t="str" cm="1">
        <f t="array" ref="I40" xml:space="preserve"> INDEX(十五音韻母清單!$B$6:$K$105, $C40, I$2)</f>
        <v>兼</v>
      </c>
      <c r="J40" s="23" t="str" cm="1">
        <f t="array" ref="J40" xml:space="preserve"> INDEX(十五音韻母清單!$B$6:$K$105, 方音韻母排序!$C40,方音韻母排序!J$2)</f>
        <v>iap</v>
      </c>
      <c r="K40" s="23" t="str" cm="1">
        <f t="array" ref="K40" xml:space="preserve"> INDEX(十五音韻母清單!$B$6:$K$105, 方音韻母排序!$C40,方音韻母排序!K$2)</f>
        <v>iap</v>
      </c>
      <c r="L40" s="23" t="str" cm="1">
        <f t="array" ref="L40" xml:space="preserve"> INDEX(十五音韻母清單!$B$6:$K$105, 方音韻母排序!$C40,方音韻母排序!L$2)</f>
        <v>iap</v>
      </c>
      <c r="M40" s="23" t="str" cm="1">
        <f t="array" ref="M40" xml:space="preserve"> INDEX(十五音韻母清單!$B$6:$K$105, 方音韻母排序!$C40,方音韻母排序!M$2)</f>
        <v>iap̚</v>
      </c>
    </row>
    <row r="41" spans="2:13">
      <c r="B41" s="245" t="s">
        <v>166</v>
      </c>
      <c r="C41" s="21">
        <f xml:space="preserve"> MATCH(B41, 十五音韻母清單!$K$6:$K$105,0)</f>
        <v>4</v>
      </c>
      <c r="D41" s="21" cm="1">
        <f t="array" ref="D41" xml:space="preserve"> INDEX(十五音韻母清單!$B$6:$K$105, $C41, D$2)</f>
        <v>2</v>
      </c>
      <c r="F41" s="21">
        <v>37</v>
      </c>
      <c r="G41" s="23" t="str" cm="1">
        <f t="array" ref="G41" xml:space="preserve"> INDEX(十五音韻母清單!$B$6:$K$105, $C41, G$2)</f>
        <v>ㄧㄚㆵ</v>
      </c>
      <c r="H41" s="23" t="str" cm="1">
        <f t="array" ref="H41" xml:space="preserve"> INDEX(十五音韻母清單!$B$6:$K$105, $C41, H$2)</f>
        <v>iat</v>
      </c>
      <c r="I41" s="21" t="str" cm="1">
        <f t="array" ref="I41" xml:space="preserve"> INDEX(十五音韻母清單!$B$6:$K$105, $C41, I$2)</f>
        <v>堅</v>
      </c>
      <c r="J41" s="23" t="str" cm="1">
        <f t="array" ref="J41" xml:space="preserve"> INDEX(十五音韻母清單!$B$6:$K$105, 方音韻母排序!$C41,方音韻母排序!J$2)</f>
        <v>iat</v>
      </c>
      <c r="K41" s="23" t="str" cm="1">
        <f t="array" ref="K41" xml:space="preserve"> INDEX(十五音韻母清單!$B$6:$K$105, 方音韻母排序!$C41,方音韻母排序!K$2)</f>
        <v>iat</v>
      </c>
      <c r="L41" s="23" t="str" cm="1">
        <f t="array" ref="L41" xml:space="preserve"> INDEX(十五音韻母清單!$B$6:$K$105, 方音韻母排序!$C41,方音韻母排序!L$2)</f>
        <v>iat</v>
      </c>
      <c r="M41" s="23" t="str" cm="1">
        <f t="array" ref="M41" xml:space="preserve"> INDEX(十五音韻母清單!$B$6:$K$105, 方音韻母排序!$C41,方音韻母排序!M$2)</f>
        <v>iat̚</v>
      </c>
    </row>
    <row r="42" spans="2:13">
      <c r="B42" s="245" t="s">
        <v>329</v>
      </c>
      <c r="C42" s="21">
        <f xml:space="preserve"> MATCH(B42, 十五音韻母清單!$K$6:$K$105,0)</f>
        <v>36</v>
      </c>
      <c r="D42" s="21" cm="1">
        <f t="array" ref="D42" xml:space="preserve"> INDEX(十五音韻母清單!$B$6:$K$105, $C42, D$2)</f>
        <v>18</v>
      </c>
      <c r="F42" s="21">
        <v>38</v>
      </c>
      <c r="G42" s="23" t="str" cm="1">
        <f t="array" ref="G42" xml:space="preserve"> INDEX(十五音韻母清單!$B$6:$K$105, $C42, G$2)</f>
        <v>ㄧㄚㆻ</v>
      </c>
      <c r="H42" s="23" t="str" cm="1">
        <f t="array" ref="H42" xml:space="preserve"> INDEX(十五音韻母清單!$B$6:$K$105, $C42, H$2)</f>
        <v>iak</v>
      </c>
      <c r="I42" s="21" t="str" cm="1">
        <f t="array" ref="I42" xml:space="preserve"> INDEX(十五音韻母清單!$B$6:$K$105, $C42, I$2)</f>
        <v>姜</v>
      </c>
      <c r="J42" s="23" t="str" cm="1">
        <f t="array" ref="J42" xml:space="preserve"> INDEX(十五音韻母清單!$B$6:$K$105, 方音韻母排序!$C42,方音韻母排序!J$2)</f>
        <v>iak</v>
      </c>
      <c r="K42" s="23" t="str" cm="1">
        <f t="array" ref="K42" xml:space="preserve"> INDEX(十五音韻母清單!$B$6:$K$105, 方音韻母排序!$C42,方音韻母排序!K$2)</f>
        <v>iak</v>
      </c>
      <c r="L42" s="23" t="str" cm="1">
        <f t="array" ref="L42" xml:space="preserve"> INDEX(十五音韻母清單!$B$6:$K$105, 方音韻母排序!$C42,方音韻母排序!L$2)</f>
        <v>iak</v>
      </c>
      <c r="M42" s="23" t="str" cm="1">
        <f t="array" ref="M42" xml:space="preserve"> INDEX(十五音韻母清單!$B$6:$K$105, 方音韻母排序!$C42,方音韻母排序!M$2)</f>
        <v>iak̚</v>
      </c>
    </row>
    <row r="43" spans="2:13">
      <c r="B43" s="245" t="s">
        <v>271</v>
      </c>
      <c r="C43" s="21">
        <f xml:space="preserve"> MATCH(B43, 十五音韻母清單!$K$6:$K$105,0)</f>
        <v>23</v>
      </c>
      <c r="D43" s="21" cm="1">
        <f t="array" ref="D43" xml:space="preserve"> INDEX(十五音韻母清單!$B$6:$K$105, $C43, D$2)</f>
        <v>12</v>
      </c>
      <c r="F43" s="21">
        <v>39</v>
      </c>
      <c r="G43" s="23" t="str" cm="1">
        <f t="array" ref="G43" xml:space="preserve"> INDEX(十五音韻母清單!$B$6:$K$105, $C43, G$2)</f>
        <v>ㄧㄠ</v>
      </c>
      <c r="H43" s="23" t="str" cm="1">
        <f t="array" ref="H43" xml:space="preserve"> INDEX(十五音韻母清單!$B$6:$K$105, $C43, H$2)</f>
        <v>iau</v>
      </c>
      <c r="I43" s="21" t="str" cm="1">
        <f t="array" ref="I43" xml:space="preserve"> INDEX(十五音韻母清單!$B$6:$K$105, $C43, I$2)</f>
        <v>嬌</v>
      </c>
      <c r="J43" s="23" t="str" cm="1">
        <f t="array" ref="J43" xml:space="preserve"> INDEX(十五音韻母清單!$B$6:$K$105, 方音韻母排序!$C43,方音韻母排序!J$2)</f>
        <v>iau</v>
      </c>
      <c r="K43" s="23" t="str" cm="1">
        <f t="array" ref="K43" xml:space="preserve"> INDEX(十五音韻母清單!$B$6:$K$105, 方音韻母排序!$C43,方音韻母排序!K$2)</f>
        <v>iau</v>
      </c>
      <c r="L43" s="23" t="str" cm="1">
        <f t="array" ref="L43" xml:space="preserve"> INDEX(十五音韻母清單!$B$6:$K$105, 方音韻母排序!$C43,方音韻母排序!L$2)</f>
        <v>iao</v>
      </c>
      <c r="M43" s="23" t="str" cm="1">
        <f t="array" ref="M43" xml:space="preserve"> INDEX(十五音韻母清單!$B$6:$K$105, 方音韻母排序!$C43,方音韻母排序!M$2)</f>
        <v>iaʊ</v>
      </c>
    </row>
    <row r="44" spans="2:13">
      <c r="B44" s="245" t="s">
        <v>645</v>
      </c>
      <c r="C44" s="21">
        <f xml:space="preserve"> MATCH(B44, 十五音韻母清單!$K$6:$K$105,0)</f>
        <v>91</v>
      </c>
      <c r="D44" s="21" cm="1">
        <f t="array" ref="D44" xml:space="preserve"> INDEX(十五音韻母清單!$B$6:$K$105, $C44, D$2)</f>
        <v>46</v>
      </c>
      <c r="F44" s="21">
        <v>40</v>
      </c>
      <c r="G44" s="23" t="str" cm="1">
        <f t="array" ref="G44" xml:space="preserve"> INDEX(十五音韻母清單!$B$6:$K$105, $C44, G$2)</f>
        <v>ㄧㆯ</v>
      </c>
      <c r="H44" s="23" t="str" cm="1">
        <f t="array" ref="H44" xml:space="preserve"> INDEX(十五音韻母清單!$B$6:$K$105, $C44, H$2)</f>
        <v>iaunn</v>
      </c>
      <c r="I44" s="21" t="str" cm="1">
        <f t="array" ref="I44" xml:space="preserve"> INDEX(十五音韻母清單!$B$6:$K$105, $C44, I$2)</f>
        <v>嘄</v>
      </c>
      <c r="J44" s="23" t="str" cm="1">
        <f t="array" ref="J44" xml:space="preserve"> INDEX(十五音韻母清單!$B$6:$K$105, 方音韻母排序!$C44,方音韻母排序!J$2)</f>
        <v>iauⁿ</v>
      </c>
      <c r="K44" s="23" t="str" cm="1">
        <f t="array" ref="K44" xml:space="preserve"> INDEX(十五音韻母清單!$B$6:$K$105, 方音韻母排序!$C44,方音韻母排序!K$2)</f>
        <v>iaunn</v>
      </c>
      <c r="L44" s="23" t="str" cm="1">
        <f t="array" ref="L44" xml:space="preserve"> INDEX(十五音韻母清單!$B$6:$K$105, 方音韻母排序!$C44,方音韻母排序!L$2)</f>
        <v>niao</v>
      </c>
      <c r="M44" s="23" t="str" cm="1">
        <f t="array" ref="M44" xml:space="preserve"> INDEX(十五音韻母清單!$B$6:$K$105, 方音韻母排序!$C44,方音韻母排序!M$2)</f>
        <v>ĩãũ</v>
      </c>
    </row>
    <row r="45" spans="2:13">
      <c r="B45" s="245" t="s">
        <v>272</v>
      </c>
      <c r="C45" s="21">
        <f xml:space="preserve"> MATCH(B45, 十五音韻母清單!$K$6:$K$105,0)</f>
        <v>24</v>
      </c>
      <c r="D45" s="21" cm="1">
        <f t="array" ref="D45" xml:space="preserve"> INDEX(十五音韻母清單!$B$6:$K$105, $C45, D$2)</f>
        <v>12</v>
      </c>
      <c r="F45" s="21">
        <v>41</v>
      </c>
      <c r="G45" s="23" t="str" cm="1">
        <f t="array" ref="G45" xml:space="preserve"> INDEX(十五音韻母清單!$B$6:$K$105, $C45, G$2)</f>
        <v>ㄧㄠㆷ</v>
      </c>
      <c r="H45" s="23" t="str" cm="1">
        <f t="array" ref="H45" xml:space="preserve"> INDEX(十五音韻母清單!$B$6:$K$105, $C45, H$2)</f>
        <v>iauh</v>
      </c>
      <c r="I45" s="21" t="str" cm="1">
        <f t="array" ref="I45" xml:space="preserve"> INDEX(十五音韻母清單!$B$6:$K$105, $C45, I$2)</f>
        <v>嬌</v>
      </c>
      <c r="J45" s="23" t="str" cm="1">
        <f t="array" ref="J45" xml:space="preserve"> INDEX(十五音韻母清單!$B$6:$K$105, 方音韻母排序!$C45,方音韻母排序!J$2)</f>
        <v>iauh</v>
      </c>
      <c r="K45" s="23" t="str" cm="1">
        <f t="array" ref="K45" xml:space="preserve"> INDEX(十五音韻母清單!$B$6:$K$105, 方音韻母排序!$C45,方音韻母排序!K$2)</f>
        <v>iauh</v>
      </c>
      <c r="L45" s="23" t="str" cm="1">
        <f t="array" ref="L45" xml:space="preserve"> INDEX(十五音韻母清單!$B$6:$K$105, 方音韻母排序!$C45,方音韻母排序!L$2)</f>
        <v>iaoh</v>
      </c>
      <c r="M45" s="23" t="str" cm="1">
        <f t="array" ref="M45" xml:space="preserve"> INDEX(十五音韻母清單!$B$6:$K$105, 方音韻母排序!$C45,方音韻母排序!M$2)</f>
        <v>iau?</v>
      </c>
    </row>
    <row r="46" spans="2:13">
      <c r="B46" s="245" t="s">
        <v>483</v>
      </c>
      <c r="C46" s="21">
        <f xml:space="preserve"> MATCH(B46, 十五音韻母清單!$K$6:$K$105,0)</f>
        <v>65</v>
      </c>
      <c r="D46" s="21" cm="1">
        <f t="array" ref="D46" xml:space="preserve"> INDEX(十五音韻母清單!$B$6:$K$105, $C46, D$2)</f>
        <v>33</v>
      </c>
      <c r="F46" s="21">
        <v>42</v>
      </c>
      <c r="G46" s="23" t="str" cm="1">
        <f t="array" ref="G46" xml:space="preserve"> INDEX(十五音韻母清單!$B$6:$K$105, $C46, G$2)</f>
        <v>ㄧㄜ</v>
      </c>
      <c r="H46" s="23" t="str" cm="1">
        <f t="array" ref="H46" xml:space="preserve"> INDEX(十五音韻母清單!$B$6:$K$105, $C46, H$2)</f>
        <v>io</v>
      </c>
      <c r="I46" s="21" t="str" cm="1">
        <f t="array" ref="I46" xml:space="preserve"> INDEX(十五音韻母清單!$B$6:$K$105, $C46, I$2)</f>
        <v>茄</v>
      </c>
      <c r="J46" s="23" t="str" cm="1">
        <f t="array" ref="J46" xml:space="preserve"> INDEX(十五音韻母清單!$B$6:$K$105, 方音韻母排序!$C46,方音韻母排序!J$2)</f>
        <v>io</v>
      </c>
      <c r="K46" s="23" t="str" cm="1">
        <f t="array" ref="K46" xml:space="preserve"> INDEX(十五音韻母清單!$B$6:$K$105, 方音韻母排序!$C46,方音韻母排序!K$2)</f>
        <v>io</v>
      </c>
      <c r="L46" s="23" t="str" cm="1">
        <f t="array" ref="L46" xml:space="preserve"> INDEX(十五音韻母清單!$B$6:$K$105, 方音韻母排序!$C46,方音韻母排序!L$2)</f>
        <v>io</v>
      </c>
      <c r="M46" s="23" t="str" cm="1">
        <f t="array" ref="M46" xml:space="preserve"> INDEX(十五音韻母清單!$B$6:$K$105, 方音韻母排序!$C46,方音韻母排序!M$2)</f>
        <v>io</v>
      </c>
    </row>
    <row r="47" spans="2:13">
      <c r="B47" s="245" t="s">
        <v>512</v>
      </c>
      <c r="C47" s="21">
        <f xml:space="preserve"> MATCH(B47, 十五音韻母清單!$K$6:$K$105,0)</f>
        <v>69</v>
      </c>
      <c r="D47" s="21" cm="1">
        <f t="array" ref="D47" xml:space="preserve"> INDEX(十五音韻母清單!$B$6:$K$105, $C47, D$2)</f>
        <v>35</v>
      </c>
      <c r="F47" s="21">
        <v>43</v>
      </c>
      <c r="G47" s="23" t="str" cm="1">
        <f t="array" ref="G47" xml:space="preserve"> INDEX(十五音韻母清單!$B$6:$K$105, $C47, G$2)</f>
        <v>ㄧㆧ</v>
      </c>
      <c r="H47" s="23" t="str" cm="1">
        <f t="array" ref="H47" xml:space="preserve"> INDEX(十五音韻母清單!$B$6:$K$105, $C47, H$2)</f>
        <v>ionn</v>
      </c>
      <c r="I47" s="21" t="str" cm="1">
        <f t="array" ref="I47" xml:space="preserve"> INDEX(十五音韻母清單!$B$6:$K$105, $C47, I$2)</f>
        <v>薑</v>
      </c>
      <c r="J47" s="23" t="str" cm="1">
        <f t="array" ref="J47" xml:space="preserve"> INDEX(十五音韻母清單!$B$6:$K$105, 方音韻母排序!$C47,方音韻母排序!J$2)</f>
        <v>ioⁿ</v>
      </c>
      <c r="K47" s="23" t="str" cm="1">
        <f t="array" ref="K47" xml:space="preserve"> INDEX(十五音韻母清單!$B$6:$K$105, 方音韻母排序!$C47,方音韻母排序!K$2)</f>
        <v>ionn</v>
      </c>
      <c r="L47" s="23" t="str" cm="1">
        <f t="array" ref="L47" xml:space="preserve"> INDEX(十五音韻母清單!$B$6:$K$105, 方音韻母排序!$C47,方音韻母排序!L$2)</f>
        <v>nioo</v>
      </c>
      <c r="M47" s="23" t="str" cm="1">
        <f t="array" ref="M47" xml:space="preserve"> INDEX(十五音韻母清單!$B$6:$K$105, 方音韻母排序!$C47,方音韻母排序!M$2)</f>
        <v>ĩɔ̃</v>
      </c>
    </row>
    <row r="48" spans="2:13">
      <c r="B48" s="245" t="s">
        <v>484</v>
      </c>
      <c r="C48" s="21">
        <f xml:space="preserve"> MATCH(B48, 十五音韻母清單!$K$6:$K$105,0)</f>
        <v>66</v>
      </c>
      <c r="D48" s="21" cm="1">
        <f t="array" ref="D48" xml:space="preserve"> INDEX(十五音韻母清單!$B$6:$K$105, $C48, D$2)</f>
        <v>33</v>
      </c>
      <c r="F48" s="21">
        <v>44</v>
      </c>
      <c r="G48" s="23" t="str" cm="1">
        <f t="array" ref="G48" xml:space="preserve"> INDEX(十五音韻母清單!$B$6:$K$105, $C48, G$2)</f>
        <v>ㄧㄜㆷ</v>
      </c>
      <c r="H48" s="23" t="str" cm="1">
        <f t="array" ref="H48" xml:space="preserve"> INDEX(十五音韻母清單!$B$6:$K$105, $C48, H$2)</f>
        <v>ioh</v>
      </c>
      <c r="I48" s="21" t="str" cm="1">
        <f t="array" ref="I48" xml:space="preserve"> INDEX(十五音韻母清單!$B$6:$K$105, $C48, I$2)</f>
        <v>茄</v>
      </c>
      <c r="J48" s="23" t="str" cm="1">
        <f t="array" ref="J48" xml:space="preserve"> INDEX(十五音韻母清單!$B$6:$K$105, 方音韻母排序!$C48,方音韻母排序!J$2)</f>
        <v>ioh</v>
      </c>
      <c r="K48" s="23" t="str" cm="1">
        <f t="array" ref="K48" xml:space="preserve"> INDEX(十五音韻母清單!$B$6:$K$105, 方音韻母排序!$C48,方音韻母排序!K$2)</f>
        <v>ioh</v>
      </c>
      <c r="L48" s="23" t="str" cm="1">
        <f t="array" ref="L48" xml:space="preserve"> INDEX(十五音韻母清單!$B$6:$K$105, 方音韻母排序!$C48,方音韻母排序!L$2)</f>
        <v>ioh</v>
      </c>
      <c r="M48" s="23" t="str" cm="1">
        <f t="array" ref="M48" xml:space="preserve"> INDEX(十五音韻母清單!$B$6:$K$105, 方音韻母排序!$C48,方音韻母排序!M$2)</f>
        <v>iə?</v>
      </c>
    </row>
    <row r="49" spans="2:13">
      <c r="B49" s="245" t="s">
        <v>293</v>
      </c>
      <c r="C49" s="21">
        <f xml:space="preserve"> MATCH(B49, 十五音韻母清單!$K$6:$K$105,0)</f>
        <v>27</v>
      </c>
      <c r="D49" s="21" cm="1">
        <f t="array" ref="D49" xml:space="preserve"> INDEX(十五音韻母清單!$B$6:$K$105, $C49, D$2)</f>
        <v>14</v>
      </c>
      <c r="F49" s="21">
        <v>45</v>
      </c>
      <c r="G49" s="23" t="str" cm="1">
        <f t="array" ref="G49" xml:space="preserve"> INDEX(十五音韻母清單!$B$6:$K$105, $C49, G$2)</f>
        <v>ㄧㆲ</v>
      </c>
      <c r="H49" s="23" t="str" cm="1">
        <f t="array" ref="H49" xml:space="preserve"> INDEX(十五音韻母清單!$B$6:$K$105, $C49, H$2)</f>
        <v>iong</v>
      </c>
      <c r="I49" s="21" t="str" cm="1">
        <f t="array" ref="I49" xml:space="preserve"> INDEX(十五音韻母清單!$B$6:$K$105, $C49, I$2)</f>
        <v>恭</v>
      </c>
      <c r="J49" s="23" t="str" cm="1">
        <f t="array" ref="J49" xml:space="preserve"> INDEX(十五音韻母清單!$B$6:$K$105, 方音韻母排序!$C49,方音韻母排序!J$2)</f>
        <v>iong</v>
      </c>
      <c r="K49" s="23" t="str" cm="1">
        <f t="array" ref="K49" xml:space="preserve"> INDEX(十五音韻母清單!$B$6:$K$105, 方音韻母排序!$C49,方音韻母排序!K$2)</f>
        <v>iong</v>
      </c>
      <c r="L49" s="23" t="str" cm="1">
        <f t="array" ref="L49" xml:space="preserve"> INDEX(十五音韻母清單!$B$6:$K$105, 方音韻母排序!$C49,方音韻母排序!L$2)</f>
        <v>iong</v>
      </c>
      <c r="M49" s="23" t="str" cm="1">
        <f t="array" ref="M49" xml:space="preserve"> INDEX(十五音韻母清單!$B$6:$K$105, 方音韻母排序!$C49,方音韻母排序!M$2)</f>
        <v>iɔŋ</v>
      </c>
    </row>
    <row r="50" spans="2:13">
      <c r="B50" s="245" t="s">
        <v>294</v>
      </c>
      <c r="C50" s="21">
        <f xml:space="preserve"> MATCH(B50, 十五音韻母清單!$K$6:$K$105,0)</f>
        <v>28</v>
      </c>
      <c r="D50" s="21" cm="1">
        <f t="array" ref="D50" xml:space="preserve"> INDEX(十五音韻母清單!$B$6:$K$105, $C50, D$2)</f>
        <v>14</v>
      </c>
      <c r="F50" s="21">
        <v>46</v>
      </c>
      <c r="G50" s="23" t="str" cm="1">
        <f t="array" ref="G50" xml:space="preserve"> INDEX(十五音韻母清單!$B$6:$K$105, $C50, G$2)</f>
        <v>ㄧㆦㆻ</v>
      </c>
      <c r="H50" s="23" t="str" cm="1">
        <f t="array" ref="H50" xml:space="preserve"> INDEX(十五音韻母清單!$B$6:$K$105, $C50, H$2)</f>
        <v>iok</v>
      </c>
      <c r="I50" s="21" t="str" cm="1">
        <f t="array" ref="I50" xml:space="preserve"> INDEX(十五音韻母清單!$B$6:$K$105, $C50, I$2)</f>
        <v>恭</v>
      </c>
      <c r="J50" s="23" t="str" cm="1">
        <f t="array" ref="J50" xml:space="preserve"> INDEX(十五音韻母清單!$B$6:$K$105, 方音韻母排序!$C50,方音韻母排序!J$2)</f>
        <v>iok</v>
      </c>
      <c r="K50" s="23" t="str" cm="1">
        <f t="array" ref="K50" xml:space="preserve"> INDEX(十五音韻母清單!$B$6:$K$105, 方音韻母排序!$C50,方音韻母排序!K$2)</f>
        <v>iok</v>
      </c>
      <c r="L50" s="23" t="str" cm="1">
        <f t="array" ref="L50" xml:space="preserve"> INDEX(十五音韻母清單!$B$6:$K$105, 方音韻母排序!$C50,方音韻母排序!L$2)</f>
        <v>iok</v>
      </c>
      <c r="M50" s="23" t="str" cm="1">
        <f t="array" ref="M50" xml:space="preserve"> INDEX(十五音韻母清單!$B$6:$K$105, 方音韻母排序!$C50,方音韻母排序!M$2)</f>
        <v>iɔk̚</v>
      </c>
    </row>
    <row r="51" spans="2:13">
      <c r="B51" s="245" t="s">
        <v>443</v>
      </c>
      <c r="C51" s="21">
        <f xml:space="preserve"> MATCH(B51, 十五音韻母清單!$K$6:$K$105,0)</f>
        <v>59</v>
      </c>
      <c r="D51" s="21" cm="1">
        <f t="array" ref="D51" xml:space="preserve"> INDEX(十五音韻母清單!$B$6:$K$105, $C51, D$2)</f>
        <v>30</v>
      </c>
      <c r="F51" s="21">
        <v>47</v>
      </c>
      <c r="G51" s="23" t="str" cm="1">
        <f t="array" ref="G51" xml:space="preserve"> INDEX(十五音韻母清單!$B$6:$K$105, $C51, G$2)</f>
        <v>ㄧㄨ</v>
      </c>
      <c r="H51" s="23" t="str" cm="1">
        <f t="array" ref="H51" xml:space="preserve"> INDEX(十五音韻母清單!$B$6:$K$105, $C51, H$2)</f>
        <v>iu</v>
      </c>
      <c r="I51" s="21" t="str" cm="1">
        <f t="array" ref="I51" xml:space="preserve"> INDEX(十五音韻母清單!$B$6:$K$105, $C51, I$2)</f>
        <v>丩</v>
      </c>
      <c r="J51" s="23" t="str" cm="1">
        <f t="array" ref="J51" xml:space="preserve"> INDEX(十五音韻母清單!$B$6:$K$105, 方音韻母排序!$C51,方音韻母排序!J$2)</f>
        <v>iu</v>
      </c>
      <c r="K51" s="23" t="str" cm="1">
        <f t="array" ref="K51" xml:space="preserve"> INDEX(十五音韻母清單!$B$6:$K$105, 方音韻母排序!$C51,方音韻母排序!K$2)</f>
        <v>iu</v>
      </c>
      <c r="L51" s="23" t="str" cm="1">
        <f t="array" ref="L51" xml:space="preserve"> INDEX(十五音韻母清單!$B$6:$K$105, 方音韻母排序!$C51,方音韻母排序!L$2)</f>
        <v>iu</v>
      </c>
      <c r="M51" s="23" t="str" cm="1">
        <f t="array" ref="M51" xml:space="preserve"> INDEX(十五音韻母清單!$B$6:$K$105, 方音韻母排序!$C51,方音韻母排序!M$2)</f>
        <v>iu</v>
      </c>
    </row>
    <row r="52" spans="2:13">
      <c r="B52" s="245" t="s">
        <v>685</v>
      </c>
      <c r="C52" s="21">
        <f xml:space="preserve"> MATCH(B52, 十五音韻母清單!$K$6:$K$105,0)</f>
        <v>99</v>
      </c>
      <c r="D52" s="21" cm="1">
        <f t="array" ref="D52" xml:space="preserve"> INDEX(十五音韻母清單!$B$6:$K$105, $C52, D$2)</f>
        <v>50</v>
      </c>
      <c r="F52" s="21">
        <v>48</v>
      </c>
      <c r="G52" s="23" t="str" cm="1">
        <f t="array" ref="G52" xml:space="preserve"> INDEX(十五音韻母清單!$B$6:$K$105, $C52, G$2)</f>
        <v>ㄧㆫ</v>
      </c>
      <c r="H52" s="23" t="str" cm="1">
        <f t="array" ref="H52" xml:space="preserve"> INDEX(十五音韻母清單!$B$6:$K$105, $C52, H$2)</f>
        <v>iunn</v>
      </c>
      <c r="I52" s="21" t="str" cm="1">
        <f t="array" ref="I52" xml:space="preserve"> INDEX(十五音韻母清單!$B$6:$K$105, $C52, I$2)</f>
        <v>牛</v>
      </c>
      <c r="J52" s="23" t="str" cm="1">
        <f t="array" ref="J52" xml:space="preserve"> INDEX(十五音韻母清單!$B$6:$K$105, 方音韻母排序!$C52,方音韻母排序!J$2)</f>
        <v>iuⁿ</v>
      </c>
      <c r="K52" s="23" t="str" cm="1">
        <f t="array" ref="K52" xml:space="preserve"> INDEX(十五音韻母清單!$B$6:$K$105, 方音韻母排序!$C52,方音韻母排序!K$2)</f>
        <v>iunn</v>
      </c>
      <c r="L52" s="23" t="str" cm="1">
        <f t="array" ref="L52" xml:space="preserve"> INDEX(十五音韻母清單!$B$6:$K$105, 方音韻母排序!$C52,方音韻母排序!L$2)</f>
        <v>niu</v>
      </c>
      <c r="M52" s="23" t="str" cm="1">
        <f t="array" ref="M52" xml:space="preserve"> INDEX(十五音韻母清單!$B$6:$K$105, 方音韻母排序!$C52,方音韻母排序!M$2)</f>
        <v>ĩũ</v>
      </c>
    </row>
    <row r="53" spans="2:13">
      <c r="B53" s="245" t="s">
        <v>686</v>
      </c>
      <c r="C53" s="21">
        <f xml:space="preserve"> MATCH(B53, 十五音韻母清單!$K$6:$K$105,0)</f>
        <v>100</v>
      </c>
      <c r="D53" s="21" cm="1">
        <f t="array" ref="D53" xml:space="preserve"> INDEX(十五音韻母清單!$B$6:$K$105, $C53, D$2)</f>
        <v>50</v>
      </c>
      <c r="F53" s="21">
        <v>49</v>
      </c>
      <c r="G53" s="23" t="str" cm="1">
        <f t="array" ref="G53" xml:space="preserve"> INDEX(十五音韻母清單!$B$6:$K$105, $C53, G$2)</f>
        <v>ㄧㆫㆷ</v>
      </c>
      <c r="H53" s="23" t="str" cm="1">
        <f t="array" ref="H53" xml:space="preserve"> INDEX(十五音韻母清單!$B$6:$K$105, $C53, H$2)</f>
        <v>iunnh</v>
      </c>
      <c r="I53" s="21" t="str" cm="1">
        <f t="array" ref="I53" xml:space="preserve"> INDEX(十五音韻母清單!$B$6:$K$105, $C53, I$2)</f>
        <v>牛</v>
      </c>
      <c r="J53" s="23" t="str" cm="1">
        <f t="array" ref="J53" xml:space="preserve"> INDEX(十五音韻母清單!$B$6:$K$105, 方音韻母排序!$C53,方音韻母排序!J$2)</f>
        <v>iuhⁿ</v>
      </c>
      <c r="K53" s="23" t="str" cm="1">
        <f t="array" ref="K53" xml:space="preserve"> INDEX(十五音韻母清單!$B$6:$K$105, 方音韻母排序!$C53,方音韻母排序!K$2)</f>
        <v>iunnh</v>
      </c>
      <c r="L53" s="23" t="str" cm="1">
        <f t="array" ref="L53" xml:space="preserve"> INDEX(十五音韻母清單!$B$6:$K$105, 方音韻母排序!$C53,方音韻母排序!L$2)</f>
        <v>niuh</v>
      </c>
      <c r="M53" s="23" t="str" cm="1">
        <f t="array" ref="M53" xml:space="preserve"> INDEX(十五音韻母清單!$B$6:$K$105, 方音韻母排序!$C53,方音韻母排序!M$2)</f>
        <v>iũh</v>
      </c>
    </row>
    <row r="54" spans="2:13">
      <c r="B54" s="245" t="s">
        <v>302</v>
      </c>
      <c r="C54" s="21">
        <f xml:space="preserve"> MATCH(B54, 十五音韻母清單!$K$6:$K$105,0)</f>
        <v>29</v>
      </c>
      <c r="D54" s="21" cm="1">
        <f t="array" ref="D54" xml:space="preserve"> INDEX(十五音韻母清單!$B$6:$K$105, $C54, D$2)</f>
        <v>15</v>
      </c>
      <c r="F54" s="21">
        <v>50</v>
      </c>
      <c r="G54" s="23" t="str" cm="1">
        <f t="array" ref="G54" xml:space="preserve"> INDEX(十五音韻母清單!$B$6:$K$105, $C54, G$2)</f>
        <v>ㄜ</v>
      </c>
      <c r="H54" s="23" t="str" cm="1">
        <f t="array" ref="H54" xml:space="preserve"> INDEX(十五音韻母清單!$B$6:$K$105, $C54, H$2)</f>
        <v>o</v>
      </c>
      <c r="I54" s="21" t="str" cm="1">
        <f t="array" ref="I54" xml:space="preserve"> INDEX(十五音韻母清單!$B$6:$K$105, $C54, I$2)</f>
        <v>高</v>
      </c>
      <c r="J54" s="23" t="str" cm="1">
        <f t="array" ref="J54" xml:space="preserve"> INDEX(十五音韻母清單!$B$6:$K$105, 方音韻母排序!$C54,方音韻母排序!J$2)</f>
        <v>o</v>
      </c>
      <c r="K54" s="23" t="str" cm="1">
        <f t="array" ref="K54" xml:space="preserve"> INDEX(十五音韻母清單!$B$6:$K$105, 方音韻母排序!$C54,方音韻母排序!K$2)</f>
        <v>o</v>
      </c>
      <c r="L54" s="23" t="str" cm="1">
        <f t="array" ref="L54" xml:space="preserve"> INDEX(十五音韻母清單!$B$6:$K$105, 方音韻母排序!$C54,方音韻母排序!L$2)</f>
        <v>o</v>
      </c>
      <c r="M54" s="23" t="str" cm="1">
        <f t="array" ref="M54" xml:space="preserve"> INDEX(十五音韻母清單!$B$6:$K$105, 方音韻母排序!$C54,方音韻母排序!M$2)</f>
        <v>o</v>
      </c>
    </row>
    <row r="55" spans="2:13">
      <c r="B55" s="245" t="s">
        <v>259</v>
      </c>
      <c r="C55" s="21">
        <f xml:space="preserve"> MATCH(B55, 十五音韻母清單!$K$6:$K$105,0)</f>
        <v>21</v>
      </c>
      <c r="D55" s="21" cm="1">
        <f t="array" ref="D55" xml:space="preserve"> INDEX(十五音韻母清單!$B$6:$K$105, $C55, D$2)</f>
        <v>11</v>
      </c>
      <c r="F55" s="21">
        <v>51</v>
      </c>
      <c r="G55" s="23" t="str" cm="1">
        <f t="array" ref="G55" xml:space="preserve"> INDEX(十五音韻母清單!$B$6:$K$105, $C55, G$2)</f>
        <v>ㆦ</v>
      </c>
      <c r="H55" s="23" t="str" cm="1">
        <f t="array" ref="H55" xml:space="preserve"> INDEX(十五音韻母清單!$B$6:$K$105, $C55, H$2)</f>
        <v>oo</v>
      </c>
      <c r="I55" s="21" t="str" cm="1">
        <f t="array" ref="I55" xml:space="preserve"> INDEX(十五音韻母清單!$B$6:$K$105, $C55, I$2)</f>
        <v>沽</v>
      </c>
      <c r="J55" s="23" t="str" cm="1">
        <f t="array" ref="J55" xml:space="preserve"> INDEX(十五音韻母清單!$B$6:$K$105, 方音韻母排序!$C55,方音韻母排序!J$2)</f>
        <v>o͘</v>
      </c>
      <c r="K55" s="23" t="str" cm="1">
        <f t="array" ref="K55" xml:space="preserve"> INDEX(十五音韻母清單!$B$6:$K$105, 方音韻母排序!$C55,方音韻母排序!K$2)</f>
        <v>oo</v>
      </c>
      <c r="L55" s="23" t="str" cm="1">
        <f t="array" ref="L55" xml:space="preserve"> INDEX(十五音韻母清單!$B$6:$K$105, 方音韻母排序!$C55,方音韻母排序!L$2)</f>
        <v>oo</v>
      </c>
      <c r="M55" s="23" t="str" cm="1">
        <f t="array" ref="M55" xml:space="preserve"> INDEX(十五音韻母清單!$B$6:$K$105, 方音韻母排序!$C55,方音韻母排序!M$2)</f>
        <v>ɔ</v>
      </c>
    </row>
    <row r="56" spans="2:13">
      <c r="B56" s="245" t="s">
        <v>583</v>
      </c>
      <c r="C56" s="21">
        <f xml:space="preserve"> MATCH(B56, 十五音韻母清單!$K$6:$K$105,0)</f>
        <v>81</v>
      </c>
      <c r="D56" s="21" cm="1">
        <f t="array" ref="D56" xml:space="preserve"> INDEX(十五音韻母清單!$B$6:$K$105, $C56, D$2)</f>
        <v>41</v>
      </c>
      <c r="F56" s="21">
        <v>52</v>
      </c>
      <c r="G56" s="23" t="str" cm="1">
        <f t="array" ref="G56" xml:space="preserve"> INDEX(十五音韻母清單!$B$6:$K$105, $C56, G$2)</f>
        <v>ㆧ</v>
      </c>
      <c r="H56" s="23" t="str" cm="1">
        <f t="array" ref="H56" xml:space="preserve"> INDEX(十五音韻母清單!$B$6:$K$105, $C56, H$2)</f>
        <v>onn</v>
      </c>
      <c r="I56" s="21" t="str" cm="1">
        <f t="array" ref="I56" xml:space="preserve"> INDEX(十五音韻母清單!$B$6:$K$105, $C56, I$2)</f>
        <v>姑</v>
      </c>
      <c r="J56" s="23" t="str" cm="1">
        <f t="array" ref="J56" xml:space="preserve"> INDEX(十五音韻母清單!$B$6:$K$105, 方音韻母排序!$C56,方音韻母排序!J$2)</f>
        <v>oⁿ</v>
      </c>
      <c r="K56" s="23" t="str" cm="1">
        <f t="array" ref="K56" xml:space="preserve"> INDEX(十五音韻母清單!$B$6:$K$105, 方音韻母排序!$C56,方音韻母排序!K$2)</f>
        <v>onn</v>
      </c>
      <c r="L56" s="23" t="str" cm="1">
        <f t="array" ref="L56" xml:space="preserve"> INDEX(十五音韻母清單!$B$6:$K$105, 方音韻母排序!$C56,方音韻母排序!L$2)</f>
        <v>noo</v>
      </c>
      <c r="M56" s="23" t="str" cm="1">
        <f t="array" ref="M56" xml:space="preserve"> INDEX(十五音韻母清單!$B$6:$K$105, 方音韻母排序!$C56,方音韻母排序!M$2)</f>
        <v>ɔ̃</v>
      </c>
    </row>
    <row r="57" spans="2:13">
      <c r="B57" s="245" t="s">
        <v>303</v>
      </c>
      <c r="C57" s="21">
        <f xml:space="preserve"> MATCH(B57, 十五音韻母清單!$K$6:$K$105,0)</f>
        <v>30</v>
      </c>
      <c r="D57" s="21" cm="1">
        <f t="array" ref="D57" xml:space="preserve"> INDEX(十五音韻母清單!$B$6:$K$105, $C57, D$2)</f>
        <v>15</v>
      </c>
      <c r="F57" s="21">
        <v>53</v>
      </c>
      <c r="G57" s="23" t="str" cm="1">
        <f t="array" ref="G57" xml:space="preserve"> INDEX(十五音韻母清單!$B$6:$K$105, $C57, G$2)</f>
        <v>ㄜㆷ</v>
      </c>
      <c r="H57" s="23" t="str" cm="1">
        <f t="array" ref="H57" xml:space="preserve"> INDEX(十五音韻母清單!$B$6:$K$105, $C57, H$2)</f>
        <v>oh</v>
      </c>
      <c r="I57" s="21" t="str" cm="1">
        <f t="array" ref="I57" xml:space="preserve"> INDEX(十五音韻母清單!$B$6:$K$105, $C57, I$2)</f>
        <v>高</v>
      </c>
      <c r="J57" s="23" t="str" cm="1">
        <f t="array" ref="J57" xml:space="preserve"> INDEX(十五音韻母清單!$B$6:$K$105, 方音韻母排序!$C57,方音韻母排序!J$2)</f>
        <v>oh</v>
      </c>
      <c r="K57" s="23" t="str" cm="1">
        <f t="array" ref="K57" xml:space="preserve"> INDEX(十五音韻母清單!$B$6:$K$105, 方音韻母排序!$C57,方音韻母排序!K$2)</f>
        <v>oh</v>
      </c>
      <c r="L57" s="23" t="str" cm="1">
        <f t="array" ref="L57" xml:space="preserve"> INDEX(十五音韻母清單!$B$6:$K$105, 方音韻母排序!$C57,方音韻母排序!L$2)</f>
        <v>oh</v>
      </c>
      <c r="M57" s="23" t="str" cm="1">
        <f t="array" ref="M57" xml:space="preserve"> INDEX(十五音韻母清單!$B$6:$K$105, 方音韻母排序!$C57,方音韻母排序!M$2)</f>
        <v>ə?</v>
      </c>
    </row>
    <row r="58" spans="2:13">
      <c r="B58" s="245" t="s">
        <v>260</v>
      </c>
      <c r="C58" s="21">
        <f xml:space="preserve"> MATCH(B58, 十五音韻母清單!$K$6:$K$105,0)</f>
        <v>22</v>
      </c>
      <c r="D58" s="21" cm="1">
        <f t="array" ref="D58" xml:space="preserve"> INDEX(十五音韻母清單!$B$6:$K$105, $C58, D$2)</f>
        <v>11</v>
      </c>
      <c r="F58" s="21">
        <v>54</v>
      </c>
      <c r="G58" s="23" t="str" cm="1">
        <f t="array" ref="G58" xml:space="preserve"> INDEX(十五音韻母清單!$B$6:$K$105, $C58, G$2)</f>
        <v>ㆦㆷ</v>
      </c>
      <c r="H58" s="23" t="str" cm="1">
        <f t="array" ref="H58" xml:space="preserve"> INDEX(十五音韻母清單!$B$6:$K$105, $C58, H$2)</f>
        <v>ooh</v>
      </c>
      <c r="I58" s="21" t="str" cm="1">
        <f t="array" ref="I58" xml:space="preserve"> INDEX(十五音韻母清單!$B$6:$K$105, $C58, I$2)</f>
        <v>沽</v>
      </c>
      <c r="J58" s="23" t="str" cm="1">
        <f t="array" ref="J58" xml:space="preserve"> INDEX(十五音韻母清單!$B$6:$K$105, 方音韻母排序!$C58,方音韻母排序!J$2)</f>
        <v>o͘h</v>
      </c>
      <c r="K58" s="23" t="str" cm="1">
        <f t="array" ref="K58" xml:space="preserve"> INDEX(十五音韻母清單!$B$6:$K$105, 方音韻母排序!$C58,方音韻母排序!K$2)</f>
        <v>ooh</v>
      </c>
      <c r="L58" s="23" t="str" cm="1">
        <f t="array" ref="L58" xml:space="preserve"> INDEX(十五音韻母清單!$B$6:$K$105, 方音韻母排序!$C58,方音韻母排序!L$2)</f>
        <v>ooh</v>
      </c>
      <c r="M58" s="23" t="str" cm="1">
        <f t="array" ref="M58" xml:space="preserve"> INDEX(十五音韻母清單!$B$6:$K$105, 方音韻母排序!$C58,方音韻母排序!M$2)</f>
        <v>ɔu?</v>
      </c>
    </row>
    <row r="59" spans="2:13">
      <c r="B59" s="245" t="s">
        <v>584</v>
      </c>
      <c r="C59" s="21">
        <f xml:space="preserve"> MATCH(B59, 十五音韻母清單!$K$6:$K$105,0)</f>
        <v>82</v>
      </c>
      <c r="D59" s="21" cm="1">
        <f t="array" ref="D59" xml:space="preserve"> INDEX(十五音韻母清單!$B$6:$K$105, $C59, D$2)</f>
        <v>41</v>
      </c>
      <c r="F59" s="21">
        <v>55</v>
      </c>
      <c r="G59" s="23" t="str" cm="1">
        <f t="array" ref="G59" xml:space="preserve"> INDEX(十五音韻母清單!$B$6:$K$105, $C59, G$2)</f>
        <v>ㆧㆷ</v>
      </c>
      <c r="H59" s="23" t="str" cm="1">
        <f t="array" ref="H59" xml:space="preserve"> INDEX(十五音韻母清單!$B$6:$K$105, $C59, H$2)</f>
        <v>onnh</v>
      </c>
      <c r="I59" s="21" t="str" cm="1">
        <f t="array" ref="I59" xml:space="preserve"> INDEX(十五音韻母清單!$B$6:$K$105, $C59, I$2)</f>
        <v>姑</v>
      </c>
      <c r="J59" s="23" t="str" cm="1">
        <f t="array" ref="J59" xml:space="preserve"> INDEX(十五音韻母清單!$B$6:$K$105, 方音韻母排序!$C59,方音韻母排序!J$2)</f>
        <v>ohⁿ</v>
      </c>
      <c r="K59" s="23" t="str" cm="1">
        <f t="array" ref="K59" xml:space="preserve"> INDEX(十五音韻母清單!$B$6:$K$105, 方音韻母排序!$C59,方音韻母排序!K$2)</f>
        <v>onnh</v>
      </c>
      <c r="L59" s="23" t="str" cm="1">
        <f t="array" ref="L59" xml:space="preserve"> INDEX(十五音韻母清單!$B$6:$K$105, 方音韻母排序!$C59,方音韻母排序!L$2)</f>
        <v>nooh</v>
      </c>
      <c r="M59" s="23" t="str" cm="1">
        <f t="array" ref="M59" xml:space="preserve"> INDEX(十五音韻母清單!$B$6:$K$105, 方音韻母排序!$C59,方音韻母排序!M$2)</f>
        <v>ɔ̃?</v>
      </c>
    </row>
    <row r="60" spans="2:13">
      <c r="B60" s="245" t="s">
        <v>653</v>
      </c>
      <c r="C60" s="21">
        <f xml:space="preserve"> MATCH(B60, 十五音韻母清單!$K$6:$K$105,0)</f>
        <v>93</v>
      </c>
      <c r="D60" s="21" cm="1">
        <f t="array" ref="D60" xml:space="preserve"> INDEX(十五音韻母清單!$B$6:$K$105, $C60, D$2)</f>
        <v>47</v>
      </c>
      <c r="F60" s="21">
        <v>56</v>
      </c>
      <c r="G60" s="23" t="str" cm="1">
        <f t="array" ref="G60" xml:space="preserve"> INDEX(十五音韻母清單!$B$6:$K$105, $C60, G$2)</f>
        <v>ㆱ</v>
      </c>
      <c r="H60" s="23" t="str" cm="1">
        <f t="array" ref="H60" xml:space="preserve"> INDEX(十五音韻母清單!$B$6:$K$105, $C60, H$2)</f>
        <v>om</v>
      </c>
      <c r="I60" s="21" t="str" cm="1">
        <f t="array" ref="I60" xml:space="preserve"> INDEX(十五音韻母清單!$B$6:$K$105, $C60, I$2)</f>
        <v>箴</v>
      </c>
      <c r="J60" s="23" t="str" cm="1">
        <f t="array" ref="J60" xml:space="preserve"> INDEX(十五音韻母清單!$B$6:$K$105, 方音韻母排序!$C60,方音韻母排序!J$2)</f>
        <v>om</v>
      </c>
      <c r="K60" s="23" t="str" cm="1">
        <f t="array" ref="K60" xml:space="preserve"> INDEX(十五音韻母清單!$B$6:$K$105, 方音韻母排序!$C60,方音韻母排序!K$2)</f>
        <v>om</v>
      </c>
      <c r="L60" s="23" t="str" cm="1">
        <f t="array" ref="L60" xml:space="preserve"> INDEX(十五音韻母清單!$B$6:$K$105, 方音韻母排序!$C60,方音韻母排序!L$2)</f>
        <v>om</v>
      </c>
      <c r="M60" s="23" t="str" cm="1">
        <f t="array" ref="M60" xml:space="preserve"> INDEX(十五音韻母清單!$B$6:$K$105, 方音韻母排序!$C60,方音韻母排序!M$2)</f>
        <v>ɔm</v>
      </c>
    </row>
    <row r="61" spans="2:13">
      <c r="B61" s="245" t="s">
        <v>215</v>
      </c>
      <c r="C61" s="21">
        <f xml:space="preserve"> MATCH(B61, 十五音韻母清單!$K$6:$K$105,0)</f>
        <v>13</v>
      </c>
      <c r="D61" s="21" cm="1">
        <f t="array" ref="D61" xml:space="preserve"> INDEX(十五音韻母清單!$B$6:$K$105, $C61, D$2)</f>
        <v>7</v>
      </c>
      <c r="F61" s="21">
        <v>57</v>
      </c>
      <c r="G61" s="23" t="str" cm="1">
        <f t="array" ref="G61" xml:space="preserve"> INDEX(十五音韻母清單!$B$6:$K$105, $C61, G$2)</f>
        <v>ㆲ</v>
      </c>
      <c r="H61" s="23" t="str" cm="1">
        <f t="array" ref="H61" xml:space="preserve"> INDEX(十五音韻母清單!$B$6:$K$105, $C61, H$2)</f>
        <v>ong</v>
      </c>
      <c r="I61" s="21" t="str" cm="1">
        <f t="array" ref="I61" xml:space="preserve"> INDEX(十五音韻母清單!$B$6:$K$105, $C61, I$2)</f>
        <v>公</v>
      </c>
      <c r="J61" s="23" t="str" cm="1">
        <f t="array" ref="J61" xml:space="preserve"> INDEX(十五音韻母清單!$B$6:$K$105, 方音韻母排序!$C61,方音韻母排序!J$2)</f>
        <v>ong</v>
      </c>
      <c r="K61" s="23" t="str" cm="1">
        <f t="array" ref="K61" xml:space="preserve"> INDEX(十五音韻母清單!$B$6:$K$105, 方音韻母排序!$C61,方音韻母排序!K$2)</f>
        <v>ong</v>
      </c>
      <c r="L61" s="23" t="str" cm="1">
        <f t="array" ref="L61" xml:space="preserve"> INDEX(十五音韻母清單!$B$6:$K$105, 方音韻母排序!$C61,方音韻母排序!L$2)</f>
        <v>ong</v>
      </c>
      <c r="M61" s="23" t="str" cm="1">
        <f t="array" ref="M61" xml:space="preserve"> INDEX(十五音韻母清單!$B$6:$K$105, 方音韻母排序!$C61,方音韻母排序!M$2)</f>
        <v>ɔŋ</v>
      </c>
    </row>
    <row r="62" spans="2:13">
      <c r="B62" s="245" t="s">
        <v>654</v>
      </c>
      <c r="C62" s="21">
        <f xml:space="preserve"> MATCH(B62, 十五音韻母清單!$K$6:$K$105,0)</f>
        <v>94</v>
      </c>
      <c r="D62" s="21" cm="1">
        <f t="array" ref="D62" xml:space="preserve"> INDEX(十五音韻母清單!$B$6:$K$105, $C62, D$2)</f>
        <v>47</v>
      </c>
      <c r="F62" s="21">
        <v>58</v>
      </c>
      <c r="G62" s="23" t="str" cm="1">
        <f t="array" ref="G62" xml:space="preserve"> INDEX(十五音韻母清單!$B$6:$K$105, $C62, G$2)</f>
        <v>ㆦㆴ</v>
      </c>
      <c r="H62" s="23" t="str" cm="1">
        <f t="array" ref="H62" xml:space="preserve"> INDEX(十五音韻母清單!$B$6:$K$105, $C62, H$2)</f>
        <v>op</v>
      </c>
      <c r="I62" s="21" t="str" cm="1">
        <f t="array" ref="I62" xml:space="preserve"> INDEX(十五音韻母清單!$B$6:$K$105, $C62, I$2)</f>
        <v>箴</v>
      </c>
      <c r="J62" s="23" t="str" cm="1">
        <f t="array" ref="J62" xml:space="preserve"> INDEX(十五音韻母清單!$B$6:$K$105, 方音韻母排序!$C62,方音韻母排序!J$2)</f>
        <v>op</v>
      </c>
      <c r="K62" s="23" t="str" cm="1">
        <f t="array" ref="K62" xml:space="preserve"> INDEX(十五音韻母清單!$B$6:$K$105, 方音韻母排序!$C62,方音韻母排序!K$2)</f>
        <v>op</v>
      </c>
      <c r="L62" s="23" t="str" cm="1">
        <f t="array" ref="L62" xml:space="preserve"> INDEX(十五音韻母清單!$B$6:$K$105, 方音韻母排序!$C62,方音韻母排序!L$2)</f>
        <v>op</v>
      </c>
      <c r="M62" s="23" t="str" cm="1">
        <f t="array" ref="M62" xml:space="preserve"> INDEX(十五音韻母清單!$B$6:$K$105, 方音韻母排序!$C62,方音韻母排序!M$2)</f>
        <v>ɔp̚</v>
      </c>
    </row>
    <row r="63" spans="2:13">
      <c r="B63" s="245" t="s">
        <v>216</v>
      </c>
      <c r="C63" s="21">
        <f xml:space="preserve"> MATCH(B63, 十五音韻母清單!$K$6:$K$105,0)</f>
        <v>14</v>
      </c>
      <c r="D63" s="21" cm="1">
        <f t="array" ref="D63" xml:space="preserve"> INDEX(十五音韻母清單!$B$6:$K$105, $C63, D$2)</f>
        <v>7</v>
      </c>
      <c r="F63" s="21">
        <v>59</v>
      </c>
      <c r="G63" s="23" t="str" cm="1">
        <f t="array" ref="G63" xml:space="preserve"> INDEX(十五音韻母清單!$B$6:$K$105, $C63, G$2)</f>
        <v>ㆦㆻ</v>
      </c>
      <c r="H63" s="23" t="str" cm="1">
        <f t="array" ref="H63" xml:space="preserve"> INDEX(十五音韻母清單!$B$6:$K$105, $C63, H$2)</f>
        <v>ok</v>
      </c>
      <c r="I63" s="21" t="str" cm="1">
        <f t="array" ref="I63" xml:space="preserve"> INDEX(十五音韻母清單!$B$6:$K$105, $C63, I$2)</f>
        <v>公</v>
      </c>
      <c r="J63" s="23" t="str" cm="1">
        <f t="array" ref="J63" xml:space="preserve"> INDEX(十五音韻母清單!$B$6:$K$105, 方音韻母排序!$C63,方音韻母排序!J$2)</f>
        <v>ok</v>
      </c>
      <c r="K63" s="23" t="str" cm="1">
        <f t="array" ref="K63" xml:space="preserve"> INDEX(十五音韻母清單!$B$6:$K$105, 方音韻母排序!$C63,方音韻母排序!K$2)</f>
        <v>ok</v>
      </c>
      <c r="L63" s="23" t="str" cm="1">
        <f t="array" ref="L63" xml:space="preserve"> INDEX(十五音韻母清單!$B$6:$K$105, 方音韻母排序!$C63,方音韻母排序!L$2)</f>
        <v>ok</v>
      </c>
      <c r="M63" s="23" t="str" cm="1">
        <f t="array" ref="M63" xml:space="preserve"> INDEX(十五音韻母清單!$B$6:$K$105, 方音韻母排序!$C63,方音韻母排序!M$2)</f>
        <v>ɔk̚</v>
      </c>
    </row>
    <row r="64" spans="2:13">
      <c r="B64" s="245" t="s">
        <v>418</v>
      </c>
      <c r="C64" s="21">
        <f xml:space="preserve"> MATCH(B64, 十五音韻母清單!$K$6:$K$105,0)</f>
        <v>53</v>
      </c>
      <c r="D64" s="21" cm="1">
        <f t="array" ref="D64" xml:space="preserve"> INDEX(十五音韻母清單!$B$6:$K$105, $C64, D$2)</f>
        <v>27</v>
      </c>
      <c r="F64" s="21">
        <v>60</v>
      </c>
      <c r="G64" s="23" t="str" cm="1">
        <f t="array" ref="G64" xml:space="preserve"> INDEX(十五音韻母清單!$B$6:$K$105, $C64, G$2)</f>
        <v>ㄨ</v>
      </c>
      <c r="H64" s="23" t="str" cm="1">
        <f t="array" ref="H64" xml:space="preserve"> INDEX(十五音韻母清單!$B$6:$K$105, $C64, H$2)</f>
        <v>u</v>
      </c>
      <c r="I64" s="21" t="str" cm="1">
        <f t="array" ref="I64" xml:space="preserve"> INDEX(十五音韻母清單!$B$6:$K$105, $C64, I$2)</f>
        <v>艍</v>
      </c>
      <c r="J64" s="23" t="str" cm="1">
        <f t="array" ref="J64" xml:space="preserve"> INDEX(十五音韻母清單!$B$6:$K$105, 方音韻母排序!$C64,方音韻母排序!J$2)</f>
        <v>u</v>
      </c>
      <c r="K64" s="23" t="str" cm="1">
        <f t="array" ref="K64" xml:space="preserve"> INDEX(十五音韻母清單!$B$6:$K$105, 方音韻母排序!$C64,方音韻母排序!K$2)</f>
        <v>u</v>
      </c>
      <c r="L64" s="23" t="str" cm="1">
        <f t="array" ref="L64" xml:space="preserve"> INDEX(十五音韻母清單!$B$6:$K$105, 方音韻母排序!$C64,方音韻母排序!L$2)</f>
        <v>u</v>
      </c>
      <c r="M64" s="23" t="str" cm="1">
        <f t="array" ref="M64" xml:space="preserve"> INDEX(十五音韻母清單!$B$6:$K$105, 方音韻母排序!$C64,方音韻母排序!M$2)</f>
        <v>u</v>
      </c>
    </row>
    <row r="65" spans="2:13">
      <c r="B65" s="245" t="s">
        <v>419</v>
      </c>
      <c r="C65" s="21">
        <f xml:space="preserve"> MATCH(B65, 十五音韻母清單!$K$6:$K$105,0)</f>
        <v>54</v>
      </c>
      <c r="D65" s="21" cm="1">
        <f t="array" ref="D65" xml:space="preserve"> INDEX(十五音韻母清單!$B$6:$K$105, $C65, D$2)</f>
        <v>27</v>
      </c>
      <c r="F65" s="21">
        <v>61</v>
      </c>
      <c r="G65" s="23" t="str" cm="1">
        <f t="array" ref="G65" xml:space="preserve"> INDEX(十五音韻母清單!$B$6:$K$105, $C65, G$2)</f>
        <v>ㄨㆷ</v>
      </c>
      <c r="H65" s="23" t="str" cm="1">
        <f t="array" ref="H65" xml:space="preserve"> INDEX(十五音韻母清單!$B$6:$K$105, $C65, H$2)</f>
        <v>uh</v>
      </c>
      <c r="I65" s="21" t="str" cm="1">
        <f t="array" ref="I65" xml:space="preserve"> INDEX(十五音韻母清單!$B$6:$K$105, $C65, I$2)</f>
        <v>艍</v>
      </c>
      <c r="J65" s="23" t="str" cm="1">
        <f t="array" ref="J65" xml:space="preserve"> INDEX(十五音韻母清單!$B$6:$K$105, 方音韻母排序!$C65,方音韻母排序!J$2)</f>
        <v>uh</v>
      </c>
      <c r="K65" s="23" t="str" cm="1">
        <f t="array" ref="K65" xml:space="preserve"> INDEX(十五音韻母清單!$B$6:$K$105, 方音韻母排序!$C65,方音韻母排序!K$2)</f>
        <v>uh</v>
      </c>
      <c r="L65" s="23" t="str" cm="1">
        <f t="array" ref="L65" xml:space="preserve"> INDEX(十五音韻母清單!$B$6:$K$105, 方音韻母排序!$C65,方音韻母排序!L$2)</f>
        <v>uh</v>
      </c>
      <c r="M65" s="23" t="str" cm="1">
        <f t="array" ref="M65" xml:space="preserve"> INDEX(十五音韻母清單!$B$6:$K$105, 方音韻母排序!$C65,方音韻母排序!M$2)</f>
        <v>u?</v>
      </c>
    </row>
    <row r="66" spans="2:13">
      <c r="B66" s="245" t="s">
        <v>156</v>
      </c>
      <c r="C66" s="21">
        <f xml:space="preserve"> MATCH(B66, 十五音韻母清單!$K$6:$K$105,0)</f>
        <v>1</v>
      </c>
      <c r="D66" s="21" cm="1">
        <f t="array" ref="D66" xml:space="preserve"> INDEX(十五音韻母清單!$B$6:$K$105, $C66, D$2)</f>
        <v>1</v>
      </c>
      <c r="F66" s="21">
        <v>62</v>
      </c>
      <c r="G66" s="23" t="str" cm="1">
        <f t="array" ref="G66" xml:space="preserve"> INDEX(十五音韻母清單!$B$6:$K$105, $C66, G$2)</f>
        <v>ㄨㄣ</v>
      </c>
      <c r="H66" s="23" t="str" cm="1">
        <f t="array" ref="H66" xml:space="preserve"> INDEX(十五音韻母清單!$B$6:$K$105, $C66, H$2)</f>
        <v>un</v>
      </c>
      <c r="I66" s="21" t="str" cm="1">
        <f t="array" ref="I66" xml:space="preserve"> INDEX(十五音韻母清單!$B$6:$K$105, $C66, I$2)</f>
        <v>君</v>
      </c>
      <c r="J66" s="23" t="str" cm="1">
        <f t="array" ref="J66" xml:space="preserve"> INDEX(十五音韻母清單!$B$6:$K$105, 方音韻母排序!$C66,方音韻母排序!J$2)</f>
        <v>un</v>
      </c>
      <c r="K66" s="23" t="str" cm="1">
        <f t="array" ref="K66" xml:space="preserve"> INDEX(十五音韻母清單!$B$6:$K$105, 方音韻母排序!$C66,方音韻母排序!K$2)</f>
        <v>un</v>
      </c>
      <c r="L66" s="23" t="str" cm="1">
        <f t="array" ref="L66" xml:space="preserve"> INDEX(十五音韻母清單!$B$6:$K$105, 方音韻母排序!$C66,方音韻母排序!L$2)</f>
        <v>un</v>
      </c>
      <c r="M66" s="23" t="str" cm="1">
        <f t="array" ref="M66" xml:space="preserve"> INDEX(十五音韻母清單!$B$6:$K$105, 方音韻母排序!$C66,方音韻母排序!M$2)</f>
        <v>un</v>
      </c>
    </row>
    <row r="67" spans="2:13">
      <c r="B67" s="245" t="s">
        <v>157</v>
      </c>
      <c r="C67" s="21">
        <f xml:space="preserve"> MATCH(B67, 十五音韻母清單!$K$6:$K$105,0)</f>
        <v>2</v>
      </c>
      <c r="D67" s="21" cm="1">
        <f t="array" ref="D67" xml:space="preserve"> INDEX(十五音韻母清單!$B$6:$K$105, $C67, D$2)</f>
        <v>1</v>
      </c>
      <c r="F67" s="21">
        <v>63</v>
      </c>
      <c r="G67" s="23" t="str" cm="1">
        <f t="array" ref="G67" xml:space="preserve"> INDEX(十五音韻母清單!$B$6:$K$105, $C67, G$2)</f>
        <v>ㄨㆵ</v>
      </c>
      <c r="H67" s="23" t="str" cm="1">
        <f t="array" ref="H67" xml:space="preserve"> INDEX(十五音韻母清單!$B$6:$K$105, $C67, H$2)</f>
        <v>ut</v>
      </c>
      <c r="I67" s="21" t="str" cm="1">
        <f t="array" ref="I67" xml:space="preserve"> INDEX(十五音韻母清單!$B$6:$K$105, $C67, I$2)</f>
        <v>君</v>
      </c>
      <c r="J67" s="23" t="str" cm="1">
        <f t="array" ref="J67" xml:space="preserve"> INDEX(十五音韻母清單!$B$6:$K$105, 方音韻母排序!$C67,方音韻母排序!J$2)</f>
        <v>ut</v>
      </c>
      <c r="K67" s="23" t="str" cm="1">
        <f t="array" ref="K67" xml:space="preserve"> INDEX(十五音韻母清單!$B$6:$K$105, 方音韻母排序!$C67,方音韻母排序!K$2)</f>
        <v>ut</v>
      </c>
      <c r="L67" s="23" t="str" cm="1">
        <f t="array" ref="L67" xml:space="preserve"> INDEX(十五音韻母清單!$B$6:$K$105, 方音韻母排序!$C67,方音韻母排序!L$2)</f>
        <v>ut</v>
      </c>
      <c r="M67" s="23" t="str" cm="1">
        <f t="array" ref="M67" xml:space="preserve"> INDEX(十五音韻母清單!$B$6:$K$105, 方音韻母排序!$C67,方音韻母排序!M$2)</f>
        <v>ut̚</v>
      </c>
    </row>
    <row r="68" spans="2:13">
      <c r="B68" s="245" t="s">
        <v>345</v>
      </c>
      <c r="C68" s="21">
        <f xml:space="preserve"> MATCH(B68, 十五音韻母清單!$K$6:$K$105,0)</f>
        <v>39</v>
      </c>
      <c r="D68" s="21" cm="1">
        <f t="array" ref="D68" xml:space="preserve"> INDEX(十五音韻母清單!$B$6:$K$105, $C68, D$2)</f>
        <v>20</v>
      </c>
      <c r="F68" s="21">
        <v>64</v>
      </c>
      <c r="G68" s="23" t="str" cm="1">
        <f t="array" ref="G68" xml:space="preserve"> INDEX(十五音韻母清單!$B$6:$K$105, $C68, G$2)</f>
        <v>ㄨㄚ</v>
      </c>
      <c r="H68" s="23" t="str" cm="1">
        <f t="array" ref="H68" xml:space="preserve"> INDEX(十五音韻母清單!$B$6:$K$105, $C68, H$2)</f>
        <v>ua</v>
      </c>
      <c r="I68" s="21" t="str" cm="1">
        <f t="array" ref="I68" xml:space="preserve"> INDEX(十五音韻母清單!$B$6:$K$105, $C68, I$2)</f>
        <v>瓜</v>
      </c>
      <c r="J68" s="23" t="str" cm="1">
        <f t="array" ref="J68" xml:space="preserve"> INDEX(十五音韻母清單!$B$6:$K$105, 方音韻母排序!$C68,方音韻母排序!J$2)</f>
        <v>oa</v>
      </c>
      <c r="K68" s="23" t="str" cm="1">
        <f t="array" ref="K68" xml:space="preserve"> INDEX(十五音韻母清單!$B$6:$K$105, 方音韻母排序!$C68,方音韻母排序!K$2)</f>
        <v>ua</v>
      </c>
      <c r="L68" s="23" t="str" cm="1">
        <f t="array" ref="L68" xml:space="preserve"> INDEX(十五音韻母清單!$B$6:$K$105, 方音韻母排序!$C68,方音韻母排序!L$2)</f>
        <v>ua</v>
      </c>
      <c r="M68" s="23" t="str" cm="1">
        <f t="array" ref="M68" xml:space="preserve"> INDEX(十五音韻母清單!$B$6:$K$105, 方音韻母排序!$C68,方音韻母排序!M$2)</f>
        <v>ua</v>
      </c>
    </row>
    <row r="69" spans="2:13">
      <c r="B69" s="245" t="s">
        <v>540</v>
      </c>
      <c r="C69" s="21">
        <f xml:space="preserve"> MATCH(B69, 十五音韻母清單!$K$6:$K$105,0)</f>
        <v>73</v>
      </c>
      <c r="D69" s="21" cm="1">
        <f t="array" ref="D69" xml:space="preserve"> INDEX(十五音韻母清單!$B$6:$K$105, $C69, D$2)</f>
        <v>37</v>
      </c>
      <c r="F69" s="21">
        <v>65</v>
      </c>
      <c r="G69" s="23" t="str" cm="1">
        <f t="array" ref="G69" xml:space="preserve"> INDEX(十五音韻母清單!$B$6:$K$105, $C69, G$2)</f>
        <v>ㄨㆩ</v>
      </c>
      <c r="H69" s="23" t="str" cm="1">
        <f t="array" ref="H69" xml:space="preserve"> INDEX(十五音韻母清單!$B$6:$K$105, $C69, H$2)</f>
        <v>uann</v>
      </c>
      <c r="I69" s="21" t="str" cm="1">
        <f t="array" ref="I69" xml:space="preserve"> INDEX(十五音韻母清單!$B$6:$K$105, $C69, I$2)</f>
        <v>官</v>
      </c>
      <c r="J69" s="23" t="str" cm="1">
        <f t="array" ref="J69" xml:space="preserve"> INDEX(十五音韻母清單!$B$6:$K$105, 方音韻母排序!$C69,方音韻母排序!J$2)</f>
        <v>oaⁿ</v>
      </c>
      <c r="K69" s="23" t="str" cm="1">
        <f t="array" ref="K69" xml:space="preserve"> INDEX(十五音韻母清單!$B$6:$K$105, 方音韻母排序!$C69,方音韻母排序!K$2)</f>
        <v>uann</v>
      </c>
      <c r="L69" s="23" t="str" cm="1">
        <f t="array" ref="L69" xml:space="preserve"> INDEX(十五音韻母清單!$B$6:$K$105, 方音韻母排序!$C69,方音韻母排序!L$2)</f>
        <v>nua</v>
      </c>
      <c r="M69" s="23" t="str" cm="1">
        <f t="array" ref="M69" xml:space="preserve"> INDEX(十五音韻母清單!$B$6:$K$105, 方音韻母排序!$C69,方音韻母排序!M$2)</f>
        <v>ũã</v>
      </c>
    </row>
    <row r="70" spans="2:13">
      <c r="B70" s="245" t="s">
        <v>346</v>
      </c>
      <c r="C70" s="21">
        <f xml:space="preserve"> MATCH(B70, 十五音韻母清單!$K$6:$K$105,0)</f>
        <v>40</v>
      </c>
      <c r="D70" s="21" cm="1">
        <f t="array" ref="D70" xml:space="preserve"> INDEX(十五音韻母清單!$B$6:$K$105, $C70, D$2)</f>
        <v>20</v>
      </c>
      <c r="F70" s="21">
        <v>66</v>
      </c>
      <c r="G70" s="23" t="str" cm="1">
        <f t="array" ref="G70" xml:space="preserve"> INDEX(十五音韻母清單!$B$6:$K$105, $C70, G$2)</f>
        <v>ㄨㄚㆷ</v>
      </c>
      <c r="H70" s="23" t="str" cm="1">
        <f t="array" ref="H70" xml:space="preserve"> INDEX(十五音韻母清單!$B$6:$K$105, $C70, H$2)</f>
        <v>uah</v>
      </c>
      <c r="I70" s="21" t="str" cm="1">
        <f t="array" ref="I70" xml:space="preserve"> INDEX(十五音韻母清單!$B$6:$K$105, $C70, I$2)</f>
        <v>瓜</v>
      </c>
      <c r="J70" s="23" t="str" cm="1">
        <f t="array" ref="J70" xml:space="preserve"> INDEX(十五音韻母清單!$B$6:$K$105, 方音韻母排序!$C70,方音韻母排序!J$2)</f>
        <v>oah</v>
      </c>
      <c r="K70" s="23" t="str" cm="1">
        <f t="array" ref="K70" xml:space="preserve"> INDEX(十五音韻母清單!$B$6:$K$105, 方音韻母排序!$C70,方音韻母排序!K$2)</f>
        <v>uah</v>
      </c>
      <c r="L70" s="23" t="str" cm="1">
        <f t="array" ref="L70" xml:space="preserve"> INDEX(十五音韻母清單!$B$6:$K$105, 方音韻母排序!$C70,方音韻母排序!L$2)</f>
        <v>uah</v>
      </c>
      <c r="M70" s="23" t="str" cm="1">
        <f t="array" ref="M70" xml:space="preserve"> INDEX(十五音韻母清單!$B$6:$K$105, 方音韻母排序!$C70,方音韻母排序!M$2)</f>
        <v>ua?</v>
      </c>
    </row>
    <row r="71" spans="2:13">
      <c r="B71" s="245" t="s">
        <v>246</v>
      </c>
      <c r="C71" s="21">
        <f xml:space="preserve"> MATCH(B71, 十五音韻母清單!$K$6:$K$105,0)</f>
        <v>19</v>
      </c>
      <c r="D71" s="21" cm="1">
        <f t="array" ref="D71" xml:space="preserve"> INDEX(十五音韻母清單!$B$6:$K$105, $C71, D$2)</f>
        <v>10</v>
      </c>
      <c r="F71" s="21">
        <v>67</v>
      </c>
      <c r="G71" s="23" t="str" cm="1">
        <f t="array" ref="G71" xml:space="preserve"> INDEX(十五音韻母清單!$B$6:$K$105, $C71, G$2)</f>
        <v>ㄨㄢ</v>
      </c>
      <c r="H71" s="23" t="str" cm="1">
        <f t="array" ref="H71" xml:space="preserve"> INDEX(十五音韻母清單!$B$6:$K$105, $C71, H$2)</f>
        <v>uan</v>
      </c>
      <c r="I71" s="21" t="str" cm="1">
        <f t="array" ref="I71" xml:space="preserve"> INDEX(十五音韻母清單!$B$6:$K$105, $C71, I$2)</f>
        <v>觀</v>
      </c>
      <c r="J71" s="23" t="str" cm="1">
        <f t="array" ref="J71" xml:space="preserve"> INDEX(十五音韻母清單!$B$6:$K$105, 方音韻母排序!$C71,方音韻母排序!J$2)</f>
        <v>oan</v>
      </c>
      <c r="K71" s="23" t="str" cm="1">
        <f t="array" ref="K71" xml:space="preserve"> INDEX(十五音韻母清單!$B$6:$K$105, 方音韻母排序!$C71,方音韻母排序!K$2)</f>
        <v>uan</v>
      </c>
      <c r="L71" s="23" t="str" cm="1">
        <f t="array" ref="L71" xml:space="preserve"> INDEX(十五音韻母清單!$B$6:$K$105, 方音韻母排序!$C71,方音韻母排序!L$2)</f>
        <v>uan</v>
      </c>
      <c r="M71" s="23" t="str" cm="1">
        <f t="array" ref="M71" xml:space="preserve"> INDEX(十五音韻母清單!$B$6:$K$105, 方音韻母排序!$C71,方音韻母排序!M$2)</f>
        <v>uan</v>
      </c>
    </row>
    <row r="72" spans="2:13">
      <c r="B72" s="245" t="s">
        <v>604</v>
      </c>
      <c r="C72" s="21">
        <f xml:space="preserve"> MATCH(B72, 十五音韻母清單!$K$6:$K$105,0)</f>
        <v>85</v>
      </c>
      <c r="D72" s="21" cm="1">
        <f t="array" ref="D72" xml:space="preserve"> INDEX(十五音韻母清單!$B$6:$K$105, $C72, D$2)</f>
        <v>43</v>
      </c>
      <c r="F72" s="21">
        <v>68</v>
      </c>
      <c r="G72" s="23" t="str" cm="1">
        <f t="array" ref="G72" xml:space="preserve"> INDEX(十五音韻母清單!$B$6:$K$105, $C72, G$2)</f>
        <v>ㄨㄤ</v>
      </c>
      <c r="H72" s="23" t="str" cm="1">
        <f t="array" ref="H72" xml:space="preserve"> INDEX(十五音韻母清單!$B$6:$K$105, $C72, H$2)</f>
        <v>uang</v>
      </c>
      <c r="I72" s="21" t="str" cm="1">
        <f t="array" ref="I72" xml:space="preserve"> INDEX(十五音韻母清單!$B$6:$K$105, $C72, I$2)</f>
        <v>光</v>
      </c>
      <c r="J72" s="23" t="str" cm="1">
        <f t="array" ref="J72" xml:space="preserve"> INDEX(十五音韻母清單!$B$6:$K$105, 方音韻母排序!$C72,方音韻母排序!J$2)</f>
        <v>oang</v>
      </c>
      <c r="K72" s="23" t="str" cm="1">
        <f t="array" ref="K72" xml:space="preserve"> INDEX(十五音韻母清單!$B$6:$K$105, 方音韻母排序!$C72,方音韻母排序!K$2)</f>
        <v>uang</v>
      </c>
      <c r="L72" s="23" t="str" cm="1">
        <f t="array" ref="L72" xml:space="preserve"> INDEX(十五音韻母清單!$B$6:$K$105, 方音韻母排序!$C72,方音韻母排序!L$2)</f>
        <v>uang</v>
      </c>
      <c r="M72" s="23" t="str" cm="1">
        <f t="array" ref="M72" xml:space="preserve"> INDEX(十五音韻母清單!$B$6:$K$105, 方音韻母排序!$C72,方音韻母排序!M$2)</f>
        <v>uaŋ</v>
      </c>
    </row>
    <row r="73" spans="2:13">
      <c r="B73" s="245" t="s">
        <v>247</v>
      </c>
      <c r="C73" s="21">
        <f xml:space="preserve"> MATCH(B73, 十五音韻母清單!$K$6:$K$105,0)</f>
        <v>20</v>
      </c>
      <c r="D73" s="21" cm="1">
        <f t="array" ref="D73" xml:space="preserve"> INDEX(十五音韻母清單!$B$6:$K$105, $C73, D$2)</f>
        <v>10</v>
      </c>
      <c r="F73" s="21">
        <v>69</v>
      </c>
      <c r="G73" s="23" t="str" cm="1">
        <f t="array" ref="G73" xml:space="preserve"> INDEX(十五音韻母清單!$B$6:$K$105, $C73, G$2)</f>
        <v>ㄨㄚㆵ</v>
      </c>
      <c r="H73" s="23" t="str" cm="1">
        <f t="array" ref="H73" xml:space="preserve"> INDEX(十五音韻母清單!$B$6:$K$105, $C73, H$2)</f>
        <v>uat</v>
      </c>
      <c r="I73" s="21" t="str" cm="1">
        <f t="array" ref="I73" xml:space="preserve"> INDEX(十五音韻母清單!$B$6:$K$105, $C73, I$2)</f>
        <v>觀</v>
      </c>
      <c r="J73" s="23" t="str" cm="1">
        <f t="array" ref="J73" xml:space="preserve"> INDEX(十五音韻母清單!$B$6:$K$105, 方音韻母排序!$C73,方音韻母排序!J$2)</f>
        <v>oat</v>
      </c>
      <c r="K73" s="23" t="str" cm="1">
        <f t="array" ref="K73" xml:space="preserve"> INDEX(十五音韻母清單!$B$6:$K$105, 方音韻母排序!$C73,方音韻母排序!K$2)</f>
        <v>uat</v>
      </c>
      <c r="L73" s="23" t="str" cm="1">
        <f t="array" ref="L73" xml:space="preserve"> INDEX(十五音韻母清單!$B$6:$K$105, 方音韻母排序!$C73,方音韻母排序!L$2)</f>
        <v>uat</v>
      </c>
      <c r="M73" s="23" t="str" cm="1">
        <f t="array" ref="M73" xml:space="preserve"> INDEX(十五音韻母清單!$B$6:$K$105, 方音韻母排序!$C73,方音韻母排序!M$2)</f>
        <v>uat̚</v>
      </c>
    </row>
    <row r="74" spans="2:13">
      <c r="B74" s="245" t="s">
        <v>716</v>
      </c>
      <c r="C74" s="21">
        <f xml:space="preserve"> MATCH(B74, 十五音韻母清單!$K$6:$K$105,0)</f>
        <v>15</v>
      </c>
      <c r="D74" s="21" cm="1">
        <f t="array" ref="D74" xml:space="preserve"> INDEX(十五音韻母清單!$B$6:$K$105, $C74, D$2)</f>
        <v>8</v>
      </c>
      <c r="F74" s="21">
        <v>70</v>
      </c>
      <c r="G74" s="23" t="str" cm="1">
        <f t="array" ref="G74" xml:space="preserve"> INDEX(十五音韻母清單!$B$6:$K$105, $C74, G$2)</f>
        <v>ㄨㄞ</v>
      </c>
      <c r="H74" s="23" t="str" cm="1">
        <f t="array" ref="H74" xml:space="preserve"> INDEX(十五音韻母清單!$B$6:$K$105, $C74, H$2)</f>
        <v>uai</v>
      </c>
      <c r="I74" s="21" t="str" cm="1">
        <f t="array" ref="I74" xml:space="preserve"> INDEX(十五音韻母清單!$B$6:$K$105, $C74, I$2)</f>
        <v>乖</v>
      </c>
      <c r="J74" s="23" t="str" cm="1">
        <f t="array" ref="J74" xml:space="preserve"> INDEX(十五音韻母清單!$B$6:$K$105, 方音韻母排序!$C74,方音韻母排序!J$2)</f>
        <v>oai</v>
      </c>
      <c r="K74" s="23" t="str" cm="1">
        <f t="array" ref="K74" xml:space="preserve"> INDEX(十五音韻母清單!$B$6:$K$105, 方音韻母排序!$C74,方音韻母排序!K$2)</f>
        <v>uai</v>
      </c>
      <c r="L74" s="23" t="str" cm="1">
        <f t="array" ref="L74" xml:space="preserve"> INDEX(十五音韻母清單!$B$6:$K$105, 方音韻母排序!$C74,方音韻母排序!L$2)</f>
        <v>uai</v>
      </c>
      <c r="M74" s="23" t="str" cm="1">
        <f t="array" ref="M74" xml:space="preserve"> INDEX(十五音韻母清單!$B$6:$K$105, 方音韻母排序!$C74,方音韻母排序!M$2)</f>
        <v>uai</v>
      </c>
    </row>
    <row r="75" spans="2:13">
      <c r="B75" s="245" t="s">
        <v>618</v>
      </c>
      <c r="C75" s="21">
        <f xml:space="preserve"> MATCH(B75, 十五音韻母清單!$K$6:$K$105,0)</f>
        <v>87</v>
      </c>
      <c r="D75" s="21" cm="1">
        <f t="array" ref="D75" xml:space="preserve"> INDEX(十五音韻母清單!$B$6:$K$105, $C75, D$2)</f>
        <v>44</v>
      </c>
      <c r="F75" s="21">
        <v>71</v>
      </c>
      <c r="G75" s="23" t="str" cm="1">
        <f t="array" ref="G75" xml:space="preserve"> INDEX(十五音韻母清單!$B$6:$K$105, $C75, G$2)</f>
        <v>ㄨㆮ</v>
      </c>
      <c r="H75" s="23" t="str" cm="1">
        <f t="array" ref="H75" xml:space="preserve"> INDEX(十五音韻母清單!$B$6:$K$105, $C75, H$2)</f>
        <v>uainn</v>
      </c>
      <c r="I75" s="21" t="str" cm="1">
        <f t="array" ref="I75" xml:space="preserve"> INDEX(十五音韻母清單!$B$6:$K$105, $C75, I$2)</f>
        <v>閂</v>
      </c>
      <c r="J75" s="23" t="str" cm="1">
        <f t="array" ref="J75" xml:space="preserve"> INDEX(十五音韻母清單!$B$6:$K$105, 方音韻母排序!$C75,方音韻母排序!J$2)</f>
        <v>oaiⁿ</v>
      </c>
      <c r="K75" s="23" t="str" cm="1">
        <f t="array" ref="K75" xml:space="preserve"> INDEX(十五音韻母清單!$B$6:$K$105, 方音韻母排序!$C75,方音韻母排序!K$2)</f>
        <v>uainn</v>
      </c>
      <c r="L75" s="23" t="str" cm="1">
        <f t="array" ref="L75" xml:space="preserve"> INDEX(十五音韻母清單!$B$6:$K$105, 方音韻母排序!$C75,方音韻母排序!L$2)</f>
        <v>nuai</v>
      </c>
      <c r="M75" s="23" t="str" cm="1">
        <f t="array" ref="M75" xml:space="preserve"> INDEX(十五音韻母清單!$B$6:$K$105, 方音韻母排序!$C75,方音韻母排序!M$2)</f>
        <v>ũãĩ</v>
      </c>
    </row>
    <row r="76" spans="2:13">
      <c r="B76" s="245" t="s">
        <v>226</v>
      </c>
      <c r="C76" s="21">
        <f xml:space="preserve"> MATCH(B76, 十五音韻母清單!$K$6:$K$105,0)</f>
        <v>16</v>
      </c>
      <c r="D76" s="21" cm="1">
        <f t="array" ref="D76" xml:space="preserve"> INDEX(十五音韻母清單!$B$6:$K$105, $C76, D$2)</f>
        <v>8</v>
      </c>
      <c r="F76" s="21">
        <v>72</v>
      </c>
      <c r="G76" s="23" t="str" cm="1">
        <f t="array" ref="G76" xml:space="preserve"> INDEX(十五音韻母清單!$B$6:$K$105, $C76, G$2)</f>
        <v>ㄨㄞㆷ</v>
      </c>
      <c r="H76" s="23" t="str" cm="1">
        <f t="array" ref="H76" xml:space="preserve"> INDEX(十五音韻母清單!$B$6:$K$105, $C76, H$2)</f>
        <v>uaih</v>
      </c>
      <c r="I76" s="21" t="str" cm="1">
        <f t="array" ref="I76" xml:space="preserve"> INDEX(十五音韻母清單!$B$6:$K$105, $C76, I$2)</f>
        <v>乖</v>
      </c>
      <c r="J76" s="23" t="str" cm="1">
        <f t="array" ref="J76" xml:space="preserve"> INDEX(十五音韻母清單!$B$6:$K$105, 方音韻母排序!$C76,方音韻母排序!J$2)</f>
        <v>oaih</v>
      </c>
      <c r="K76" s="23" t="str" cm="1">
        <f t="array" ref="K76" xml:space="preserve"> INDEX(十五音韻母清單!$B$6:$K$105, 方音韻母排序!$C76,方音韻母排序!K$2)</f>
        <v>uaih</v>
      </c>
      <c r="L76" s="23" t="str" cm="1">
        <f t="array" ref="L76" xml:space="preserve"> INDEX(十五音韻母清單!$B$6:$K$105, 方音韻母排序!$C76,方音韻母排序!L$2)</f>
        <v>uaih</v>
      </c>
      <c r="M76" s="23" t="str" cm="1">
        <f t="array" ref="M76" xml:space="preserve"> INDEX(十五音韻母清單!$B$6:$K$105, 方音韻母排序!$C76,方音韻母排序!M$2)</f>
        <v>uai?</v>
      </c>
    </row>
    <row r="77" spans="2:13">
      <c r="B77" s="245" t="s">
        <v>619</v>
      </c>
      <c r="C77" s="21">
        <f xml:space="preserve"> MATCH(B77, 十五音韻母清單!$K$6:$K$105,0)</f>
        <v>88</v>
      </c>
      <c r="D77" s="21" cm="1">
        <f t="array" ref="D77" xml:space="preserve"> INDEX(十五音韻母清單!$B$6:$K$105, $C77, D$2)</f>
        <v>44</v>
      </c>
      <c r="F77" s="21">
        <v>73</v>
      </c>
      <c r="G77" s="23" t="str" cm="1">
        <f t="array" ref="G77" xml:space="preserve"> INDEX(十五音韻母清單!$B$6:$K$105, $C77, G$2)</f>
        <v>ㄨㆮㆷ</v>
      </c>
      <c r="H77" s="23" t="str" cm="1">
        <f t="array" ref="H77" xml:space="preserve"> INDEX(十五音韻母清單!$B$6:$K$105, $C77, H$2)</f>
        <v>uainnh</v>
      </c>
      <c r="I77" s="21" t="str" cm="1">
        <f t="array" ref="I77" xml:space="preserve"> INDEX(十五音韻母清單!$B$6:$K$105, $C77, I$2)</f>
        <v>閂</v>
      </c>
      <c r="J77" s="23" t="str" cm="1">
        <f t="array" ref="J77" xml:space="preserve"> INDEX(十五音韻母清單!$B$6:$K$105, 方音韻母排序!$C77,方音韻母排序!J$2)</f>
        <v>oaiⁿh</v>
      </c>
      <c r="K77" s="23" t="str" cm="1">
        <f t="array" ref="K77" xml:space="preserve"> INDEX(十五音韻母清單!$B$6:$K$105, 方音韻母排序!$C77,方音韻母排序!K$2)</f>
        <v>uainnh</v>
      </c>
      <c r="L77" s="23" t="str" cm="1">
        <f t="array" ref="L77" xml:space="preserve"> INDEX(十五音韻母清單!$B$6:$K$105, 方音韻母排序!$C77,方音韻母排序!L$2)</f>
        <v>nuaih</v>
      </c>
      <c r="M77" s="23" t="str" cm="1">
        <f t="array" ref="M77" xml:space="preserve"> INDEX(十五音韻母清單!$B$6:$K$105, 方音韻母排序!$C77,方音韻母排序!M$2)</f>
        <v>uãĩ?</v>
      </c>
    </row>
    <row r="78" spans="2:13">
      <c r="B78" s="245" t="s">
        <v>717</v>
      </c>
      <c r="C78" s="21">
        <f xml:space="preserve"> MATCH(B78, 十五音韻母清單!$K$6:$K$105,0)</f>
        <v>49</v>
      </c>
      <c r="D78" s="21" cm="1">
        <f t="array" ref="D78" xml:space="preserve"> INDEX(十五音韻母清單!$B$6:$K$105, $C78, D$2)</f>
        <v>25</v>
      </c>
      <c r="F78" s="21">
        <v>74</v>
      </c>
      <c r="G78" s="23" t="str" cm="1">
        <f t="array" ref="G78" xml:space="preserve"> INDEX(十五音韻母清單!$B$6:$K$105, $C78, G$2)</f>
        <v>ㄨㆤ</v>
      </c>
      <c r="H78" s="23" t="str" cm="1">
        <f t="array" ref="H78" xml:space="preserve"> INDEX(十五音韻母清單!$B$6:$K$105, $C78, H$2)</f>
        <v>ue</v>
      </c>
      <c r="I78" s="21" t="str" cm="1">
        <f t="array" ref="I78" xml:space="preserve"> INDEX(十五音韻母清單!$B$6:$K$105, $C78, I$2)</f>
        <v>檜</v>
      </c>
      <c r="J78" s="23" t="str" cm="1">
        <f t="array" ref="J78" xml:space="preserve"> INDEX(十五音韻母清單!$B$6:$K$105, 方音韻母排序!$C78,方音韻母排序!J$2)</f>
        <v>oe</v>
      </c>
      <c r="K78" s="23" t="str" cm="1">
        <f t="array" ref="K78" xml:space="preserve"> INDEX(十五音韻母清單!$B$6:$K$105, 方音韻母排序!$C78,方音韻母排序!K$2)</f>
        <v>ue</v>
      </c>
      <c r="L78" s="23" t="str" cm="1">
        <f t="array" ref="L78" xml:space="preserve"> INDEX(十五音韻母清單!$B$6:$K$105, 方音韻母排序!$C78,方音韻母排序!L$2)</f>
        <v>ue</v>
      </c>
      <c r="M78" s="23" t="str" cm="1">
        <f t="array" ref="M78" xml:space="preserve"> INDEX(十五音韻母清單!$B$6:$K$105, 方音韻母排序!$C78,方音韻母排序!M$2)</f>
        <v>ue</v>
      </c>
    </row>
    <row r="79" spans="2:13">
      <c r="B79" s="245" t="s">
        <v>718</v>
      </c>
      <c r="C79" s="21">
        <f xml:space="preserve"> MATCH(B79, 十五音韻母清單!$K$6:$K$105,0)</f>
        <v>50</v>
      </c>
      <c r="D79" s="21" cm="1">
        <f t="array" ref="D79" xml:space="preserve"> INDEX(十五音韻母清單!$B$6:$K$105, $C79, D$2)</f>
        <v>25</v>
      </c>
      <c r="F79" s="21">
        <v>75</v>
      </c>
      <c r="G79" s="23" t="str" cm="1">
        <f t="array" ref="G79" xml:space="preserve"> INDEX(十五音韻母清單!$B$6:$K$105, $C79, G$2)</f>
        <v>ㄨㆤㆷ</v>
      </c>
      <c r="H79" s="23" t="str" cm="1">
        <f t="array" ref="H79" xml:space="preserve"> INDEX(十五音韻母清單!$B$6:$K$105, $C79, H$2)</f>
        <v>ueh</v>
      </c>
      <c r="I79" s="21" t="str" cm="1">
        <f t="array" ref="I79" xml:space="preserve"> INDEX(十五音韻母清單!$B$6:$K$105, $C79, I$2)</f>
        <v>檜</v>
      </c>
      <c r="J79" s="23" t="str" cm="1">
        <f t="array" ref="J79" xml:space="preserve"> INDEX(十五音韻母清單!$B$6:$K$105, 方音韻母排序!$C79,方音韻母排序!J$2)</f>
        <v>oeh</v>
      </c>
      <c r="K79" s="23" t="str" cm="1">
        <f t="array" ref="K79" xml:space="preserve"> INDEX(十五音韻母清單!$B$6:$K$105, 方音韻母排序!$C79,方音韻母排序!K$2)</f>
        <v>ueh</v>
      </c>
      <c r="L79" s="23" t="str" cm="1">
        <f t="array" ref="L79" xml:space="preserve"> INDEX(十五音韻母清單!$B$6:$K$105, 方音韻母排序!$C79,方音韻母排序!L$2)</f>
        <v>ueh</v>
      </c>
      <c r="M79" s="23" t="str" cm="1">
        <f t="array" ref="M79" xml:space="preserve"> INDEX(十五音韻母清單!$B$6:$K$105, 方音韻母排序!$C79,方音韻母排序!M$2)</f>
        <v>ue?</v>
      </c>
    </row>
    <row r="80" spans="2:13">
      <c r="B80" s="245" t="s">
        <v>183</v>
      </c>
      <c r="C80" s="21">
        <f xml:space="preserve"> MATCH(B80, 十五音韻母清單!$K$6:$K$105,0)</f>
        <v>7</v>
      </c>
      <c r="D80" s="21" cm="1">
        <f t="array" ref="D80" xml:space="preserve"> INDEX(十五音韻母清單!$B$6:$K$105, $C80, D$2)</f>
        <v>4</v>
      </c>
      <c r="F80" s="21">
        <v>76</v>
      </c>
      <c r="G80" s="23" t="str" cm="1">
        <f t="array" ref="G80" xml:space="preserve"> INDEX(十五音韻母清單!$B$6:$K$105, $C80, G$2)</f>
        <v>ㄨㄧ</v>
      </c>
      <c r="H80" s="23" t="str" cm="1">
        <f t="array" ref="H80" xml:space="preserve"> INDEX(十五音韻母清單!$B$6:$K$105, $C80, H$2)</f>
        <v>ui</v>
      </c>
      <c r="I80" s="21" t="str" cm="1">
        <f t="array" ref="I80" xml:space="preserve"> INDEX(十五音韻母清單!$B$6:$K$105, $C80, I$2)</f>
        <v>規</v>
      </c>
      <c r="J80" s="23" t="str" cm="1">
        <f t="array" ref="J80" xml:space="preserve"> INDEX(十五音韻母清單!$B$6:$K$105, 方音韻母排序!$C80,方音韻母排序!J$2)</f>
        <v>ui</v>
      </c>
      <c r="K80" s="23" t="str" cm="1">
        <f t="array" ref="K80" xml:space="preserve"> INDEX(十五音韻母清單!$B$6:$K$105, 方音韻母排序!$C80,方音韻母排序!K$2)</f>
        <v>ui</v>
      </c>
      <c r="L80" s="23" t="str" cm="1">
        <f t="array" ref="L80" xml:space="preserve"> INDEX(十五音韻母清單!$B$6:$K$105, 方音韻母排序!$C80,方音韻母排序!L$2)</f>
        <v>ui</v>
      </c>
      <c r="M80" s="23" t="str" cm="1">
        <f t="array" ref="M80" xml:space="preserve"> INDEX(十五音韻母清單!$B$6:$K$105, 方音韻母排序!$C80,方音韻母排序!M$2)</f>
        <v>ui</v>
      </c>
    </row>
    <row r="81" spans="2:13">
      <c r="B81" s="245" t="s">
        <v>473</v>
      </c>
      <c r="C81" s="21">
        <f xml:space="preserve"> MATCH(B81, 十五音韻母清單!$K$6:$K$105,0)</f>
        <v>63</v>
      </c>
      <c r="D81" s="21" cm="1">
        <f t="array" ref="D81" xml:space="preserve"> INDEX(十五音韻母清單!$B$6:$K$105, $C81, D$2)</f>
        <v>32</v>
      </c>
      <c r="F81" s="21">
        <v>77</v>
      </c>
      <c r="G81" s="23" t="str" cm="1">
        <f t="array" ref="G81" xml:space="preserve"> INDEX(十五音韻母清單!$B$6:$K$105, $C81, G$2)</f>
        <v>ㄨㆪ</v>
      </c>
      <c r="H81" s="23" t="str" cm="1">
        <f t="array" ref="H81" xml:space="preserve"> INDEX(十五音韻母清單!$B$6:$K$105, $C81, H$2)</f>
        <v>uinn</v>
      </c>
      <c r="I81" s="21" t="str" cm="1">
        <f t="array" ref="I81" xml:space="preserve"> INDEX(十五音韻母清單!$B$6:$K$105, $C81, I$2)</f>
        <v>褌</v>
      </c>
      <c r="J81" s="23" t="str" cm="1">
        <f t="array" ref="J81" xml:space="preserve"> INDEX(十五音韻母清單!$B$6:$K$105, 方音韻母排序!$C81,方音韻母排序!J$2)</f>
        <v>uiⁿ</v>
      </c>
      <c r="K81" s="23" t="str" cm="1">
        <f t="array" ref="K81" xml:space="preserve"> INDEX(十五音韻母清單!$B$6:$K$105, 方音韻母排序!$C81,方音韻母排序!K$2)</f>
        <v>uinn</v>
      </c>
      <c r="L81" s="23" t="str" cm="1">
        <f t="array" ref="L81" xml:space="preserve"> INDEX(十五音韻母清單!$B$6:$K$105, 方音韻母排序!$C81,方音韻母排序!L$2)</f>
        <v>nui</v>
      </c>
      <c r="M81" s="23" t="str" cm="1">
        <f t="array" ref="M81" xml:space="preserve"> INDEX(十五音韻母清單!$B$6:$K$105, 方音韻母排序!$C81,方音韻母排序!M$2)</f>
        <v>ũĩ</v>
      </c>
    </row>
    <row r="82" spans="2:13">
      <c r="B82" s="245" t="s">
        <v>184</v>
      </c>
      <c r="C82" s="21">
        <f xml:space="preserve"> MATCH(B82, 十五音韻母清單!$K$6:$K$105,0)</f>
        <v>8</v>
      </c>
      <c r="D82" s="21" cm="1">
        <f t="array" ref="D82" xml:space="preserve"> INDEX(十五音韻母清單!$B$6:$K$105, $C82, D$2)</f>
        <v>4</v>
      </c>
      <c r="F82" s="21">
        <v>78</v>
      </c>
      <c r="G82" s="23" t="str" cm="1">
        <f t="array" ref="G82" xml:space="preserve"> INDEX(十五音韻母清單!$B$6:$K$105, $C82, G$2)</f>
        <v>ㄨㄧㆷ</v>
      </c>
      <c r="H82" s="23" t="str" cm="1">
        <f t="array" ref="H82" xml:space="preserve"> INDEX(十五音韻母清單!$B$6:$K$105, $C82, H$2)</f>
        <v>uih</v>
      </c>
      <c r="I82" s="21" t="str" cm="1">
        <f t="array" ref="I82" xml:space="preserve"> INDEX(十五音韻母清單!$B$6:$K$105, $C82, I$2)</f>
        <v>規</v>
      </c>
      <c r="J82" s="23" t="str" cm="1">
        <f t="array" ref="J82" xml:space="preserve"> INDEX(十五音韻母清單!$B$6:$K$105, 方音韻母排序!$C82,方音韻母排序!J$2)</f>
        <v>uih</v>
      </c>
      <c r="K82" s="23" t="str" cm="1">
        <f t="array" ref="K82" xml:space="preserve"> INDEX(十五音韻母清單!$B$6:$K$105, 方音韻母排序!$C82,方音韻母排序!K$2)</f>
        <v>uih</v>
      </c>
      <c r="L82" s="23" t="str" cm="1">
        <f t="array" ref="L82" xml:space="preserve"> INDEX(十五音韻母清單!$B$6:$K$105, 方音韻母排序!$C82,方音韻母排序!L$2)</f>
        <v>uih</v>
      </c>
      <c r="M82" s="23" t="str" cm="1">
        <f t="array" ref="M82" xml:space="preserve"> INDEX(十五音韻母清單!$B$6:$K$105, 方音韻母排序!$C82,方音韻母排序!M$2)</f>
        <v>ui?</v>
      </c>
    </row>
    <row r="83" spans="2:13">
      <c r="B83" s="245" t="s">
        <v>592</v>
      </c>
      <c r="C83" s="21">
        <f xml:space="preserve"> MATCH(B83, 十五音韻母清單!$K$6:$K$105,0)</f>
        <v>83</v>
      </c>
      <c r="D83" s="21" cm="1">
        <f t="array" ref="D83" xml:space="preserve"> INDEX(十五音韻母清單!$B$6:$K$105, $C83, D$2)</f>
        <v>42</v>
      </c>
      <c r="F83" s="21">
        <v>79</v>
      </c>
      <c r="G83" s="23" t="str" cm="1">
        <f t="array" ref="G83" xml:space="preserve"> INDEX(十五音韻母清單!$B$6:$K$105, $C83, G$2)</f>
        <v>ㆬ</v>
      </c>
      <c r="H83" s="23" t="str" cm="1">
        <f t="array" ref="H83" xml:space="preserve"> INDEX(十五音韻母清單!$B$6:$K$105, $C83, H$2)</f>
        <v>m</v>
      </c>
      <c r="I83" s="21" t="str" cm="1">
        <f t="array" ref="I83" xml:space="preserve"> INDEX(十五音韻母清單!$B$6:$K$105, $C83, I$2)</f>
        <v>姆</v>
      </c>
      <c r="J83" s="23" t="str" cm="1">
        <f t="array" ref="J83" xml:space="preserve"> INDEX(十五音韻母清單!$B$6:$K$105, 方音韻母排序!$C83,方音韻母排序!J$2)</f>
        <v>m</v>
      </c>
      <c r="K83" s="23" t="str" cm="1">
        <f t="array" ref="K83" xml:space="preserve"> INDEX(十五音韻母清單!$B$6:$K$105, 方音韻母排序!$C83,方音韻母排序!K$2)</f>
        <v>m</v>
      </c>
      <c r="L83" s="23" t="str" cm="1">
        <f t="array" ref="L83" xml:space="preserve"> INDEX(十五音韻母清單!$B$6:$K$105, 方音韻母排序!$C83,方音韻母排序!L$2)</f>
        <v>m</v>
      </c>
      <c r="M83" s="23" t="str" cm="1">
        <f t="array" ref="M83" xml:space="preserve"> INDEX(十五音韻母清單!$B$6:$K$105, 方音韻母排序!$C83,方音韻母排序!M$2)</f>
        <v>m̩</v>
      </c>
    </row>
    <row r="84" spans="2:13">
      <c r="B84" s="245" t="s">
        <v>593</v>
      </c>
      <c r="C84" s="21">
        <f xml:space="preserve"> MATCH(B84, 十五音韻母清單!$K$6:$K$105,0)</f>
        <v>84</v>
      </c>
      <c r="D84" s="21" cm="1">
        <f t="array" ref="D84" xml:space="preserve"> INDEX(十五音韻母清單!$B$6:$K$105, $C84, D$2)</f>
        <v>42</v>
      </c>
      <c r="F84" s="21">
        <v>80</v>
      </c>
      <c r="G84" s="23" t="str" cm="1">
        <f t="array" ref="G84" xml:space="preserve"> INDEX(十五音韻母清單!$B$6:$K$105, $C84, G$2)</f>
        <v>ㆬㆷ</v>
      </c>
      <c r="H84" s="23" t="str" cm="1">
        <f t="array" ref="H84" xml:space="preserve"> INDEX(十五音韻母清單!$B$6:$K$105, $C84, H$2)</f>
        <v>mh</v>
      </c>
      <c r="I84" s="21" t="str" cm="1">
        <f t="array" ref="I84" xml:space="preserve"> INDEX(十五音韻母清單!$B$6:$K$105, $C84, I$2)</f>
        <v>姆</v>
      </c>
      <c r="J84" s="23" t="str" cm="1">
        <f t="array" ref="J84" xml:space="preserve"> INDEX(十五音韻母清單!$B$6:$K$105, 方音韻母排序!$C84,方音韻母排序!J$2)</f>
        <v>mh</v>
      </c>
      <c r="K84" s="23" t="str" cm="1">
        <f t="array" ref="K84" xml:space="preserve"> INDEX(十五音韻母清單!$B$6:$K$105, 方音韻母排序!$C84,方音韻母排序!K$2)</f>
        <v>mh</v>
      </c>
      <c r="L84" s="23" t="str" cm="1">
        <f t="array" ref="L84" xml:space="preserve"> INDEX(十五音韻母清單!$B$6:$K$105, 方音韻母排序!$C84,方音韻母排序!L$2)</f>
        <v>mh</v>
      </c>
      <c r="M84" s="23" t="str" cm="1">
        <f t="array" ref="M84" xml:space="preserve"> INDEX(十五音韻母清單!$B$6:$K$105, 方音韻母排序!$C84,方音韻母排序!M$2)</f>
        <v>m̩h</v>
      </c>
    </row>
    <row r="85" spans="2:13">
      <c r="B85" s="245" t="s">
        <v>549</v>
      </c>
      <c r="C85" s="21">
        <f xml:space="preserve"> MATCH(B85, 十五音韻母清單!$K$6:$K$105,0)</f>
        <v>75</v>
      </c>
      <c r="D85" s="21" cm="1">
        <f t="array" ref="D85" xml:space="preserve"> INDEX(十五音韻母清單!$B$6:$K$105, $C85, D$2)</f>
        <v>38</v>
      </c>
      <c r="F85" s="21">
        <v>81</v>
      </c>
      <c r="G85" s="23" t="str" cm="1">
        <f t="array" ref="G85" xml:space="preserve"> INDEX(十五音韻母清單!$B$6:$K$105, $C85, G$2)</f>
        <v>ㆭ</v>
      </c>
      <c r="H85" s="23" t="str" cm="1">
        <f t="array" ref="H85" xml:space="preserve"> INDEX(十五音韻母清單!$B$6:$K$105, $C85, H$2)</f>
        <v>ng</v>
      </c>
      <c r="I85" s="21" t="str" cm="1">
        <f t="array" ref="I85" xml:space="preserve"> INDEX(十五音韻母清單!$B$6:$K$105, $C85, I$2)</f>
        <v>鋼</v>
      </c>
      <c r="J85" s="23" t="str" cm="1">
        <f t="array" ref="J85" xml:space="preserve"> INDEX(十五音韻母清單!$B$6:$K$105, 方音韻母排序!$C85,方音韻母排序!J$2)</f>
        <v>ng</v>
      </c>
      <c r="K85" s="23" t="str" cm="1">
        <f t="array" ref="K85" xml:space="preserve"> INDEX(十五音韻母清單!$B$6:$K$105, 方音韻母排序!$C85,方音韻母排序!K$2)</f>
        <v>ng</v>
      </c>
      <c r="L85" s="23" t="str" cm="1">
        <f t="array" ref="L85" xml:space="preserve"> INDEX(十五音韻母清單!$B$6:$K$105, 方音韻母排序!$C85,方音韻母排序!L$2)</f>
        <v>ng</v>
      </c>
      <c r="M85" s="23" t="str" cm="1">
        <f t="array" ref="M85" xml:space="preserve"> INDEX(十五音韻母清單!$B$6:$K$105, 方音韻母排序!$C85,方音韻母排序!M$2)</f>
        <v>ŋ̍</v>
      </c>
    </row>
    <row r="86" spans="2:13">
      <c r="B86" s="245" t="s">
        <v>550</v>
      </c>
      <c r="C86" s="21">
        <f xml:space="preserve"> MATCH(B86, 十五音韻母清單!$K$6:$K$105,0)</f>
        <v>76</v>
      </c>
      <c r="D86" s="21" cm="1">
        <f t="array" ref="D86" xml:space="preserve"> INDEX(十五音韻母清單!$B$6:$K$105, $C86, D$2)</f>
        <v>38</v>
      </c>
      <c r="F86" s="21">
        <v>82</v>
      </c>
      <c r="G86" s="23" t="str" cm="1">
        <f t="array" ref="G86" xml:space="preserve"> INDEX(十五音韻母清單!$B$6:$K$105, $C86, G$2)</f>
        <v>ㆭㆷ</v>
      </c>
      <c r="H86" s="23" t="str" cm="1">
        <f t="array" ref="H86" xml:space="preserve"> INDEX(十五音韻母清單!$B$6:$K$105, $C86, H$2)</f>
        <v>ngh</v>
      </c>
      <c r="I86" s="21" t="str" cm="1">
        <f t="array" ref="I86" xml:space="preserve"> INDEX(十五音韻母清單!$B$6:$K$105, $C86, I$2)</f>
        <v>鋼</v>
      </c>
      <c r="J86" s="23" t="str" cm="1">
        <f t="array" ref="J86" xml:space="preserve"> INDEX(十五音韻母清單!$B$6:$K$105, 方音韻母排序!$C86,方音韻母排序!J$2)</f>
        <v>ngh</v>
      </c>
      <c r="K86" s="23" t="str" cm="1">
        <f t="array" ref="K86" xml:space="preserve"> INDEX(十五音韻母清單!$B$6:$K$105, 方音韻母排序!$C86,方音韻母排序!K$2)</f>
        <v>ngh</v>
      </c>
      <c r="L86" s="23" t="str" cm="1">
        <f t="array" ref="L86" xml:space="preserve"> INDEX(十五音韻母清單!$B$6:$K$105, 方音韻母排序!$C86,方音韻母排序!L$2)</f>
        <v>ngh</v>
      </c>
      <c r="M86" s="23" t="str" cm="1">
        <f t="array" ref="M86" xml:space="preserve"> INDEX(十五音韻母清單!$B$6:$K$105, 方音韻母排序!$C86,方音韻母排序!M$2)</f>
        <v>ŋ̍h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8190D-B617-8943-ACD8-17623F9F0286}">
  <sheetPr codeName="工作表5">
    <tabColor rgb="FF92D050"/>
  </sheetPr>
  <dimension ref="B2:T84"/>
  <sheetViews>
    <sheetView workbookViewId="0"/>
  </sheetViews>
  <sheetFormatPr baseColWidth="10" defaultColWidth="10.69921875" defaultRowHeight="22"/>
  <cols>
    <col min="1" max="1" width="4.296875" customWidth="1"/>
    <col min="2" max="20" width="7.69921875" customWidth="1"/>
  </cols>
  <sheetData>
    <row r="2" spans="2:20" ht="23">
      <c r="B2" s="232"/>
      <c r="C2" s="232" t="s">
        <v>742</v>
      </c>
      <c r="D2" s="232" t="s">
        <v>33</v>
      </c>
      <c r="E2" s="232" t="s">
        <v>24</v>
      </c>
      <c r="F2" s="232" t="s">
        <v>743</v>
      </c>
      <c r="G2" s="232" t="s">
        <v>21</v>
      </c>
      <c r="H2" s="232" t="s">
        <v>64</v>
      </c>
      <c r="I2" s="232" t="s">
        <v>42</v>
      </c>
      <c r="J2" s="232" t="s">
        <v>744</v>
      </c>
      <c r="K2" s="232" t="s">
        <v>17</v>
      </c>
      <c r="L2" s="232" t="s">
        <v>13</v>
      </c>
      <c r="M2" s="232" t="s">
        <v>745</v>
      </c>
      <c r="N2" s="232" t="s">
        <v>746</v>
      </c>
      <c r="O2" s="232" t="s">
        <v>747</v>
      </c>
      <c r="P2" s="232" t="s">
        <v>748</v>
      </c>
      <c r="Q2" s="232" t="s">
        <v>30</v>
      </c>
      <c r="R2" s="232" t="s">
        <v>749</v>
      </c>
      <c r="S2" s="232" t="s">
        <v>27</v>
      </c>
      <c r="T2" s="232" t="s">
        <v>750</v>
      </c>
    </row>
    <row r="3" spans="2:20" ht="23">
      <c r="B3" s="233" t="s">
        <v>424</v>
      </c>
      <c r="C3" s="234" t="s">
        <v>427</v>
      </c>
      <c r="D3" s="234" t="s">
        <v>751</v>
      </c>
      <c r="E3" s="234" t="s">
        <v>752</v>
      </c>
      <c r="F3" s="234" t="s">
        <v>753</v>
      </c>
      <c r="G3" s="234" t="s">
        <v>754</v>
      </c>
      <c r="H3" s="234" t="s">
        <v>755</v>
      </c>
      <c r="I3" s="234" t="s">
        <v>756</v>
      </c>
      <c r="J3" s="234" t="s">
        <v>757</v>
      </c>
      <c r="K3" s="234" t="s">
        <v>758</v>
      </c>
      <c r="L3" s="234" t="s">
        <v>759</v>
      </c>
      <c r="M3" s="234" t="s">
        <v>760</v>
      </c>
      <c r="N3" s="234" t="s">
        <v>761</v>
      </c>
      <c r="O3" s="234"/>
      <c r="P3" s="234" t="s">
        <v>762</v>
      </c>
      <c r="Q3" s="234" t="s">
        <v>763</v>
      </c>
      <c r="R3" s="234" t="s">
        <v>764</v>
      </c>
      <c r="S3" s="234" t="s">
        <v>765</v>
      </c>
      <c r="T3" s="234" t="s">
        <v>766</v>
      </c>
    </row>
    <row r="4" spans="2:20" ht="23">
      <c r="B4" s="233" t="s">
        <v>402</v>
      </c>
      <c r="C4" s="234" t="s">
        <v>408</v>
      </c>
      <c r="D4" s="234" t="s">
        <v>767</v>
      </c>
      <c r="E4" s="234"/>
      <c r="F4" s="234" t="s">
        <v>768</v>
      </c>
      <c r="G4" s="234"/>
      <c r="H4" s="234"/>
      <c r="I4" s="234" t="s">
        <v>769</v>
      </c>
      <c r="J4" s="234" t="s">
        <v>770</v>
      </c>
      <c r="K4" s="234"/>
      <c r="L4" s="234"/>
      <c r="M4" s="234" t="s">
        <v>771</v>
      </c>
      <c r="N4" s="234" t="s">
        <v>772</v>
      </c>
      <c r="O4" s="234"/>
      <c r="P4" s="234" t="s">
        <v>773</v>
      </c>
      <c r="Q4" s="234" t="s">
        <v>774</v>
      </c>
      <c r="R4" s="234" t="s">
        <v>775</v>
      </c>
      <c r="S4" s="234"/>
      <c r="T4" s="234"/>
    </row>
    <row r="5" spans="2:20" ht="23">
      <c r="B5" s="233" t="s">
        <v>776</v>
      </c>
      <c r="C5" s="234" t="s">
        <v>428</v>
      </c>
      <c r="D5" s="234" t="s">
        <v>777</v>
      </c>
      <c r="E5" s="234" t="s">
        <v>778</v>
      </c>
      <c r="F5" s="234" t="s">
        <v>779</v>
      </c>
      <c r="G5" s="234" t="s">
        <v>780</v>
      </c>
      <c r="H5" s="234" t="s">
        <v>781</v>
      </c>
      <c r="I5" s="234" t="s">
        <v>782</v>
      </c>
      <c r="J5" s="234" t="s">
        <v>783</v>
      </c>
      <c r="K5" s="234" t="s">
        <v>784</v>
      </c>
      <c r="L5" s="234" t="s">
        <v>785</v>
      </c>
      <c r="M5" s="234" t="s">
        <v>786</v>
      </c>
      <c r="N5" s="234" t="s">
        <v>787</v>
      </c>
      <c r="O5" s="234"/>
      <c r="P5" s="234" t="s">
        <v>788</v>
      </c>
      <c r="Q5" s="234" t="s">
        <v>789</v>
      </c>
      <c r="R5" s="234" t="s">
        <v>790</v>
      </c>
      <c r="S5" s="234"/>
      <c r="T5" s="234"/>
    </row>
    <row r="6" spans="2:20" ht="23">
      <c r="B6" s="233" t="s">
        <v>791</v>
      </c>
      <c r="C6" s="234" t="s">
        <v>409</v>
      </c>
      <c r="D6" s="234" t="s">
        <v>792</v>
      </c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 t="s">
        <v>793</v>
      </c>
      <c r="Q6" s="234"/>
      <c r="R6" s="234"/>
      <c r="S6" s="234"/>
      <c r="T6" s="234"/>
    </row>
    <row r="7" spans="2:20" ht="23">
      <c r="B7" s="233" t="s">
        <v>334</v>
      </c>
      <c r="C7" s="234" t="s">
        <v>336</v>
      </c>
      <c r="D7" s="234" t="s">
        <v>794</v>
      </c>
      <c r="E7" s="234"/>
      <c r="F7" s="234"/>
      <c r="G7" s="234"/>
      <c r="H7" s="234"/>
      <c r="I7" s="234" t="s">
        <v>795</v>
      </c>
      <c r="J7" s="234" t="s">
        <v>796</v>
      </c>
      <c r="K7" s="234"/>
      <c r="L7" s="234" t="s">
        <v>797</v>
      </c>
      <c r="M7" s="234" t="s">
        <v>798</v>
      </c>
      <c r="N7" s="234" t="s">
        <v>799</v>
      </c>
      <c r="O7" s="234"/>
      <c r="P7" s="234" t="s">
        <v>800</v>
      </c>
      <c r="Q7" s="234" t="s">
        <v>801</v>
      </c>
      <c r="R7" s="234" t="s">
        <v>802</v>
      </c>
      <c r="S7" s="234" t="s">
        <v>803</v>
      </c>
      <c r="T7" s="234"/>
    </row>
    <row r="8" spans="2:20" ht="23">
      <c r="B8" s="233" t="s">
        <v>202</v>
      </c>
      <c r="C8" s="234" t="s">
        <v>207</v>
      </c>
      <c r="D8" s="234" t="s">
        <v>804</v>
      </c>
      <c r="E8" s="234" t="s">
        <v>805</v>
      </c>
      <c r="F8" s="234" t="s">
        <v>806</v>
      </c>
      <c r="G8" s="234" t="s">
        <v>807</v>
      </c>
      <c r="H8" s="234"/>
      <c r="I8" s="234" t="s">
        <v>808</v>
      </c>
      <c r="J8" s="234" t="s">
        <v>809</v>
      </c>
      <c r="K8" s="234"/>
      <c r="L8" s="234" t="s">
        <v>810</v>
      </c>
      <c r="M8" s="234" t="s">
        <v>811</v>
      </c>
      <c r="N8" s="234" t="s">
        <v>812</v>
      </c>
      <c r="O8" s="234"/>
      <c r="P8" s="234" t="s">
        <v>813</v>
      </c>
      <c r="Q8" s="234" t="s">
        <v>814</v>
      </c>
      <c r="R8" s="234" t="s">
        <v>815</v>
      </c>
      <c r="S8" s="234" t="s">
        <v>816</v>
      </c>
      <c r="T8" s="234"/>
    </row>
    <row r="9" spans="2:20" ht="23">
      <c r="B9" s="233" t="s">
        <v>353</v>
      </c>
      <c r="C9" s="234" t="s">
        <v>355</v>
      </c>
      <c r="D9" s="234" t="s">
        <v>817</v>
      </c>
      <c r="E9" s="234" t="s">
        <v>818</v>
      </c>
      <c r="F9" s="234" t="s">
        <v>819</v>
      </c>
      <c r="G9" s="234" t="s">
        <v>820</v>
      </c>
      <c r="H9" s="234"/>
      <c r="I9" s="234" t="s">
        <v>821</v>
      </c>
      <c r="J9" s="234" t="s">
        <v>822</v>
      </c>
      <c r="K9" s="234"/>
      <c r="L9" s="234" t="s">
        <v>823</v>
      </c>
      <c r="M9" s="234" t="s">
        <v>824</v>
      </c>
      <c r="N9" s="234" t="s">
        <v>825</v>
      </c>
      <c r="O9" s="234"/>
      <c r="P9" s="234" t="s">
        <v>826</v>
      </c>
      <c r="Q9" s="234" t="s">
        <v>827</v>
      </c>
      <c r="R9" s="234" t="s">
        <v>828</v>
      </c>
      <c r="S9" s="234" t="s">
        <v>829</v>
      </c>
      <c r="T9" s="234"/>
    </row>
    <row r="10" spans="2:20" ht="23">
      <c r="B10" s="233" t="s">
        <v>335</v>
      </c>
      <c r="C10" s="234" t="s">
        <v>337</v>
      </c>
      <c r="D10" s="234" t="s">
        <v>830</v>
      </c>
      <c r="E10" s="234"/>
      <c r="F10" s="234"/>
      <c r="G10" s="234"/>
      <c r="H10" s="234"/>
      <c r="I10" s="234" t="s">
        <v>831</v>
      </c>
      <c r="J10" s="234" t="s">
        <v>832</v>
      </c>
      <c r="K10" s="234"/>
      <c r="L10" s="234" t="s">
        <v>833</v>
      </c>
      <c r="M10" s="234" t="s">
        <v>834</v>
      </c>
      <c r="N10" s="234" t="s">
        <v>835</v>
      </c>
      <c r="O10" s="234"/>
      <c r="P10" s="234" t="s">
        <v>836</v>
      </c>
      <c r="Q10" s="234" t="s">
        <v>837</v>
      </c>
      <c r="R10" s="234" t="s">
        <v>838</v>
      </c>
      <c r="S10" s="234"/>
      <c r="T10" s="234"/>
    </row>
    <row r="11" spans="2:20" ht="23">
      <c r="B11" s="233" t="s">
        <v>204</v>
      </c>
      <c r="C11" s="234" t="s">
        <v>208</v>
      </c>
      <c r="D11" s="234" t="s">
        <v>839</v>
      </c>
      <c r="E11" s="234" t="s">
        <v>840</v>
      </c>
      <c r="F11" s="234" t="s">
        <v>841</v>
      </c>
      <c r="G11" s="234" t="s">
        <v>842</v>
      </c>
      <c r="H11" s="234"/>
      <c r="I11" s="234" t="s">
        <v>843</v>
      </c>
      <c r="J11" s="234" t="s">
        <v>844</v>
      </c>
      <c r="K11" s="234"/>
      <c r="L11" s="234" t="s">
        <v>845</v>
      </c>
      <c r="M11" s="234" t="s">
        <v>846</v>
      </c>
      <c r="N11" s="234" t="s">
        <v>847</v>
      </c>
      <c r="O11" s="234"/>
      <c r="P11" s="234" t="s">
        <v>848</v>
      </c>
      <c r="Q11" s="234" t="s">
        <v>849</v>
      </c>
      <c r="R11" s="234" t="s">
        <v>850</v>
      </c>
      <c r="S11" s="234"/>
      <c r="T11" s="234"/>
    </row>
    <row r="12" spans="2:20" ht="23">
      <c r="B12" s="233" t="s">
        <v>354</v>
      </c>
      <c r="C12" s="234" t="s">
        <v>706</v>
      </c>
      <c r="D12" s="234" t="s">
        <v>851</v>
      </c>
      <c r="E12" s="234" t="s">
        <v>852</v>
      </c>
      <c r="F12" s="234" t="s">
        <v>853</v>
      </c>
      <c r="G12" s="234" t="s">
        <v>854</v>
      </c>
      <c r="H12" s="234"/>
      <c r="I12" s="234" t="s">
        <v>855</v>
      </c>
      <c r="J12" s="234" t="s">
        <v>856</v>
      </c>
      <c r="K12" s="234"/>
      <c r="L12" s="234" t="s">
        <v>857</v>
      </c>
      <c r="M12" s="234" t="s">
        <v>858</v>
      </c>
      <c r="N12" s="234" t="s">
        <v>859</v>
      </c>
      <c r="O12" s="234"/>
      <c r="P12" s="234" t="s">
        <v>860</v>
      </c>
      <c r="Q12" s="234" t="s">
        <v>861</v>
      </c>
      <c r="R12" s="234" t="s">
        <v>862</v>
      </c>
      <c r="S12" s="234" t="s">
        <v>863</v>
      </c>
      <c r="T12" s="234"/>
    </row>
    <row r="13" spans="2:20" ht="23">
      <c r="B13" s="233" t="s">
        <v>864</v>
      </c>
      <c r="C13" s="234" t="s">
        <v>312</v>
      </c>
      <c r="D13" s="234" t="s">
        <v>865</v>
      </c>
      <c r="E13" s="234" t="s">
        <v>866</v>
      </c>
      <c r="F13" s="234" t="s">
        <v>867</v>
      </c>
      <c r="G13" s="234" t="s">
        <v>868</v>
      </c>
      <c r="H13" s="234" t="s">
        <v>869</v>
      </c>
      <c r="I13" s="234" t="s">
        <v>870</v>
      </c>
      <c r="J13" s="234" t="s">
        <v>871</v>
      </c>
      <c r="K13" s="234" t="s">
        <v>872</v>
      </c>
      <c r="L13" s="234" t="s">
        <v>873</v>
      </c>
      <c r="M13" s="234" t="s">
        <v>874</v>
      </c>
      <c r="N13" s="234" t="s">
        <v>875</v>
      </c>
      <c r="O13" s="234"/>
      <c r="P13" s="234" t="s">
        <v>876</v>
      </c>
      <c r="Q13" s="234" t="s">
        <v>877</v>
      </c>
      <c r="R13" s="234" t="s">
        <v>878</v>
      </c>
      <c r="S13" s="234" t="s">
        <v>879</v>
      </c>
      <c r="T13" s="234" t="s">
        <v>880</v>
      </c>
    </row>
    <row r="14" spans="2:20" ht="23">
      <c r="B14" s="233" t="s">
        <v>881</v>
      </c>
      <c r="C14" s="234" t="s">
        <v>567</v>
      </c>
      <c r="D14" s="234" t="s">
        <v>882</v>
      </c>
      <c r="E14" s="234"/>
      <c r="F14" s="234" t="s">
        <v>883</v>
      </c>
      <c r="G14" s="234"/>
      <c r="H14" s="234"/>
      <c r="I14" s="234" t="s">
        <v>884</v>
      </c>
      <c r="J14" s="234"/>
      <c r="K14" s="234"/>
      <c r="L14" s="234"/>
      <c r="M14" s="234" t="s">
        <v>885</v>
      </c>
      <c r="N14" s="234"/>
      <c r="O14" s="234"/>
      <c r="P14" s="234"/>
      <c r="Q14" s="234" t="s">
        <v>886</v>
      </c>
      <c r="R14" s="234" t="s">
        <v>887</v>
      </c>
      <c r="S14" s="234"/>
      <c r="T14" s="234"/>
    </row>
    <row r="15" spans="2:20" ht="23">
      <c r="B15" s="233" t="s">
        <v>888</v>
      </c>
      <c r="C15" s="234" t="s">
        <v>313</v>
      </c>
      <c r="D15" s="234" t="s">
        <v>889</v>
      </c>
      <c r="E15" s="234"/>
      <c r="F15" s="234"/>
      <c r="G15" s="234"/>
      <c r="H15" s="234"/>
      <c r="I15" s="234"/>
      <c r="J15" s="234"/>
      <c r="K15" s="234"/>
      <c r="L15" s="234" t="s">
        <v>890</v>
      </c>
      <c r="M15" s="234"/>
      <c r="N15" s="234"/>
      <c r="O15" s="234"/>
      <c r="P15" s="234" t="s">
        <v>891</v>
      </c>
      <c r="Q15" s="234"/>
      <c r="R15" s="234"/>
      <c r="S15" s="234"/>
      <c r="T15" s="234"/>
    </row>
    <row r="16" spans="2:20" ht="23">
      <c r="B16" s="233" t="s">
        <v>368</v>
      </c>
      <c r="C16" s="234" t="s">
        <v>374</v>
      </c>
      <c r="D16" s="234" t="s">
        <v>892</v>
      </c>
      <c r="E16" s="234" t="s">
        <v>893</v>
      </c>
      <c r="F16" s="234" t="s">
        <v>894</v>
      </c>
      <c r="G16" s="234" t="s">
        <v>895</v>
      </c>
      <c r="H16" s="234" t="s">
        <v>896</v>
      </c>
      <c r="I16" s="234" t="s">
        <v>897</v>
      </c>
      <c r="J16" s="234" t="s">
        <v>898</v>
      </c>
      <c r="K16" s="234" t="s">
        <v>899</v>
      </c>
      <c r="L16" s="234" t="s">
        <v>900</v>
      </c>
      <c r="M16" s="234" t="s">
        <v>901</v>
      </c>
      <c r="N16" s="234" t="s">
        <v>902</v>
      </c>
      <c r="O16" s="234"/>
      <c r="P16" s="234" t="s">
        <v>903</v>
      </c>
      <c r="Q16" s="234" t="s">
        <v>904</v>
      </c>
      <c r="R16" s="234" t="s">
        <v>905</v>
      </c>
      <c r="S16" s="234" t="s">
        <v>906</v>
      </c>
      <c r="T16" s="234" t="s">
        <v>907</v>
      </c>
    </row>
    <row r="17" spans="2:20" ht="23">
      <c r="B17" s="233" t="s">
        <v>908</v>
      </c>
      <c r="C17" s="234" t="s">
        <v>375</v>
      </c>
      <c r="D17" s="234"/>
      <c r="E17" s="234"/>
      <c r="F17" s="234" t="s">
        <v>909</v>
      </c>
      <c r="G17" s="234"/>
      <c r="H17" s="234" t="s">
        <v>910</v>
      </c>
      <c r="I17" s="234" t="s">
        <v>911</v>
      </c>
      <c r="J17" s="234"/>
      <c r="K17" s="234" t="s">
        <v>912</v>
      </c>
      <c r="L17" s="234" t="s">
        <v>913</v>
      </c>
      <c r="M17" s="234"/>
      <c r="N17" s="234" t="s">
        <v>914</v>
      </c>
      <c r="O17" s="234"/>
      <c r="P17" s="234"/>
      <c r="Q17" s="234" t="s">
        <v>915</v>
      </c>
      <c r="R17" s="234"/>
      <c r="S17" s="234"/>
      <c r="T17" s="234" t="s">
        <v>916</v>
      </c>
    </row>
    <row r="18" spans="2:20" ht="23">
      <c r="B18" s="235" t="s">
        <v>278</v>
      </c>
      <c r="C18" s="236" t="s">
        <v>555</v>
      </c>
      <c r="D18" s="236" t="s">
        <v>917</v>
      </c>
      <c r="E18" s="236" t="s">
        <v>918</v>
      </c>
      <c r="F18" s="236" t="s">
        <v>919</v>
      </c>
      <c r="G18" s="236" t="s">
        <v>920</v>
      </c>
      <c r="H18" s="236" t="s">
        <v>921</v>
      </c>
      <c r="I18" s="236" t="s">
        <v>922</v>
      </c>
      <c r="J18" s="236" t="s">
        <v>923</v>
      </c>
      <c r="K18" s="236" t="s">
        <v>924</v>
      </c>
      <c r="L18" s="236" t="s">
        <v>925</v>
      </c>
      <c r="M18" s="236" t="s">
        <v>926</v>
      </c>
      <c r="N18" s="236" t="s">
        <v>927</v>
      </c>
      <c r="O18" s="236"/>
      <c r="P18" s="236" t="s">
        <v>928</v>
      </c>
      <c r="Q18" s="236" t="s">
        <v>929</v>
      </c>
      <c r="R18" s="236" t="s">
        <v>930</v>
      </c>
      <c r="S18" s="236" t="s">
        <v>931</v>
      </c>
      <c r="T18" s="236" t="s">
        <v>932</v>
      </c>
    </row>
    <row r="19" spans="2:20" ht="23">
      <c r="B19" s="235" t="s">
        <v>451</v>
      </c>
      <c r="C19" s="236" t="s">
        <v>457</v>
      </c>
      <c r="D19" s="236" t="s">
        <v>933</v>
      </c>
      <c r="E19" s="236" t="s">
        <v>934</v>
      </c>
      <c r="F19" s="236" t="s">
        <v>935</v>
      </c>
      <c r="G19" s="236"/>
      <c r="H19" s="236"/>
      <c r="I19" s="236" t="s">
        <v>936</v>
      </c>
      <c r="J19" s="236" t="s">
        <v>937</v>
      </c>
      <c r="K19" s="236"/>
      <c r="L19" s="236"/>
      <c r="M19" s="236" t="s">
        <v>938</v>
      </c>
      <c r="N19" s="236" t="s">
        <v>939</v>
      </c>
      <c r="O19" s="236"/>
      <c r="P19" s="236" t="s">
        <v>940</v>
      </c>
      <c r="Q19" s="236" t="s">
        <v>941</v>
      </c>
      <c r="R19" s="236" t="s">
        <v>942</v>
      </c>
      <c r="S19" s="236"/>
      <c r="T19" s="236"/>
    </row>
    <row r="20" spans="2:20" ht="23">
      <c r="B20" s="235" t="s">
        <v>943</v>
      </c>
      <c r="C20" s="236" t="s">
        <v>556</v>
      </c>
      <c r="D20" s="236" t="s">
        <v>944</v>
      </c>
      <c r="E20" s="236" t="s">
        <v>945</v>
      </c>
      <c r="F20" s="236" t="s">
        <v>946</v>
      </c>
      <c r="G20" s="236" t="s">
        <v>947</v>
      </c>
      <c r="H20" s="236" t="s">
        <v>948</v>
      </c>
      <c r="I20" s="236" t="s">
        <v>949</v>
      </c>
      <c r="J20" s="236" t="s">
        <v>950</v>
      </c>
      <c r="K20" s="236" t="s">
        <v>951</v>
      </c>
      <c r="L20" s="236" t="s">
        <v>952</v>
      </c>
      <c r="M20" s="236" t="s">
        <v>953</v>
      </c>
      <c r="N20" s="236" t="s">
        <v>954</v>
      </c>
      <c r="O20" s="236"/>
      <c r="P20" s="236" t="s">
        <v>955</v>
      </c>
      <c r="Q20" s="236" t="s">
        <v>956</v>
      </c>
      <c r="R20" s="236" t="s">
        <v>957</v>
      </c>
      <c r="S20" s="236" t="s">
        <v>958</v>
      </c>
      <c r="T20" s="236" t="s">
        <v>959</v>
      </c>
    </row>
    <row r="21" spans="2:20" ht="23">
      <c r="B21" s="235" t="s">
        <v>960</v>
      </c>
      <c r="C21" s="236" t="s">
        <v>458</v>
      </c>
      <c r="D21" s="236" t="s">
        <v>961</v>
      </c>
      <c r="E21" s="236"/>
      <c r="F21" s="236"/>
      <c r="G21" s="236"/>
      <c r="H21" s="236"/>
      <c r="I21" s="236"/>
      <c r="J21" s="236"/>
      <c r="K21" s="236"/>
      <c r="L21" s="236"/>
      <c r="M21" s="236"/>
      <c r="N21" s="236"/>
      <c r="O21" s="236"/>
      <c r="P21" s="236"/>
      <c r="Q21" s="236"/>
      <c r="R21" s="236" t="s">
        <v>962</v>
      </c>
      <c r="S21" s="236"/>
      <c r="T21" s="236"/>
    </row>
    <row r="22" spans="2:20" ht="23">
      <c r="B22" s="233" t="s">
        <v>432</v>
      </c>
      <c r="C22" s="234" t="s">
        <v>435</v>
      </c>
      <c r="D22" s="234" t="s">
        <v>963</v>
      </c>
      <c r="E22" s="234" t="s">
        <v>964</v>
      </c>
      <c r="F22" s="234" t="s">
        <v>965</v>
      </c>
      <c r="G22" s="234" t="s">
        <v>966</v>
      </c>
      <c r="H22" s="234" t="s">
        <v>967</v>
      </c>
      <c r="I22" s="234" t="s">
        <v>968</v>
      </c>
      <c r="J22" s="234" t="s">
        <v>969</v>
      </c>
      <c r="K22" s="234" t="s">
        <v>970</v>
      </c>
      <c r="L22" s="234" t="s">
        <v>971</v>
      </c>
      <c r="M22" s="234" t="s">
        <v>972</v>
      </c>
      <c r="N22" s="234" t="s">
        <v>973</v>
      </c>
      <c r="O22" s="234" t="s">
        <v>974</v>
      </c>
      <c r="P22" s="234" t="s">
        <v>975</v>
      </c>
      <c r="Q22" s="234" t="s">
        <v>976</v>
      </c>
      <c r="R22" s="234" t="s">
        <v>977</v>
      </c>
      <c r="S22" s="234" t="s">
        <v>978</v>
      </c>
      <c r="T22" s="234" t="s">
        <v>979</v>
      </c>
    </row>
    <row r="23" spans="2:20" ht="23">
      <c r="B23" s="233" t="s">
        <v>492</v>
      </c>
      <c r="C23" s="234" t="s">
        <v>498</v>
      </c>
      <c r="D23" s="234" t="s">
        <v>980</v>
      </c>
      <c r="E23" s="234" t="s">
        <v>981</v>
      </c>
      <c r="F23" s="234" t="s">
        <v>982</v>
      </c>
      <c r="G23" s="234"/>
      <c r="H23" s="234"/>
      <c r="I23" s="234" t="s">
        <v>983</v>
      </c>
      <c r="J23" s="234" t="s">
        <v>984</v>
      </c>
      <c r="K23" s="234"/>
      <c r="L23" s="234"/>
      <c r="M23" s="234" t="s">
        <v>985</v>
      </c>
      <c r="N23" s="234" t="s">
        <v>986</v>
      </c>
      <c r="O23" s="234"/>
      <c r="P23" s="234" t="s">
        <v>987</v>
      </c>
      <c r="Q23" s="234" t="s">
        <v>988</v>
      </c>
      <c r="R23" s="234" t="s">
        <v>989</v>
      </c>
      <c r="S23" s="234"/>
      <c r="T23" s="234"/>
    </row>
    <row r="24" spans="2:20" ht="23">
      <c r="B24" s="233" t="s">
        <v>990</v>
      </c>
      <c r="C24" s="234" t="s">
        <v>436</v>
      </c>
      <c r="D24" s="234"/>
      <c r="E24" s="234" t="s">
        <v>991</v>
      </c>
      <c r="F24" s="234" t="s">
        <v>992</v>
      </c>
      <c r="G24" s="234" t="s">
        <v>993</v>
      </c>
      <c r="H24" s="234" t="s">
        <v>994</v>
      </c>
      <c r="I24" s="234" t="s">
        <v>995</v>
      </c>
      <c r="J24" s="234" t="s">
        <v>996</v>
      </c>
      <c r="K24" s="234" t="s">
        <v>997</v>
      </c>
      <c r="L24" s="234" t="s">
        <v>998</v>
      </c>
      <c r="M24" s="234" t="s">
        <v>999</v>
      </c>
      <c r="N24" s="234" t="s">
        <v>1000</v>
      </c>
      <c r="O24" s="234"/>
      <c r="P24" s="234" t="s">
        <v>1001</v>
      </c>
      <c r="Q24" s="234" t="s">
        <v>1002</v>
      </c>
      <c r="R24" s="234" t="s">
        <v>1003</v>
      </c>
      <c r="S24" s="234"/>
      <c r="T24" s="234"/>
    </row>
    <row r="25" spans="2:20" ht="23">
      <c r="B25" s="233" t="s">
        <v>171</v>
      </c>
      <c r="C25" s="234" t="s">
        <v>174</v>
      </c>
      <c r="D25" s="234" t="s">
        <v>1004</v>
      </c>
      <c r="E25" s="234"/>
      <c r="F25" s="234"/>
      <c r="G25" s="234"/>
      <c r="H25" s="234"/>
      <c r="I25" s="234" t="s">
        <v>1005</v>
      </c>
      <c r="J25" s="234" t="s">
        <v>1006</v>
      </c>
      <c r="K25" s="234"/>
      <c r="L25" s="234" t="s">
        <v>1007</v>
      </c>
      <c r="M25" s="234" t="s">
        <v>1008</v>
      </c>
      <c r="N25" s="234" t="s">
        <v>1009</v>
      </c>
      <c r="O25" s="234" t="s">
        <v>1010</v>
      </c>
      <c r="P25" s="234" t="s">
        <v>1011</v>
      </c>
      <c r="Q25" s="234" t="s">
        <v>1012</v>
      </c>
      <c r="R25" s="234" t="s">
        <v>1013</v>
      </c>
      <c r="S25" s="234" t="s">
        <v>1014</v>
      </c>
      <c r="T25" s="234"/>
    </row>
    <row r="26" spans="2:20" ht="23">
      <c r="B26" s="233" t="s">
        <v>317</v>
      </c>
      <c r="C26" s="234" t="s">
        <v>320</v>
      </c>
      <c r="D26" s="234" t="s">
        <v>1015</v>
      </c>
      <c r="E26" s="234" t="s">
        <v>1016</v>
      </c>
      <c r="F26" s="234" t="s">
        <v>1017</v>
      </c>
      <c r="G26" s="234" t="s">
        <v>1018</v>
      </c>
      <c r="H26" s="234"/>
      <c r="I26" s="234" t="s">
        <v>1019</v>
      </c>
      <c r="J26" s="234" t="s">
        <v>1020</v>
      </c>
      <c r="K26" s="234"/>
      <c r="L26" s="234" t="s">
        <v>1021</v>
      </c>
      <c r="M26" s="234" t="s">
        <v>1022</v>
      </c>
      <c r="N26" s="234" t="s">
        <v>1023</v>
      </c>
      <c r="O26" s="234" t="s">
        <v>1024</v>
      </c>
      <c r="P26" s="234" t="s">
        <v>1025</v>
      </c>
      <c r="Q26" s="234" t="s">
        <v>1026</v>
      </c>
      <c r="R26" s="234" t="s">
        <v>1027</v>
      </c>
      <c r="S26" s="234" t="s">
        <v>1028</v>
      </c>
      <c r="T26" s="234"/>
    </row>
    <row r="27" spans="2:20" ht="23">
      <c r="B27" s="233" t="s">
        <v>1029</v>
      </c>
      <c r="C27" s="234" t="s">
        <v>708</v>
      </c>
      <c r="D27" s="234" t="s">
        <v>1030</v>
      </c>
      <c r="E27" s="234" t="s">
        <v>1031</v>
      </c>
      <c r="F27" s="234" t="s">
        <v>1032</v>
      </c>
      <c r="G27" s="234" t="s">
        <v>1033</v>
      </c>
      <c r="H27" s="234"/>
      <c r="I27" s="234" t="s">
        <v>1034</v>
      </c>
      <c r="J27" s="234" t="s">
        <v>1035</v>
      </c>
      <c r="K27" s="234"/>
      <c r="L27" s="234" t="s">
        <v>1036</v>
      </c>
      <c r="M27" s="234" t="s">
        <v>1037</v>
      </c>
      <c r="N27" s="234" t="s">
        <v>1038</v>
      </c>
      <c r="O27" s="234"/>
      <c r="P27" s="234" t="s">
        <v>1039</v>
      </c>
      <c r="Q27" s="234" t="s">
        <v>1040</v>
      </c>
      <c r="R27" s="234" t="s">
        <v>1041</v>
      </c>
      <c r="S27" s="234" t="s">
        <v>1042</v>
      </c>
      <c r="T27" s="234"/>
    </row>
    <row r="28" spans="2:20" ht="23">
      <c r="B28" s="233" t="s">
        <v>173</v>
      </c>
      <c r="C28" s="234" t="s">
        <v>175</v>
      </c>
      <c r="D28" s="234" t="s">
        <v>1043</v>
      </c>
      <c r="E28" s="234"/>
      <c r="F28" s="234"/>
      <c r="G28" s="234"/>
      <c r="H28" s="234"/>
      <c r="I28" s="234"/>
      <c r="J28" s="234"/>
      <c r="K28" s="234"/>
      <c r="L28" s="234" t="s">
        <v>1044</v>
      </c>
      <c r="M28" s="234" t="s">
        <v>1045</v>
      </c>
      <c r="N28" s="234" t="s">
        <v>1046</v>
      </c>
      <c r="O28" s="234" t="s">
        <v>1047</v>
      </c>
      <c r="P28" s="234" t="s">
        <v>1048</v>
      </c>
      <c r="Q28" s="234" t="s">
        <v>1049</v>
      </c>
      <c r="R28" s="234" t="s">
        <v>1050</v>
      </c>
      <c r="S28" s="234"/>
      <c r="T28" s="234"/>
    </row>
    <row r="29" spans="2:20" ht="23">
      <c r="B29" s="233" t="s">
        <v>319</v>
      </c>
      <c r="C29" s="234" t="s">
        <v>321</v>
      </c>
      <c r="D29" s="234" t="s">
        <v>1051</v>
      </c>
      <c r="E29" s="234" t="s">
        <v>1052</v>
      </c>
      <c r="F29" s="234" t="s">
        <v>1053</v>
      </c>
      <c r="G29" s="234" t="s">
        <v>1054</v>
      </c>
      <c r="H29" s="234"/>
      <c r="I29" s="234" t="s">
        <v>1055</v>
      </c>
      <c r="J29" s="234" t="s">
        <v>1056</v>
      </c>
      <c r="K29" s="234"/>
      <c r="L29" s="234" t="s">
        <v>1057</v>
      </c>
      <c r="M29" s="234" t="s">
        <v>1058</v>
      </c>
      <c r="N29" s="234" t="s">
        <v>1059</v>
      </c>
      <c r="O29" s="234" t="s">
        <v>1060</v>
      </c>
      <c r="P29" s="234" t="s">
        <v>1061</v>
      </c>
      <c r="Q29" s="234" t="s">
        <v>1062</v>
      </c>
      <c r="R29" s="234" t="s">
        <v>1063</v>
      </c>
      <c r="S29" s="234"/>
      <c r="T29" s="234"/>
    </row>
    <row r="30" spans="2:20" ht="23">
      <c r="B30" s="233" t="s">
        <v>1064</v>
      </c>
      <c r="C30" s="234" t="s">
        <v>707</v>
      </c>
      <c r="D30" s="234" t="s">
        <v>1065</v>
      </c>
      <c r="E30" s="234" t="s">
        <v>1066</v>
      </c>
      <c r="F30" s="234" t="s">
        <v>1067</v>
      </c>
      <c r="G30" s="234" t="s">
        <v>1068</v>
      </c>
      <c r="H30" s="234"/>
      <c r="I30" s="234" t="s">
        <v>1069</v>
      </c>
      <c r="J30" s="234" t="s">
        <v>1070</v>
      </c>
      <c r="K30" s="234"/>
      <c r="L30" s="234" t="s">
        <v>1071</v>
      </c>
      <c r="M30" s="234" t="s">
        <v>1072</v>
      </c>
      <c r="N30" s="234" t="s">
        <v>1073</v>
      </c>
      <c r="O30" s="234" t="s">
        <v>1074</v>
      </c>
      <c r="P30" s="234" t="s">
        <v>1075</v>
      </c>
      <c r="Q30" s="234" t="s">
        <v>1076</v>
      </c>
      <c r="R30" s="234" t="s">
        <v>1077</v>
      </c>
      <c r="S30" s="234" t="s">
        <v>1078</v>
      </c>
      <c r="T30" s="234"/>
    </row>
    <row r="31" spans="2:20" ht="23">
      <c r="B31" s="233" t="s">
        <v>1079</v>
      </c>
      <c r="C31" s="234" t="s">
        <v>382</v>
      </c>
      <c r="D31" s="234" t="s">
        <v>1080</v>
      </c>
      <c r="E31" s="234"/>
      <c r="F31" s="234"/>
      <c r="G31" s="234"/>
      <c r="H31" s="234" t="s">
        <v>1081</v>
      </c>
      <c r="I31" s="234" t="s">
        <v>1082</v>
      </c>
      <c r="J31" s="234"/>
      <c r="K31" s="234" t="s">
        <v>1083</v>
      </c>
      <c r="L31" s="234" t="s">
        <v>1084</v>
      </c>
      <c r="M31" s="234" t="s">
        <v>1085</v>
      </c>
      <c r="N31" s="234" t="s">
        <v>1086</v>
      </c>
      <c r="O31" s="234" t="s">
        <v>1087</v>
      </c>
      <c r="P31" s="234" t="s">
        <v>1088</v>
      </c>
      <c r="Q31" s="234" t="s">
        <v>1089</v>
      </c>
      <c r="R31" s="234" t="s">
        <v>1090</v>
      </c>
      <c r="S31" s="234" t="s">
        <v>1091</v>
      </c>
      <c r="T31" s="234" t="s">
        <v>1092</v>
      </c>
    </row>
    <row r="32" spans="2:20" ht="23">
      <c r="B32" s="233" t="s">
        <v>1093</v>
      </c>
      <c r="C32" s="234" t="s">
        <v>527</v>
      </c>
      <c r="D32" s="234" t="s">
        <v>1094</v>
      </c>
      <c r="E32" s="234" t="s">
        <v>1095</v>
      </c>
      <c r="F32" s="234" t="s">
        <v>1096</v>
      </c>
      <c r="G32" s="234"/>
      <c r="H32" s="234"/>
      <c r="I32" s="234" t="s">
        <v>1097</v>
      </c>
      <c r="J32" s="234" t="s">
        <v>1098</v>
      </c>
      <c r="K32" s="234"/>
      <c r="L32" s="234"/>
      <c r="M32" s="234" t="s">
        <v>1099</v>
      </c>
      <c r="N32" s="234" t="s">
        <v>1100</v>
      </c>
      <c r="O32" s="234"/>
      <c r="P32" s="234" t="s">
        <v>1101</v>
      </c>
      <c r="Q32" s="234" t="s">
        <v>1102</v>
      </c>
      <c r="R32" s="234" t="s">
        <v>1103</v>
      </c>
      <c r="S32" s="234"/>
      <c r="T32" s="234"/>
    </row>
    <row r="33" spans="2:20" ht="23">
      <c r="B33" s="233" t="s">
        <v>1104</v>
      </c>
      <c r="C33" s="234" t="s">
        <v>383</v>
      </c>
      <c r="D33" s="234" t="s">
        <v>1105</v>
      </c>
      <c r="E33" s="234" t="s">
        <v>1106</v>
      </c>
      <c r="F33" s="234" t="s">
        <v>1107</v>
      </c>
      <c r="G33" s="234"/>
      <c r="H33" s="234"/>
      <c r="I33" s="234" t="s">
        <v>1108</v>
      </c>
      <c r="J33" s="234" t="s">
        <v>1109</v>
      </c>
      <c r="K33" s="234"/>
      <c r="L33" s="234" t="s">
        <v>1110</v>
      </c>
      <c r="M33" s="234" t="s">
        <v>1111</v>
      </c>
      <c r="N33" s="234" t="s">
        <v>1112</v>
      </c>
      <c r="O33" s="234" t="s">
        <v>1113</v>
      </c>
      <c r="P33" s="234" t="s">
        <v>1114</v>
      </c>
      <c r="Q33" s="234" t="s">
        <v>1115</v>
      </c>
      <c r="R33" s="234" t="s">
        <v>1116</v>
      </c>
      <c r="S33" s="234" t="s">
        <v>1117</v>
      </c>
      <c r="T33" s="234"/>
    </row>
    <row r="34" spans="2:20" ht="23">
      <c r="B34" s="233" t="s">
        <v>1118</v>
      </c>
      <c r="C34" s="234" t="s">
        <v>528</v>
      </c>
      <c r="D34" s="234" t="s">
        <v>1119</v>
      </c>
      <c r="E34" s="234"/>
      <c r="F34" s="234"/>
      <c r="G34" s="234"/>
      <c r="H34" s="234"/>
      <c r="I34" s="234"/>
      <c r="J34" s="234"/>
      <c r="K34" s="234"/>
      <c r="L34" s="234"/>
      <c r="M34" s="234"/>
      <c r="N34" s="234"/>
      <c r="O34" s="234"/>
      <c r="P34" s="234" t="s">
        <v>1120</v>
      </c>
      <c r="Q34" s="234"/>
      <c r="R34" s="234"/>
      <c r="S34" s="234"/>
      <c r="T34" s="234"/>
    </row>
    <row r="35" spans="2:20" ht="23">
      <c r="B35" s="233" t="s">
        <v>1121</v>
      </c>
      <c r="C35" s="234" t="s">
        <v>362</v>
      </c>
      <c r="D35" s="234" t="s">
        <v>1122</v>
      </c>
      <c r="E35" s="234"/>
      <c r="F35" s="234"/>
      <c r="G35" s="234"/>
      <c r="H35" s="234"/>
      <c r="I35" s="234" t="s">
        <v>1123</v>
      </c>
      <c r="J35" s="234" t="s">
        <v>1124</v>
      </c>
      <c r="K35" s="234"/>
      <c r="L35" s="234" t="s">
        <v>1125</v>
      </c>
      <c r="M35" s="234" t="s">
        <v>1126</v>
      </c>
      <c r="N35" s="234" t="s">
        <v>1127</v>
      </c>
      <c r="O35" s="234" t="s">
        <v>1128</v>
      </c>
      <c r="P35" s="234" t="s">
        <v>1129</v>
      </c>
      <c r="Q35" s="234" t="s">
        <v>1130</v>
      </c>
      <c r="R35" s="234" t="s">
        <v>1131</v>
      </c>
      <c r="S35" s="234" t="s">
        <v>1132</v>
      </c>
      <c r="T35" s="234"/>
    </row>
    <row r="36" spans="2:20" ht="23">
      <c r="B36" s="233" t="s">
        <v>1133</v>
      </c>
      <c r="C36" s="234" t="s">
        <v>165</v>
      </c>
      <c r="D36" s="234" t="s">
        <v>1134</v>
      </c>
      <c r="E36" s="234" t="s">
        <v>1135</v>
      </c>
      <c r="F36" s="234" t="s">
        <v>1136</v>
      </c>
      <c r="G36" s="234" t="s">
        <v>1137</v>
      </c>
      <c r="H36" s="234"/>
      <c r="I36" s="234" t="s">
        <v>1138</v>
      </c>
      <c r="J36" s="234" t="s">
        <v>1139</v>
      </c>
      <c r="K36" s="234"/>
      <c r="L36" s="234" t="s">
        <v>1140</v>
      </c>
      <c r="M36" s="234" t="s">
        <v>1141</v>
      </c>
      <c r="N36" s="234" t="s">
        <v>1142</v>
      </c>
      <c r="O36" s="234" t="s">
        <v>1143</v>
      </c>
      <c r="P36" s="234" t="s">
        <v>1144</v>
      </c>
      <c r="Q36" s="234" t="s">
        <v>1145</v>
      </c>
      <c r="R36" s="234" t="s">
        <v>1146</v>
      </c>
      <c r="S36" s="234" t="s">
        <v>1147</v>
      </c>
      <c r="T36" s="234"/>
    </row>
    <row r="37" spans="2:20" ht="23">
      <c r="B37" s="235" t="s">
        <v>1148</v>
      </c>
      <c r="C37" s="236" t="s">
        <v>328</v>
      </c>
      <c r="D37" s="236" t="s">
        <v>1149</v>
      </c>
      <c r="E37" s="236" t="s">
        <v>1150</v>
      </c>
      <c r="F37" s="236" t="s">
        <v>1151</v>
      </c>
      <c r="G37" s="236"/>
      <c r="H37" s="236"/>
      <c r="I37" s="236"/>
      <c r="J37" s="236"/>
      <c r="K37" s="236"/>
      <c r="L37" s="236" t="s">
        <v>1152</v>
      </c>
      <c r="M37" s="236" t="s">
        <v>1153</v>
      </c>
      <c r="N37" s="236" t="s">
        <v>1154</v>
      </c>
      <c r="O37" s="236" t="s">
        <v>1155</v>
      </c>
      <c r="P37" s="236" t="s">
        <v>1156</v>
      </c>
      <c r="Q37" s="236" t="s">
        <v>1157</v>
      </c>
      <c r="R37" s="236" t="s">
        <v>1158</v>
      </c>
      <c r="S37" s="236" t="s">
        <v>1159</v>
      </c>
      <c r="T37" s="236"/>
    </row>
    <row r="38" spans="2:20" ht="23">
      <c r="B38" s="235" t="s">
        <v>1160</v>
      </c>
      <c r="C38" s="236" t="s">
        <v>363</v>
      </c>
      <c r="D38" s="236" t="s">
        <v>1161</v>
      </c>
      <c r="E38" s="236"/>
      <c r="F38" s="236"/>
      <c r="G38" s="236"/>
      <c r="H38" s="236"/>
      <c r="I38" s="236" t="s">
        <v>1162</v>
      </c>
      <c r="J38" s="236" t="s">
        <v>1163</v>
      </c>
      <c r="K38" s="236"/>
      <c r="L38" s="236" t="s">
        <v>1164</v>
      </c>
      <c r="M38" s="236" t="s">
        <v>1165</v>
      </c>
      <c r="N38" s="236" t="s">
        <v>1166</v>
      </c>
      <c r="O38" s="236" t="s">
        <v>1167</v>
      </c>
      <c r="P38" s="236" t="s">
        <v>1168</v>
      </c>
      <c r="Q38" s="236" t="s">
        <v>1169</v>
      </c>
      <c r="R38" s="236" t="s">
        <v>1170</v>
      </c>
      <c r="S38" s="236" t="s">
        <v>1171</v>
      </c>
      <c r="T38" s="236"/>
    </row>
    <row r="39" spans="2:20" ht="23">
      <c r="B39" s="235" t="s">
        <v>1172</v>
      </c>
      <c r="C39" s="236" t="s">
        <v>166</v>
      </c>
      <c r="D39" s="236" t="s">
        <v>1173</v>
      </c>
      <c r="E39" s="236" t="s">
        <v>1174</v>
      </c>
      <c r="F39" s="236" t="s">
        <v>1175</v>
      </c>
      <c r="G39" s="236" t="s">
        <v>1176</v>
      </c>
      <c r="H39" s="236"/>
      <c r="I39" s="236" t="s">
        <v>1177</v>
      </c>
      <c r="J39" s="236" t="s">
        <v>1178</v>
      </c>
      <c r="K39" s="236"/>
      <c r="L39" s="236" t="s">
        <v>1179</v>
      </c>
      <c r="M39" s="236" t="s">
        <v>1180</v>
      </c>
      <c r="N39" s="236" t="s">
        <v>1181</v>
      </c>
      <c r="O39" s="236" t="s">
        <v>1182</v>
      </c>
      <c r="P39" s="236" t="s">
        <v>1183</v>
      </c>
      <c r="Q39" s="236" t="s">
        <v>1184</v>
      </c>
      <c r="R39" s="236" t="s">
        <v>1185</v>
      </c>
      <c r="S39" s="236" t="s">
        <v>1186</v>
      </c>
      <c r="T39" s="236"/>
    </row>
    <row r="40" spans="2:20" ht="23">
      <c r="B40" s="235" t="s">
        <v>1187</v>
      </c>
      <c r="C40" s="236" t="s">
        <v>329</v>
      </c>
      <c r="D40" s="236"/>
      <c r="E40" s="236" t="s">
        <v>1188</v>
      </c>
      <c r="F40" s="236" t="s">
        <v>1189</v>
      </c>
      <c r="G40" s="236"/>
      <c r="H40" s="236"/>
      <c r="I40" s="236" t="s">
        <v>1190</v>
      </c>
      <c r="J40" s="236"/>
      <c r="K40" s="236"/>
      <c r="L40" s="236"/>
      <c r="M40" s="236"/>
      <c r="N40" s="236" t="s">
        <v>1191</v>
      </c>
      <c r="O40" s="236"/>
      <c r="P40" s="236" t="s">
        <v>1192</v>
      </c>
      <c r="Q40" s="236"/>
      <c r="R40" s="236" t="s">
        <v>1193</v>
      </c>
      <c r="S40" s="236"/>
      <c r="T40" s="236"/>
    </row>
    <row r="41" spans="2:20" ht="23">
      <c r="B41" s="235" t="s">
        <v>1194</v>
      </c>
      <c r="C41" s="236" t="s">
        <v>271</v>
      </c>
      <c r="D41" s="236" t="s">
        <v>1195</v>
      </c>
      <c r="E41" s="236" t="s">
        <v>1196</v>
      </c>
      <c r="F41" s="236" t="s">
        <v>1197</v>
      </c>
      <c r="G41" s="236" t="s">
        <v>1198</v>
      </c>
      <c r="H41" s="236" t="s">
        <v>1199</v>
      </c>
      <c r="I41" s="236" t="s">
        <v>1200</v>
      </c>
      <c r="J41" s="236" t="s">
        <v>1201</v>
      </c>
      <c r="K41" s="236" t="s">
        <v>1202</v>
      </c>
      <c r="L41" s="236" t="s">
        <v>1203</v>
      </c>
      <c r="M41" s="236" t="s">
        <v>1204</v>
      </c>
      <c r="N41" s="236" t="s">
        <v>1205</v>
      </c>
      <c r="O41" s="236" t="s">
        <v>1206</v>
      </c>
      <c r="P41" s="236" t="s">
        <v>1207</v>
      </c>
      <c r="Q41" s="236" t="s">
        <v>1208</v>
      </c>
      <c r="R41" s="236" t="s">
        <v>1209</v>
      </c>
      <c r="S41" s="236" t="s">
        <v>1210</v>
      </c>
      <c r="T41" s="236" t="s">
        <v>1211</v>
      </c>
    </row>
    <row r="42" spans="2:20" ht="23">
      <c r="B42" s="235" t="s">
        <v>1212</v>
      </c>
      <c r="C42" s="236" t="s">
        <v>645</v>
      </c>
      <c r="D42" s="236"/>
      <c r="E42" s="236"/>
      <c r="F42" s="236"/>
      <c r="G42" s="236"/>
      <c r="H42" s="236"/>
      <c r="I42" s="236"/>
      <c r="J42" s="236"/>
      <c r="K42" s="236"/>
      <c r="L42" s="236"/>
      <c r="M42" s="236"/>
      <c r="N42" s="236"/>
      <c r="O42" s="236"/>
      <c r="P42" s="236"/>
      <c r="Q42" s="236"/>
      <c r="R42" s="236"/>
      <c r="S42" s="236"/>
      <c r="T42" s="236"/>
    </row>
    <row r="43" spans="2:20" ht="23">
      <c r="B43" s="235" t="s">
        <v>1213</v>
      </c>
      <c r="C43" s="236" t="s">
        <v>272</v>
      </c>
      <c r="D43" s="236" t="s">
        <v>1214</v>
      </c>
      <c r="E43" s="236"/>
      <c r="F43" s="236"/>
      <c r="G43" s="236"/>
      <c r="H43" s="236"/>
      <c r="I43" s="236"/>
      <c r="J43" s="236"/>
      <c r="K43" s="236"/>
      <c r="L43" s="236"/>
      <c r="M43" s="236"/>
      <c r="N43" s="236"/>
      <c r="O43" s="236"/>
      <c r="P43" s="236"/>
      <c r="Q43" s="236"/>
      <c r="R43" s="236" t="s">
        <v>1215</v>
      </c>
      <c r="S43" s="236"/>
      <c r="T43" s="236" t="s">
        <v>1216</v>
      </c>
    </row>
    <row r="44" spans="2:20" ht="23">
      <c r="B44" s="235" t="s">
        <v>1217</v>
      </c>
      <c r="C44" s="236" t="s">
        <v>483</v>
      </c>
      <c r="D44" s="236" t="s">
        <v>1218</v>
      </c>
      <c r="E44" s="236" t="s">
        <v>1219</v>
      </c>
      <c r="F44" s="236" t="s">
        <v>1220</v>
      </c>
      <c r="G44" s="236" t="s">
        <v>1221</v>
      </c>
      <c r="H44" s="236"/>
      <c r="I44" s="236" t="s">
        <v>1222</v>
      </c>
      <c r="J44" s="236" t="s">
        <v>1223</v>
      </c>
      <c r="K44" s="236"/>
      <c r="L44" s="236" t="s">
        <v>1224</v>
      </c>
      <c r="M44" s="236" t="s">
        <v>1225</v>
      </c>
      <c r="N44" s="236" t="s">
        <v>1226</v>
      </c>
      <c r="O44" s="236" t="s">
        <v>1227</v>
      </c>
      <c r="P44" s="236" t="s">
        <v>1228</v>
      </c>
      <c r="Q44" s="236" t="s">
        <v>1229</v>
      </c>
      <c r="R44" s="236" t="s">
        <v>1230</v>
      </c>
      <c r="S44" s="236" t="s">
        <v>1231</v>
      </c>
      <c r="T44" s="236"/>
    </row>
    <row r="45" spans="2:20" ht="23">
      <c r="B45" s="235" t="s">
        <v>1232</v>
      </c>
      <c r="C45" s="236" t="s">
        <v>512</v>
      </c>
      <c r="D45" s="236" t="s">
        <v>1233</v>
      </c>
      <c r="E45" s="236"/>
      <c r="F45" s="236"/>
      <c r="G45" s="236"/>
      <c r="H45" s="236"/>
      <c r="I45" s="236" t="s">
        <v>1234</v>
      </c>
      <c r="J45" s="236"/>
      <c r="K45" s="236"/>
      <c r="L45" s="236"/>
      <c r="M45" s="236" t="s">
        <v>1235</v>
      </c>
      <c r="N45" s="236" t="s">
        <v>1236</v>
      </c>
      <c r="O45" s="236"/>
      <c r="P45" s="236" t="s">
        <v>1237</v>
      </c>
      <c r="Q45" s="236" t="s">
        <v>1238</v>
      </c>
      <c r="R45" s="236" t="s">
        <v>1239</v>
      </c>
      <c r="S45" s="236"/>
      <c r="T45" s="236"/>
    </row>
    <row r="46" spans="2:20" ht="23">
      <c r="B46" s="235" t="s">
        <v>1240</v>
      </c>
      <c r="C46" s="236" t="s">
        <v>484</v>
      </c>
      <c r="D46" s="236" t="s">
        <v>1241</v>
      </c>
      <c r="E46" s="236"/>
      <c r="F46" s="236"/>
      <c r="G46" s="236"/>
      <c r="H46" s="236"/>
      <c r="I46" s="236" t="s">
        <v>1242</v>
      </c>
      <c r="J46" s="236"/>
      <c r="K46" s="236"/>
      <c r="L46" s="236" t="s">
        <v>1243</v>
      </c>
      <c r="M46" s="236" t="s">
        <v>1244</v>
      </c>
      <c r="N46" s="236" t="s">
        <v>1245</v>
      </c>
      <c r="O46" s="236"/>
      <c r="P46" s="236" t="s">
        <v>1246</v>
      </c>
      <c r="Q46" s="236" t="s">
        <v>1247</v>
      </c>
      <c r="R46" s="236" t="s">
        <v>1248</v>
      </c>
      <c r="S46" s="236" t="s">
        <v>1249</v>
      </c>
      <c r="T46" s="236"/>
    </row>
    <row r="47" spans="2:20" ht="23">
      <c r="B47" s="235" t="s">
        <v>1250</v>
      </c>
      <c r="C47" s="236" t="s">
        <v>293</v>
      </c>
      <c r="D47" s="236" t="s">
        <v>1251</v>
      </c>
      <c r="E47" s="236"/>
      <c r="F47" s="236"/>
      <c r="G47" s="236"/>
      <c r="H47" s="236"/>
      <c r="I47" s="236" t="s">
        <v>1252</v>
      </c>
      <c r="J47" s="236" t="s">
        <v>1253</v>
      </c>
      <c r="K47" s="236"/>
      <c r="L47" s="236" t="s">
        <v>1254</v>
      </c>
      <c r="M47" s="236" t="s">
        <v>1255</v>
      </c>
      <c r="N47" s="236" t="s">
        <v>1256</v>
      </c>
      <c r="O47" s="236" t="s">
        <v>1257</v>
      </c>
      <c r="P47" s="236" t="s">
        <v>1258</v>
      </c>
      <c r="Q47" s="236" t="s">
        <v>1259</v>
      </c>
      <c r="R47" s="236" t="s">
        <v>1260</v>
      </c>
      <c r="S47" s="236" t="s">
        <v>1261</v>
      </c>
      <c r="T47" s="236"/>
    </row>
    <row r="48" spans="2:20" ht="23">
      <c r="B48" s="235" t="s">
        <v>1262</v>
      </c>
      <c r="C48" s="236" t="s">
        <v>294</v>
      </c>
      <c r="D48" s="236" t="s">
        <v>1263</v>
      </c>
      <c r="E48" s="236"/>
      <c r="F48" s="236"/>
      <c r="G48" s="236"/>
      <c r="H48" s="236"/>
      <c r="I48" s="236" t="s">
        <v>1264</v>
      </c>
      <c r="J48" s="236" t="s">
        <v>1265</v>
      </c>
      <c r="K48" s="236"/>
      <c r="L48" s="236" t="s">
        <v>1266</v>
      </c>
      <c r="M48" s="236" t="s">
        <v>1267</v>
      </c>
      <c r="N48" s="236" t="s">
        <v>1268</v>
      </c>
      <c r="O48" s="236" t="s">
        <v>1269</v>
      </c>
      <c r="P48" s="236" t="s">
        <v>1270</v>
      </c>
      <c r="Q48" s="236" t="s">
        <v>1271</v>
      </c>
      <c r="R48" s="236" t="s">
        <v>1272</v>
      </c>
      <c r="S48" s="236" t="s">
        <v>1273</v>
      </c>
      <c r="T48" s="236"/>
    </row>
    <row r="49" spans="2:20" ht="23">
      <c r="B49" s="235" t="s">
        <v>439</v>
      </c>
      <c r="C49" s="236" t="s">
        <v>443</v>
      </c>
      <c r="D49" s="236" t="s">
        <v>1274</v>
      </c>
      <c r="E49" s="236" t="s">
        <v>1275</v>
      </c>
      <c r="F49" s="236"/>
      <c r="G49" s="236" t="s">
        <v>1276</v>
      </c>
      <c r="H49" s="236"/>
      <c r="I49" s="236" t="s">
        <v>1277</v>
      </c>
      <c r="J49" s="236" t="s">
        <v>1278</v>
      </c>
      <c r="K49" s="236" t="s">
        <v>1279</v>
      </c>
      <c r="L49" s="236" t="s">
        <v>1280</v>
      </c>
      <c r="M49" s="236" t="s">
        <v>1281</v>
      </c>
      <c r="N49" s="236" t="s">
        <v>1282</v>
      </c>
      <c r="O49" s="236" t="s">
        <v>1283</v>
      </c>
      <c r="P49" s="236" t="s">
        <v>1284</v>
      </c>
      <c r="Q49" s="236" t="s">
        <v>1285</v>
      </c>
      <c r="R49" s="236" t="s">
        <v>1286</v>
      </c>
      <c r="S49" s="236" t="s">
        <v>1287</v>
      </c>
      <c r="T49" s="236" t="s">
        <v>1288</v>
      </c>
    </row>
    <row r="50" spans="2:20" ht="23">
      <c r="B50" s="235" t="s">
        <v>1289</v>
      </c>
      <c r="C50" s="236" t="s">
        <v>685</v>
      </c>
      <c r="D50" s="236" t="s">
        <v>1290</v>
      </c>
      <c r="E50" s="236"/>
      <c r="F50" s="236"/>
      <c r="G50" s="236"/>
      <c r="H50" s="236"/>
      <c r="I50" s="236" t="s">
        <v>1291</v>
      </c>
      <c r="J50" s="236"/>
      <c r="K50" s="236"/>
      <c r="L50" s="236"/>
      <c r="M50" s="236" t="s">
        <v>1292</v>
      </c>
      <c r="N50" s="236" t="s">
        <v>1293</v>
      </c>
      <c r="O50" s="236"/>
      <c r="P50" s="236" t="s">
        <v>1294</v>
      </c>
      <c r="Q50" s="236" t="s">
        <v>1295</v>
      </c>
      <c r="R50" s="236" t="s">
        <v>1296</v>
      </c>
      <c r="S50" s="236"/>
      <c r="T50" s="236"/>
    </row>
    <row r="51" spans="2:20" ht="23">
      <c r="B51" s="235" t="s">
        <v>1297</v>
      </c>
      <c r="C51" s="236" t="s">
        <v>686</v>
      </c>
      <c r="D51" s="236" t="s">
        <v>1298</v>
      </c>
      <c r="E51" s="236"/>
      <c r="F51" s="236"/>
      <c r="G51" s="236"/>
      <c r="H51" s="236"/>
      <c r="I51" s="236"/>
      <c r="J51" s="236"/>
      <c r="K51" s="236"/>
      <c r="L51" s="236"/>
      <c r="M51" s="236"/>
      <c r="N51" s="236"/>
      <c r="O51" s="236"/>
      <c r="P51" s="236"/>
      <c r="Q51" s="236"/>
      <c r="R51" s="236"/>
      <c r="S51" s="236"/>
      <c r="T51" s="236"/>
    </row>
    <row r="52" spans="2:20" ht="23">
      <c r="B52" s="233" t="s">
        <v>1299</v>
      </c>
      <c r="C52" s="234" t="s">
        <v>302</v>
      </c>
      <c r="D52" s="234" t="s">
        <v>1300</v>
      </c>
      <c r="E52" s="234" t="s">
        <v>1301</v>
      </c>
      <c r="F52" s="234" t="s">
        <v>1302</v>
      </c>
      <c r="G52" s="234" t="s">
        <v>1303</v>
      </c>
      <c r="H52" s="234"/>
      <c r="I52" s="234" t="s">
        <v>1304</v>
      </c>
      <c r="J52" s="234" t="s">
        <v>1305</v>
      </c>
      <c r="K52" s="234"/>
      <c r="L52" s="234" t="s">
        <v>1306</v>
      </c>
      <c r="M52" s="234" t="s">
        <v>1307</v>
      </c>
      <c r="N52" s="234" t="s">
        <v>1308</v>
      </c>
      <c r="O52" s="234"/>
      <c r="P52" s="234" t="s">
        <v>1309</v>
      </c>
      <c r="Q52" s="234" t="s">
        <v>1310</v>
      </c>
      <c r="R52" s="234" t="s">
        <v>1311</v>
      </c>
      <c r="S52" s="234" t="s">
        <v>1312</v>
      </c>
      <c r="T52" s="234"/>
    </row>
    <row r="53" spans="2:20" ht="23">
      <c r="B53" s="233" t="s">
        <v>254</v>
      </c>
      <c r="C53" s="234" t="s">
        <v>259</v>
      </c>
      <c r="D53" s="234" t="s">
        <v>1313</v>
      </c>
      <c r="E53" s="234" t="s">
        <v>1314</v>
      </c>
      <c r="F53" s="234" t="s">
        <v>1315</v>
      </c>
      <c r="G53" s="234" t="s">
        <v>1316</v>
      </c>
      <c r="H53" s="234" t="s">
        <v>1317</v>
      </c>
      <c r="I53" s="234" t="s">
        <v>1318</v>
      </c>
      <c r="J53" s="234" t="s">
        <v>1319</v>
      </c>
      <c r="K53" s="234" t="s">
        <v>1320</v>
      </c>
      <c r="L53" s="234" t="s">
        <v>1321</v>
      </c>
      <c r="M53" s="234" t="s">
        <v>1322</v>
      </c>
      <c r="N53" s="234" t="s">
        <v>1323</v>
      </c>
      <c r="O53" s="234"/>
      <c r="P53" s="234" t="s">
        <v>1324</v>
      </c>
      <c r="Q53" s="234" t="s">
        <v>1325</v>
      </c>
      <c r="R53" s="234" t="s">
        <v>1326</v>
      </c>
      <c r="S53" s="234" t="s">
        <v>1327</v>
      </c>
      <c r="T53" s="234" t="s">
        <v>1328</v>
      </c>
    </row>
    <row r="54" spans="2:20" ht="23">
      <c r="B54" s="233" t="s">
        <v>575</v>
      </c>
      <c r="C54" s="234" t="s">
        <v>583</v>
      </c>
      <c r="D54" s="234" t="s">
        <v>1329</v>
      </c>
      <c r="E54" s="234"/>
      <c r="F54" s="234"/>
      <c r="G54" s="234"/>
      <c r="H54" s="234"/>
      <c r="I54" s="234"/>
      <c r="J54" s="234"/>
      <c r="K54" s="234"/>
      <c r="L54" s="234"/>
      <c r="M54" s="234"/>
      <c r="N54" s="234"/>
      <c r="O54" s="234"/>
      <c r="P54" s="234"/>
      <c r="Q54" s="234" t="s">
        <v>1330</v>
      </c>
      <c r="R54" s="234"/>
      <c r="S54" s="234"/>
      <c r="T54" s="234"/>
    </row>
    <row r="55" spans="2:20" ht="23">
      <c r="B55" s="233" t="s">
        <v>1331</v>
      </c>
      <c r="C55" s="234" t="s">
        <v>303</v>
      </c>
      <c r="D55" s="234" t="s">
        <v>1332</v>
      </c>
      <c r="E55" s="234" t="s">
        <v>1333</v>
      </c>
      <c r="F55" s="234" t="s">
        <v>1334</v>
      </c>
      <c r="G55" s="234" t="s">
        <v>1335</v>
      </c>
      <c r="H55" s="234"/>
      <c r="I55" s="234" t="s">
        <v>1336</v>
      </c>
      <c r="J55" s="234" t="s">
        <v>1337</v>
      </c>
      <c r="K55" s="234"/>
      <c r="L55" s="234" t="s">
        <v>1338</v>
      </c>
      <c r="M55" s="234" t="s">
        <v>1339</v>
      </c>
      <c r="N55" s="234" t="s">
        <v>1340</v>
      </c>
      <c r="O55" s="234"/>
      <c r="P55" s="234" t="s">
        <v>1341</v>
      </c>
      <c r="Q55" s="234" t="s">
        <v>1342</v>
      </c>
      <c r="R55" s="234"/>
      <c r="S55" s="234"/>
      <c r="T55" s="234"/>
    </row>
    <row r="56" spans="2:20" ht="23">
      <c r="B56" s="233" t="s">
        <v>1343</v>
      </c>
      <c r="C56" s="234" t="s">
        <v>260</v>
      </c>
      <c r="D56" s="234" t="s">
        <v>1344</v>
      </c>
      <c r="E56" s="234"/>
      <c r="F56" s="234"/>
      <c r="G56" s="234"/>
      <c r="H56" s="234" t="s">
        <v>1345</v>
      </c>
      <c r="I56" s="234" t="s">
        <v>1346</v>
      </c>
      <c r="J56" s="234"/>
      <c r="K56" s="234"/>
      <c r="L56" s="234" t="s">
        <v>1347</v>
      </c>
      <c r="M56" s="234"/>
      <c r="N56" s="234"/>
      <c r="O56" s="234"/>
      <c r="P56" s="234"/>
      <c r="Q56" s="234" t="s">
        <v>1348</v>
      </c>
      <c r="R56" s="234"/>
      <c r="S56" s="234"/>
      <c r="T56" s="234"/>
    </row>
    <row r="57" spans="2:20" ht="23">
      <c r="B57" s="233" t="s">
        <v>1349</v>
      </c>
      <c r="C57" s="234" t="s">
        <v>584</v>
      </c>
      <c r="D57" s="234" t="s">
        <v>1350</v>
      </c>
      <c r="E57" s="234"/>
      <c r="F57" s="234"/>
      <c r="G57" s="234"/>
      <c r="H57" s="234"/>
      <c r="I57" s="234"/>
      <c r="J57" s="234"/>
      <c r="K57" s="234"/>
      <c r="L57" s="234"/>
      <c r="M57" s="234"/>
      <c r="N57" s="234"/>
      <c r="O57" s="234"/>
      <c r="P57" s="234"/>
      <c r="Q57" s="234"/>
      <c r="R57" s="234"/>
      <c r="S57" s="234"/>
      <c r="T57" s="234"/>
    </row>
    <row r="58" spans="2:20" ht="23">
      <c r="B58" s="233" t="s">
        <v>651</v>
      </c>
      <c r="C58" s="234" t="s">
        <v>653</v>
      </c>
      <c r="D58" s="234"/>
      <c r="E58" s="234"/>
      <c r="F58" s="234"/>
      <c r="G58" s="234"/>
      <c r="H58" s="234"/>
      <c r="I58" s="234" t="s">
        <v>1351</v>
      </c>
      <c r="J58" s="234"/>
      <c r="K58" s="234"/>
      <c r="L58" s="234"/>
      <c r="M58" s="234"/>
      <c r="N58" s="234"/>
      <c r="O58" s="234"/>
      <c r="P58" s="234" t="s">
        <v>1352</v>
      </c>
      <c r="Q58" s="234"/>
      <c r="R58" s="234"/>
      <c r="S58" s="234"/>
      <c r="T58" s="234"/>
    </row>
    <row r="59" spans="2:20" ht="23">
      <c r="B59" s="233" t="s">
        <v>213</v>
      </c>
      <c r="C59" s="234" t="s">
        <v>215</v>
      </c>
      <c r="D59" s="234" t="s">
        <v>1353</v>
      </c>
      <c r="E59" s="234" t="s">
        <v>1354</v>
      </c>
      <c r="F59" s="234" t="s">
        <v>1355</v>
      </c>
      <c r="G59" s="234" t="s">
        <v>1356</v>
      </c>
      <c r="H59" s="234"/>
      <c r="I59" s="234" t="s">
        <v>1357</v>
      </c>
      <c r="J59" s="234" t="s">
        <v>1358</v>
      </c>
      <c r="K59" s="234"/>
      <c r="L59" s="234" t="s">
        <v>1359</v>
      </c>
      <c r="M59" s="234" t="s">
        <v>1360</v>
      </c>
      <c r="N59" s="234" t="s">
        <v>1361</v>
      </c>
      <c r="O59" s="234"/>
      <c r="P59" s="234" t="s">
        <v>1362</v>
      </c>
      <c r="Q59" s="234" t="s">
        <v>1363</v>
      </c>
      <c r="R59" s="234" t="s">
        <v>1364</v>
      </c>
      <c r="S59" s="234" t="s">
        <v>1365</v>
      </c>
      <c r="T59" s="234"/>
    </row>
    <row r="60" spans="2:20" ht="23">
      <c r="B60" s="233" t="s">
        <v>652</v>
      </c>
      <c r="C60" s="234" t="s">
        <v>654</v>
      </c>
      <c r="D60" s="234" t="s">
        <v>1366</v>
      </c>
      <c r="E60" s="234"/>
      <c r="F60" s="234"/>
      <c r="G60" s="234"/>
      <c r="H60" s="234"/>
      <c r="I60" s="234"/>
      <c r="J60" s="234"/>
      <c r="K60" s="234"/>
      <c r="L60" s="234" t="s">
        <v>1367</v>
      </c>
      <c r="M60" s="234"/>
      <c r="N60" s="234"/>
      <c r="O60" s="234"/>
      <c r="P60" s="234"/>
      <c r="Q60" s="234" t="s">
        <v>1368</v>
      </c>
      <c r="R60" s="234"/>
      <c r="S60" s="234"/>
      <c r="T60" s="234"/>
    </row>
    <row r="61" spans="2:20" ht="23">
      <c r="B61" s="233" t="s">
        <v>214</v>
      </c>
      <c r="C61" s="234" t="s">
        <v>216</v>
      </c>
      <c r="D61" s="234" t="s">
        <v>1369</v>
      </c>
      <c r="E61" s="234" t="s">
        <v>1370</v>
      </c>
      <c r="F61" s="234" t="s">
        <v>1371</v>
      </c>
      <c r="G61" s="234" t="s">
        <v>1372</v>
      </c>
      <c r="H61" s="234"/>
      <c r="I61" s="234" t="s">
        <v>1373</v>
      </c>
      <c r="J61" s="234" t="s">
        <v>1374</v>
      </c>
      <c r="K61" s="234"/>
      <c r="L61" s="234" t="s">
        <v>1375</v>
      </c>
      <c r="M61" s="234" t="s">
        <v>1376</v>
      </c>
      <c r="N61" s="234" t="s">
        <v>1377</v>
      </c>
      <c r="O61" s="234"/>
      <c r="P61" s="234" t="s">
        <v>1378</v>
      </c>
      <c r="Q61" s="234" t="s">
        <v>1379</v>
      </c>
      <c r="R61" s="234" t="s">
        <v>1380</v>
      </c>
      <c r="S61" s="234" t="s">
        <v>1381</v>
      </c>
      <c r="T61" s="234"/>
    </row>
    <row r="62" spans="2:20" ht="23">
      <c r="B62" s="235" t="s">
        <v>415</v>
      </c>
      <c r="C62" s="236" t="s">
        <v>418</v>
      </c>
      <c r="D62" s="236" t="s">
        <v>1382</v>
      </c>
      <c r="E62" s="236" t="s">
        <v>1383</v>
      </c>
      <c r="F62" s="236" t="s">
        <v>1384</v>
      </c>
      <c r="G62" s="236" t="s">
        <v>1385</v>
      </c>
      <c r="H62" s="236"/>
      <c r="I62" s="236" t="s">
        <v>1386</v>
      </c>
      <c r="J62" s="236" t="s">
        <v>1387</v>
      </c>
      <c r="K62" s="236"/>
      <c r="L62" s="236" t="s">
        <v>1388</v>
      </c>
      <c r="M62" s="236" t="s">
        <v>1389</v>
      </c>
      <c r="N62" s="236" t="s">
        <v>1390</v>
      </c>
      <c r="O62" s="236" t="s">
        <v>1391</v>
      </c>
      <c r="P62" s="236" t="s">
        <v>1392</v>
      </c>
      <c r="Q62" s="236" t="s">
        <v>1393</v>
      </c>
      <c r="R62" s="236" t="s">
        <v>1394</v>
      </c>
      <c r="S62" s="236" t="s">
        <v>1395</v>
      </c>
      <c r="T62" s="236"/>
    </row>
    <row r="63" spans="2:20" ht="23">
      <c r="B63" s="235" t="s">
        <v>1396</v>
      </c>
      <c r="C63" s="236" t="s">
        <v>419</v>
      </c>
      <c r="D63" s="236"/>
      <c r="E63" s="236" t="s">
        <v>1397</v>
      </c>
      <c r="F63" s="236" t="s">
        <v>1398</v>
      </c>
      <c r="G63" s="236" t="s">
        <v>1399</v>
      </c>
      <c r="H63" s="236"/>
      <c r="I63" s="236" t="s">
        <v>1400</v>
      </c>
      <c r="J63" s="236" t="s">
        <v>1401</v>
      </c>
      <c r="K63" s="236"/>
      <c r="L63" s="236" t="s">
        <v>1402</v>
      </c>
      <c r="M63" s="236" t="s">
        <v>1403</v>
      </c>
      <c r="N63" s="236" t="s">
        <v>1404</v>
      </c>
      <c r="O63" s="236"/>
      <c r="P63" s="236" t="s">
        <v>1405</v>
      </c>
      <c r="Q63" s="236"/>
      <c r="R63" s="236" t="s">
        <v>1406</v>
      </c>
      <c r="S63" s="236"/>
      <c r="T63" s="236"/>
    </row>
    <row r="64" spans="2:20" ht="23">
      <c r="B64" s="235" t="s">
        <v>153</v>
      </c>
      <c r="C64" s="236" t="s">
        <v>156</v>
      </c>
      <c r="D64" s="236" t="s">
        <v>1407</v>
      </c>
      <c r="E64" s="236" t="s">
        <v>1408</v>
      </c>
      <c r="F64" s="236" t="s">
        <v>1409</v>
      </c>
      <c r="G64" s="236" t="s">
        <v>1410</v>
      </c>
      <c r="H64" s="236"/>
      <c r="I64" s="236" t="s">
        <v>1411</v>
      </c>
      <c r="J64" s="236" t="s">
        <v>1412</v>
      </c>
      <c r="K64" s="236"/>
      <c r="L64" s="236" t="s">
        <v>1413</v>
      </c>
      <c r="M64" s="236" t="s">
        <v>1414</v>
      </c>
      <c r="N64" s="236" t="s">
        <v>1415</v>
      </c>
      <c r="O64" s="236" t="s">
        <v>1416</v>
      </c>
      <c r="P64" s="236" t="s">
        <v>1417</v>
      </c>
      <c r="Q64" s="236" t="s">
        <v>1418</v>
      </c>
      <c r="R64" s="236" t="s">
        <v>1419</v>
      </c>
      <c r="S64" s="236" t="s">
        <v>1420</v>
      </c>
      <c r="T64" s="236"/>
    </row>
    <row r="65" spans="2:20" ht="23">
      <c r="B65" s="235" t="s">
        <v>155</v>
      </c>
      <c r="C65" s="236" t="s">
        <v>157</v>
      </c>
      <c r="D65" s="236" t="s">
        <v>1421</v>
      </c>
      <c r="E65" s="236" t="s">
        <v>1422</v>
      </c>
      <c r="F65" s="236" t="s">
        <v>1423</v>
      </c>
      <c r="G65" s="236" t="s">
        <v>1424</v>
      </c>
      <c r="H65" s="236"/>
      <c r="I65" s="236" t="s">
        <v>1425</v>
      </c>
      <c r="J65" s="236" t="s">
        <v>1426</v>
      </c>
      <c r="K65" s="236"/>
      <c r="L65" s="236" t="s">
        <v>1427</v>
      </c>
      <c r="M65" s="236" t="s">
        <v>1428</v>
      </c>
      <c r="N65" s="236" t="s">
        <v>1429</v>
      </c>
      <c r="O65" s="236"/>
      <c r="P65" s="236" t="s">
        <v>1430</v>
      </c>
      <c r="Q65" s="236" t="s">
        <v>1431</v>
      </c>
      <c r="R65" s="236" t="s">
        <v>1432</v>
      </c>
      <c r="S65" s="236"/>
      <c r="T65" s="236"/>
    </row>
    <row r="66" spans="2:20" ht="23">
      <c r="B66" s="235" t="s">
        <v>340</v>
      </c>
      <c r="C66" s="236" t="s">
        <v>345</v>
      </c>
      <c r="D66" s="236" t="s">
        <v>1433</v>
      </c>
      <c r="E66" s="236" t="s">
        <v>1434</v>
      </c>
      <c r="F66" s="236" t="s">
        <v>1435</v>
      </c>
      <c r="G66" s="236" t="s">
        <v>1436</v>
      </c>
      <c r="H66" s="236" t="s">
        <v>1437</v>
      </c>
      <c r="I66" s="236" t="s">
        <v>1438</v>
      </c>
      <c r="J66" s="236" t="s">
        <v>1439</v>
      </c>
      <c r="K66" s="236" t="s">
        <v>1440</v>
      </c>
      <c r="L66" s="236" t="s">
        <v>1441</v>
      </c>
      <c r="M66" s="236" t="s">
        <v>1442</v>
      </c>
      <c r="N66" s="236" t="s">
        <v>1443</v>
      </c>
      <c r="O66" s="236" t="s">
        <v>1444</v>
      </c>
      <c r="P66" s="236" t="s">
        <v>1445</v>
      </c>
      <c r="Q66" s="236" t="s">
        <v>1446</v>
      </c>
      <c r="R66" s="236" t="s">
        <v>1447</v>
      </c>
      <c r="S66" s="236" t="s">
        <v>1448</v>
      </c>
      <c r="T66" s="236"/>
    </row>
    <row r="67" spans="2:20" ht="23">
      <c r="B67" s="235" t="s">
        <v>1449</v>
      </c>
      <c r="C67" s="236" t="s">
        <v>540</v>
      </c>
      <c r="D67" s="236" t="s">
        <v>1450</v>
      </c>
      <c r="E67" s="236" t="s">
        <v>1451</v>
      </c>
      <c r="F67" s="236" t="s">
        <v>1452</v>
      </c>
      <c r="G67" s="236"/>
      <c r="H67" s="236"/>
      <c r="I67" s="236" t="s">
        <v>1453</v>
      </c>
      <c r="J67" s="236" t="s">
        <v>1454</v>
      </c>
      <c r="K67" s="236"/>
      <c r="L67" s="236"/>
      <c r="M67" s="236" t="s">
        <v>1455</v>
      </c>
      <c r="N67" s="236" t="s">
        <v>1456</v>
      </c>
      <c r="O67" s="236"/>
      <c r="P67" s="236" t="s">
        <v>1457</v>
      </c>
      <c r="Q67" s="236" t="s">
        <v>1458</v>
      </c>
      <c r="R67" s="236" t="s">
        <v>1459</v>
      </c>
      <c r="S67" s="236"/>
      <c r="T67" s="236"/>
    </row>
    <row r="68" spans="2:20" ht="23">
      <c r="B68" s="235" t="s">
        <v>1460</v>
      </c>
      <c r="C68" s="236" t="s">
        <v>346</v>
      </c>
      <c r="D68" s="236" t="s">
        <v>1461</v>
      </c>
      <c r="E68" s="236" t="s">
        <v>1462</v>
      </c>
      <c r="F68" s="236" t="s">
        <v>1463</v>
      </c>
      <c r="G68" s="236" t="s">
        <v>1464</v>
      </c>
      <c r="H68" s="236"/>
      <c r="I68" s="236" t="s">
        <v>1465</v>
      </c>
      <c r="J68" s="236" t="s">
        <v>1466</v>
      </c>
      <c r="K68" s="236"/>
      <c r="L68" s="236" t="s">
        <v>1467</v>
      </c>
      <c r="M68" s="236" t="s">
        <v>1468</v>
      </c>
      <c r="N68" s="236" t="s">
        <v>1469</v>
      </c>
      <c r="O68" s="236" t="s">
        <v>1470</v>
      </c>
      <c r="P68" s="236" t="s">
        <v>1471</v>
      </c>
      <c r="Q68" s="236" t="s">
        <v>1472</v>
      </c>
      <c r="R68" s="236" t="s">
        <v>1473</v>
      </c>
      <c r="S68" s="236"/>
      <c r="T68" s="236"/>
    </row>
    <row r="69" spans="2:20" ht="23">
      <c r="B69" s="235" t="s">
        <v>241</v>
      </c>
      <c r="C69" s="236" t="s">
        <v>246</v>
      </c>
      <c r="D69" s="236" t="s">
        <v>1474</v>
      </c>
      <c r="E69" s="236" t="s">
        <v>1475</v>
      </c>
      <c r="F69" s="236" t="s">
        <v>1476</v>
      </c>
      <c r="G69" s="236" t="s">
        <v>1477</v>
      </c>
      <c r="H69" s="236"/>
      <c r="I69" s="236" t="s">
        <v>1478</v>
      </c>
      <c r="J69" s="236" t="s">
        <v>1479</v>
      </c>
      <c r="K69" s="236"/>
      <c r="L69" s="236" t="s">
        <v>1480</v>
      </c>
      <c r="M69" s="236" t="s">
        <v>1481</v>
      </c>
      <c r="N69" s="236" t="s">
        <v>1482</v>
      </c>
      <c r="O69" s="236"/>
      <c r="P69" s="236" t="s">
        <v>1483</v>
      </c>
      <c r="Q69" s="236" t="s">
        <v>1484</v>
      </c>
      <c r="R69" s="236" t="s">
        <v>1485</v>
      </c>
      <c r="S69" s="236" t="s">
        <v>1486</v>
      </c>
      <c r="T69" s="236"/>
    </row>
    <row r="70" spans="2:20" ht="23">
      <c r="B70" s="235" t="s">
        <v>600</v>
      </c>
      <c r="C70" s="236" t="s">
        <v>604</v>
      </c>
      <c r="D70" s="236" t="s">
        <v>1487</v>
      </c>
      <c r="E70" s="236"/>
      <c r="F70" s="236"/>
      <c r="G70" s="236"/>
      <c r="H70" s="236"/>
      <c r="I70" s="236"/>
      <c r="J70" s="236"/>
      <c r="K70" s="236"/>
      <c r="L70" s="236"/>
      <c r="M70" s="236"/>
      <c r="N70" s="236" t="s">
        <v>1488</v>
      </c>
      <c r="O70" s="236"/>
      <c r="P70" s="236"/>
      <c r="Q70" s="236"/>
      <c r="R70" s="236"/>
      <c r="S70" s="236"/>
      <c r="T70" s="236"/>
    </row>
    <row r="71" spans="2:20" ht="23">
      <c r="B71" s="235" t="s">
        <v>243</v>
      </c>
      <c r="C71" s="236" t="s">
        <v>247</v>
      </c>
      <c r="D71" s="236" t="s">
        <v>1489</v>
      </c>
      <c r="E71" s="236" t="s">
        <v>1490</v>
      </c>
      <c r="F71" s="236" t="s">
        <v>1491</v>
      </c>
      <c r="G71" s="236" t="s">
        <v>1492</v>
      </c>
      <c r="H71" s="236"/>
      <c r="I71" s="236" t="s">
        <v>1493</v>
      </c>
      <c r="J71" s="236" t="s">
        <v>1494</v>
      </c>
      <c r="K71" s="236"/>
      <c r="L71" s="236" t="s">
        <v>1495</v>
      </c>
      <c r="M71" s="236" t="s">
        <v>1496</v>
      </c>
      <c r="N71" s="236"/>
      <c r="O71" s="236"/>
      <c r="P71" s="236" t="s">
        <v>1497</v>
      </c>
      <c r="Q71" s="236" t="s">
        <v>1498</v>
      </c>
      <c r="R71" s="236" t="s">
        <v>1499</v>
      </c>
      <c r="S71" s="236" t="s">
        <v>1500</v>
      </c>
      <c r="T71" s="236"/>
    </row>
    <row r="72" spans="2:20" ht="23">
      <c r="B72" s="235" t="s">
        <v>220</v>
      </c>
      <c r="C72" s="236" t="s">
        <v>716</v>
      </c>
      <c r="D72" s="236" t="s">
        <v>1501</v>
      </c>
      <c r="E72" s="236"/>
      <c r="F72" s="236"/>
      <c r="G72" s="236"/>
      <c r="H72" s="236"/>
      <c r="I72" s="236"/>
      <c r="J72" s="236"/>
      <c r="K72" s="236"/>
      <c r="L72" s="236"/>
      <c r="M72" s="236"/>
      <c r="N72" s="236"/>
      <c r="O72" s="236"/>
      <c r="P72" s="236" t="s">
        <v>1502</v>
      </c>
      <c r="Q72" s="236" t="s">
        <v>1503</v>
      </c>
      <c r="R72" s="236" t="s">
        <v>1504</v>
      </c>
      <c r="S72" s="236"/>
      <c r="T72" s="236"/>
    </row>
    <row r="73" spans="2:20" ht="23">
      <c r="B73" s="235" t="s">
        <v>1505</v>
      </c>
      <c r="C73" s="236" t="s">
        <v>618</v>
      </c>
      <c r="D73" s="236" t="s">
        <v>1506</v>
      </c>
      <c r="E73" s="236"/>
      <c r="F73" s="236"/>
      <c r="G73" s="236"/>
      <c r="H73" s="236"/>
      <c r="I73" s="236"/>
      <c r="J73" s="236"/>
      <c r="K73" s="236"/>
      <c r="L73" s="236"/>
      <c r="M73" s="236" t="s">
        <v>1507</v>
      </c>
      <c r="N73" s="236"/>
      <c r="O73" s="236"/>
      <c r="P73" s="236" t="s">
        <v>1508</v>
      </c>
      <c r="Q73" s="236" t="s">
        <v>1509</v>
      </c>
      <c r="R73" s="236"/>
      <c r="S73" s="236"/>
      <c r="T73" s="236"/>
    </row>
    <row r="74" spans="2:20" ht="23">
      <c r="B74" s="235" t="s">
        <v>1510</v>
      </c>
      <c r="C74" s="236" t="s">
        <v>226</v>
      </c>
      <c r="D74" s="236"/>
      <c r="E74" s="236"/>
      <c r="F74" s="236"/>
      <c r="G74" s="236" t="s">
        <v>1511</v>
      </c>
      <c r="H74" s="236"/>
      <c r="I74" s="236"/>
      <c r="J74" s="236"/>
      <c r="K74" s="236"/>
      <c r="L74" s="236" t="s">
        <v>1512</v>
      </c>
      <c r="M74" s="236"/>
      <c r="N74" s="236" t="s">
        <v>1513</v>
      </c>
      <c r="O74" s="236"/>
      <c r="P74" s="236"/>
      <c r="Q74" s="236" t="s">
        <v>1514</v>
      </c>
      <c r="R74" s="236"/>
      <c r="S74" s="236"/>
      <c r="T74" s="236"/>
    </row>
    <row r="75" spans="2:20" ht="23">
      <c r="B75" s="235" t="s">
        <v>1515</v>
      </c>
      <c r="C75" s="236" t="s">
        <v>619</v>
      </c>
      <c r="D75" s="236"/>
      <c r="E75" s="236"/>
      <c r="F75" s="236"/>
      <c r="G75" s="236"/>
      <c r="H75" s="236"/>
      <c r="I75" s="236"/>
      <c r="J75" s="236"/>
      <c r="K75" s="236"/>
      <c r="L75" s="236"/>
      <c r="M75" s="236"/>
      <c r="N75" s="236"/>
      <c r="O75" s="236"/>
      <c r="P75" s="236"/>
      <c r="Q75" s="236" t="s">
        <v>1516</v>
      </c>
      <c r="R75" s="236"/>
      <c r="S75" s="236"/>
      <c r="T75" s="236"/>
    </row>
    <row r="76" spans="2:20" ht="23">
      <c r="B76" s="235" t="s">
        <v>389</v>
      </c>
      <c r="C76" s="236" t="s">
        <v>717</v>
      </c>
      <c r="D76" s="236" t="s">
        <v>1517</v>
      </c>
      <c r="E76" s="236" t="s">
        <v>1518</v>
      </c>
      <c r="F76" s="236" t="s">
        <v>1519</v>
      </c>
      <c r="G76" s="236" t="s">
        <v>1520</v>
      </c>
      <c r="H76" s="236" t="s">
        <v>1521</v>
      </c>
      <c r="I76" s="236" t="s">
        <v>1522</v>
      </c>
      <c r="J76" s="236" t="s">
        <v>1523</v>
      </c>
      <c r="K76" s="236"/>
      <c r="L76" s="236" t="s">
        <v>1524</v>
      </c>
      <c r="M76" s="236" t="s">
        <v>1525</v>
      </c>
      <c r="N76" s="236" t="s">
        <v>1526</v>
      </c>
      <c r="O76" s="236" t="s">
        <v>1527</v>
      </c>
      <c r="P76" s="236" t="s">
        <v>1528</v>
      </c>
      <c r="Q76" s="236" t="s">
        <v>1529</v>
      </c>
      <c r="R76" s="236" t="s">
        <v>1530</v>
      </c>
      <c r="S76" s="236" t="s">
        <v>1531</v>
      </c>
      <c r="T76" s="236"/>
    </row>
    <row r="77" spans="2:20" ht="23">
      <c r="B77" s="233" t="s">
        <v>1532</v>
      </c>
      <c r="C77" s="234" t="s">
        <v>718</v>
      </c>
      <c r="D77" s="234" t="s">
        <v>1533</v>
      </c>
      <c r="E77" s="234" t="s">
        <v>1534</v>
      </c>
      <c r="F77" s="234" t="s">
        <v>1535</v>
      </c>
      <c r="G77" s="234" t="s">
        <v>1536</v>
      </c>
      <c r="H77" s="234"/>
      <c r="I77" s="234"/>
      <c r="J77" s="234" t="s">
        <v>1537</v>
      </c>
      <c r="K77" s="234"/>
      <c r="L77" s="234" t="s">
        <v>1538</v>
      </c>
      <c r="M77" s="234" t="s">
        <v>1539</v>
      </c>
      <c r="N77" s="234" t="s">
        <v>1540</v>
      </c>
      <c r="O77" s="234"/>
      <c r="P77" s="234" t="s">
        <v>1541</v>
      </c>
      <c r="Q77" s="234" t="s">
        <v>1542</v>
      </c>
      <c r="R77" s="234" t="s">
        <v>1543</v>
      </c>
      <c r="S77" s="234" t="s">
        <v>1544</v>
      </c>
      <c r="T77" s="234" t="s">
        <v>1545</v>
      </c>
    </row>
    <row r="78" spans="2:20" ht="23">
      <c r="B78" s="233" t="s">
        <v>178</v>
      </c>
      <c r="C78" s="234" t="s">
        <v>183</v>
      </c>
      <c r="D78" s="234" t="s">
        <v>1546</v>
      </c>
      <c r="E78" s="234" t="s">
        <v>1547</v>
      </c>
      <c r="F78" s="234" t="s">
        <v>1548</v>
      </c>
      <c r="G78" s="234" t="s">
        <v>1549</v>
      </c>
      <c r="H78" s="234" t="s">
        <v>1550</v>
      </c>
      <c r="I78" s="234" t="s">
        <v>1551</v>
      </c>
      <c r="J78" s="234" t="s">
        <v>1552</v>
      </c>
      <c r="K78" s="234"/>
      <c r="L78" s="234" t="s">
        <v>1553</v>
      </c>
      <c r="M78" s="234" t="s">
        <v>1554</v>
      </c>
      <c r="N78" s="234" t="s">
        <v>1555</v>
      </c>
      <c r="O78" s="234"/>
      <c r="P78" s="234" t="s">
        <v>1556</v>
      </c>
      <c r="Q78" s="234" t="s">
        <v>1557</v>
      </c>
      <c r="R78" s="234" t="s">
        <v>1558</v>
      </c>
      <c r="S78" s="234" t="s">
        <v>1559</v>
      </c>
      <c r="T78" s="234"/>
    </row>
    <row r="79" spans="2:20" ht="23">
      <c r="B79" s="233" t="s">
        <v>1560</v>
      </c>
      <c r="C79" s="234" t="s">
        <v>473</v>
      </c>
      <c r="D79" s="234" t="s">
        <v>1561</v>
      </c>
      <c r="E79" s="234" t="s">
        <v>1562</v>
      </c>
      <c r="F79" s="234"/>
      <c r="G79" s="234"/>
      <c r="H79" s="234"/>
      <c r="I79" s="234"/>
      <c r="J79" s="234"/>
      <c r="K79" s="234"/>
      <c r="L79" s="234"/>
      <c r="M79" s="234" t="s">
        <v>1563</v>
      </c>
      <c r="N79" s="234" t="s">
        <v>1564</v>
      </c>
      <c r="O79" s="234"/>
      <c r="P79" s="234" t="s">
        <v>1565</v>
      </c>
      <c r="Q79" s="234" t="s">
        <v>1566</v>
      </c>
      <c r="R79" s="234"/>
      <c r="S79" s="234"/>
      <c r="T79" s="234"/>
    </row>
    <row r="80" spans="2:20" ht="23">
      <c r="B80" s="233" t="s">
        <v>1567</v>
      </c>
      <c r="C80" s="234" t="s">
        <v>184</v>
      </c>
      <c r="D80" s="234" t="s">
        <v>1568</v>
      </c>
      <c r="E80" s="234"/>
      <c r="F80" s="234"/>
      <c r="G80" s="234"/>
      <c r="H80" s="234"/>
      <c r="I80" s="234"/>
      <c r="J80" s="234"/>
      <c r="K80" s="234"/>
      <c r="L80" s="234"/>
      <c r="M80" s="234"/>
      <c r="N80" s="234"/>
      <c r="O80" s="234"/>
      <c r="P80" s="234"/>
      <c r="Q80" s="234" t="s">
        <v>1569</v>
      </c>
      <c r="R80" s="234"/>
      <c r="S80" s="234"/>
      <c r="T80" s="234"/>
    </row>
    <row r="81" spans="2:20" ht="23">
      <c r="B81" s="235" t="s">
        <v>589</v>
      </c>
      <c r="C81" s="236" t="s">
        <v>592</v>
      </c>
      <c r="D81" s="236" t="s">
        <v>1570</v>
      </c>
      <c r="E81" s="236"/>
      <c r="F81" s="236"/>
      <c r="G81" s="236"/>
      <c r="H81" s="236"/>
      <c r="I81" s="236"/>
      <c r="J81" s="236"/>
      <c r="K81" s="236"/>
      <c r="L81" s="236"/>
      <c r="M81" s="236"/>
      <c r="N81" s="236"/>
      <c r="O81" s="236"/>
      <c r="P81" s="236"/>
      <c r="Q81" s="236"/>
      <c r="R81" s="236"/>
      <c r="S81" s="236"/>
      <c r="T81" s="236"/>
    </row>
    <row r="82" spans="2:20" ht="23">
      <c r="B82" s="235" t="s">
        <v>1571</v>
      </c>
      <c r="C82" s="236" t="s">
        <v>593</v>
      </c>
      <c r="D82" s="236" t="s">
        <v>1572</v>
      </c>
      <c r="E82" s="236"/>
      <c r="F82" s="236"/>
      <c r="G82" s="236"/>
      <c r="H82" s="236"/>
      <c r="I82" s="236"/>
      <c r="J82" s="236"/>
      <c r="K82" s="236"/>
      <c r="L82" s="236"/>
      <c r="M82" s="236"/>
      <c r="N82" s="236"/>
      <c r="O82" s="236"/>
      <c r="P82" s="236"/>
      <c r="Q82" s="236"/>
      <c r="R82" s="236"/>
      <c r="S82" s="236"/>
      <c r="T82" s="236"/>
    </row>
    <row r="83" spans="2:20" ht="23">
      <c r="B83" s="235" t="s">
        <v>546</v>
      </c>
      <c r="C83" s="236" t="s">
        <v>549</v>
      </c>
      <c r="D83" s="236" t="s">
        <v>1573</v>
      </c>
      <c r="E83" s="236" t="s">
        <v>1574</v>
      </c>
      <c r="F83" s="236"/>
      <c r="G83" s="236"/>
      <c r="H83" s="236" t="s">
        <v>1575</v>
      </c>
      <c r="I83" s="236" t="s">
        <v>1576</v>
      </c>
      <c r="J83" s="236" t="s">
        <v>1577</v>
      </c>
      <c r="K83" s="236" t="s">
        <v>1578</v>
      </c>
      <c r="L83" s="236"/>
      <c r="M83" s="236" t="s">
        <v>1579</v>
      </c>
      <c r="N83" s="236" t="s">
        <v>1580</v>
      </c>
      <c r="O83" s="236"/>
      <c r="P83" s="236" t="s">
        <v>1581</v>
      </c>
      <c r="Q83" s="236" t="s">
        <v>1582</v>
      </c>
      <c r="R83" s="236" t="s">
        <v>1583</v>
      </c>
      <c r="S83" s="236"/>
      <c r="T83" s="236"/>
    </row>
    <row r="84" spans="2:20" ht="23">
      <c r="B84" s="235" t="s">
        <v>1584</v>
      </c>
      <c r="C84" s="236" t="s">
        <v>550</v>
      </c>
      <c r="D84" s="236" t="s">
        <v>1585</v>
      </c>
      <c r="E84" s="236"/>
      <c r="F84" s="236" t="s">
        <v>1586</v>
      </c>
      <c r="G84" s="236"/>
      <c r="H84" s="236" t="s">
        <v>1587</v>
      </c>
      <c r="I84" s="236"/>
      <c r="J84" s="236"/>
      <c r="K84" s="236"/>
      <c r="L84" s="236"/>
      <c r="M84" s="236"/>
      <c r="N84" s="236" t="s">
        <v>1588</v>
      </c>
      <c r="O84" s="236"/>
      <c r="P84" s="236" t="s">
        <v>1589</v>
      </c>
      <c r="Q84" s="236"/>
      <c r="R84" s="236" t="s">
        <v>1590</v>
      </c>
      <c r="S84" s="236"/>
      <c r="T84" s="236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7795-9B99-1542-9CA6-431F3CD3C7BD}">
  <sheetPr codeName="工作表6">
    <tabColor theme="7" tint="0.39997558519241921"/>
  </sheetPr>
  <dimension ref="A1:S28"/>
  <sheetViews>
    <sheetView topLeftCell="M4" workbookViewId="0"/>
  </sheetViews>
  <sheetFormatPr baseColWidth="10" defaultColWidth="10.8984375" defaultRowHeight="53" outlineLevelRow="1" outlineLevelCol="1"/>
  <cols>
    <col min="1" max="1" width="4" hidden="1" customWidth="1" outlineLevel="1"/>
    <col min="2" max="2" width="0" style="6" hidden="1" customWidth="1" outlineLevel="1"/>
    <col min="3" max="3" width="2.69921875" style="69" hidden="1" customWidth="1" outlineLevel="1" collapsed="1"/>
    <col min="4" max="4" width="6.296875" style="69" hidden="1" customWidth="1" outlineLevel="1"/>
    <col min="5" max="5" width="10.5" style="70" hidden="1" customWidth="1" outlineLevel="1"/>
    <col min="6" max="6" width="10.5" style="71" hidden="1" customWidth="1" outlineLevel="1"/>
    <col min="7" max="7" width="10.5" style="70" hidden="1" customWidth="1" outlineLevel="1"/>
    <col min="8" max="10" width="10.5" style="71" hidden="1" customWidth="1" outlineLevel="1"/>
    <col min="11" max="11" width="10.5" style="72" hidden="1" customWidth="1" outlineLevel="1"/>
    <col min="12" max="12" width="0" style="69" hidden="1" customWidth="1" outlineLevel="1"/>
    <col min="13" max="13" width="10.69921875" style="69" collapsed="1"/>
    <col min="15" max="16" width="13.3984375" customWidth="1"/>
    <col min="17" max="17" width="13.3984375" style="24" customWidth="1"/>
  </cols>
  <sheetData>
    <row r="1" spans="2:19" ht="12" hidden="1" customHeight="1" outlineLevel="1"/>
    <row r="2" spans="2:19" ht="27" hidden="1" customHeight="1" outlineLevel="1">
      <c r="F2" s="143">
        <v>3</v>
      </c>
      <c r="G2" s="144">
        <v>4</v>
      </c>
      <c r="H2" s="143">
        <v>5</v>
      </c>
      <c r="I2" s="143">
        <v>6</v>
      </c>
      <c r="J2" s="143">
        <v>7</v>
      </c>
      <c r="K2" s="143">
        <v>8</v>
      </c>
    </row>
    <row r="3" spans="2:19" ht="23" hidden="1" outlineLevel="1">
      <c r="D3" s="102" cm="1">
        <f t="array" ref="D3">COLUMN()-COLUMN(($C:$C))</f>
        <v>1</v>
      </c>
      <c r="E3" s="102" cm="1">
        <f t="array" ref="E3">COLUMN()-COLUMN(($C:$C))</f>
        <v>2</v>
      </c>
      <c r="F3" s="102" cm="1">
        <f t="array" ref="F3">COLUMN()-COLUMN(($C:$C))</f>
        <v>3</v>
      </c>
      <c r="G3" s="102" cm="1">
        <f t="array" ref="G3">COLUMN()-COLUMN(($C:$C))</f>
        <v>4</v>
      </c>
      <c r="H3" s="102" cm="1">
        <f t="array" ref="H3">COLUMN()-COLUMN(($C:$C))</f>
        <v>5</v>
      </c>
      <c r="I3" s="102" cm="1">
        <f t="array" ref="I3">COLUMN()-COLUMN(($C:$C))</f>
        <v>6</v>
      </c>
      <c r="J3" s="102" cm="1">
        <f t="array" ref="J3">COLUMN()-COLUMN(($C:$C))</f>
        <v>7</v>
      </c>
      <c r="K3" s="102" cm="1">
        <f t="array" ref="K3">COLUMN()-COLUMN(($C:$C))</f>
        <v>8</v>
      </c>
    </row>
    <row r="4" spans="2:19" ht="21" customHeight="1" collapsed="1"/>
    <row r="5" spans="2:19" ht="28">
      <c r="B5" s="127" t="s">
        <v>688</v>
      </c>
      <c r="C5" s="74"/>
      <c r="D5" s="125" t="s">
        <v>0</v>
      </c>
      <c r="E5" s="125" t="s">
        <v>722</v>
      </c>
      <c r="F5" s="125" t="s">
        <v>6</v>
      </c>
      <c r="G5" s="126" t="s">
        <v>723</v>
      </c>
      <c r="H5" s="127" t="s">
        <v>724</v>
      </c>
      <c r="I5" s="73" t="s">
        <v>725</v>
      </c>
      <c r="J5" s="73" t="s">
        <v>726</v>
      </c>
      <c r="K5" s="126" t="s">
        <v>1591</v>
      </c>
      <c r="L5" s="126" t="s">
        <v>1592</v>
      </c>
      <c r="M5" s="74"/>
      <c r="N5" s="125" t="s">
        <v>0</v>
      </c>
      <c r="O5" s="157" t="s">
        <v>1593</v>
      </c>
      <c r="P5" s="157" t="s">
        <v>1594</v>
      </c>
      <c r="Q5" s="158" t="s">
        <v>722</v>
      </c>
    </row>
    <row r="6" spans="2:19" s="149" customFormat="1" ht="36">
      <c r="B6" s="145">
        <f xml:space="preserve"> MATCH(E6, 十五音聲母清單!$C$5:$C$26,0)</f>
        <v>2</v>
      </c>
      <c r="C6" s="146"/>
      <c r="D6" s="147">
        <v>13</v>
      </c>
      <c r="E6" s="148" t="s">
        <v>24</v>
      </c>
      <c r="F6" s="148" t="str" cm="1">
        <f t="array" ref="F6" xml:space="preserve"> INDEX(十五音聲母清單!$B$5:$I$26, $B6, F$2)</f>
        <v>p</v>
      </c>
      <c r="G6" s="148" t="str" cm="1">
        <f t="array" ref="G6" xml:space="preserve"> INDEX(十五音聲母清單!$B$5:$I$26, $B6, G$2)</f>
        <v>邊</v>
      </c>
      <c r="H6" s="148" t="str" cm="1">
        <f t="array" ref="H6" xml:space="preserve"> INDEX(十五音聲母清單!$B$5:$I$26, $B6, H$2)</f>
        <v>p</v>
      </c>
      <c r="I6" s="148" t="str" cm="1">
        <f t="array" ref="I6" xml:space="preserve"> INDEX(十五音聲母清單!$B$5:$I$26, $B6, I$2)</f>
        <v>p</v>
      </c>
      <c r="J6" s="148" t="str" cm="1">
        <f t="array" ref="J6" xml:space="preserve"> INDEX(十五音聲母清單!$B$5:$I$26, $B6, J$2)</f>
        <v>b</v>
      </c>
      <c r="K6" s="148" t="str" cm="1">
        <f t="array" ref="K6" xml:space="preserve"> INDEX(十五音聲母清單!$B$5:$I$26, $B6, K$2)</f>
        <v>ㄅ</v>
      </c>
      <c r="L6" s="146">
        <v>1</v>
      </c>
      <c r="M6" s="146"/>
      <c r="N6" s="147">
        <v>1</v>
      </c>
      <c r="O6" s="148" t="s">
        <v>1595</v>
      </c>
      <c r="P6" s="148" t="s">
        <v>21</v>
      </c>
      <c r="Q6" s="159" t="s">
        <v>22</v>
      </c>
      <c r="S6" t="str">
        <f>"'"&amp;O6&amp;"': "&amp;"'"&amp;Q6&amp;"', "</f>
        <v xml:space="preserve">'ㄅ': 'p', </v>
      </c>
    </row>
    <row r="7" spans="2:19" s="149" customFormat="1" ht="36">
      <c r="B7" s="145">
        <f xml:space="preserve"> MATCH(E7, 十五音聲母清單!$C$5:$C$26,0)</f>
        <v>6</v>
      </c>
      <c r="C7" s="146"/>
      <c r="D7" s="147">
        <v>14</v>
      </c>
      <c r="E7" s="147" t="s">
        <v>48</v>
      </c>
      <c r="F7" s="148" t="str" cm="1">
        <f t="array" ref="F7" xml:space="preserve"> INDEX(十五音聲母清單!$B$5:$I$26, $B7, F$2)</f>
        <v>pʰ</v>
      </c>
      <c r="G7" s="148" t="str" cm="1">
        <f t="array" ref="G7" xml:space="preserve"> INDEX(十五音聲母清單!$B$5:$I$26, $B7, G$2)</f>
        <v>頗</v>
      </c>
      <c r="H7" s="148" t="str" cm="1">
        <f t="array" ref="H7" xml:space="preserve"> INDEX(十五音聲母清單!$B$5:$I$26, $B7, H$2)</f>
        <v>ph</v>
      </c>
      <c r="I7" s="148" t="str" cm="1">
        <f t="array" ref="I7" xml:space="preserve"> INDEX(十五音聲母清單!$B$5:$I$26, $B7, I$2)</f>
        <v>ph</v>
      </c>
      <c r="J7" s="148" t="str" cm="1">
        <f t="array" ref="J7" xml:space="preserve"> INDEX(十五音聲母清單!$B$5:$I$26, $B7, J$2)</f>
        <v>p</v>
      </c>
      <c r="K7" s="148" t="str" cm="1">
        <f t="array" ref="K7" xml:space="preserve"> INDEX(十五音聲母清單!$B$5:$I$26, $B7, K$2)</f>
        <v>ㄆ</v>
      </c>
      <c r="L7" s="146">
        <v>2</v>
      </c>
      <c r="M7" s="146"/>
      <c r="N7" s="155">
        <v>2</v>
      </c>
      <c r="O7" s="148" t="s">
        <v>1596</v>
      </c>
      <c r="P7" s="148" t="s">
        <v>24</v>
      </c>
      <c r="Q7" s="159" t="s">
        <v>28</v>
      </c>
      <c r="S7" t="str">
        <f t="shared" ref="S7:S27" si="0">"'"&amp;O7&amp;"': "&amp;"'"&amp;Q7&amp;"', "</f>
        <v xml:space="preserve">'ㄆ': 'ph', </v>
      </c>
    </row>
    <row r="8" spans="2:19" s="149" customFormat="1" ht="36">
      <c r="B8" s="145">
        <f xml:space="preserve"> MATCH(E8, 十五音聲母清單!$C$5:$C$26,0)</f>
        <v>20</v>
      </c>
      <c r="C8" s="146"/>
      <c r="D8" s="147">
        <v>10</v>
      </c>
      <c r="E8" s="148" t="s">
        <v>64</v>
      </c>
      <c r="F8" s="148" t="str" cm="1">
        <f t="array" ref="F8" xml:space="preserve"> INDEX(十五音聲母清單!$B$5:$I$26, $B8, F$2)</f>
        <v>m</v>
      </c>
      <c r="G8" s="148" t="str" cm="1">
        <f t="array" ref="G8" xml:space="preserve"> INDEX(十五音聲母清單!$B$5:$I$26, $B8, G$2)</f>
        <v>毛</v>
      </c>
      <c r="H8" s="148" t="str" cm="1">
        <f t="array" ref="H8" xml:space="preserve"> INDEX(十五音聲母清單!$B$5:$I$26, $B8, H$2)</f>
        <v>m</v>
      </c>
      <c r="I8" s="148" t="str" cm="1">
        <f t="array" ref="I8" xml:space="preserve"> INDEX(十五音聲母清單!$B$5:$I$26, $B8, I$2)</f>
        <v>m</v>
      </c>
      <c r="J8" s="148" t="str" cm="1">
        <f t="array" ref="J8" xml:space="preserve"> INDEX(十五音聲母清單!$B$5:$I$26, $B8, J$2)</f>
        <v>bbn</v>
      </c>
      <c r="K8" s="148" t="str" cm="1">
        <f t="array" ref="K8" xml:space="preserve"> INDEX(十五音聲母清單!$B$5:$I$26, $B8, K$2)</f>
        <v>ㄇ</v>
      </c>
      <c r="L8" s="146">
        <v>3</v>
      </c>
      <c r="M8" s="146"/>
      <c r="N8" s="147">
        <v>3</v>
      </c>
      <c r="O8" s="148" t="s">
        <v>1597</v>
      </c>
      <c r="P8" s="148" t="s">
        <v>64</v>
      </c>
      <c r="Q8" s="159" t="s">
        <v>40</v>
      </c>
      <c r="S8" t="str">
        <f t="shared" si="0"/>
        <v xml:space="preserve">'ㄇ': 'm', </v>
      </c>
    </row>
    <row r="9" spans="2:19" s="149" customFormat="1" ht="36">
      <c r="B9" s="145">
        <f xml:space="preserve"> MATCH(E9, 十五音聲母清單!$C$5:$C$26,0)</f>
        <v>15</v>
      </c>
      <c r="C9" s="146"/>
      <c r="D9" s="147">
        <v>1</v>
      </c>
      <c r="E9" s="148" t="s">
        <v>21</v>
      </c>
      <c r="F9" s="148" t="str" cm="1">
        <f t="array" ref="F9" xml:space="preserve"> INDEX(十五音聲母清單!$B$5:$I$26, $B9, F$2)</f>
        <v>b</v>
      </c>
      <c r="G9" s="148" t="str" cm="1">
        <f t="array" ref="G9" xml:space="preserve"> INDEX(十五音聲母清單!$B$5:$I$26, $B9, G$2)</f>
        <v>門</v>
      </c>
      <c r="H9" s="148" t="str" cm="1">
        <f t="array" ref="H9" xml:space="preserve"> INDEX(十五音聲母清單!$B$5:$I$26, $B9, H$2)</f>
        <v>b</v>
      </c>
      <c r="I9" s="148" t="str" cm="1">
        <f t="array" ref="I9" xml:space="preserve"> INDEX(十五音聲母清單!$B$5:$I$26, $B9, I$2)</f>
        <v>b</v>
      </c>
      <c r="J9" s="148" t="str" cm="1">
        <f t="array" ref="J9" xml:space="preserve"> INDEX(十五音聲母清單!$B$5:$I$26, $B9, J$2)</f>
        <v>bb</v>
      </c>
      <c r="K9" s="148" t="str" cm="1">
        <f t="array" ref="K9" xml:space="preserve"> INDEX(十五音聲母清單!$B$5:$I$26, $B9, K$2)</f>
        <v>ㆠ</v>
      </c>
      <c r="L9" s="146">
        <v>4</v>
      </c>
      <c r="M9" s="146"/>
      <c r="N9" s="155">
        <v>4</v>
      </c>
      <c r="O9" s="148" t="s">
        <v>96</v>
      </c>
      <c r="P9" s="148" t="s">
        <v>95</v>
      </c>
      <c r="Q9" s="159" t="s">
        <v>34</v>
      </c>
      <c r="S9" t="str">
        <f t="shared" si="0"/>
        <v xml:space="preserve">'ㆠ': 'b', </v>
      </c>
    </row>
    <row r="10" spans="2:19" s="149" customFormat="1" ht="36">
      <c r="B10" s="145">
        <f xml:space="preserve"> MATCH(E10, 十五音聲母清單!$C$5:$C$26,0)</f>
        <v>5</v>
      </c>
      <c r="C10" s="146"/>
      <c r="D10" s="147">
        <v>16</v>
      </c>
      <c r="E10" s="148" t="s">
        <v>42</v>
      </c>
      <c r="F10" s="148" t="str" cm="1">
        <f t="array" ref="F10" xml:space="preserve"> INDEX(十五音聲母清單!$B$5:$I$26, $B10, F$2)</f>
        <v>t</v>
      </c>
      <c r="G10" s="148" t="str" cm="1">
        <f t="array" ref="G10" xml:space="preserve"> INDEX(十五音聲母清單!$B$5:$I$26, $B10, G$2)</f>
        <v>地</v>
      </c>
      <c r="H10" s="148" t="str" cm="1">
        <f t="array" ref="H10" xml:space="preserve"> INDEX(十五音聲母清單!$B$5:$I$26, $B10, H$2)</f>
        <v>t</v>
      </c>
      <c r="I10" s="148" t="str" cm="1">
        <f t="array" ref="I10" xml:space="preserve"> INDEX(十五音聲母清單!$B$5:$I$26, $B10, I$2)</f>
        <v>t</v>
      </c>
      <c r="J10" s="148" t="str" cm="1">
        <f t="array" ref="J10" xml:space="preserve"> INDEX(十五音聲母清單!$B$5:$I$26, $B10, J$2)</f>
        <v>d</v>
      </c>
      <c r="K10" s="148" t="str" cm="1">
        <f t="array" ref="K10" xml:space="preserve"> INDEX(十五音聲母清單!$B$5:$I$26, $B10, K$2)</f>
        <v>ㄉ</v>
      </c>
      <c r="L10" s="146">
        <v>5</v>
      </c>
      <c r="M10" s="146"/>
      <c r="N10" s="147">
        <v>5</v>
      </c>
      <c r="O10" s="154" t="s">
        <v>45</v>
      </c>
      <c r="P10" s="154" t="s">
        <v>44</v>
      </c>
      <c r="Q10" s="160" t="s">
        <v>46</v>
      </c>
      <c r="S10" t="str">
        <f t="shared" si="0"/>
        <v xml:space="preserve">'ㄉ': 't', </v>
      </c>
    </row>
    <row r="11" spans="2:19" s="149" customFormat="1" ht="36">
      <c r="B11" s="145">
        <f xml:space="preserve"> MATCH(E11, 十五音聲母清單!$C$5:$C$26,0)</f>
        <v>7</v>
      </c>
      <c r="C11" s="146"/>
      <c r="D11" s="147">
        <v>17</v>
      </c>
      <c r="E11" s="148" t="s">
        <v>53</v>
      </c>
      <c r="F11" s="148" t="str" cm="1">
        <f t="array" ref="F11" xml:space="preserve"> INDEX(十五音聲母清單!$B$5:$I$26, $B11, F$2)</f>
        <v>tʰ</v>
      </c>
      <c r="G11" s="148" t="str" cm="1">
        <f t="array" ref="G11" xml:space="preserve"> INDEX(十五音聲母清單!$B$5:$I$26, $B11, G$2)</f>
        <v>他</v>
      </c>
      <c r="H11" s="148" t="str" cm="1">
        <f t="array" ref="H11" xml:space="preserve"> INDEX(十五音聲母清單!$B$5:$I$26, $B11, H$2)</f>
        <v>th</v>
      </c>
      <c r="I11" s="148" t="str" cm="1">
        <f t="array" ref="I11" xml:space="preserve"> INDEX(十五音聲母清單!$B$5:$I$26, $B11, I$2)</f>
        <v>th</v>
      </c>
      <c r="J11" s="148" t="str" cm="1">
        <f t="array" ref="J11" xml:space="preserve"> INDEX(十五音聲母清單!$B$5:$I$26, $B11, J$2)</f>
        <v>t</v>
      </c>
      <c r="K11" s="148" t="str" cm="1">
        <f t="array" ref="K11" xml:space="preserve"> INDEX(十五音聲母清單!$B$5:$I$26, $B11, K$2)</f>
        <v>ㄊ</v>
      </c>
      <c r="L11" s="146">
        <v>6</v>
      </c>
      <c r="M11" s="146"/>
      <c r="N11" s="155">
        <v>6</v>
      </c>
      <c r="O11" s="154" t="s">
        <v>55</v>
      </c>
      <c r="P11" s="154" t="s">
        <v>42</v>
      </c>
      <c r="Q11" s="160" t="s">
        <v>51</v>
      </c>
      <c r="S11" t="str">
        <f t="shared" si="0"/>
        <v xml:space="preserve">'ㄊ': 'th', </v>
      </c>
    </row>
    <row r="12" spans="2:19" s="149" customFormat="1" ht="36">
      <c r="B12" s="145">
        <f xml:space="preserve"> MATCH(E12, 十五音聲母清單!$C$5:$C$26,0)</f>
        <v>21</v>
      </c>
      <c r="C12" s="146"/>
      <c r="D12" s="147">
        <v>11</v>
      </c>
      <c r="E12" s="148" t="s">
        <v>17</v>
      </c>
      <c r="F12" s="148" t="str" cm="1">
        <f t="array" ref="F12" xml:space="preserve"> INDEX(十五音聲母清單!$B$5:$I$26, $B12, F$2)</f>
        <v>n</v>
      </c>
      <c r="G12" s="148" t="str" cm="1">
        <f t="array" ref="G12" xml:space="preserve"> INDEX(十五音聲母清單!$B$5:$I$26, $B12, G$2)</f>
        <v>耐</v>
      </c>
      <c r="H12" s="148" t="str" cm="1">
        <f t="array" ref="H12" xml:space="preserve"> INDEX(十五音聲母清單!$B$5:$I$26, $B12, H$2)</f>
        <v>n</v>
      </c>
      <c r="I12" s="148" t="str" cm="1">
        <f t="array" ref="I12" xml:space="preserve"> INDEX(十五音聲母清單!$B$5:$I$26, $B12, I$2)</f>
        <v>n</v>
      </c>
      <c r="J12" s="148" t="str" cm="1">
        <f t="array" ref="J12" xml:space="preserve"> INDEX(十五音聲母清單!$B$5:$I$26, $B12, J$2)</f>
        <v>ln</v>
      </c>
      <c r="K12" s="148" t="str" cm="1">
        <f t="array" ref="K12" xml:space="preserve"> INDEX(十五音聲母清單!$B$5:$I$26, $B12, K$2)</f>
        <v>ㄋ</v>
      </c>
      <c r="L12" s="146">
        <v>7</v>
      </c>
      <c r="M12" s="146"/>
      <c r="N12" s="147">
        <v>7</v>
      </c>
      <c r="O12" s="154" t="s">
        <v>20</v>
      </c>
      <c r="P12" s="154" t="s">
        <v>17</v>
      </c>
      <c r="Q12" s="160" t="s">
        <v>56</v>
      </c>
      <c r="S12" t="str">
        <f t="shared" si="0"/>
        <v xml:space="preserve">'ㄋ': 'n', </v>
      </c>
    </row>
    <row r="13" spans="2:19" s="149" customFormat="1" ht="36">
      <c r="B13" s="145">
        <f xml:space="preserve"> MATCH(E13, 十五音聲母清單!$C$5:$C$26,0)</f>
        <v>1</v>
      </c>
      <c r="C13" s="146"/>
      <c r="D13" s="147">
        <v>9</v>
      </c>
      <c r="E13" s="148" t="s">
        <v>13</v>
      </c>
      <c r="F13" s="148" t="str" cm="1">
        <f t="array" ref="F13" xml:space="preserve"> INDEX(十五音聲母清單!$B$5:$I$26, $B13, F$2)</f>
        <v>l</v>
      </c>
      <c r="G13" s="148" t="str" cm="1">
        <f t="array" ref="G13" xml:space="preserve"> INDEX(十五音聲母清單!$B$5:$I$26, $B13, G$2)</f>
        <v>柳</v>
      </c>
      <c r="H13" s="148" t="str" cm="1">
        <f t="array" ref="H13" xml:space="preserve"> INDEX(十五音聲母清單!$B$5:$I$26, $B13, H$2)</f>
        <v>l</v>
      </c>
      <c r="I13" s="148" t="str" cm="1">
        <f t="array" ref="I13" xml:space="preserve"> INDEX(十五音聲母清單!$B$5:$I$26, $B13, I$2)</f>
        <v>l</v>
      </c>
      <c r="J13" s="148" t="str" cm="1">
        <f t="array" ref="J13" xml:space="preserve"> INDEX(十五音聲母清單!$B$5:$I$26, $B13, J$2)</f>
        <v>l</v>
      </c>
      <c r="K13" s="148" t="str" cm="1">
        <f t="array" ref="K13" xml:space="preserve"> INDEX(十五音聲母清單!$B$5:$I$26, $B13, K$2)</f>
        <v>ㄌ</v>
      </c>
      <c r="L13" s="146">
        <v>8</v>
      </c>
      <c r="M13" s="146"/>
      <c r="N13" s="155">
        <v>8</v>
      </c>
      <c r="O13" s="154" t="s">
        <v>15</v>
      </c>
      <c r="P13" s="154" t="s">
        <v>13</v>
      </c>
      <c r="Q13" s="160" t="s">
        <v>65</v>
      </c>
      <c r="S13" t="str">
        <f t="shared" si="0"/>
        <v xml:space="preserve">'ㄌ': 'l', </v>
      </c>
    </row>
    <row r="14" spans="2:19" s="149" customFormat="1" ht="36">
      <c r="B14" s="145">
        <f xml:space="preserve"> MATCH(E14, 十五音聲母清單!$C$5:$C$26,0)</f>
        <v>3</v>
      </c>
      <c r="C14" s="146"/>
      <c r="D14" s="147">
        <v>7</v>
      </c>
      <c r="E14" s="148" t="s">
        <v>30</v>
      </c>
      <c r="F14" s="148" t="str" cm="1">
        <f t="array" ref="F14" xml:space="preserve"> INDEX(十五音聲母清單!$B$5:$I$26, $B14, F$2)</f>
        <v>k</v>
      </c>
      <c r="G14" s="148" t="str" cm="1">
        <f t="array" ref="G14" xml:space="preserve"> INDEX(十五音聲母清單!$B$5:$I$26, $B14, G$2)</f>
        <v>求</v>
      </c>
      <c r="H14" s="148" t="str" cm="1">
        <f t="array" ref="H14" xml:space="preserve"> INDEX(十五音聲母清單!$B$5:$I$26, $B14, H$2)</f>
        <v>k</v>
      </c>
      <c r="I14" s="148" t="str" cm="1">
        <f t="array" ref="I14" xml:space="preserve"> INDEX(十五音聲母清單!$B$5:$I$26, $B14, I$2)</f>
        <v>k</v>
      </c>
      <c r="J14" s="148" t="str" cm="1">
        <f t="array" ref="J14" xml:space="preserve"> INDEX(十五音聲母清單!$B$5:$I$26, $B14, J$2)</f>
        <v>g</v>
      </c>
      <c r="K14" s="148" t="str" cm="1">
        <f t="array" ref="K14" xml:space="preserve"> INDEX(十五音聲母清單!$B$5:$I$26, $B14, K$2)</f>
        <v>ㄍ</v>
      </c>
      <c r="L14" s="146">
        <v>9</v>
      </c>
      <c r="M14" s="146"/>
      <c r="N14" s="147">
        <v>9</v>
      </c>
      <c r="O14" s="148" t="s">
        <v>32</v>
      </c>
      <c r="P14" s="148" t="s">
        <v>27</v>
      </c>
      <c r="Q14" s="159" t="s">
        <v>72</v>
      </c>
      <c r="S14" t="str">
        <f t="shared" si="0"/>
        <v xml:space="preserve">'ㄍ': 'k', </v>
      </c>
    </row>
    <row r="15" spans="2:19" s="149" customFormat="1" ht="36">
      <c r="B15" s="145">
        <f xml:space="preserve"> MATCH(E15, 十五音聲母清單!$C$5:$C$26,0)</f>
        <v>4</v>
      </c>
      <c r="C15" s="146"/>
      <c r="D15" s="147">
        <v>8</v>
      </c>
      <c r="E15" s="148" t="s">
        <v>36</v>
      </c>
      <c r="F15" s="148" t="str" cm="1">
        <f t="array" ref="F15" xml:space="preserve"> INDEX(十五音聲母清單!$B$5:$I$26, $B15, F$2)</f>
        <v>kʰ</v>
      </c>
      <c r="G15" s="148" t="str" cm="1">
        <f t="array" ref="G15" xml:space="preserve"> INDEX(十五音聲母清單!$B$5:$I$26, $B15, G$2)</f>
        <v>去</v>
      </c>
      <c r="H15" s="148" t="str" cm="1">
        <f t="array" ref="H15" xml:space="preserve"> INDEX(十五音聲母清單!$B$5:$I$26, $B15, H$2)</f>
        <v>kh</v>
      </c>
      <c r="I15" s="148" t="str" cm="1">
        <f t="array" ref="I15" xml:space="preserve"> INDEX(十五音聲母清單!$B$5:$I$26, $B15, I$2)</f>
        <v>kh</v>
      </c>
      <c r="J15" s="148" t="str" cm="1">
        <f t="array" ref="J15" xml:space="preserve"> INDEX(十五音聲母清單!$B$5:$I$26, $B15, J$2)</f>
        <v>k</v>
      </c>
      <c r="K15" s="148" t="str" cm="1">
        <f t="array" ref="K15" xml:space="preserve"> INDEX(十五音聲母清單!$B$5:$I$26, $B15, K$2)</f>
        <v>ㄎ</v>
      </c>
      <c r="L15" s="146">
        <v>10</v>
      </c>
      <c r="M15" s="146"/>
      <c r="N15" s="155">
        <v>10</v>
      </c>
      <c r="O15" s="148" t="s">
        <v>38</v>
      </c>
      <c r="P15" s="148" t="s">
        <v>30</v>
      </c>
      <c r="Q15" s="159" t="s">
        <v>80</v>
      </c>
      <c r="S15" t="str">
        <f t="shared" si="0"/>
        <v xml:space="preserve">'ㄎ': 'kh', </v>
      </c>
    </row>
    <row r="16" spans="2:19" s="149" customFormat="1" ht="36">
      <c r="B16" s="145">
        <f xml:space="preserve"> MATCH(E16, 十五音聲母清單!$C$5:$C$26,0)</f>
        <v>19</v>
      </c>
      <c r="C16" s="146"/>
      <c r="D16" s="147">
        <v>5</v>
      </c>
      <c r="E16" s="148" t="s">
        <v>33</v>
      </c>
      <c r="F16" s="148" t="str" cm="1">
        <f t="array" ref="F16" xml:space="preserve"> INDEX(十五音聲母清單!$B$5:$I$26, $B16, F$2)</f>
        <v>h</v>
      </c>
      <c r="G16" s="148" t="str" cm="1">
        <f t="array" ref="G16" xml:space="preserve"> INDEX(十五音聲母清單!$B$5:$I$26, $B16, G$2)</f>
        <v>喜</v>
      </c>
      <c r="H16" s="148" t="str" cm="1">
        <f t="array" ref="H16" xml:space="preserve"> INDEX(十五音聲母清單!$B$5:$I$26, $B16, H$2)</f>
        <v>h</v>
      </c>
      <c r="I16" s="148" t="str" cm="1">
        <f t="array" ref="I16" xml:space="preserve"> INDEX(十五音聲母清單!$B$5:$I$26, $B16, I$2)</f>
        <v>h</v>
      </c>
      <c r="J16" s="148" t="str" cm="1">
        <f t="array" ref="J16" xml:space="preserve"> INDEX(十五音聲母清單!$B$5:$I$26, $B16, J$2)</f>
        <v>h</v>
      </c>
      <c r="K16" s="148" t="str" cm="1">
        <f t="array" ref="K16" xml:space="preserve"> INDEX(十五音聲母清單!$B$5:$I$26, $B16, K$2)</f>
        <v>ㄏ</v>
      </c>
      <c r="L16" s="146">
        <v>11</v>
      </c>
      <c r="M16" s="146"/>
      <c r="N16" s="147">
        <v>11</v>
      </c>
      <c r="O16" s="148" t="s">
        <v>121</v>
      </c>
      <c r="P16" s="148" t="s">
        <v>33</v>
      </c>
      <c r="Q16" s="159" t="s">
        <v>97</v>
      </c>
      <c r="S16" t="str">
        <f t="shared" si="0"/>
        <v xml:space="preserve">'ㄏ': 'h', </v>
      </c>
    </row>
    <row r="17" spans="2:19" s="149" customFormat="1" ht="36">
      <c r="B17" s="145">
        <f xml:space="preserve"> MATCH(E17, 十五音聲母清單!$C$5:$C$26,0)</f>
        <v>16</v>
      </c>
      <c r="C17" s="146"/>
      <c r="D17" s="147">
        <v>4</v>
      </c>
      <c r="E17" s="148" t="s">
        <v>27</v>
      </c>
      <c r="F17" s="148" t="str" cm="1">
        <f t="array" ref="F17" xml:space="preserve"> INDEX(十五音聲母清單!$B$5:$I$26, $B17, F$2)</f>
        <v>ɡ</v>
      </c>
      <c r="G17" s="148" t="str" cm="1">
        <f t="array" ref="G17" xml:space="preserve"> INDEX(十五音聲母清單!$B$5:$I$26, $B17, G$2)</f>
        <v>語</v>
      </c>
      <c r="H17" s="148" t="str" cm="1">
        <f t="array" ref="H17" xml:space="preserve"> INDEX(十五音聲母清單!$B$5:$I$26, $B17, H$2)</f>
        <v>g</v>
      </c>
      <c r="I17" s="148" t="str" cm="1">
        <f t="array" ref="I17" xml:space="preserve"> INDEX(十五音聲母清單!$B$5:$I$26, $B17, I$2)</f>
        <v>g</v>
      </c>
      <c r="J17" s="148" t="str" cm="1">
        <f t="array" ref="J17" xml:space="preserve"> INDEX(十五音聲母清單!$B$5:$I$26, $B17, J$2)</f>
        <v>gg</v>
      </c>
      <c r="K17" s="148" t="str" cm="1">
        <f t="array" ref="K17" xml:space="preserve"> INDEX(十五音聲母清單!$B$5:$I$26, $B17, K$2)</f>
        <v>ㆣ</v>
      </c>
      <c r="L17" s="146">
        <v>12</v>
      </c>
      <c r="M17" s="146"/>
      <c r="N17" s="155">
        <v>12</v>
      </c>
      <c r="O17" s="148" t="s">
        <v>102</v>
      </c>
      <c r="P17" s="148" t="s">
        <v>101</v>
      </c>
      <c r="Q17" s="159" t="s">
        <v>86</v>
      </c>
      <c r="S17" t="str">
        <f t="shared" si="0"/>
        <v xml:space="preserve">'ㆣ': 'g', </v>
      </c>
    </row>
    <row r="18" spans="2:19" s="149" customFormat="1" ht="36">
      <c r="B18" s="145" t="e">
        <f xml:space="preserve"> MATCH(E18, 十五音聲母清單!$C$5:$C$26,0)</f>
        <v>#N/A</v>
      </c>
      <c r="C18" s="146"/>
      <c r="D18" s="147">
        <v>2</v>
      </c>
      <c r="E18" s="148" t="s">
        <v>1598</v>
      </c>
      <c r="F18" s="148" t="e" cm="1">
        <f t="array" ref="F18" xml:space="preserve"> INDEX(十五音聲母清單!$B$5:$I$26, $B18, F$2)</f>
        <v>#N/A</v>
      </c>
      <c r="G18" s="148" t="e" cm="1">
        <f t="array" ref="G18" xml:space="preserve"> INDEX(十五音聲母清單!$B$5:$I$26, $B18, G$2)</f>
        <v>#N/A</v>
      </c>
      <c r="H18" s="148" t="e" cm="1">
        <f t="array" ref="H18" xml:space="preserve"> INDEX(十五音聲母清單!$B$5:$I$26, $B18, H$2)</f>
        <v>#N/A</v>
      </c>
      <c r="I18" s="148" t="e" cm="1">
        <f t="array" ref="I18" xml:space="preserve"> INDEX(十五音聲母清單!$B$5:$I$26, $B18, I$2)</f>
        <v>#N/A</v>
      </c>
      <c r="J18" s="148" t="e" cm="1">
        <f t="array" ref="J18" xml:space="preserve"> INDEX(十五音聲母清單!$B$5:$I$26, $B18, J$2)</f>
        <v>#N/A</v>
      </c>
      <c r="K18" s="148" t="e" cm="1">
        <f t="array" ref="K18" xml:space="preserve"> INDEX(十五音聲母清單!$B$5:$I$26, $B18, K$2)</f>
        <v>#N/A</v>
      </c>
      <c r="L18" s="146">
        <v>13</v>
      </c>
      <c r="M18" s="146"/>
      <c r="N18" s="147">
        <v>13</v>
      </c>
      <c r="O18" s="154" t="s">
        <v>727</v>
      </c>
      <c r="P18" s="154" t="s">
        <v>62</v>
      </c>
      <c r="Q18" s="160" t="s">
        <v>1599</v>
      </c>
      <c r="S18" t="str">
        <f t="shared" si="0"/>
        <v xml:space="preserve">'ㄗ': 'ch', </v>
      </c>
    </row>
    <row r="19" spans="2:19" s="149" customFormat="1" ht="36">
      <c r="B19" s="145" t="e">
        <f xml:space="preserve"> MATCH(E19, 十五音聲母清單!$C$5:$C$26,0)</f>
        <v>#N/A</v>
      </c>
      <c r="C19" s="146"/>
      <c r="D19" s="147">
        <v>3</v>
      </c>
      <c r="E19" s="148" t="s">
        <v>1600</v>
      </c>
      <c r="F19" s="148" t="e" cm="1">
        <f t="array" ref="F19" xml:space="preserve"> INDEX(十五音聲母清單!$B$5:$I$26, $B19, F$2)</f>
        <v>#N/A</v>
      </c>
      <c r="G19" s="148" t="e" cm="1">
        <f t="array" ref="G19" xml:space="preserve"> INDEX(十五音聲母清單!$B$5:$I$26, $B19, G$2)</f>
        <v>#N/A</v>
      </c>
      <c r="H19" s="148" t="e" cm="1">
        <f t="array" ref="H19" xml:space="preserve"> INDEX(十五音聲母清單!$B$5:$I$26, $B19, H$2)</f>
        <v>#N/A</v>
      </c>
      <c r="I19" s="148" t="e" cm="1">
        <f t="array" ref="I19" xml:space="preserve"> INDEX(十五音聲母清單!$B$5:$I$26, $B19, I$2)</f>
        <v>#N/A</v>
      </c>
      <c r="J19" s="148" t="e" cm="1">
        <f t="array" ref="J19" xml:space="preserve"> INDEX(十五音聲母清單!$B$5:$I$26, $B19, J$2)</f>
        <v>#N/A</v>
      </c>
      <c r="K19" s="148" t="e" cm="1">
        <f t="array" ref="K19" xml:space="preserve"> INDEX(十五音聲母清單!$B$5:$I$26, $B19, K$2)</f>
        <v>#N/A</v>
      </c>
      <c r="L19" s="146">
        <v>14</v>
      </c>
      <c r="M19" s="146"/>
      <c r="N19" s="155">
        <v>14</v>
      </c>
      <c r="O19" s="154" t="s">
        <v>729</v>
      </c>
      <c r="P19" s="154" t="s">
        <v>115</v>
      </c>
      <c r="Q19" s="160" t="s">
        <v>1601</v>
      </c>
      <c r="S19" t="str">
        <f t="shared" si="0"/>
        <v xml:space="preserve">'ㄘ': 'chh', </v>
      </c>
    </row>
    <row r="20" spans="2:19" s="149" customFormat="1" ht="36">
      <c r="B20" s="145">
        <f xml:space="preserve"> MATCH(E20, 十五音聲母清單!$C$5:$C$26,0)</f>
        <v>12</v>
      </c>
      <c r="C20" s="146"/>
      <c r="D20" s="147">
        <v>15</v>
      </c>
      <c r="E20" s="148" t="s">
        <v>76</v>
      </c>
      <c r="F20" s="148" t="str" cm="1">
        <f t="array" ref="F20" xml:space="preserve"> INDEX(十五音聲母清單!$B$5:$I$26, $B20, F$2)</f>
        <v>s</v>
      </c>
      <c r="G20" s="148" t="str" cm="1">
        <f t="array" ref="G20" xml:space="preserve"> INDEX(十五音聲母清單!$B$5:$I$26, $B20, G$2)</f>
        <v>時</v>
      </c>
      <c r="H20" s="148" t="str" cm="1">
        <f t="array" ref="H20" xml:space="preserve"> INDEX(十五音聲母清單!$B$5:$I$26, $B20, H$2)</f>
        <v>s</v>
      </c>
      <c r="I20" s="148" t="str" cm="1">
        <f t="array" ref="I20" xml:space="preserve"> INDEX(十五音聲母清單!$B$5:$I$26, $B20, I$2)</f>
        <v>s</v>
      </c>
      <c r="J20" s="148" t="str" cm="1">
        <f t="array" ref="J20" xml:space="preserve"> INDEX(十五音聲母清單!$B$5:$I$26, $B20, J$2)</f>
        <v>s</v>
      </c>
      <c r="K20" s="148" t="str" cm="1">
        <f t="array" ref="K20" xml:space="preserve"> INDEX(十五音聲母清單!$B$5:$I$26, $B20, K$2)</f>
        <v>ㄙ</v>
      </c>
      <c r="L20" s="146">
        <v>15</v>
      </c>
      <c r="M20" s="146"/>
      <c r="N20" s="147">
        <v>15</v>
      </c>
      <c r="O20" s="154" t="s">
        <v>731</v>
      </c>
      <c r="P20" s="154" t="s">
        <v>76</v>
      </c>
      <c r="Q20" s="160" t="s">
        <v>117</v>
      </c>
      <c r="S20" t="str">
        <f t="shared" si="0"/>
        <v xml:space="preserve">'ㄙ': 's', </v>
      </c>
    </row>
    <row r="21" spans="2:19" s="149" customFormat="1" ht="36">
      <c r="B21" s="145">
        <f xml:space="preserve"> MATCH(E21, 十五音聲母清單!$C$5:$C$26,0)</f>
        <v>10</v>
      </c>
      <c r="C21" s="146"/>
      <c r="D21" s="147">
        <v>6</v>
      </c>
      <c r="E21" s="148" t="s">
        <v>39</v>
      </c>
      <c r="F21" s="148" t="str" cm="1">
        <f t="array" ref="F21" xml:space="preserve"> INDEX(十五音聲母清單!$B$5:$I$26, $B21, F$2)</f>
        <v>ʣ</v>
      </c>
      <c r="G21" s="148" t="str" cm="1">
        <f t="array" ref="G21" xml:space="preserve"> INDEX(十五音聲母清單!$B$5:$I$26, $B21, G$2)</f>
        <v>入</v>
      </c>
      <c r="H21" s="148" t="str" cm="1">
        <f t="array" ref="H21" xml:space="preserve"> INDEX(十五音聲母清單!$B$5:$I$26, $B21, H$2)</f>
        <v>j</v>
      </c>
      <c r="I21" s="148" t="str" cm="1">
        <f t="array" ref="I21" xml:space="preserve"> INDEX(十五音聲母清單!$B$5:$I$26, $B21, I$2)</f>
        <v>j</v>
      </c>
      <c r="J21" s="148" t="str" cm="1">
        <f t="array" ref="J21" xml:space="preserve"> INDEX(十五音聲母清單!$B$5:$I$26, $B21, J$2)</f>
        <v>zz</v>
      </c>
      <c r="K21" s="148" t="str" cm="1">
        <f t="array" ref="K21" xml:space="preserve"> INDEX(十五音聲母清單!$B$5:$I$26, $B21, K$2)</f>
        <v>ㆡ</v>
      </c>
      <c r="L21" s="146">
        <v>16</v>
      </c>
      <c r="M21" s="146"/>
      <c r="N21" s="155">
        <v>16</v>
      </c>
      <c r="O21" s="154" t="s">
        <v>733</v>
      </c>
      <c r="P21" s="154" t="s">
        <v>70</v>
      </c>
      <c r="Q21" s="160" t="s">
        <v>122</v>
      </c>
      <c r="S21" t="str">
        <f t="shared" si="0"/>
        <v xml:space="preserve">'ㆡ': 'j', </v>
      </c>
    </row>
    <row r="22" spans="2:19" s="149" customFormat="1" ht="36">
      <c r="B22" s="145">
        <f xml:space="preserve"> MATCH(E22, 十五音聲母清單!$C$5:$C$26,0)</f>
        <v>22</v>
      </c>
      <c r="C22" s="146"/>
      <c r="D22" s="147">
        <v>12</v>
      </c>
      <c r="E22" s="148" t="s">
        <v>79</v>
      </c>
      <c r="F22" s="148" t="str" cm="1">
        <f t="array" ref="F22" xml:space="preserve"> INDEX(十五音聲母清單!$B$5:$I$26, $B22, F$2)</f>
        <v>ŋ</v>
      </c>
      <c r="G22" s="148" t="str" cm="1">
        <f t="array" ref="G22" xml:space="preserve"> INDEX(十五音聲母清單!$B$5:$I$26, $B22, G$2)</f>
        <v>雅</v>
      </c>
      <c r="H22" s="148" t="str" cm="1">
        <f t="array" ref="H22" xml:space="preserve"> INDEX(十五音聲母清單!$B$5:$I$26, $B22, H$2)</f>
        <v>ng</v>
      </c>
      <c r="I22" s="148" t="str" cm="1">
        <f t="array" ref="I22" xml:space="preserve"> INDEX(十五音聲母清單!$B$5:$I$26, $B22, I$2)</f>
        <v>ng</v>
      </c>
      <c r="J22" s="148" t="str" cm="1">
        <f t="array" ref="J22" xml:space="preserve"> INDEX(十五音聲母清單!$B$5:$I$26, $B22, J$2)</f>
        <v>ggn</v>
      </c>
      <c r="K22" s="148" t="str" cm="1">
        <f t="array" ref="K22" xml:space="preserve"> INDEX(十五音聲母清單!$B$5:$I$26, $B22, K$2)</f>
        <v>ㄫ</v>
      </c>
      <c r="L22" s="146">
        <v>99</v>
      </c>
      <c r="M22" s="146"/>
      <c r="N22" s="147">
        <v>17</v>
      </c>
      <c r="O22" s="148" t="s">
        <v>1602</v>
      </c>
      <c r="P22" s="148" t="s">
        <v>39</v>
      </c>
      <c r="Q22" s="159" t="s">
        <v>1603</v>
      </c>
      <c r="S22" t="str">
        <f t="shared" si="0"/>
        <v xml:space="preserve">'ㄐ': 'chi', </v>
      </c>
    </row>
    <row r="23" spans="2:19">
      <c r="N23" s="155">
        <v>18</v>
      </c>
      <c r="O23" s="148" t="s">
        <v>1604</v>
      </c>
      <c r="P23" s="148" t="s">
        <v>689</v>
      </c>
      <c r="Q23" s="159" t="s">
        <v>1605</v>
      </c>
      <c r="S23" t="str">
        <f t="shared" si="0"/>
        <v xml:space="preserve">'ㄑ': 'chhi', </v>
      </c>
    </row>
    <row r="24" spans="2:19">
      <c r="N24" s="147">
        <v>19</v>
      </c>
      <c r="O24" s="148" t="s">
        <v>1606</v>
      </c>
      <c r="P24" s="148" t="s">
        <v>1607</v>
      </c>
      <c r="Q24" s="159" t="s">
        <v>1608</v>
      </c>
      <c r="S24" t="str">
        <f t="shared" si="0"/>
        <v xml:space="preserve">'ㄒ': 'si', </v>
      </c>
    </row>
    <row r="25" spans="2:19">
      <c r="N25" s="155">
        <v>20</v>
      </c>
      <c r="O25" s="148" t="s">
        <v>1609</v>
      </c>
      <c r="P25" s="148" t="s">
        <v>1610</v>
      </c>
      <c r="Q25" s="159" t="s">
        <v>1611</v>
      </c>
      <c r="S25" t="str">
        <f t="shared" si="0"/>
        <v xml:space="preserve">'ㆢ': 'ji', </v>
      </c>
    </row>
    <row r="26" spans="2:19">
      <c r="N26" s="147">
        <v>21</v>
      </c>
      <c r="O26" s="154" t="s">
        <v>1597</v>
      </c>
      <c r="P26" s="154" t="s">
        <v>64</v>
      </c>
      <c r="Q26" s="160" t="s">
        <v>40</v>
      </c>
      <c r="S26" t="str">
        <f t="shared" si="0"/>
        <v xml:space="preserve">'ㄇ': 'm', </v>
      </c>
    </row>
    <row r="27" spans="2:19">
      <c r="N27" s="155">
        <v>22</v>
      </c>
      <c r="O27" s="161" t="s">
        <v>1612</v>
      </c>
      <c r="P27" s="154" t="s">
        <v>17</v>
      </c>
      <c r="Q27" s="160" t="s">
        <v>56</v>
      </c>
      <c r="S27" t="str">
        <f t="shared" si="0"/>
        <v xml:space="preserve">'ㄣ': 'n', </v>
      </c>
    </row>
    <row r="28" spans="2:19">
      <c r="N28" s="156">
        <v>24</v>
      </c>
      <c r="O28" s="161" t="s">
        <v>1613</v>
      </c>
      <c r="P28" s="154" t="s">
        <v>79</v>
      </c>
      <c r="Q28" s="160" t="s">
        <v>92</v>
      </c>
      <c r="S28" t="str">
        <f>"'"&amp;O28&amp;"': "&amp;"'"&amp;Q28&amp;"', "</f>
        <v xml:space="preserve">'ㄥ': 'ng', </v>
      </c>
    </row>
  </sheetData>
  <sortState xmlns:xlrd2="http://schemas.microsoft.com/office/spreadsheetml/2017/richdata2" ref="D6:L22">
    <sortCondition ref="L7:L22"/>
  </sortState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80535-49E1-5841-9806-27F6DA9A6C2F}">
  <sheetPr codeName="工作表7">
    <tabColor theme="7" tint="0.39997558519241921"/>
  </sheetPr>
  <dimension ref="B2:G14"/>
  <sheetViews>
    <sheetView workbookViewId="0"/>
  </sheetViews>
  <sheetFormatPr baseColWidth="10" defaultColWidth="10.8984375" defaultRowHeight="22"/>
  <cols>
    <col min="3" max="5" width="15" customWidth="1"/>
  </cols>
  <sheetData>
    <row r="2" spans="2:7" ht="28">
      <c r="B2" s="125" t="s">
        <v>0</v>
      </c>
      <c r="C2" s="157" t="s">
        <v>1593</v>
      </c>
      <c r="D2" s="157" t="s">
        <v>1594</v>
      </c>
      <c r="E2" s="158" t="s">
        <v>694</v>
      </c>
    </row>
    <row r="3" spans="2:7" ht="36">
      <c r="B3" s="147">
        <v>1</v>
      </c>
      <c r="C3" s="148" t="s">
        <v>1614</v>
      </c>
      <c r="D3" s="148" t="s">
        <v>424</v>
      </c>
      <c r="E3" s="159" t="s">
        <v>1615</v>
      </c>
      <c r="G3" t="str">
        <f>"'"&amp;C3&amp;"': "&amp;"'"&amp;E3&amp;"', "</f>
        <v xml:space="preserve">'ㄚ': 'a', </v>
      </c>
    </row>
    <row r="4" spans="2:7" ht="36">
      <c r="B4" s="155">
        <v>2</v>
      </c>
      <c r="C4" s="148" t="s">
        <v>1616</v>
      </c>
      <c r="D4" s="148" t="s">
        <v>432</v>
      </c>
      <c r="E4" s="159" t="s">
        <v>1617</v>
      </c>
      <c r="G4" t="str">
        <f t="shared" ref="G4:G14" si="0">"'"&amp;C4&amp;"': "&amp;"'"&amp;E4&amp;"', "</f>
        <v xml:space="preserve">'ㄧ': 'i', </v>
      </c>
    </row>
    <row r="5" spans="2:7" ht="36">
      <c r="B5" s="147">
        <v>3</v>
      </c>
      <c r="C5" s="148" t="s">
        <v>1618</v>
      </c>
      <c r="D5" s="148" t="s">
        <v>415</v>
      </c>
      <c r="E5" s="159" t="s">
        <v>1619</v>
      </c>
      <c r="G5" t="str">
        <f t="shared" si="0"/>
        <v xml:space="preserve">'ㄨ': 'u', </v>
      </c>
    </row>
    <row r="6" spans="2:7" ht="36">
      <c r="B6" s="155">
        <v>4</v>
      </c>
      <c r="C6" s="148" t="s">
        <v>1620</v>
      </c>
      <c r="D6" s="148" t="s">
        <v>278</v>
      </c>
      <c r="E6" s="159" t="s">
        <v>193</v>
      </c>
      <c r="G6" t="str">
        <f t="shared" si="0"/>
        <v xml:space="preserve">'ㆤ': 'e', </v>
      </c>
    </row>
    <row r="7" spans="2:7" ht="36">
      <c r="B7" s="147">
        <v>5</v>
      </c>
      <c r="C7" s="148" t="s">
        <v>1621</v>
      </c>
      <c r="D7" s="148" t="s">
        <v>299</v>
      </c>
      <c r="E7" s="159" t="s">
        <v>1622</v>
      </c>
      <c r="G7" t="str">
        <f t="shared" si="0"/>
        <v xml:space="preserve">'ㄛ': 'oo', </v>
      </c>
    </row>
    <row r="8" spans="2:7" ht="36">
      <c r="B8" s="155">
        <v>6</v>
      </c>
      <c r="C8" s="148" t="s">
        <v>1623</v>
      </c>
      <c r="D8" s="148" t="s">
        <v>1624</v>
      </c>
      <c r="E8" s="159" t="s">
        <v>1625</v>
      </c>
      <c r="G8" t="str">
        <f t="shared" si="0"/>
        <v xml:space="preserve">'ㄜ': 'o', </v>
      </c>
    </row>
    <row r="9" spans="2:7" ht="36">
      <c r="B9" s="147">
        <v>7</v>
      </c>
      <c r="C9" s="148" t="s">
        <v>1626</v>
      </c>
      <c r="D9" s="148" t="s">
        <v>1627</v>
      </c>
      <c r="E9" s="159" t="s">
        <v>1625</v>
      </c>
      <c r="G9" t="str">
        <f t="shared" si="0"/>
        <v xml:space="preserve">'儿': 'o', </v>
      </c>
    </row>
    <row r="10" spans="2:7" ht="36">
      <c r="B10" s="155">
        <v>8</v>
      </c>
      <c r="C10" s="154" t="s">
        <v>408</v>
      </c>
      <c r="D10" s="154" t="s">
        <v>1628</v>
      </c>
      <c r="E10" s="160" t="s">
        <v>1629</v>
      </c>
      <c r="G10" t="str">
        <f t="shared" si="0"/>
        <v xml:space="preserve">'ㆩ': 'ann', </v>
      </c>
    </row>
    <row r="11" spans="2:7" ht="36">
      <c r="B11" s="147">
        <v>9</v>
      </c>
      <c r="C11" s="154" t="s">
        <v>498</v>
      </c>
      <c r="D11" s="154" t="s">
        <v>1630</v>
      </c>
      <c r="E11" s="160" t="s">
        <v>1631</v>
      </c>
      <c r="G11" t="str">
        <f t="shared" si="0"/>
        <v xml:space="preserve">'ㆪ': 'inn', </v>
      </c>
    </row>
    <row r="12" spans="2:7" ht="36">
      <c r="B12" s="155">
        <v>10</v>
      </c>
      <c r="C12" s="154" t="s">
        <v>1632</v>
      </c>
      <c r="D12" s="154" t="s">
        <v>1633</v>
      </c>
      <c r="E12" s="160" t="s">
        <v>1634</v>
      </c>
      <c r="G12" t="str">
        <f t="shared" si="0"/>
        <v xml:space="preserve">'ㆫ': 'unn', </v>
      </c>
    </row>
    <row r="13" spans="2:7" ht="36">
      <c r="B13" s="147">
        <v>11</v>
      </c>
      <c r="C13" s="154" t="s">
        <v>457</v>
      </c>
      <c r="D13" s="154" t="s">
        <v>188</v>
      </c>
      <c r="E13" s="160" t="s">
        <v>1635</v>
      </c>
      <c r="G13" t="str">
        <f t="shared" si="0"/>
        <v xml:space="preserve">'ㆥ': 'enn', </v>
      </c>
    </row>
    <row r="14" spans="2:7" ht="36">
      <c r="B14" s="124">
        <v>12</v>
      </c>
      <c r="C14" s="154" t="s">
        <v>583</v>
      </c>
      <c r="D14" s="154" t="s">
        <v>252</v>
      </c>
      <c r="E14" s="160" t="s">
        <v>1636</v>
      </c>
      <c r="G14" t="str">
        <f t="shared" si="0"/>
        <v xml:space="preserve">'ㆧ': 'oonn', 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95D1-7E48-3942-A6CE-33B9B4E1615A}">
  <sheetPr codeName="工作表8">
    <tabColor theme="7" tint="0.39997558519241921"/>
  </sheetPr>
  <dimension ref="B1:L29"/>
  <sheetViews>
    <sheetView workbookViewId="0"/>
  </sheetViews>
  <sheetFormatPr baseColWidth="10" defaultColWidth="10.8984375" defaultRowHeight="22" outlineLevelRow="1" outlineLevelCol="1"/>
  <cols>
    <col min="1" max="1" width="1.796875" customWidth="1"/>
    <col min="2" max="2" width="6" customWidth="1"/>
    <col min="3" max="3" width="13.5" customWidth="1"/>
    <col min="4" max="4" width="11" style="24" customWidth="1"/>
    <col min="5" max="6" width="11" hidden="1" customWidth="1" outlineLevel="1"/>
    <col min="7" max="7" width="11" style="24" customWidth="1" collapsed="1"/>
    <col min="8" max="10" width="11" customWidth="1"/>
    <col min="11" max="11" width="4.69921875" customWidth="1"/>
  </cols>
  <sheetData>
    <row r="1" spans="2:12" outlineLevel="1"/>
    <row r="2" spans="2:12" s="6" customFormat="1" outlineLevel="1">
      <c r="F2" s="121">
        <v>2</v>
      </c>
      <c r="G2" s="170">
        <v>5</v>
      </c>
      <c r="H2" s="121">
        <v>10</v>
      </c>
      <c r="I2" s="121">
        <v>3</v>
      </c>
      <c r="J2" s="121">
        <v>4</v>
      </c>
    </row>
    <row r="3" spans="2:12" s="6" customFormat="1" outlineLevel="1">
      <c r="B3" s="162" cm="1">
        <f t="array" ref="B3" xml:space="preserve"> COLUMN() - COLUMN($A:$A)</f>
        <v>1</v>
      </c>
      <c r="C3" s="162" cm="1">
        <f t="array" ref="C3" xml:space="preserve"> COLUMN() - COLUMN($A:$A)</f>
        <v>2</v>
      </c>
      <c r="D3" s="162" cm="1">
        <f t="array" ref="D3" xml:space="preserve"> COLUMN() - COLUMN($A:$A)</f>
        <v>3</v>
      </c>
      <c r="E3" s="162" cm="1">
        <f t="array" ref="E3" xml:space="preserve"> COLUMN() - COLUMN($A:$A)</f>
        <v>4</v>
      </c>
      <c r="F3" s="162" cm="1">
        <f t="array" ref="F3" xml:space="preserve"> COLUMN() - COLUMN($A:$A)</f>
        <v>5</v>
      </c>
      <c r="G3" s="171" cm="1">
        <f t="array" ref="G3" xml:space="preserve"> COLUMN() - COLUMN($A:$A)</f>
        <v>6</v>
      </c>
      <c r="H3" s="162" cm="1">
        <f t="array" ref="H3" xml:space="preserve"> COLUMN() - COLUMN($A:$A)</f>
        <v>7</v>
      </c>
      <c r="I3" s="162" cm="1">
        <f t="array" ref="I3" xml:space="preserve"> COLUMN() - COLUMN($A:$A)</f>
        <v>8</v>
      </c>
      <c r="J3" s="162" cm="1">
        <f t="array" ref="J3" xml:space="preserve"> COLUMN() - COLUMN($A:$A)</f>
        <v>9</v>
      </c>
    </row>
    <row r="5" spans="2:12" s="163" customFormat="1">
      <c r="B5" s="164" t="s">
        <v>1637</v>
      </c>
      <c r="C5" s="165" t="s">
        <v>1638</v>
      </c>
      <c r="D5" s="164" t="s">
        <v>1639</v>
      </c>
      <c r="E5" s="164" t="s">
        <v>1640</v>
      </c>
      <c r="F5" s="164" t="s">
        <v>1641</v>
      </c>
      <c r="G5" s="164" t="s">
        <v>1642</v>
      </c>
      <c r="H5" s="165" t="s">
        <v>1643</v>
      </c>
      <c r="I5" s="165" t="s">
        <v>135</v>
      </c>
      <c r="J5" s="165" t="s">
        <v>1644</v>
      </c>
    </row>
    <row r="6" spans="2:12" ht="27">
      <c r="B6" s="166" cm="1">
        <f t="array" ref="B6" xml:space="preserve"> ROW() - ROW($5:$5)</f>
        <v>1</v>
      </c>
      <c r="C6" s="167" t="s">
        <v>1645</v>
      </c>
      <c r="D6" s="168" t="s">
        <v>212</v>
      </c>
      <c r="E6" s="169">
        <f xml:space="preserve"> IF($D6="", "", MATCH(D6, 十五音韻母清單!$H$6:$H$105,0))</f>
        <v>14</v>
      </c>
      <c r="F6" s="169" cm="1">
        <f t="array" ref="F6" xml:space="preserve"> IF($D6="", "", INDEX(十五音韻母清單!$B$6:$K$105, $E6, F$2))</f>
        <v>7</v>
      </c>
      <c r="G6" s="172" t="str" cm="1">
        <f t="array" ref="G6" xml:space="preserve"> IF($D6="", "",  INDEX(十五音韻母清單!$B$6:$K$105, $E6, G$2))</f>
        <v>ok</v>
      </c>
      <c r="H6" s="169" t="str" cm="1">
        <f t="array" ref="H6" xml:space="preserve"> IF($D6="", "",  INDEX(十五音韻母清單!$B$6:$K$105, $E6, H$2))</f>
        <v>ㆦㆻ</v>
      </c>
      <c r="I6" s="169" t="str" cm="1">
        <f t="array" ref="I6" xml:space="preserve"> IF($D6="", "", INDEX(十五音韻母清單!$B$6:$K$105, $E6, I$2))</f>
        <v>公</v>
      </c>
      <c r="J6" s="169" t="str" cm="1">
        <f t="array" ref="J6" xml:space="preserve"> IF($D6="", "",  INDEX(十五音韻母清單!$B$6:$K$105, $E6, J$2))</f>
        <v>入聲</v>
      </c>
      <c r="L6" t="str">
        <f xml:space="preserve"> ".replace('" &amp; C6 &amp; "', '" &amp; D6 &amp; "') \"</f>
        <v>.replace('ㄛㄍ', 'ok') \</v>
      </c>
    </row>
    <row r="7" spans="2:12" ht="27">
      <c r="B7" s="166" cm="1">
        <f t="array" ref="B7" xml:space="preserve"> ROW() - ROW($5:$5)</f>
        <v>2</v>
      </c>
      <c r="C7" s="167" t="s">
        <v>1646</v>
      </c>
      <c r="D7" s="168" t="s">
        <v>1647</v>
      </c>
      <c r="E7" s="169">
        <f xml:space="preserve"> IF($D7="", "", MATCH(D7, 十五音韻母清單!$H$6:$H$105,0))</f>
        <v>13</v>
      </c>
      <c r="F7" s="169" cm="1">
        <f t="array" ref="F7" xml:space="preserve"> IF($D7="", "", INDEX(十五音韻母清單!$B$6:$K$105, $E7, F$2))</f>
        <v>7</v>
      </c>
      <c r="G7" s="172" t="str" cm="1">
        <f t="array" ref="G7" xml:space="preserve"> IF($D7="", "",  INDEX(十五音韻母清單!$B$6:$K$105, $E7, G$2))</f>
        <v>ong</v>
      </c>
      <c r="H7" s="169" t="str" cm="1">
        <f t="array" ref="H7" xml:space="preserve"> IF($D7="", "",  INDEX(十五音韻母清單!$B$6:$K$105, $E7, H$2))</f>
        <v>ㆲ</v>
      </c>
      <c r="I7" s="169" t="str" cm="1">
        <f t="array" ref="I7" xml:space="preserve"> IF($D7="", "", INDEX(十五音韻母清單!$B$6:$K$105, $E7, I$2))</f>
        <v>公</v>
      </c>
      <c r="J7" s="169" t="str" cm="1">
        <f t="array" ref="J7" xml:space="preserve"> IF($D7="", "",  INDEX(十五音韻母清單!$B$6:$K$105, $E7, J$2))</f>
        <v>舒聲</v>
      </c>
      <c r="L7" t="str">
        <f t="shared" ref="L7:L16" si="0" xml:space="preserve"> ".replace('" &amp; C7 &amp; "', '" &amp; D7 &amp; "') \"</f>
        <v>.replace('ㄛㄥ', 'ong') \</v>
      </c>
    </row>
    <row r="8" spans="2:12" ht="27">
      <c r="B8" s="166" cm="1">
        <f t="array" ref="B8" xml:space="preserve"> ROW() - ROW($5:$5)</f>
        <v>3</v>
      </c>
      <c r="C8" s="167" t="s">
        <v>1648</v>
      </c>
      <c r="D8" s="168" t="s">
        <v>1649</v>
      </c>
      <c r="E8" s="169">
        <f xml:space="preserve"> IF($D8="", "", MATCH(D8, 十五音韻母清單!$H$6:$H$105,0))</f>
        <v>11</v>
      </c>
      <c r="F8" s="169" cm="1">
        <f t="array" ref="F8" xml:space="preserve"> IF($D8="", "", INDEX(十五音韻母清單!$B$6:$K$105, $E8, F$2))</f>
        <v>6</v>
      </c>
      <c r="G8" s="172" t="str" cm="1">
        <f t="array" ref="G8" xml:space="preserve"> IF($D8="", "",  INDEX(十五音韻母清單!$B$6:$K$105, $E8, G$2))</f>
        <v>an</v>
      </c>
      <c r="H8" s="169" t="str" cm="1">
        <f t="array" ref="H8" xml:space="preserve"> IF($D8="", "",  INDEX(十五音韻母清單!$B$6:$K$105, $E8, H$2))</f>
        <v>ㄢ</v>
      </c>
      <c r="I8" s="169" t="str" cm="1">
        <f t="array" ref="I8" xml:space="preserve"> IF($D8="", "", INDEX(十五音韻母清單!$B$6:$K$105, $E8, I$2))</f>
        <v>干</v>
      </c>
      <c r="J8" s="169" t="str" cm="1">
        <f t="array" ref="J8" xml:space="preserve"> IF($D8="", "",  INDEX(十五音韻母清單!$B$6:$K$105, $E8, J$2))</f>
        <v>舒聲</v>
      </c>
      <c r="L8" t="str">
        <f t="shared" si="0"/>
        <v>.replace('ㆤㄣ', 'an') \</v>
      </c>
    </row>
    <row r="9" spans="2:12" ht="27">
      <c r="B9" s="166" cm="1">
        <f t="array" ref="B9" xml:space="preserve"> ROW() - ROW($5:$5)</f>
        <v>4</v>
      </c>
      <c r="C9" s="167" t="s">
        <v>1650</v>
      </c>
      <c r="D9" s="168" t="s">
        <v>290</v>
      </c>
      <c r="E9" s="169">
        <f xml:space="preserve"> IF($D9="", "", MATCH(D9, 十五音韻母清單!$H$6:$H$105,0))</f>
        <v>28</v>
      </c>
      <c r="F9" s="169" cm="1">
        <f t="array" ref="F9" xml:space="preserve"> IF($D9="", "", INDEX(十五音韻母清單!$B$6:$K$105, $E9, F$2))</f>
        <v>14</v>
      </c>
      <c r="G9" s="172" t="str" cm="1">
        <f t="array" ref="G9" xml:space="preserve"> IF($D9="", "",  INDEX(十五音韻母清單!$B$6:$K$105, $E9, G$2))</f>
        <v>iok</v>
      </c>
      <c r="H9" s="169" t="str" cm="1">
        <f t="array" ref="H9" xml:space="preserve"> IF($D9="", "",  INDEX(十五音韻母清單!$B$6:$K$105, $E9, H$2))</f>
        <v>ㄧㆦㆻ</v>
      </c>
      <c r="I9" s="169" t="str" cm="1">
        <f t="array" ref="I9" xml:space="preserve"> IF($D9="", "", INDEX(十五音韻母清單!$B$6:$K$105, $E9, I$2))</f>
        <v>恭</v>
      </c>
      <c r="J9" s="169" t="str" cm="1">
        <f t="array" ref="J9" xml:space="preserve"> IF($D9="", "",  INDEX(十五音韻母清單!$B$6:$K$105, $E9, J$2))</f>
        <v>入聲</v>
      </c>
      <c r="L9" t="str">
        <f t="shared" si="0"/>
        <v>.replace('ㄧㄛㄍ', 'iok') \</v>
      </c>
    </row>
    <row r="10" spans="2:12" ht="27">
      <c r="B10" s="166" cm="1">
        <f t="array" ref="B10" xml:space="preserve"> ROW() - ROW($5:$5)</f>
        <v>5</v>
      </c>
      <c r="C10" s="167" t="s">
        <v>1651</v>
      </c>
      <c r="D10" s="168" t="s">
        <v>163</v>
      </c>
      <c r="E10" s="169">
        <f xml:space="preserve"> IF($D10="", "", MATCH(D10, 十五音韻母清單!$H$6:$H$105,0))</f>
        <v>4</v>
      </c>
      <c r="F10" s="169" cm="1">
        <f t="array" ref="F10" xml:space="preserve"> IF($D10="", "", INDEX(十五音韻母清單!$B$6:$K$105, $E10, F$2))</f>
        <v>2</v>
      </c>
      <c r="G10" s="172" t="str" cm="1">
        <f t="array" ref="G10" xml:space="preserve"> IF($D10="", "",  INDEX(十五音韻母清單!$B$6:$K$105, $E10, G$2))</f>
        <v>iat</v>
      </c>
      <c r="H10" s="169" t="str" cm="1">
        <f t="array" ref="H10" xml:space="preserve"> IF($D10="", "",  INDEX(十五音韻母清單!$B$6:$K$105, $E10, H$2))</f>
        <v>ㄧㄚㆵ</v>
      </c>
      <c r="I10" s="169" t="str" cm="1">
        <f t="array" ref="I10" xml:space="preserve"> IF($D10="", "", INDEX(十五音韻母清單!$B$6:$K$105, $E10, I$2))</f>
        <v>堅</v>
      </c>
      <c r="J10" s="169" t="str" cm="1">
        <f t="array" ref="J10" xml:space="preserve"> IF($D10="", "",  INDEX(十五音韻母清單!$B$6:$K$105, $E10, J$2))</f>
        <v>入聲</v>
      </c>
      <c r="L10" t="str">
        <f t="shared" si="0"/>
        <v>.replace('ㄧㆤㄉ', 'iat') \</v>
      </c>
    </row>
    <row r="11" spans="2:12" ht="27">
      <c r="B11" s="166" cm="1">
        <f t="array" ref="B11" xml:space="preserve"> ROW() - ROW($5:$5)</f>
        <v>6</v>
      </c>
      <c r="C11" s="167" t="s">
        <v>1652</v>
      </c>
      <c r="D11" s="168" t="s">
        <v>1653</v>
      </c>
      <c r="E11" s="169">
        <f xml:space="preserve"> IF($D11="", "", MATCH(D11, 十五音韻母清單!$H$6:$H$105,0))</f>
        <v>18</v>
      </c>
      <c r="F11" s="169" cm="1">
        <f t="array" ref="F11" xml:space="preserve"> IF($D11="", "", INDEX(十五音韻母清單!$B$6:$K$105, $E11, F$2))</f>
        <v>9</v>
      </c>
      <c r="G11" s="172" t="str" cm="1">
        <f t="array" ref="G11" xml:space="preserve"> IF($D11="", "",  INDEX(十五音韻母清單!$B$6:$K$105, $E11, G$2))</f>
        <v>ik</v>
      </c>
      <c r="H11" s="169" t="str" cm="1">
        <f t="array" ref="H11" xml:space="preserve"> IF($D11="", "",  INDEX(十五音韻母清單!$B$6:$K$105, $E11, H$2))</f>
        <v>ㄧㆻ</v>
      </c>
      <c r="I11" s="169" t="str" cm="1">
        <f t="array" ref="I11" xml:space="preserve"> IF($D11="", "", INDEX(十五音韻母清單!$B$6:$K$105, $E11, I$2))</f>
        <v>經</v>
      </c>
      <c r="J11" s="169" t="str" cm="1">
        <f t="array" ref="J11" xml:space="preserve"> IF($D11="", "",  INDEX(十五音韻母清單!$B$6:$K$105, $E11, J$2))</f>
        <v>入聲</v>
      </c>
      <c r="L11" t="str">
        <f t="shared" si="0"/>
        <v>.replace('ㄧㆤㄍ', 'ek') \</v>
      </c>
    </row>
    <row r="12" spans="2:12" ht="27">
      <c r="B12" s="166" cm="1">
        <f t="array" ref="B12" xml:space="preserve"> ROW() - ROW($5:$5)</f>
        <v>7</v>
      </c>
      <c r="C12" s="167" t="s">
        <v>1654</v>
      </c>
      <c r="D12" s="168" t="s">
        <v>1655</v>
      </c>
      <c r="E12" s="169">
        <f xml:space="preserve"> IF($D12="", "", MATCH(D12, 十五音韻母清單!$H$6:$H$105,0))</f>
        <v>17</v>
      </c>
      <c r="F12" s="169" cm="1">
        <f t="array" ref="F12" xml:space="preserve"> IF($D12="", "", INDEX(十五音韻母清單!$B$6:$K$105, $E12, F$2))</f>
        <v>9</v>
      </c>
      <c r="G12" s="172" t="str" cm="1">
        <f t="array" ref="G12" xml:space="preserve"> IF($D12="", "",  INDEX(十五音韻母清單!$B$6:$K$105, $E12, G$2))</f>
        <v>ing</v>
      </c>
      <c r="H12" s="169" t="str" cm="1">
        <f t="array" ref="H12" xml:space="preserve"> IF($D12="", "",  INDEX(十五音韻母清單!$B$6:$K$105, $E12, H$2))</f>
        <v>ㄧㄥ</v>
      </c>
      <c r="I12" s="169" t="str" cm="1">
        <f t="array" ref="I12" xml:space="preserve"> IF($D12="", "", INDEX(十五音韻母清單!$B$6:$K$105, $E12, I$2))</f>
        <v>經</v>
      </c>
      <c r="J12" s="169" t="str" cm="1">
        <f t="array" ref="J12" xml:space="preserve"> IF($D12="", "",  INDEX(十五音韻母清單!$B$6:$K$105, $E12, J$2))</f>
        <v>舒聲</v>
      </c>
      <c r="L12" t="str">
        <f t="shared" si="0"/>
        <v>.replace('ㄧㆤㄥ', 'eng') \</v>
      </c>
    </row>
    <row r="13" spans="2:12" ht="27">
      <c r="B13" s="166" cm="1">
        <f t="array" ref="B13" xml:space="preserve"> ROW() - ROW($5:$5)</f>
        <v>8</v>
      </c>
      <c r="C13" s="167" t="s">
        <v>345</v>
      </c>
      <c r="D13" s="168" t="s">
        <v>343</v>
      </c>
      <c r="E13" s="169">
        <f xml:space="preserve"> IF($D13="", "", MATCH(D13, 十五音韻母清單!$H$6:$H$105,0))</f>
        <v>39</v>
      </c>
      <c r="F13" s="169" cm="1">
        <f t="array" ref="F13" xml:space="preserve"> IF($D13="", "", INDEX(十五音韻母清單!$B$6:$K$105, $E13, F$2))</f>
        <v>20</v>
      </c>
      <c r="G13" s="172" t="str" cm="1">
        <f t="array" ref="G13" xml:space="preserve"> IF($D13="", "",  INDEX(十五音韻母清單!$B$6:$K$105, $E13, G$2))</f>
        <v>ua</v>
      </c>
      <c r="H13" s="169" t="str" cm="1">
        <f t="array" ref="H13" xml:space="preserve"> IF($D13="", "",  INDEX(十五音韻母清單!$B$6:$K$105, $E13, H$2))</f>
        <v>ㄨㄚ</v>
      </c>
      <c r="I13" s="169" t="str" cm="1">
        <f t="array" ref="I13" xml:space="preserve"> IF($D13="", "", INDEX(十五音韻母清單!$B$6:$K$105, $E13, I$2))</f>
        <v>瓜</v>
      </c>
      <c r="J13" s="169" t="str" cm="1">
        <f t="array" ref="J13" xml:space="preserve"> IF($D13="", "",  INDEX(十五音韻母清單!$B$6:$K$105, $E13, J$2))</f>
        <v>舒聲</v>
      </c>
      <c r="L13" t="str">
        <f t="shared" si="0"/>
        <v>.replace('ㄨㄚ', 'oa') \</v>
      </c>
    </row>
    <row r="14" spans="2:12" ht="27">
      <c r="B14" s="166" cm="1">
        <f t="array" ref="B14" xml:space="preserve"> ROW() - ROW($5:$5)</f>
        <v>9</v>
      </c>
      <c r="C14" s="167" t="s">
        <v>1656</v>
      </c>
      <c r="D14" s="168" t="s">
        <v>245</v>
      </c>
      <c r="E14" s="169">
        <f xml:space="preserve"> IF($D14="", "", MATCH(D14, 十五音韻母清單!$H$6:$H$105,0))</f>
        <v>20</v>
      </c>
      <c r="F14" s="169" cm="1">
        <f t="array" ref="F14" xml:space="preserve"> IF($D14="", "", INDEX(十五音韻母清單!$B$6:$K$105, $E14, F$2))</f>
        <v>10</v>
      </c>
      <c r="G14" s="172" t="str" cm="1">
        <f t="array" ref="G14" xml:space="preserve"> IF($D14="", "",  INDEX(十五音韻母清單!$B$6:$K$105, $E14, G$2))</f>
        <v>uat</v>
      </c>
      <c r="H14" s="169" t="str" cm="1">
        <f t="array" ref="H14" xml:space="preserve"> IF($D14="", "",  INDEX(十五音韻母清單!$B$6:$K$105, $E14, H$2))</f>
        <v>ㄨㄚㆵ</v>
      </c>
      <c r="I14" s="169" t="str" cm="1">
        <f t="array" ref="I14" xml:space="preserve"> IF($D14="", "", INDEX(十五音韻母清單!$B$6:$K$105, $E14, I$2))</f>
        <v>觀</v>
      </c>
      <c r="J14" s="169" t="str" cm="1">
        <f t="array" ref="J14" xml:space="preserve"> IF($D14="", "",  INDEX(十五音韻母清單!$B$6:$K$105, $E14, J$2))</f>
        <v>入聲</v>
      </c>
      <c r="L14" t="str">
        <f t="shared" si="0"/>
        <v>.replace('ㄨㄚㄉ', 'oat') \</v>
      </c>
    </row>
    <row r="15" spans="2:12" ht="27">
      <c r="B15" s="166" cm="1">
        <f t="array" ref="B15" xml:space="preserve"> ROW() - ROW($5:$5)</f>
        <v>10</v>
      </c>
      <c r="C15" s="167" t="s">
        <v>393</v>
      </c>
      <c r="D15" s="168" t="s">
        <v>1657</v>
      </c>
      <c r="E15" s="169">
        <f xml:space="preserve"> IF($D15="", "", MATCH(D15, 十五音韻母清單!$H$6:$H$105,0))</f>
        <v>49</v>
      </c>
      <c r="F15" s="169" cm="1">
        <f t="array" ref="F15" xml:space="preserve"> IF($D15="", "", INDEX(十五音韻母清單!$B$6:$K$105, $E15, F$2))</f>
        <v>25</v>
      </c>
      <c r="G15" s="172" t="str" cm="1">
        <f t="array" ref="G15" xml:space="preserve"> IF($D15="", "",  INDEX(十五音韻母清單!$B$6:$K$105, $E15, G$2))</f>
        <v>ue</v>
      </c>
      <c r="H15" s="169" t="str" cm="1">
        <f t="array" ref="H15" xml:space="preserve"> IF($D15="", "",  INDEX(十五音韻母清單!$B$6:$K$105, $E15, H$2))</f>
        <v>ㄨㆤ</v>
      </c>
      <c r="I15" s="169" t="str" cm="1">
        <f t="array" ref="I15" xml:space="preserve"> IF($D15="", "", INDEX(十五音韻母清單!$B$6:$K$105, $E15, I$2))</f>
        <v>檜</v>
      </c>
      <c r="J15" s="169" t="str" cm="1">
        <f t="array" ref="J15" xml:space="preserve"> IF($D15="", "",  INDEX(十五音韻母清單!$B$6:$K$105, $E15, J$2))</f>
        <v>舒聲</v>
      </c>
      <c r="L15" t="str">
        <f t="shared" si="0"/>
        <v>.replace('ㄨㆤ', 'oe') \</v>
      </c>
    </row>
    <row r="16" spans="2:12" ht="27">
      <c r="B16" s="166" cm="1">
        <f t="array" ref="B16" xml:space="preserve"> ROW() - ROW($5:$5)</f>
        <v>11</v>
      </c>
      <c r="C16" s="167" t="s">
        <v>246</v>
      </c>
      <c r="D16" s="168" t="s">
        <v>244</v>
      </c>
      <c r="E16" s="169">
        <f xml:space="preserve"> IF($D16="", "", MATCH(D16, 十五音韻母清單!$H$6:$H$105,0))</f>
        <v>19</v>
      </c>
      <c r="F16" s="169" cm="1">
        <f t="array" ref="F16" xml:space="preserve"> IF($D16="", "", INDEX(十五音韻母清單!$B$6:$K$105, $E16, F$2))</f>
        <v>10</v>
      </c>
      <c r="G16" s="172" t="str" cm="1">
        <f t="array" ref="G16" xml:space="preserve"> IF($D16="", "",  INDEX(十五音韻母清單!$B$6:$K$105, $E16, G$2))</f>
        <v>uan</v>
      </c>
      <c r="H16" s="169" t="str" cm="1">
        <f t="array" ref="H16" xml:space="preserve"> IF($D16="", "",  INDEX(十五音韻母清單!$B$6:$K$105, $E16, H$2))</f>
        <v>ㄨㄢ</v>
      </c>
      <c r="I16" s="169" t="str" cm="1">
        <f t="array" ref="I16" xml:space="preserve"> IF($D16="", "", INDEX(十五音韻母清單!$B$6:$K$105, $E16, I$2))</f>
        <v>觀</v>
      </c>
      <c r="J16" s="169" t="str" cm="1">
        <f t="array" ref="J16" xml:space="preserve"> IF($D16="", "",  INDEX(十五音韻母清單!$B$6:$K$105, $E16, J$2))</f>
        <v>舒聲</v>
      </c>
      <c r="L16" t="str">
        <f t="shared" si="0"/>
        <v>.replace('ㄨㄢ', 'oan') \</v>
      </c>
    </row>
    <row r="17" spans="2:10" ht="27">
      <c r="B17" s="166" cm="1">
        <f t="array" ref="B17" xml:space="preserve"> ROW() - ROW($5:$5)</f>
        <v>12</v>
      </c>
      <c r="C17" s="167"/>
      <c r="D17" s="168"/>
      <c r="E17" s="169" t="str">
        <f xml:space="preserve"> IF($D17="", "", MATCH(D17, 十五音韻母清單!$H$6:$H$105,0))</f>
        <v/>
      </c>
      <c r="F17" s="169" t="str" cm="1">
        <f t="array" ref="F17" xml:space="preserve"> IF($D17="", "", INDEX(十五音韻母清單!$B$6:$K$105, $E17, F$2))</f>
        <v/>
      </c>
      <c r="G17" s="172" t="str" cm="1">
        <f t="array" ref="G17" xml:space="preserve"> IF($D17="", "",  INDEX(十五音韻母清單!$B$6:$K$105, $E17, G$2))</f>
        <v/>
      </c>
      <c r="H17" s="169" t="str" cm="1">
        <f t="array" ref="H17" xml:space="preserve"> IF($D17="", "",  INDEX(十五音韻母清單!$B$6:$K$105, $E17, H$2))</f>
        <v/>
      </c>
      <c r="I17" s="169" t="str" cm="1">
        <f t="array" ref="I17" xml:space="preserve"> IF($D17="", "", INDEX(十五音韻母清單!$B$6:$K$105, $E17, I$2))</f>
        <v/>
      </c>
      <c r="J17" s="169" t="str" cm="1">
        <f t="array" ref="J17" xml:space="preserve"> IF($D17="", "",  INDEX(十五音韻母清單!$B$6:$K$105, $E17, J$2))</f>
        <v/>
      </c>
    </row>
    <row r="18" spans="2:10" ht="27">
      <c r="B18" s="166" cm="1">
        <f t="array" ref="B18" xml:space="preserve"> ROW() - ROW($5:$5)</f>
        <v>13</v>
      </c>
      <c r="C18" s="167"/>
      <c r="D18" s="168"/>
      <c r="E18" s="169" t="str">
        <f xml:space="preserve"> IF($D18="", "", MATCH(D18, 十五音韻母清單!$H$6:$H$105,0))</f>
        <v/>
      </c>
      <c r="F18" s="169" t="str" cm="1">
        <f t="array" ref="F18" xml:space="preserve"> IF($D18="", "", INDEX(十五音韻母清單!$B$6:$K$105, $E18, F$2))</f>
        <v/>
      </c>
      <c r="G18" s="172" t="str" cm="1">
        <f t="array" ref="G18" xml:space="preserve"> IF($D18="", "",  INDEX(十五音韻母清單!$B$6:$K$105, $E18, G$2))</f>
        <v/>
      </c>
      <c r="H18" s="169" t="str" cm="1">
        <f t="array" ref="H18" xml:space="preserve"> IF($D18="", "",  INDEX(十五音韻母清單!$B$6:$K$105, $E18, H$2))</f>
        <v/>
      </c>
      <c r="I18" s="169" t="str" cm="1">
        <f t="array" ref="I18" xml:space="preserve"> IF($D18="", "", INDEX(十五音韻母清單!$B$6:$K$105, $E18, I$2))</f>
        <v/>
      </c>
      <c r="J18" s="169" t="str" cm="1">
        <f t="array" ref="J18" xml:space="preserve"> IF($D18="", "",  INDEX(十五音韻母清單!$B$6:$K$105, $E18, J$2))</f>
        <v/>
      </c>
    </row>
    <row r="19" spans="2:10" ht="27">
      <c r="B19" s="166" cm="1">
        <f t="array" ref="B19" xml:space="preserve"> ROW() - ROW($5:$5)</f>
        <v>14</v>
      </c>
      <c r="C19" s="167"/>
      <c r="D19" s="168"/>
      <c r="E19" s="169" t="str">
        <f xml:space="preserve"> IF($D19="", "", MATCH(D19, 十五音韻母清單!$H$6:$H$105,0))</f>
        <v/>
      </c>
      <c r="F19" s="169" t="str" cm="1">
        <f t="array" ref="F19" xml:space="preserve"> IF($D19="", "", INDEX(十五音韻母清單!$B$6:$K$105, $E19, F$2))</f>
        <v/>
      </c>
      <c r="G19" s="172" t="str" cm="1">
        <f t="array" ref="G19" xml:space="preserve"> IF($D19="", "",  INDEX(十五音韻母清單!$B$6:$K$105, $E19, G$2))</f>
        <v/>
      </c>
      <c r="H19" s="169" t="str" cm="1">
        <f t="array" ref="H19" xml:space="preserve"> IF($D19="", "",  INDEX(十五音韻母清單!$B$6:$K$105, $E19, H$2))</f>
        <v/>
      </c>
      <c r="I19" s="169" t="str" cm="1">
        <f t="array" ref="I19" xml:space="preserve"> IF($D19="", "", INDEX(十五音韻母清單!$B$6:$K$105, $E19, I$2))</f>
        <v/>
      </c>
      <c r="J19" s="169" t="str" cm="1">
        <f t="array" ref="J19" xml:space="preserve"> IF($D19="", "",  INDEX(十五音韻母清單!$B$6:$K$105, $E19, J$2))</f>
        <v/>
      </c>
    </row>
    <row r="20" spans="2:10" ht="27">
      <c r="B20" s="166" cm="1">
        <f t="array" ref="B20" xml:space="preserve"> ROW() - ROW($5:$5)</f>
        <v>15</v>
      </c>
      <c r="C20" s="167"/>
      <c r="D20" s="168"/>
      <c r="E20" s="169" t="str">
        <f xml:space="preserve"> IF($D20="", "", MATCH(D20, 十五音韻母清單!$H$6:$H$105,0))</f>
        <v/>
      </c>
      <c r="F20" s="169" t="str" cm="1">
        <f t="array" ref="F20" xml:space="preserve"> IF($D20="", "", INDEX(十五音韻母清單!$B$6:$K$105, $E20, F$2))</f>
        <v/>
      </c>
      <c r="G20" s="172" t="str" cm="1">
        <f t="array" ref="G20" xml:space="preserve"> IF($D20="", "",  INDEX(十五音韻母清單!$B$6:$K$105, $E20, G$2))</f>
        <v/>
      </c>
      <c r="H20" s="169" t="str" cm="1">
        <f t="array" ref="H20" xml:space="preserve"> IF($D20="", "",  INDEX(十五音韻母清單!$B$6:$K$105, $E20, H$2))</f>
        <v/>
      </c>
      <c r="I20" s="169" t="str" cm="1">
        <f t="array" ref="I20" xml:space="preserve"> IF($D20="", "", INDEX(十五音韻母清單!$B$6:$K$105, $E20, I$2))</f>
        <v/>
      </c>
      <c r="J20" s="169" t="str" cm="1">
        <f t="array" ref="J20" xml:space="preserve"> IF($D20="", "",  INDEX(十五音韻母清單!$B$6:$K$105, $E20, J$2))</f>
        <v/>
      </c>
    </row>
    <row r="21" spans="2:10" ht="27">
      <c r="B21" s="166" cm="1">
        <f t="array" ref="B21" xml:space="preserve"> ROW() - ROW($5:$5)</f>
        <v>16</v>
      </c>
      <c r="C21" s="167"/>
      <c r="D21" s="168"/>
      <c r="E21" s="169" t="str">
        <f xml:space="preserve"> IF($D21="", "", MATCH(D21, 十五音韻母清單!$H$6:$H$105,0))</f>
        <v/>
      </c>
      <c r="F21" s="169" t="str" cm="1">
        <f t="array" ref="F21" xml:space="preserve"> IF($D21="", "", INDEX(十五音韻母清單!$B$6:$K$105, $E21, F$2))</f>
        <v/>
      </c>
      <c r="G21" s="172" t="str" cm="1">
        <f t="array" ref="G21" xml:space="preserve"> IF($D21="", "",  INDEX(十五音韻母清單!$B$6:$K$105, $E21, G$2))</f>
        <v/>
      </c>
      <c r="H21" s="169" t="str" cm="1">
        <f t="array" ref="H21" xml:space="preserve"> IF($D21="", "",  INDEX(十五音韻母清單!$B$6:$K$105, $E21, H$2))</f>
        <v/>
      </c>
      <c r="I21" s="169" t="str" cm="1">
        <f t="array" ref="I21" xml:space="preserve"> IF($D21="", "", INDEX(十五音韻母清單!$B$6:$K$105, $E21, I$2))</f>
        <v/>
      </c>
      <c r="J21" s="169" t="str" cm="1">
        <f t="array" ref="J21" xml:space="preserve"> IF($D21="", "",  INDEX(十五音韻母清單!$B$6:$K$105, $E21, J$2))</f>
        <v/>
      </c>
    </row>
    <row r="22" spans="2:10" ht="27">
      <c r="B22" s="166" cm="1">
        <f t="array" ref="B22" xml:space="preserve"> ROW() - ROW($5:$5)</f>
        <v>17</v>
      </c>
      <c r="C22" s="167"/>
      <c r="D22" s="168"/>
      <c r="E22" s="169" t="str">
        <f xml:space="preserve"> IF($D22="", "", MATCH(D22, 十五音韻母清單!$H$6:$H$105,0))</f>
        <v/>
      </c>
      <c r="F22" s="169" t="str" cm="1">
        <f t="array" ref="F22" xml:space="preserve"> IF($D22="", "", INDEX(十五音韻母清單!$B$6:$K$105, $E22, F$2))</f>
        <v/>
      </c>
      <c r="G22" s="172" t="str" cm="1">
        <f t="array" ref="G22" xml:space="preserve"> IF($D22="", "",  INDEX(十五音韻母清單!$B$6:$K$105, $E22, G$2))</f>
        <v/>
      </c>
      <c r="H22" s="169" t="str" cm="1">
        <f t="array" ref="H22" xml:space="preserve"> IF($D22="", "",  INDEX(十五音韻母清單!$B$6:$K$105, $E22, H$2))</f>
        <v/>
      </c>
      <c r="I22" s="169" t="str" cm="1">
        <f t="array" ref="I22" xml:space="preserve"> IF($D22="", "", INDEX(十五音韻母清單!$B$6:$K$105, $E22, I$2))</f>
        <v/>
      </c>
      <c r="J22" s="169" t="str" cm="1">
        <f t="array" ref="J22" xml:space="preserve"> IF($D22="", "",  INDEX(十五音韻母清單!$B$6:$K$105, $E22, J$2))</f>
        <v/>
      </c>
    </row>
    <row r="23" spans="2:10" ht="27">
      <c r="B23" s="166" cm="1">
        <f t="array" ref="B23" xml:space="preserve"> ROW() - ROW($5:$5)</f>
        <v>18</v>
      </c>
      <c r="C23" s="167"/>
      <c r="D23" s="168"/>
      <c r="E23" s="169" t="str">
        <f xml:space="preserve"> IF($D23="", "", MATCH(D23, 十五音韻母清單!$H$6:$H$105,0))</f>
        <v/>
      </c>
      <c r="F23" s="169" t="str" cm="1">
        <f t="array" ref="F23" xml:space="preserve"> IF($D23="", "", INDEX(十五音韻母清單!$B$6:$K$105, $E23, F$2))</f>
        <v/>
      </c>
      <c r="G23" s="172" t="str" cm="1">
        <f t="array" ref="G23" xml:space="preserve"> IF($D23="", "",  INDEX(十五音韻母清單!$B$6:$K$105, $E23, G$2))</f>
        <v/>
      </c>
      <c r="H23" s="169" t="str" cm="1">
        <f t="array" ref="H23" xml:space="preserve"> IF($D23="", "",  INDEX(十五音韻母清單!$B$6:$K$105, $E23, H$2))</f>
        <v/>
      </c>
      <c r="I23" s="169" t="str" cm="1">
        <f t="array" ref="I23" xml:space="preserve"> IF($D23="", "", INDEX(十五音韻母清單!$B$6:$K$105, $E23, I$2))</f>
        <v/>
      </c>
      <c r="J23" s="169" t="str" cm="1">
        <f t="array" ref="J23" xml:space="preserve"> IF($D23="", "",  INDEX(十五音韻母清單!$B$6:$K$105, $E23, J$2))</f>
        <v/>
      </c>
    </row>
    <row r="24" spans="2:10" ht="27">
      <c r="B24" s="166" cm="1">
        <f t="array" ref="B24" xml:space="preserve"> ROW() - ROW($5:$5)</f>
        <v>19</v>
      </c>
      <c r="C24" s="167"/>
      <c r="D24" s="168"/>
      <c r="E24" s="169" t="str">
        <f xml:space="preserve"> IF($D24="", "", MATCH(D24, 十五音韻母清單!$H$6:$H$105,0))</f>
        <v/>
      </c>
      <c r="F24" s="169" t="str" cm="1">
        <f t="array" ref="F24" xml:space="preserve"> IF($D24="", "", INDEX(十五音韻母清單!$B$6:$K$105, $E24, F$2))</f>
        <v/>
      </c>
      <c r="G24" s="172" t="str" cm="1">
        <f t="array" ref="G24" xml:space="preserve"> IF($D24="", "",  INDEX(十五音韻母清單!$B$6:$K$105, $E24, G$2))</f>
        <v/>
      </c>
      <c r="H24" s="169" t="str" cm="1">
        <f t="array" ref="H24" xml:space="preserve"> IF($D24="", "",  INDEX(十五音韻母清單!$B$6:$K$105, $E24, H$2))</f>
        <v/>
      </c>
      <c r="I24" s="169" t="str" cm="1">
        <f t="array" ref="I24" xml:space="preserve"> IF($D24="", "", INDEX(十五音韻母清單!$B$6:$K$105, $E24, I$2))</f>
        <v/>
      </c>
      <c r="J24" s="169" t="str" cm="1">
        <f t="array" ref="J24" xml:space="preserve"> IF($D24="", "",  INDEX(十五音韻母清單!$B$6:$K$105, $E24, J$2))</f>
        <v/>
      </c>
    </row>
    <row r="25" spans="2:10" ht="27">
      <c r="B25" s="166" cm="1">
        <f t="array" ref="B25" xml:space="preserve"> ROW() - ROW($5:$5)</f>
        <v>20</v>
      </c>
      <c r="C25" s="167"/>
      <c r="D25" s="168"/>
      <c r="E25" s="169" t="str">
        <f xml:space="preserve"> IF($D25="", "", MATCH(D25, 十五音韻母清單!$H$6:$H$105,0))</f>
        <v/>
      </c>
      <c r="F25" s="169" t="str" cm="1">
        <f t="array" ref="F25" xml:space="preserve"> IF($D25="", "", INDEX(十五音韻母清單!$B$6:$K$105, $E25, F$2))</f>
        <v/>
      </c>
      <c r="G25" s="172" t="str" cm="1">
        <f t="array" ref="G25" xml:space="preserve"> IF($D25="", "",  INDEX(十五音韻母清單!$B$6:$K$105, $E25, G$2))</f>
        <v/>
      </c>
      <c r="H25" s="169" t="str" cm="1">
        <f t="array" ref="H25" xml:space="preserve"> IF($D25="", "",  INDEX(十五音韻母清單!$B$6:$K$105, $E25, H$2))</f>
        <v/>
      </c>
      <c r="I25" s="169" t="str" cm="1">
        <f t="array" ref="I25" xml:space="preserve"> IF($D25="", "", INDEX(十五音韻母清單!$B$6:$K$105, $E25, I$2))</f>
        <v/>
      </c>
      <c r="J25" s="169" t="str" cm="1">
        <f t="array" ref="J25" xml:space="preserve"> IF($D25="", "",  INDEX(十五音韻母清單!$B$6:$K$105, $E25, J$2))</f>
        <v/>
      </c>
    </row>
    <row r="26" spans="2:10" ht="27">
      <c r="B26" s="166" cm="1">
        <f t="array" ref="B26" xml:space="preserve"> ROW() - ROW($5:$5)</f>
        <v>21</v>
      </c>
      <c r="C26" s="167"/>
      <c r="D26" s="168"/>
      <c r="E26" s="169" t="str">
        <f xml:space="preserve"> IF($D26="", "", MATCH(D26, 十五音韻母清單!$H$6:$H$105,0))</f>
        <v/>
      </c>
      <c r="F26" s="169" t="str" cm="1">
        <f t="array" ref="F26" xml:space="preserve"> IF($D26="", "", INDEX(十五音韻母清單!$B$6:$K$105, $E26, F$2))</f>
        <v/>
      </c>
      <c r="G26" s="172" t="str" cm="1">
        <f t="array" ref="G26" xml:space="preserve"> IF($D26="", "",  INDEX(十五音韻母清單!$B$6:$K$105, $E26, G$2))</f>
        <v/>
      </c>
      <c r="H26" s="169" t="str" cm="1">
        <f t="array" ref="H26" xml:space="preserve"> IF($D26="", "",  INDEX(十五音韻母清單!$B$6:$K$105, $E26, H$2))</f>
        <v/>
      </c>
      <c r="I26" s="169" t="str" cm="1">
        <f t="array" ref="I26" xml:space="preserve"> IF($D26="", "", INDEX(十五音韻母清單!$B$6:$K$105, $E26, I$2))</f>
        <v/>
      </c>
      <c r="J26" s="169" t="str" cm="1">
        <f t="array" ref="J26" xml:space="preserve"> IF($D26="", "",  INDEX(十五音韻母清單!$B$6:$K$105, $E26, J$2))</f>
        <v/>
      </c>
    </row>
    <row r="27" spans="2:10" ht="27">
      <c r="E27" s="21" t="str">
        <f xml:space="preserve"> IF($D27="", "", MATCH(D27, 十五音韻母清單!$H$6:$H$105,0))</f>
        <v/>
      </c>
      <c r="F27" s="21" t="str" cm="1">
        <f t="array" ref="F27" xml:space="preserve"> IF($D27="", "", INDEX(十五音韻母清單!$B$6:$K$105, $E27, F$2))</f>
        <v/>
      </c>
      <c r="G27" s="23" t="str" cm="1">
        <f t="array" ref="G27" xml:space="preserve"> IF($D27="", "",  INDEX(十五音韻母清單!$B$6:$K$105, $E27, G$2))</f>
        <v/>
      </c>
      <c r="H27" s="21" t="str" cm="1">
        <f t="array" ref="H27" xml:space="preserve"> IF($D27="", "",  INDEX(十五音韻母清單!$B$6:$K$105, $E27, H$2))</f>
        <v/>
      </c>
      <c r="I27" s="21" t="str" cm="1">
        <f t="array" ref="I27" xml:space="preserve"> IF($D27="", "", INDEX(十五音韻母清單!$B$6:$K$105, $E27, I$2))</f>
        <v/>
      </c>
      <c r="J27" s="21" t="str" cm="1">
        <f t="array" ref="J27" xml:space="preserve"> IF($D27="", "",  INDEX(十五音韻母清單!$B$6:$K$105, $E27, J$2))</f>
        <v/>
      </c>
    </row>
    <row r="28" spans="2:10" ht="27">
      <c r="E28" s="21" t="str">
        <f xml:space="preserve"> IF($D28="", "", MATCH(D28, 十五音韻母清單!$H$6:$H$105,0))</f>
        <v/>
      </c>
      <c r="F28" s="21" t="str" cm="1">
        <f t="array" ref="F28" xml:space="preserve"> IF($D28="", "", INDEX(十五音韻母清單!$B$6:$K$105, $E28, F$2))</f>
        <v/>
      </c>
      <c r="G28" s="23" t="str" cm="1">
        <f t="array" ref="G28" xml:space="preserve"> IF($D28="", "",  INDEX(十五音韻母清單!$B$6:$K$105, $E28, G$2))</f>
        <v/>
      </c>
      <c r="H28" s="21" t="str" cm="1">
        <f t="array" ref="H28" xml:space="preserve"> IF($D28="", "",  INDEX(十五音韻母清單!$B$6:$K$105, $E28, H$2))</f>
        <v/>
      </c>
      <c r="I28" s="21" t="str" cm="1">
        <f t="array" ref="I28" xml:space="preserve"> IF($D28="", "", INDEX(十五音韻母清單!$B$6:$K$105, $E28, I$2))</f>
        <v/>
      </c>
      <c r="J28" s="21" t="str" cm="1">
        <f t="array" ref="J28" xml:space="preserve"> IF($D28="", "",  INDEX(十五音韻母清單!$B$6:$K$105, $E28, J$2))</f>
        <v/>
      </c>
    </row>
    <row r="29" spans="2:10" ht="27">
      <c r="E29" s="21" t="str">
        <f xml:space="preserve"> IF($D29="", "", MATCH(D29, 十五音韻母清單!$H$6:$H$105,0))</f>
        <v/>
      </c>
      <c r="F29" s="21" t="str" cm="1">
        <f t="array" ref="F29" xml:space="preserve"> IF($D29="", "", INDEX(十五音韻母清單!$B$6:$K$105, $E29, F$2))</f>
        <v/>
      </c>
      <c r="G29" s="23" t="str" cm="1">
        <f t="array" ref="G29" xml:space="preserve"> IF($D29="", "",  INDEX(十五音韻母清單!$B$6:$K$105, $E29, G$2))</f>
        <v/>
      </c>
      <c r="H29" s="21" t="str" cm="1">
        <f t="array" ref="H29" xml:space="preserve"> IF($D29="", "",  INDEX(十五音韻母清單!$B$6:$K$105, $E29, H$2))</f>
        <v/>
      </c>
      <c r="I29" s="21" t="str" cm="1">
        <f t="array" ref="I29" xml:space="preserve"> IF($D29="", "", INDEX(十五音韻母清單!$B$6:$K$105, $E29, I$2))</f>
        <v/>
      </c>
      <c r="J29" s="21" t="str" cm="1">
        <f t="array" ref="J29" xml:space="preserve"> IF($D29="", "",  INDEX(十五音韻母清單!$B$6:$K$105, $E29, J$2))</f>
        <v/>
      </c>
    </row>
  </sheetData>
  <sortState xmlns:xlrd2="http://schemas.microsoft.com/office/spreadsheetml/2017/richdata2" ref="B6:J29">
    <sortCondition ref="C16:C29" customList="ㄚ,ㆤ,ㄧ,ㆦ,ㄛ,ㄨ,ㄝ,ㄜ,ㆨ,ㄞ,ㄠ,ㆩ,ㆥ,ㆪ,ㆧ,ㆫ,ㆬ,ㆭ,ㆮ,ㆯ,ㆰ,ㄢ,ㄤ,ㆱ,ㆲ,ㄣ,ㄥ"/>
  </sortState>
  <phoneticPr fontId="1" type="noConversion"/>
  <conditionalFormatting sqref="B6:J26">
    <cfRule type="expression" dxfId="8" priority="1" stopIfTrue="1">
      <formula>$J6="入聲"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EB59-F0FB-B640-94EF-E1F358438FF6}">
  <sheetPr codeName="工作表11"/>
  <dimension ref="A1:M79"/>
  <sheetViews>
    <sheetView workbookViewId="0"/>
  </sheetViews>
  <sheetFormatPr baseColWidth="10" defaultColWidth="10.69921875" defaultRowHeight="22" outlineLevelRow="1" outlineLevelCol="1"/>
  <cols>
    <col min="1" max="1" width="2.69921875" style="96" customWidth="1" outlineLevel="1"/>
    <col min="2" max="2" width="10.69921875" style="24" customWidth="1" outlineLevel="1"/>
    <col min="3" max="4" width="12.09765625" style="6" customWidth="1" outlineLevel="1"/>
    <col min="5" max="5" width="2.69921875" style="96" customWidth="1"/>
    <col min="6" max="6" width="7.796875" style="6" bestFit="1" customWidth="1"/>
    <col min="7" max="7" width="12.09765625" style="24" customWidth="1"/>
    <col min="8" max="8" width="10.69921875" style="24"/>
    <col min="9" max="9" width="12.09765625" style="6" customWidth="1"/>
    <col min="10" max="13" width="10.69921875" style="24"/>
    <col min="14" max="16384" width="10.69921875" style="96"/>
  </cols>
  <sheetData>
    <row r="1" spans="2:13" outlineLevel="1">
      <c r="B1" s="102" cm="1">
        <f t="array" ref="B1">COLUMN()-COLUMN(($A:$A))</f>
        <v>1</v>
      </c>
      <c r="C1" s="102" cm="1">
        <f t="array" ref="C1">COLUMN()-COLUMN(($A:$A))</f>
        <v>2</v>
      </c>
      <c r="D1" s="102" cm="1">
        <f t="array" ref="D1">COLUMN()-COLUMN(($A:$A))</f>
        <v>3</v>
      </c>
      <c r="F1" s="102" cm="1">
        <f t="array" ref="F1">COLUMN()-COLUMN(($E:$E))</f>
        <v>1</v>
      </c>
      <c r="G1" s="102" cm="1">
        <f t="array" ref="G1">COLUMN()-COLUMN(($E:$E))</f>
        <v>2</v>
      </c>
      <c r="H1" s="102" cm="1">
        <f t="array" ref="H1">COLUMN()-COLUMN(($E:$E))</f>
        <v>3</v>
      </c>
      <c r="I1" s="102" cm="1">
        <f t="array" ref="I1">COLUMN()-COLUMN(($E:$E))</f>
        <v>4</v>
      </c>
      <c r="J1" s="102" cm="1">
        <f t="array" ref="J1">COLUMN()-COLUMN(($E:$E))</f>
        <v>5</v>
      </c>
      <c r="K1" s="102" cm="1">
        <f t="array" ref="K1">COLUMN()-COLUMN(($E:$E))</f>
        <v>6</v>
      </c>
      <c r="L1" s="102" cm="1">
        <f t="array" ref="L1">COLUMN()-COLUMN(($E:$E))</f>
        <v>7</v>
      </c>
      <c r="M1" s="102" cm="1">
        <f t="array" ref="M1">COLUMN()-COLUMN(($E:$E))</f>
        <v>8</v>
      </c>
    </row>
    <row r="2" spans="2:13" s="6" customFormat="1" ht="30" customHeight="1" outlineLevel="1">
      <c r="D2" s="103">
        <v>2</v>
      </c>
      <c r="G2" s="103">
        <v>5</v>
      </c>
      <c r="H2" s="103">
        <v>6</v>
      </c>
      <c r="I2" s="103">
        <v>3</v>
      </c>
      <c r="J2" s="103">
        <v>7</v>
      </c>
      <c r="K2" s="103">
        <v>8</v>
      </c>
      <c r="L2" s="103">
        <v>9</v>
      </c>
      <c r="M2" s="103">
        <v>10</v>
      </c>
    </row>
    <row r="3" spans="2:13">
      <c r="G3" s="86"/>
      <c r="H3" s="86"/>
      <c r="J3" s="57"/>
      <c r="K3" s="57"/>
      <c r="L3" s="57"/>
      <c r="M3" s="57"/>
    </row>
    <row r="4" spans="2:13" s="6" customFormat="1">
      <c r="B4" s="87" t="s">
        <v>694</v>
      </c>
      <c r="C4" s="87" t="s">
        <v>1892</v>
      </c>
      <c r="D4" s="87" t="s">
        <v>692</v>
      </c>
      <c r="F4" s="87" t="s">
        <v>693</v>
      </c>
      <c r="G4" s="87" t="s">
        <v>694</v>
      </c>
      <c r="H4" s="87" t="s">
        <v>695</v>
      </c>
      <c r="I4" s="87" t="s">
        <v>737</v>
      </c>
      <c r="J4" s="87" t="s">
        <v>738</v>
      </c>
      <c r="K4" s="87" t="s">
        <v>739</v>
      </c>
      <c r="L4" s="87" t="s">
        <v>740</v>
      </c>
      <c r="M4" s="87" t="s">
        <v>736</v>
      </c>
    </row>
    <row r="5" spans="2:13" ht="29">
      <c r="B5" s="22" t="s">
        <v>424</v>
      </c>
      <c r="C5" s="21">
        <f xml:space="preserve"> MATCH(B5, 十五音韻母清單!$I$6:$I$105,0)</f>
        <v>55</v>
      </c>
      <c r="D5" s="21" cm="1">
        <f t="array" ref="D5" xml:space="preserve"> INDEX(十五音韻母清單!$B$6:$K$105, $C5, D$2)</f>
        <v>28</v>
      </c>
      <c r="F5" s="21">
        <v>1</v>
      </c>
      <c r="G5" s="23" t="str" cm="1">
        <f t="array" ref="G5" xml:space="preserve"> INDEX(十五音韻母清單!$B$6:$K$105, $C5, G$2)</f>
        <v>a</v>
      </c>
      <c r="H5" s="23" t="str" cm="1">
        <f t="array" ref="H5" xml:space="preserve"> INDEX(十五音韻母清單!$B$6:$K$105, '韻母碼 (台羅)'!$C5,'韻母碼 (台羅)'!H$2)</f>
        <v>a</v>
      </c>
      <c r="I5" s="21" t="str" cm="1">
        <f t="array" ref="I5" xml:space="preserve"> INDEX(十五音韻母清單!$B$6:$K$105, $C5, I$2)</f>
        <v>膠</v>
      </c>
      <c r="J5" s="23" t="str" cm="1">
        <f t="array" ref="J5" xml:space="preserve"> INDEX(十五音韻母清單!$B$6:$K$105, '韻母碼 (台羅)'!$C5,'韻母碼 (台羅)'!J$2)</f>
        <v>a</v>
      </c>
      <c r="K5" s="23" t="str" cm="1">
        <f t="array" ref="K5" xml:space="preserve"> INDEX(十五音韻母清單!$B$6:$K$105, '韻母碼 (台羅)'!$C5,'韻母碼 (台羅)'!K$2)</f>
        <v>a</v>
      </c>
      <c r="L5" s="23" t="str" cm="1">
        <f t="array" ref="L5" xml:space="preserve"> INDEX(十五音韻母清單!$B$6:$K$105, '韻母碼 (台羅)'!$C5,'韻母碼 (台羅)'!L$2)</f>
        <v>a</v>
      </c>
      <c r="M5" s="23" t="str" cm="1">
        <f t="array" ref="M5" xml:space="preserve"> INDEX(十五音韻母清單!$B$6:$K$105, '韻母碼 (台羅)'!$C5,'韻母碼 (台羅)'!M$2)</f>
        <v>ㄚ</v>
      </c>
    </row>
    <row r="6" spans="2:13" ht="29">
      <c r="B6" s="22" t="s">
        <v>425</v>
      </c>
      <c r="C6" s="21">
        <f xml:space="preserve"> MATCH(B6, 十五音韻母清單!$I$6:$I$105,0)</f>
        <v>56</v>
      </c>
      <c r="D6" s="21" cm="1">
        <f t="array" ref="D6" xml:space="preserve"> INDEX(十五音韻母清單!$B$6:$K$105, $C6, D$2)</f>
        <v>28</v>
      </c>
      <c r="F6" s="21">
        <v>2</v>
      </c>
      <c r="G6" s="23" t="str" cm="1">
        <f t="array" ref="G6" xml:space="preserve"> INDEX(十五音韻母清單!$B$6:$K$105, $C6, G$2)</f>
        <v>ah</v>
      </c>
      <c r="H6" s="23" t="str" cm="1">
        <f t="array" ref="H6" xml:space="preserve"> INDEX(十五音韻母清單!$B$6:$K$105, '韻母碼 (台羅)'!$C6,'韻母碼 (台羅)'!H$2)</f>
        <v>a?</v>
      </c>
      <c r="I6" s="21" t="str" cm="1">
        <f t="array" ref="I6" xml:space="preserve"> INDEX(十五音韻母清單!$B$6:$K$105, $C6, I$2)</f>
        <v>膠</v>
      </c>
      <c r="J6" s="23" t="str" cm="1">
        <f t="array" ref="J6" xml:space="preserve"> INDEX(十五音韻母清單!$B$6:$K$105, '韻母碼 (台羅)'!$C6,'韻母碼 (台羅)'!J$2)</f>
        <v>ah</v>
      </c>
      <c r="K6" s="23" t="str" cm="1">
        <f t="array" ref="K6" xml:space="preserve"> INDEX(十五音韻母清單!$B$6:$K$105, '韻母碼 (台羅)'!$C6,'韻母碼 (台羅)'!K$2)</f>
        <v>ah</v>
      </c>
      <c r="L6" s="23" t="str" cm="1">
        <f t="array" ref="L6" xml:space="preserve"> INDEX(十五音韻母清單!$B$6:$K$105, '韻母碼 (台羅)'!$C6,'韻母碼 (台羅)'!L$2)</f>
        <v>ah</v>
      </c>
      <c r="M6" s="23" t="str" cm="1">
        <f t="array" ref="M6" xml:space="preserve"> INDEX(十五音韻母清單!$B$6:$K$105, '韻母碼 (台羅)'!$C6,'韻母碼 (台羅)'!M$2)</f>
        <v>ㄚㆷ</v>
      </c>
    </row>
    <row r="7" spans="2:13" ht="29">
      <c r="B7" s="22" t="s">
        <v>307</v>
      </c>
      <c r="C7" s="21">
        <f xml:space="preserve"> MATCH(B7, 十五音韻母清單!$I$6:$I$105,0)</f>
        <v>31</v>
      </c>
      <c r="D7" s="21" cm="1">
        <f t="array" ref="D7" xml:space="preserve"> INDEX(十五音韻母清單!$B$6:$K$105, $C7, D$2)</f>
        <v>16</v>
      </c>
      <c r="F7" s="21">
        <v>3</v>
      </c>
      <c r="G7" s="23" t="str" cm="1">
        <f t="array" ref="G7" xml:space="preserve"> INDEX(十五音韻母清單!$B$6:$K$105, $C7, G$2)</f>
        <v>ai</v>
      </c>
      <c r="H7" s="23" t="str" cm="1">
        <f t="array" ref="H7" xml:space="preserve"> INDEX(十五音韻母清單!$B$6:$K$105, '韻母碼 (台羅)'!$C7,'韻母碼 (台羅)'!H$2)</f>
        <v>ai</v>
      </c>
      <c r="I7" s="21" t="str" cm="1">
        <f t="array" ref="I7" xml:space="preserve"> INDEX(十五音韻母清單!$B$6:$K$105, $C7, I$2)</f>
        <v>皆</v>
      </c>
      <c r="J7" s="23" t="str" cm="1">
        <f t="array" ref="J7" xml:space="preserve"> INDEX(十五音韻母清單!$B$6:$K$105, '韻母碼 (台羅)'!$C7,'韻母碼 (台羅)'!J$2)</f>
        <v>ai</v>
      </c>
      <c r="K7" s="23" t="str" cm="1">
        <f t="array" ref="K7" xml:space="preserve"> INDEX(十五音韻母清單!$B$6:$K$105, '韻母碼 (台羅)'!$C7,'韻母碼 (台羅)'!K$2)</f>
        <v>ai</v>
      </c>
      <c r="L7" s="23" t="str" cm="1">
        <f t="array" ref="L7" xml:space="preserve"> INDEX(十五音韻母清單!$B$6:$K$105, '韻母碼 (台羅)'!$C7,'韻母碼 (台羅)'!L$2)</f>
        <v>ai</v>
      </c>
      <c r="M7" s="23" t="str" cm="1">
        <f t="array" ref="M7" xml:space="preserve"> INDEX(十五音韻母清單!$B$6:$K$105, '韻母碼 (台羅)'!$C7,'韻母碼 (台羅)'!M$2)</f>
        <v>ㄞ</v>
      </c>
    </row>
    <row r="8" spans="2:13" ht="29">
      <c r="B8" s="22" t="s">
        <v>559</v>
      </c>
      <c r="C8" s="21">
        <f xml:space="preserve"> MATCH(B8, 十五音韻母清單!$I$6:$I$105,0)</f>
        <v>79</v>
      </c>
      <c r="D8" s="21" cm="1">
        <f t="array" ref="D8" xml:space="preserve"> INDEX(十五音韻母清單!$B$6:$K$105, $C8, D$2)</f>
        <v>40</v>
      </c>
      <c r="F8" s="21">
        <v>4</v>
      </c>
      <c r="G8" s="23" t="str" cm="1">
        <f t="array" ref="G8" xml:space="preserve"> INDEX(十五音韻母清單!$B$6:$K$105, $C8, G$2)</f>
        <v>ainn</v>
      </c>
      <c r="H8" s="23" t="str" cm="1">
        <f t="array" ref="H8" xml:space="preserve"> INDEX(十五音韻母清單!$B$6:$K$105, '韻母碼 (台羅)'!$C8,'韻母碼 (台羅)'!H$2)</f>
        <v>ãĩ</v>
      </c>
      <c r="I8" s="21" t="str" cm="1">
        <f t="array" ref="I8" xml:space="preserve"> INDEX(十五音韻母清單!$B$6:$K$105, $C8, I$2)</f>
        <v>閒</v>
      </c>
      <c r="J8" s="23" t="str" cm="1">
        <f t="array" ref="J8" xml:space="preserve"> INDEX(十五音韻母清單!$B$6:$K$105, '韻母碼 (台羅)'!$C8,'韻母碼 (台羅)'!J$2)</f>
        <v>aiⁿ</v>
      </c>
      <c r="K8" s="23" t="str" cm="1">
        <f t="array" ref="K8" xml:space="preserve"> INDEX(十五音韻母清單!$B$6:$K$105, '韻母碼 (台羅)'!$C8,'韻母碼 (台羅)'!K$2)</f>
        <v>ainn</v>
      </c>
      <c r="L8" s="23" t="str" cm="1">
        <f t="array" ref="L8" xml:space="preserve"> INDEX(十五音韻母清單!$B$6:$K$105, '韻母碼 (台羅)'!$C8,'韻母碼 (台羅)'!L$2)</f>
        <v>nai</v>
      </c>
      <c r="M8" s="23" t="str" cm="1">
        <f t="array" ref="M8" xml:space="preserve"> INDEX(十五音韻母清單!$B$6:$K$105, '韻母碼 (台羅)'!$C8,'韻母碼 (台羅)'!M$2)</f>
        <v>ㆮ</v>
      </c>
    </row>
    <row r="9" spans="2:13" ht="29">
      <c r="B9" s="22" t="s">
        <v>352</v>
      </c>
      <c r="C9" s="21">
        <f xml:space="preserve"> MATCH(B9, 十五音韻母清單!$I$6:$I$105,0)</f>
        <v>42</v>
      </c>
      <c r="D9" s="21" cm="1">
        <f t="array" ref="D9" xml:space="preserve"> INDEX(十五音韻母清單!$B$6:$K$105, $C9, D$2)</f>
        <v>21</v>
      </c>
      <c r="F9" s="21">
        <v>5</v>
      </c>
      <c r="G9" s="23" t="str" cm="1">
        <f t="array" ref="G9" xml:space="preserve"> INDEX(十五音韻母清單!$B$6:$K$105, $C9, G$2)</f>
        <v>ak</v>
      </c>
      <c r="H9" s="23" t="str" cm="1">
        <f t="array" ref="H9" xml:space="preserve"> INDEX(十五音韻母清單!$B$6:$K$105, '韻母碼 (台羅)'!$C9,'韻母碼 (台羅)'!H$2)</f>
        <v>ak̚</v>
      </c>
      <c r="I9" s="21" t="str" cm="1">
        <f t="array" ref="I9" xml:space="preserve"> INDEX(十五音韻母清單!$B$6:$K$105, $C9, I$2)</f>
        <v>江</v>
      </c>
      <c r="J9" s="23" t="str" cm="1">
        <f t="array" ref="J9" xml:space="preserve"> INDEX(十五音韻母清單!$B$6:$K$105, '韻母碼 (台羅)'!$C9,'韻母碼 (台羅)'!J$2)</f>
        <v>ak</v>
      </c>
      <c r="K9" s="23" t="str" cm="1">
        <f t="array" ref="K9" xml:space="preserve"> INDEX(十五音韻母清單!$B$6:$K$105, '韻母碼 (台羅)'!$C9,'韻母碼 (台羅)'!K$2)</f>
        <v>ak</v>
      </c>
      <c r="L9" s="23" t="str" cm="1">
        <f t="array" ref="L9" xml:space="preserve"> INDEX(十五音韻母清單!$B$6:$K$105, '韻母碼 (台羅)'!$C9,'韻母碼 (台羅)'!L$2)</f>
        <v>ak</v>
      </c>
      <c r="M9" s="23" t="str" cm="1">
        <f t="array" ref="M9" xml:space="preserve"> INDEX(十五音韻母清單!$B$6:$K$105, '韻母碼 (台羅)'!$C9,'韻母碼 (台羅)'!M$2)</f>
        <v>ㄚㆻ</v>
      </c>
    </row>
    <row r="10" spans="2:13" ht="29">
      <c r="B10" s="22" t="s">
        <v>334</v>
      </c>
      <c r="C10" s="21">
        <f xml:space="preserve"> MATCH(B10, 十五音韻母清單!$I$6:$I$105,0)</f>
        <v>37</v>
      </c>
      <c r="D10" s="21" cm="1">
        <f t="array" ref="D10" xml:space="preserve"> INDEX(十五音韻母清單!$B$6:$K$105, $C10, D$2)</f>
        <v>19</v>
      </c>
      <c r="F10" s="21">
        <v>6</v>
      </c>
      <c r="G10" s="23" t="str" cm="1">
        <f t="array" ref="G10" xml:space="preserve"> INDEX(十五音韻母清單!$B$6:$K$105, $C10, G$2)</f>
        <v>am</v>
      </c>
      <c r="H10" s="23" t="str" cm="1">
        <f t="array" ref="H10" xml:space="preserve"> INDEX(十五音韻母清單!$B$6:$K$105, '韻母碼 (台羅)'!$C10,'韻母碼 (台羅)'!H$2)</f>
        <v>am</v>
      </c>
      <c r="I10" s="21" t="str" cm="1">
        <f t="array" ref="I10" xml:space="preserve"> INDEX(十五音韻母清單!$B$6:$K$105, $C10, I$2)</f>
        <v>甘</v>
      </c>
      <c r="J10" s="23" t="str" cm="1">
        <f t="array" ref="J10" xml:space="preserve"> INDEX(十五音韻母清單!$B$6:$K$105, '韻母碼 (台羅)'!$C10,'韻母碼 (台羅)'!J$2)</f>
        <v>am</v>
      </c>
      <c r="K10" s="23" t="str" cm="1">
        <f t="array" ref="K10" xml:space="preserve"> INDEX(十五音韻母清單!$B$6:$K$105, '韻母碼 (台羅)'!$C10,'韻母碼 (台羅)'!K$2)</f>
        <v>am</v>
      </c>
      <c r="L10" s="23" t="str" cm="1">
        <f t="array" ref="L10" xml:space="preserve"> INDEX(十五音韻母清單!$B$6:$K$105, '韻母碼 (台羅)'!$C10,'韻母碼 (台羅)'!L$2)</f>
        <v>am</v>
      </c>
      <c r="M10" s="23" t="str" cm="1">
        <f t="array" ref="M10" xml:space="preserve"> INDEX(十五音韻母清單!$B$6:$K$105, '韻母碼 (台羅)'!$C10,'韻母碼 (台羅)'!M$2)</f>
        <v>ㆰ</v>
      </c>
    </row>
    <row r="11" spans="2:13" ht="29">
      <c r="B11" s="22" t="s">
        <v>202</v>
      </c>
      <c r="C11" s="21">
        <f xml:space="preserve"> MATCH(B11, 十五音韻母清單!$I$6:$I$105,0)</f>
        <v>11</v>
      </c>
      <c r="D11" s="21" cm="1">
        <f t="array" ref="D11" xml:space="preserve"> INDEX(十五音韻母清單!$B$6:$K$105, $C11, D$2)</f>
        <v>6</v>
      </c>
      <c r="F11" s="21">
        <v>7</v>
      </c>
      <c r="G11" s="23" t="str" cm="1">
        <f t="array" ref="G11" xml:space="preserve"> INDEX(十五音韻母清單!$B$6:$K$105, $C11, G$2)</f>
        <v>an</v>
      </c>
      <c r="H11" s="23" t="str" cm="1">
        <f t="array" ref="H11" xml:space="preserve"> INDEX(十五音韻母清單!$B$6:$K$105, '韻母碼 (台羅)'!$C11,'韻母碼 (台羅)'!H$2)</f>
        <v>an</v>
      </c>
      <c r="I11" s="21" t="str" cm="1">
        <f t="array" ref="I11" xml:space="preserve"> INDEX(十五音韻母清單!$B$6:$K$105, $C11, I$2)</f>
        <v>干</v>
      </c>
      <c r="J11" s="23" t="str" cm="1">
        <f t="array" ref="J11" xml:space="preserve"> INDEX(十五音韻母清單!$B$6:$K$105, '韻母碼 (台羅)'!$C11,'韻母碼 (台羅)'!J$2)</f>
        <v>an</v>
      </c>
      <c r="K11" s="23" t="str" cm="1">
        <f t="array" ref="K11" xml:space="preserve"> INDEX(十五音韻母清單!$B$6:$K$105, '韻母碼 (台羅)'!$C11,'韻母碼 (台羅)'!K$2)</f>
        <v>an</v>
      </c>
      <c r="L11" s="23" t="str" cm="1">
        <f t="array" ref="L11" xml:space="preserve"> INDEX(十五音韻母清單!$B$6:$K$105, '韻母碼 (台羅)'!$C11,'韻母碼 (台羅)'!L$2)</f>
        <v>an</v>
      </c>
      <c r="M11" s="23" t="str" cm="1">
        <f t="array" ref="M11" xml:space="preserve"> INDEX(十五音韻母清單!$B$6:$K$105, '韻母碼 (台羅)'!$C11,'韻母碼 (台羅)'!M$2)</f>
        <v>ㄢ</v>
      </c>
    </row>
    <row r="12" spans="2:13" ht="29">
      <c r="B12" s="22" t="s">
        <v>351</v>
      </c>
      <c r="C12" s="21">
        <f xml:space="preserve"> MATCH(B12, 十五音韻母清單!$I$6:$I$105,0)</f>
        <v>41</v>
      </c>
      <c r="D12" s="21" cm="1">
        <f t="array" ref="D12" xml:space="preserve"> INDEX(十五音韻母清單!$B$6:$K$105, $C12, D$2)</f>
        <v>21</v>
      </c>
      <c r="F12" s="21">
        <v>8</v>
      </c>
      <c r="G12" s="23" t="str" cm="1">
        <f t="array" ref="G12" xml:space="preserve"> INDEX(十五音韻母清單!$B$6:$K$105, $C12, G$2)</f>
        <v>ang</v>
      </c>
      <c r="H12" s="23" t="str" cm="1">
        <f t="array" ref="H12" xml:space="preserve"> INDEX(十五音韻母清單!$B$6:$K$105, '韻母碼 (台羅)'!$C12,'韻母碼 (台羅)'!H$2)</f>
        <v>aŋ</v>
      </c>
      <c r="I12" s="21" t="str" cm="1">
        <f t="array" ref="I12" xml:space="preserve"> INDEX(十五音韻母清單!$B$6:$K$105, $C12, I$2)</f>
        <v>江</v>
      </c>
      <c r="J12" s="23" t="str" cm="1">
        <f t="array" ref="J12" xml:space="preserve"> INDEX(十五音韻母清單!$B$6:$K$105, '韻母碼 (台羅)'!$C12,'韻母碼 (台羅)'!J$2)</f>
        <v>ang</v>
      </c>
      <c r="K12" s="23" t="str" cm="1">
        <f t="array" ref="K12" xml:space="preserve"> INDEX(十五音韻母清單!$B$6:$K$105, '韻母碼 (台羅)'!$C12,'韻母碼 (台羅)'!K$2)</f>
        <v>ang</v>
      </c>
      <c r="L12" s="23" t="str" cm="1">
        <f t="array" ref="L12" xml:space="preserve"> INDEX(十五音韻母清單!$B$6:$K$105, '韻母碼 (台羅)'!$C12,'韻母碼 (台羅)'!L$2)</f>
        <v>ang</v>
      </c>
      <c r="M12" s="23" t="str" cm="1">
        <f t="array" ref="M12" xml:space="preserve"> INDEX(十五音韻母清單!$B$6:$K$105, '韻母碼 (台羅)'!$C12,'韻母碼 (台羅)'!M$2)</f>
        <v>ㄤ</v>
      </c>
    </row>
    <row r="13" spans="2:13" ht="29">
      <c r="B13" s="22" t="s">
        <v>400</v>
      </c>
      <c r="C13" s="21">
        <f xml:space="preserve"> MATCH(B13, 十五音韻母清單!$I$6:$I$105,0)</f>
        <v>51</v>
      </c>
      <c r="D13" s="21" cm="1">
        <f t="array" ref="D13" xml:space="preserve"> INDEX(十五音韻母清單!$B$6:$K$105, $C13, D$2)</f>
        <v>26</v>
      </c>
      <c r="F13" s="21">
        <v>9</v>
      </c>
      <c r="G13" s="23" t="str" cm="1">
        <f t="array" ref="G13" xml:space="preserve"> INDEX(十五音韻母清單!$B$6:$K$105, $C13, G$2)</f>
        <v>ann</v>
      </c>
      <c r="H13" s="23" t="str" cm="1">
        <f t="array" ref="H13" xml:space="preserve"> INDEX(十五音韻母清單!$B$6:$K$105, '韻母碼 (台羅)'!$C13,'韻母碼 (台羅)'!H$2)</f>
        <v>ã</v>
      </c>
      <c r="I13" s="21" t="str" cm="1">
        <f t="array" ref="I13" xml:space="preserve"> INDEX(十五音韻母清單!$B$6:$K$105, $C13, I$2)</f>
        <v>監</v>
      </c>
      <c r="J13" s="23" t="str" cm="1">
        <f t="array" ref="J13" xml:space="preserve"> INDEX(十五音韻母清單!$B$6:$K$105, '韻母碼 (台羅)'!$C13,'韻母碼 (台羅)'!J$2)</f>
        <v>aⁿ</v>
      </c>
      <c r="K13" s="23" t="str" cm="1">
        <f t="array" ref="K13" xml:space="preserve"> INDEX(十五音韻母清單!$B$6:$K$105, '韻母碼 (台羅)'!$C13,'韻母碼 (台羅)'!K$2)</f>
        <v>ann</v>
      </c>
      <c r="L13" s="23" t="str" cm="1">
        <f t="array" ref="L13" xml:space="preserve"> INDEX(十五音韻母清單!$B$6:$K$105, '韻母碼 (台羅)'!$C13,'韻母碼 (台羅)'!L$2)</f>
        <v>na</v>
      </c>
      <c r="M13" s="23" t="str" cm="1">
        <f t="array" ref="M13" xml:space="preserve"> INDEX(十五音韻母清單!$B$6:$K$105, '韻母碼 (台羅)'!$C13,'韻母碼 (台羅)'!M$2)</f>
        <v>ㆩ</v>
      </c>
    </row>
    <row r="14" spans="2:13" ht="29">
      <c r="B14" s="22" t="s">
        <v>401</v>
      </c>
      <c r="C14" s="21">
        <f xml:space="preserve"> MATCH(B14, 十五音韻母清單!$I$6:$I$105,0)</f>
        <v>52</v>
      </c>
      <c r="D14" s="21" cm="1">
        <f t="array" ref="D14" xml:space="preserve"> INDEX(十五音韻母清單!$B$6:$K$105, $C14, D$2)</f>
        <v>26</v>
      </c>
      <c r="F14" s="21">
        <v>10</v>
      </c>
      <c r="G14" s="23" t="str" cm="1">
        <f t="array" ref="G14" xml:space="preserve"> INDEX(十五音韻母清單!$B$6:$K$105, $C14, G$2)</f>
        <v>annh</v>
      </c>
      <c r="H14" s="23" t="str" cm="1">
        <f t="array" ref="H14" xml:space="preserve"> INDEX(十五音韻母清單!$B$6:$K$105, '韻母碼 (台羅)'!$C14,'韻母碼 (台羅)'!H$2)</f>
        <v>ã?</v>
      </c>
      <c r="I14" s="21" t="str" cm="1">
        <f t="array" ref="I14" xml:space="preserve"> INDEX(十五音韻母清單!$B$6:$K$105, $C14, I$2)</f>
        <v>監</v>
      </c>
      <c r="J14" s="23" t="str" cm="1">
        <f t="array" ref="J14" xml:space="preserve"> INDEX(十五音韻母清單!$B$6:$K$105, '韻母碼 (台羅)'!$C14,'韻母碼 (台羅)'!J$2)</f>
        <v>ahⁿ</v>
      </c>
      <c r="K14" s="23" t="str" cm="1">
        <f t="array" ref="K14" xml:space="preserve"> INDEX(十五音韻母清單!$B$6:$K$105, '韻母碼 (台羅)'!$C14,'韻母碼 (台羅)'!K$2)</f>
        <v>annh</v>
      </c>
      <c r="L14" s="23" t="str" cm="1">
        <f t="array" ref="L14" xml:space="preserve"> INDEX(十五音韻母清單!$B$6:$K$105, '韻母碼 (台羅)'!$C14,'韻母碼 (台羅)'!L$2)</f>
        <v>nah</v>
      </c>
      <c r="M14" s="23" t="str" cm="1">
        <f t="array" ref="M14" xml:space="preserve"> INDEX(十五音韻母清單!$B$6:$K$105, '韻母碼 (台羅)'!$C14,'韻母碼 (台羅)'!M$2)</f>
        <v>ㆩㆷ</v>
      </c>
    </row>
    <row r="15" spans="2:13" ht="29">
      <c r="B15" s="22" t="s">
        <v>203</v>
      </c>
      <c r="C15" s="21">
        <f xml:space="preserve"> MATCH(B15, 十五音韻母清單!$I$6:$I$105,0)</f>
        <v>12</v>
      </c>
      <c r="D15" s="21" cm="1">
        <f t="array" ref="D15" xml:space="preserve"> INDEX(十五音韻母清單!$B$6:$K$105, $C15, D$2)</f>
        <v>6</v>
      </c>
      <c r="F15" s="21">
        <v>11</v>
      </c>
      <c r="G15" s="23" t="str" cm="1">
        <f t="array" ref="G15" xml:space="preserve"> INDEX(十五音韻母清單!$B$6:$K$105, $C15, G$2)</f>
        <v>ap</v>
      </c>
      <c r="H15" s="23" t="str" cm="1">
        <f t="array" ref="H15" xml:space="preserve"> INDEX(十五音韻母清單!$B$6:$K$105, '韻母碼 (台羅)'!$C15,'韻母碼 (台羅)'!H$2)</f>
        <v>at̚</v>
      </c>
      <c r="I15" s="21" t="str" cm="1">
        <f t="array" ref="I15" xml:space="preserve"> INDEX(十五音韻母清單!$B$6:$K$105, $C15, I$2)</f>
        <v>干</v>
      </c>
      <c r="J15" s="23" t="str" cm="1">
        <f t="array" ref="J15" xml:space="preserve"> INDEX(十五音韻母清單!$B$6:$K$105, '韻母碼 (台羅)'!$C15,'韻母碼 (台羅)'!J$2)</f>
        <v>at</v>
      </c>
      <c r="K15" s="23" t="str" cm="1">
        <f t="array" ref="K15" xml:space="preserve"> INDEX(十五音韻母清單!$B$6:$K$105, '韻母碼 (台羅)'!$C15,'韻母碼 (台羅)'!K$2)</f>
        <v>ap</v>
      </c>
      <c r="L15" s="23" t="str" cm="1">
        <f t="array" ref="L15" xml:space="preserve"> INDEX(十五音韻母清單!$B$6:$K$105, '韻母碼 (台羅)'!$C15,'韻母碼 (台羅)'!L$2)</f>
        <v>at</v>
      </c>
      <c r="M15" s="23" t="str" cm="1">
        <f t="array" ref="M15" xml:space="preserve"> INDEX(十五音韻母清單!$B$6:$K$105, '韻母碼 (台羅)'!$C15,'韻母碼 (台羅)'!M$2)</f>
        <v>ㄚㆵ</v>
      </c>
    </row>
    <row r="16" spans="2:13" ht="29">
      <c r="B16" s="22" t="s">
        <v>205</v>
      </c>
      <c r="C16" s="21" t="e">
        <f xml:space="preserve"> MATCH(B16, 十五音韻母清單!$I$6:$I$105,0)</f>
        <v>#N/A</v>
      </c>
      <c r="D16" s="21" t="e" cm="1">
        <f t="array" ref="D16" xml:space="preserve"> INDEX(十五音韻母清單!$B$6:$K$105, $C16, D$2)</f>
        <v>#N/A</v>
      </c>
      <c r="F16" s="21">
        <v>12</v>
      </c>
      <c r="G16" s="23" t="e" cm="1">
        <f t="array" ref="G16" xml:space="preserve"> INDEX(十五音韻母清單!$B$6:$K$105, $C16, G$2)</f>
        <v>#N/A</v>
      </c>
      <c r="H16" s="23" t="e" cm="1">
        <f t="array" ref="H16" xml:space="preserve"> INDEX(十五音韻母清單!$B$6:$K$105, '韻母碼 (台羅)'!$C16,'韻母碼 (台羅)'!H$2)</f>
        <v>#N/A</v>
      </c>
      <c r="I16" s="21" t="e" cm="1">
        <f t="array" ref="I16" xml:space="preserve"> INDEX(十五音韻母清單!$B$6:$K$105, $C16, I$2)</f>
        <v>#N/A</v>
      </c>
      <c r="J16" s="23" t="e" cm="1">
        <f t="array" ref="J16" xml:space="preserve"> INDEX(十五音韻母清單!$B$6:$K$105, '韻母碼 (台羅)'!$C16,'韻母碼 (台羅)'!J$2)</f>
        <v>#N/A</v>
      </c>
      <c r="K16" s="23" t="e" cm="1">
        <f t="array" ref="K16" xml:space="preserve"> INDEX(十五音韻母清單!$B$6:$K$105, '韻母碼 (台羅)'!$C16,'韻母碼 (台羅)'!K$2)</f>
        <v>#N/A</v>
      </c>
      <c r="L16" s="23" t="e" cm="1">
        <f t="array" ref="L16" xml:space="preserve"> INDEX(十五音韻母清單!$B$6:$K$105, '韻母碼 (台羅)'!$C16,'韻母碼 (台羅)'!L$2)</f>
        <v>#N/A</v>
      </c>
      <c r="M16" s="23" t="e" cm="1">
        <f t="array" ref="M16" xml:space="preserve"> INDEX(十五音韻母清單!$B$6:$K$105, '韻母碼 (台羅)'!$C16,'韻母碼 (台羅)'!M$2)</f>
        <v>#N/A</v>
      </c>
    </row>
    <row r="17" spans="2:13" ht="29">
      <c r="B17" s="22" t="s">
        <v>368</v>
      </c>
      <c r="C17" s="21">
        <f xml:space="preserve"> MATCH(B17, 十五音韻母清單!$I$6:$I$105,0)</f>
        <v>45</v>
      </c>
      <c r="D17" s="21" cm="1">
        <f t="array" ref="D17" xml:space="preserve"> INDEX(十五音韻母清單!$B$6:$K$105, $C17, D$2)</f>
        <v>23</v>
      </c>
      <c r="F17" s="21">
        <v>13</v>
      </c>
      <c r="G17" s="23" t="str" cm="1">
        <f t="array" ref="G17" xml:space="preserve"> INDEX(十五音韻母清單!$B$6:$K$105, $C17, G$2)</f>
        <v>au</v>
      </c>
      <c r="H17" s="23" t="str" cm="1">
        <f t="array" ref="H17" xml:space="preserve"> INDEX(十五音韻母清單!$B$6:$K$105, '韻母碼 (台羅)'!$C17,'韻母碼 (台羅)'!H$2)</f>
        <v>aʊ</v>
      </c>
      <c r="I17" s="21" t="str" cm="1">
        <f t="array" ref="I17" xml:space="preserve"> INDEX(十五音韻母清單!$B$6:$K$105, $C17, I$2)</f>
        <v>交</v>
      </c>
      <c r="J17" s="23" t="str" cm="1">
        <f t="array" ref="J17" xml:space="preserve"> INDEX(十五音韻母清單!$B$6:$K$105, '韻母碼 (台羅)'!$C17,'韻母碼 (台羅)'!J$2)</f>
        <v>au</v>
      </c>
      <c r="K17" s="23" t="str" cm="1">
        <f t="array" ref="K17" xml:space="preserve"> INDEX(十五音韻母清單!$B$6:$K$105, '韻母碼 (台羅)'!$C17,'韻母碼 (台羅)'!K$2)</f>
        <v>au</v>
      </c>
      <c r="L17" s="23" t="str" cm="1">
        <f t="array" ref="L17" xml:space="preserve"> INDEX(十五音韻母清單!$B$6:$K$105, '韻母碼 (台羅)'!$C17,'韻母碼 (台羅)'!L$2)</f>
        <v>ao</v>
      </c>
      <c r="M17" s="23" t="str" cm="1">
        <f t="array" ref="M17" xml:space="preserve"> INDEX(十五音韻母清單!$B$6:$K$105, '韻母碼 (台羅)'!$C17,'韻母碼 (台羅)'!M$2)</f>
        <v>ㄠ</v>
      </c>
    </row>
    <row r="18" spans="2:13" ht="29">
      <c r="B18" s="22" t="s">
        <v>369</v>
      </c>
      <c r="C18" s="21">
        <f xml:space="preserve"> MATCH(B18, 十五音韻母清單!$I$6:$I$105,0)</f>
        <v>46</v>
      </c>
      <c r="D18" s="21" cm="1">
        <f t="array" ref="D18" xml:space="preserve"> INDEX(十五音韻母清單!$B$6:$K$105, $C18, D$2)</f>
        <v>23</v>
      </c>
      <c r="F18" s="21">
        <v>14</v>
      </c>
      <c r="G18" s="23" t="str" cm="1">
        <f t="array" ref="G18" xml:space="preserve"> INDEX(十五音韻母清單!$B$6:$K$105, $C18, G$2)</f>
        <v>auh</v>
      </c>
      <c r="H18" s="23" t="str" cm="1">
        <f t="array" ref="H18" xml:space="preserve"> INDEX(十五音韻母清單!$B$6:$K$105, '韻母碼 (台羅)'!$C18,'韻母碼 (台羅)'!H$2)</f>
        <v>au?</v>
      </c>
      <c r="I18" s="21" t="str" cm="1">
        <f t="array" ref="I18" xml:space="preserve"> INDEX(十五音韻母清單!$B$6:$K$105, $C18, I$2)</f>
        <v>交</v>
      </c>
      <c r="J18" s="23" t="str" cm="1">
        <f t="array" ref="J18" xml:space="preserve"> INDEX(十五音韻母清單!$B$6:$K$105, '韻母碼 (台羅)'!$C18,'韻母碼 (台羅)'!J$2)</f>
        <v>auh</v>
      </c>
      <c r="K18" s="23" t="str" cm="1">
        <f t="array" ref="K18" xml:space="preserve"> INDEX(十五音韻母清單!$B$6:$K$105, '韻母碼 (台羅)'!$C18,'韻母碼 (台羅)'!K$2)</f>
        <v>auh</v>
      </c>
      <c r="L18" s="23" t="str" cm="1">
        <f t="array" ref="L18" xml:space="preserve"> INDEX(十五音韻母清單!$B$6:$K$105, '韻母碼 (台羅)'!$C18,'韻母碼 (台羅)'!L$2)</f>
        <v>aoh</v>
      </c>
      <c r="M18" s="23" t="str" cm="1">
        <f t="array" ref="M18" xml:space="preserve"> INDEX(十五音韻母清單!$B$6:$K$105, '韻母碼 (台羅)'!$C18,'韻母碼 (台羅)'!M$2)</f>
        <v>ㄠㆷ</v>
      </c>
    </row>
    <row r="19" spans="2:13" ht="29">
      <c r="B19" s="22" t="s">
        <v>278</v>
      </c>
      <c r="C19" s="21">
        <f xml:space="preserve"> MATCH(B19, 十五音韻母清單!$I$6:$I$105,0)</f>
        <v>25</v>
      </c>
      <c r="D19" s="21" cm="1">
        <f t="array" ref="D19" xml:space="preserve"> INDEX(十五音韻母清單!$B$6:$K$105, $C19, D$2)</f>
        <v>13</v>
      </c>
      <c r="F19" s="21">
        <v>15</v>
      </c>
      <c r="G19" s="23" t="str" cm="1">
        <f t="array" ref="G19" xml:space="preserve"> INDEX(十五音韻母清單!$B$6:$K$105, $C19, G$2)</f>
        <v>ei</v>
      </c>
      <c r="H19" s="23" t="str" cm="1">
        <f t="array" ref="H19" xml:space="preserve"> INDEX(十五音韻母清單!$B$6:$K$105, '韻母碼 (台羅)'!$C19,'韻母碼 (台羅)'!H$2)</f>
        <v>ei</v>
      </c>
      <c r="I19" s="21" t="str" cm="1">
        <f t="array" ref="I19" xml:space="preserve"> INDEX(十五音韻母清單!$B$6:$K$105, $C19, I$2)</f>
        <v>稽</v>
      </c>
      <c r="J19" s="23" t="str" cm="1">
        <f t="array" ref="J19" xml:space="preserve"> INDEX(十五音韻母清單!$B$6:$K$105, '韻母碼 (台羅)'!$C19,'韻母碼 (台羅)'!J$2)</f>
        <v>ei</v>
      </c>
      <c r="K19" s="23" t="str" cm="1">
        <f t="array" ref="K19" xml:space="preserve"> INDEX(十五音韻母清單!$B$6:$K$105, '韻母碼 (台羅)'!$C19,'韻母碼 (台羅)'!K$2)</f>
        <v>e</v>
      </c>
      <c r="L19" s="23" t="str" cm="1">
        <f t="array" ref="L19" xml:space="preserve"> INDEX(十五音韻母清單!$B$6:$K$105, '韻母碼 (台羅)'!$C19,'韻母碼 (台羅)'!L$2)</f>
        <v>e</v>
      </c>
      <c r="M19" s="23" t="str" cm="1">
        <f t="array" ref="M19" xml:space="preserve"> INDEX(十五音韻母清單!$B$6:$K$105, '韻母碼 (台羅)'!$C19,'韻母碼 (台羅)'!M$2)</f>
        <v>ㄟ</v>
      </c>
    </row>
    <row r="20" spans="2:13" ht="29">
      <c r="B20" s="22" t="s">
        <v>189</v>
      </c>
      <c r="C20" s="21">
        <f xml:space="preserve"> MATCH(B20, 十五音韻母清單!$I$6:$I$105,0)</f>
        <v>10</v>
      </c>
      <c r="D20" s="21" cm="1">
        <f t="array" ref="D20" xml:space="preserve"> INDEX(十五音韻母清單!$B$6:$K$105, $C20, D$2)</f>
        <v>5</v>
      </c>
      <c r="F20" s="21">
        <v>16</v>
      </c>
      <c r="G20" s="23" t="str" cm="1">
        <f t="array" ref="G20" xml:space="preserve"> INDEX(十五音韻母清單!$B$6:$K$105, $C20, G$2)</f>
        <v>eh</v>
      </c>
      <c r="H20" s="23" t="str" cm="1">
        <f t="array" ref="H20" xml:space="preserve"> INDEX(十五音韻母清單!$B$6:$K$105, '韻母碼 (台羅)'!$C20,'韻母碼 (台羅)'!H$2)</f>
        <v>ɛ?</v>
      </c>
      <c r="I20" s="21" t="str" cm="1">
        <f t="array" ref="I20" xml:space="preserve"> INDEX(十五音韻母清單!$B$6:$K$105, $C20, I$2)</f>
        <v>嘉</v>
      </c>
      <c r="J20" s="23" t="str" cm="1">
        <f t="array" ref="J20" xml:space="preserve"> INDEX(十五音韻母清單!$B$6:$K$105, '韻母碼 (台羅)'!$C20,'韻母碼 (台羅)'!J$2)</f>
        <v>eeh</v>
      </c>
      <c r="K20" s="23" t="str" cm="1">
        <f t="array" ref="K20" xml:space="preserve"> INDEX(十五音韻母清單!$B$6:$K$105, '韻母碼 (台羅)'!$C20,'韻母碼 (台羅)'!K$2)</f>
        <v>eh</v>
      </c>
      <c r="L20" s="23" t="str" cm="1">
        <f t="array" ref="L20" xml:space="preserve"> INDEX(十五音韻母清單!$B$6:$K$105, '韻母碼 (台羅)'!$C20,'韻母碼 (台羅)'!L$2)</f>
        <v>eh</v>
      </c>
      <c r="M20" s="23" t="str" cm="1">
        <f t="array" ref="M20" xml:space="preserve"> INDEX(十五音韻母清單!$B$6:$K$105, '韻母碼 (台羅)'!$C20,'韻母碼 (台羅)'!M$2)</f>
        <v>ㄝㆷ</v>
      </c>
    </row>
    <row r="21" spans="2:13" ht="29">
      <c r="B21" s="22" t="s">
        <v>449</v>
      </c>
      <c r="C21" s="21">
        <f xml:space="preserve"> MATCH(B21, 十五音韻母清單!$I$6:$I$105,0)</f>
        <v>61</v>
      </c>
      <c r="D21" s="21" cm="1">
        <f t="array" ref="D21" xml:space="preserve"> INDEX(十五音韻母清單!$B$6:$K$105, $C21, D$2)</f>
        <v>31</v>
      </c>
      <c r="F21" s="21">
        <v>17</v>
      </c>
      <c r="G21" s="23" t="str" cm="1">
        <f t="array" ref="G21" xml:space="preserve"> INDEX(十五音韻母清單!$B$6:$K$105, $C21, G$2)</f>
        <v>enn</v>
      </c>
      <c r="H21" s="23" t="str" cm="1">
        <f t="array" ref="H21" xml:space="preserve"> INDEX(十五音韻母清單!$B$6:$K$105, '韻母碼 (台羅)'!$C21,'韻母碼 (台羅)'!H$2)</f>
        <v>ẽ</v>
      </c>
      <c r="I21" s="21" t="str" cm="1">
        <f t="array" ref="I21" xml:space="preserve"> INDEX(十五音韻母清單!$B$6:$K$105, $C21, I$2)</f>
        <v>更</v>
      </c>
      <c r="J21" s="23" t="str" cm="1">
        <f t="array" ref="J21" xml:space="preserve"> INDEX(十五音韻母清單!$B$6:$K$105, '韻母碼 (台羅)'!$C21,'韻母碼 (台羅)'!J$2)</f>
        <v>eⁿ</v>
      </c>
      <c r="K21" s="23" t="str" cm="1">
        <f t="array" ref="K21" xml:space="preserve"> INDEX(十五音韻母清單!$B$6:$K$105, '韻母碼 (台羅)'!$C21,'韻母碼 (台羅)'!K$2)</f>
        <v>enn</v>
      </c>
      <c r="L21" s="23" t="str" cm="1">
        <f t="array" ref="L21" xml:space="preserve"> INDEX(十五音韻母清單!$B$6:$K$105, '韻母碼 (台羅)'!$C21,'韻母碼 (台羅)'!L$2)</f>
        <v>ne</v>
      </c>
      <c r="M21" s="23" t="str" cm="1">
        <f t="array" ref="M21" xml:space="preserve"> INDEX(十五音韻母清單!$B$6:$K$105, '韻母碼 (台羅)'!$C21,'韻母碼 (台羅)'!M$2)</f>
        <v>ㆥ</v>
      </c>
    </row>
    <row r="22" spans="2:13" ht="29">
      <c r="B22" s="22" t="s">
        <v>450</v>
      </c>
      <c r="C22" s="21">
        <f xml:space="preserve"> MATCH(B22, 十五音韻母清單!$I$6:$I$105,0)</f>
        <v>62</v>
      </c>
      <c r="D22" s="21" cm="1">
        <f t="array" ref="D22" xml:space="preserve"> INDEX(十五音韻母清單!$B$6:$K$105, $C22, D$2)</f>
        <v>31</v>
      </c>
      <c r="F22" s="21">
        <v>18</v>
      </c>
      <c r="G22" s="23" t="str" cm="1">
        <f t="array" ref="G22" xml:space="preserve"> INDEX(十五音韻母清單!$B$6:$K$105, $C22, G$2)</f>
        <v>ennh</v>
      </c>
      <c r="H22" s="23" t="str" cm="1">
        <f t="array" ref="H22" xml:space="preserve"> INDEX(十五音韻母清單!$B$6:$K$105, '韻母碼 (台羅)'!$C22,'韻母碼 (台羅)'!H$2)</f>
        <v>ẽ?</v>
      </c>
      <c r="I22" s="21" t="str" cm="1">
        <f t="array" ref="I22" xml:space="preserve"> INDEX(十五音韻母清單!$B$6:$K$105, $C22, I$2)</f>
        <v>更</v>
      </c>
      <c r="J22" s="23" t="str" cm="1">
        <f t="array" ref="J22" xml:space="preserve"> INDEX(十五音韻母清單!$B$6:$K$105, '韻母碼 (台羅)'!$C22,'韻母碼 (台羅)'!J$2)</f>
        <v>ehⁿ</v>
      </c>
      <c r="K22" s="23" t="str" cm="1">
        <f t="array" ref="K22" xml:space="preserve"> INDEX(十五音韻母清單!$B$6:$K$105, '韻母碼 (台羅)'!$C22,'韻母碼 (台羅)'!K$2)</f>
        <v>ennh</v>
      </c>
      <c r="L22" s="23" t="str" cm="1">
        <f t="array" ref="L22" xml:space="preserve"> INDEX(十五音韻母清單!$B$6:$K$105, '韻母碼 (台羅)'!$C22,'韻母碼 (台羅)'!L$2)</f>
        <v>neh</v>
      </c>
      <c r="M22" s="23" t="str" cm="1">
        <f t="array" ref="M22" xml:space="preserve"> INDEX(十五音韻母清單!$B$6:$K$105, '韻母碼 (台羅)'!$C22,'韻母碼 (台羅)'!M$2)</f>
        <v>ㆥㆷ</v>
      </c>
    </row>
    <row r="23" spans="2:13" ht="29">
      <c r="B23" s="22" t="s">
        <v>432</v>
      </c>
      <c r="C23" s="21">
        <f xml:space="preserve"> MATCH(B23, 十五音韻母清單!$I$6:$I$105,0)</f>
        <v>57</v>
      </c>
      <c r="D23" s="21" cm="1">
        <f t="array" ref="D23" xml:space="preserve"> INDEX(十五音韻母清單!$B$6:$K$105, $C23, D$2)</f>
        <v>29</v>
      </c>
      <c r="F23" s="21">
        <v>19</v>
      </c>
      <c r="G23" s="23" t="str" cm="1">
        <f t="array" ref="G23" xml:space="preserve"> INDEX(十五音韻母清單!$B$6:$K$105, $C23, G$2)</f>
        <v>i</v>
      </c>
      <c r="H23" s="23" t="str" cm="1">
        <f t="array" ref="H23" xml:space="preserve"> INDEX(十五音韻母清單!$B$6:$K$105, '韻母碼 (台羅)'!$C23,'韻母碼 (台羅)'!H$2)</f>
        <v>i</v>
      </c>
      <c r="I23" s="21" t="str" cm="1">
        <f t="array" ref="I23" xml:space="preserve"> INDEX(十五音韻母清單!$B$6:$K$105, $C23, I$2)</f>
        <v>居</v>
      </c>
      <c r="J23" s="23" t="str" cm="1">
        <f t="array" ref="J23" xml:space="preserve"> INDEX(十五音韻母清單!$B$6:$K$105, '韻母碼 (台羅)'!$C23,'韻母碼 (台羅)'!J$2)</f>
        <v>i</v>
      </c>
      <c r="K23" s="23" t="str" cm="1">
        <f t="array" ref="K23" xml:space="preserve"> INDEX(十五音韻母清單!$B$6:$K$105, '韻母碼 (台羅)'!$C23,'韻母碼 (台羅)'!K$2)</f>
        <v>i</v>
      </c>
      <c r="L23" s="23" t="str" cm="1">
        <f t="array" ref="L23" xml:space="preserve"> INDEX(十五音韻母清單!$B$6:$K$105, '韻母碼 (台羅)'!$C23,'韻母碼 (台羅)'!L$2)</f>
        <v>i</v>
      </c>
      <c r="M23" s="23" t="str" cm="1">
        <f t="array" ref="M23" xml:space="preserve"> INDEX(十五音韻母清單!$B$6:$K$105, '韻母碼 (台羅)'!$C23,'韻母碼 (台羅)'!M$2)</f>
        <v>ㄧ</v>
      </c>
    </row>
    <row r="24" spans="2:13" ht="29">
      <c r="B24" s="22" t="s">
        <v>379</v>
      </c>
      <c r="C24" s="21">
        <f xml:space="preserve"> MATCH(B24, 十五音韻母清單!$I$6:$I$105,0)</f>
        <v>47</v>
      </c>
      <c r="D24" s="21" cm="1">
        <f t="array" ref="D24" xml:space="preserve"> INDEX(十五音韻母清單!$B$6:$K$105, $C24, D$2)</f>
        <v>24</v>
      </c>
      <c r="F24" s="21">
        <v>20</v>
      </c>
      <c r="G24" s="23" t="str" cm="1">
        <f t="array" ref="G24" xml:space="preserve"> INDEX(十五音韻母清單!$B$6:$K$105, $C24, G$2)</f>
        <v>ia</v>
      </c>
      <c r="H24" s="23" t="str" cm="1">
        <f t="array" ref="H24" xml:space="preserve"> INDEX(十五音韻母清單!$B$6:$K$105, '韻母碼 (台羅)'!$C24,'韻母碼 (台羅)'!H$2)</f>
        <v>ia</v>
      </c>
      <c r="I24" s="21" t="str" cm="1">
        <f t="array" ref="I24" xml:space="preserve"> INDEX(十五音韻母清單!$B$6:$K$105, $C24, I$2)</f>
        <v>迦</v>
      </c>
      <c r="J24" s="23" t="str" cm="1">
        <f t="array" ref="J24" xml:space="preserve"> INDEX(十五音韻母清單!$B$6:$K$105, '韻母碼 (台羅)'!$C24,'韻母碼 (台羅)'!J$2)</f>
        <v>ia</v>
      </c>
      <c r="K24" s="23" t="str" cm="1">
        <f t="array" ref="K24" xml:space="preserve"> INDEX(十五音韻母清單!$B$6:$K$105, '韻母碼 (台羅)'!$C24,'韻母碼 (台羅)'!K$2)</f>
        <v>ia</v>
      </c>
      <c r="L24" s="23" t="str" cm="1">
        <f t="array" ref="L24" xml:space="preserve"> INDEX(十五音韻母清單!$B$6:$K$105, '韻母碼 (台羅)'!$C24,'韻母碼 (台羅)'!L$2)</f>
        <v>ia</v>
      </c>
      <c r="M24" s="23" t="str" cm="1">
        <f t="array" ref="M24" xml:space="preserve"> INDEX(十五音韻母清單!$B$6:$K$105, '韻母碼 (台羅)'!$C24,'韻母碼 (台羅)'!M$2)</f>
        <v>ㄧㄚ</v>
      </c>
    </row>
    <row r="25" spans="2:13" ht="29">
      <c r="B25" s="22" t="s">
        <v>380</v>
      </c>
      <c r="C25" s="21">
        <f xml:space="preserve"> MATCH(B25, 十五音韻母清單!$I$6:$I$105,0)</f>
        <v>48</v>
      </c>
      <c r="D25" s="21" cm="1">
        <f t="array" ref="D25" xml:space="preserve"> INDEX(十五音韻母清單!$B$6:$K$105, $C25, D$2)</f>
        <v>24</v>
      </c>
      <c r="F25" s="21">
        <v>21</v>
      </c>
      <c r="G25" s="23" t="str" cm="1">
        <f t="array" ref="G25" xml:space="preserve"> INDEX(十五音韻母清單!$B$6:$K$105, $C25, G$2)</f>
        <v>iah</v>
      </c>
      <c r="H25" s="23" t="str" cm="1">
        <f t="array" ref="H25" xml:space="preserve"> INDEX(十五音韻母清單!$B$6:$K$105, '韻母碼 (台羅)'!$C25,'韻母碼 (台羅)'!H$2)</f>
        <v>ia?</v>
      </c>
      <c r="I25" s="21" t="str" cm="1">
        <f t="array" ref="I25" xml:space="preserve"> INDEX(十五音韻母清單!$B$6:$K$105, $C25, I$2)</f>
        <v>迦</v>
      </c>
      <c r="J25" s="23" t="str" cm="1">
        <f t="array" ref="J25" xml:space="preserve"> INDEX(十五音韻母清單!$B$6:$K$105, '韻母碼 (台羅)'!$C25,'韻母碼 (台羅)'!J$2)</f>
        <v>iah</v>
      </c>
      <c r="K25" s="23" t="str" cm="1">
        <f t="array" ref="K25" xml:space="preserve"> INDEX(十五音韻母清單!$B$6:$K$105, '韻母碼 (台羅)'!$C25,'韻母碼 (台羅)'!K$2)</f>
        <v>iah</v>
      </c>
      <c r="L25" s="23" t="str" cm="1">
        <f t="array" ref="L25" xml:space="preserve"> INDEX(十五音韻母清單!$B$6:$K$105, '韻母碼 (台羅)'!$C25,'韻母碼 (台羅)'!L$2)</f>
        <v>iah</v>
      </c>
      <c r="M25" s="23" t="str" cm="1">
        <f t="array" ref="M25" xml:space="preserve"> INDEX(十五音韻母清單!$B$6:$K$105, '韻母碼 (台羅)'!$C25,'韻母碼 (台羅)'!M$2)</f>
        <v>ㄧㄚㆷ</v>
      </c>
    </row>
    <row r="26" spans="2:13" ht="29">
      <c r="B26" s="22" t="s">
        <v>325</v>
      </c>
      <c r="C26" s="21">
        <f xml:space="preserve"> MATCH(B26, 十五音韻母清單!$I$6:$I$105,0)</f>
        <v>36</v>
      </c>
      <c r="D26" s="21" cm="1">
        <f t="array" ref="D26" xml:space="preserve"> INDEX(十五音韻母清單!$B$6:$K$105, $C26, D$2)</f>
        <v>18</v>
      </c>
      <c r="F26" s="21">
        <v>22</v>
      </c>
      <c r="G26" s="23" t="str" cm="1">
        <f t="array" ref="G26" xml:space="preserve"> INDEX(十五音韻母清單!$B$6:$K$105, $C26, G$2)</f>
        <v>iak</v>
      </c>
      <c r="H26" s="23" t="str" cm="1">
        <f t="array" ref="H26" xml:space="preserve"> INDEX(十五音韻母清單!$B$6:$K$105, '韻母碼 (台羅)'!$C26,'韻母碼 (台羅)'!H$2)</f>
        <v>iak̚</v>
      </c>
      <c r="I26" s="21" t="str" cm="1">
        <f t="array" ref="I26" xml:space="preserve"> INDEX(十五音韻母清單!$B$6:$K$105, $C26, I$2)</f>
        <v>姜</v>
      </c>
      <c r="J26" s="23" t="str" cm="1">
        <f t="array" ref="J26" xml:space="preserve"> INDEX(十五音韻母清單!$B$6:$K$105, '韻母碼 (台羅)'!$C26,'韻母碼 (台羅)'!J$2)</f>
        <v>iak</v>
      </c>
      <c r="K26" s="23" t="str" cm="1">
        <f t="array" ref="K26" xml:space="preserve"> INDEX(十五音韻母清單!$B$6:$K$105, '韻母碼 (台羅)'!$C26,'韻母碼 (台羅)'!K$2)</f>
        <v>iak</v>
      </c>
      <c r="L26" s="23" t="str" cm="1">
        <f t="array" ref="L26" xml:space="preserve"> INDEX(十五音韻母清單!$B$6:$K$105, '韻母碼 (台羅)'!$C26,'韻母碼 (台羅)'!L$2)</f>
        <v>iak</v>
      </c>
      <c r="M26" s="23" t="str" cm="1">
        <f t="array" ref="M26" xml:space="preserve"> INDEX(十五音韻母清單!$B$6:$K$105, '韻母碼 (台羅)'!$C26,'韻母碼 (台羅)'!M$2)</f>
        <v>ㄧㄚㆻ</v>
      </c>
    </row>
    <row r="27" spans="2:13" ht="29">
      <c r="B27" s="22" t="s">
        <v>359</v>
      </c>
      <c r="C27" s="21">
        <f xml:space="preserve"> MATCH(B27, 十五音韻母清單!$I$6:$I$105,0)</f>
        <v>43</v>
      </c>
      <c r="D27" s="21" cm="1">
        <f t="array" ref="D27" xml:space="preserve"> INDEX(十五音韻母清單!$B$6:$K$105, $C27, D$2)</f>
        <v>22</v>
      </c>
      <c r="F27" s="21">
        <v>23</v>
      </c>
      <c r="G27" s="23" t="str" cm="1">
        <f t="array" ref="G27" xml:space="preserve"> INDEX(十五音韻母清單!$B$6:$K$105, $C27, G$2)</f>
        <v>iam</v>
      </c>
      <c r="H27" s="23" t="str" cm="1">
        <f t="array" ref="H27" xml:space="preserve"> INDEX(十五音韻母清單!$B$6:$K$105, '韻母碼 (台羅)'!$C27,'韻母碼 (台羅)'!H$2)</f>
        <v>iam</v>
      </c>
      <c r="I27" s="21" t="str" cm="1">
        <f t="array" ref="I27" xml:space="preserve"> INDEX(十五音韻母清單!$B$6:$K$105, $C27, I$2)</f>
        <v>兼</v>
      </c>
      <c r="J27" s="23" t="str" cm="1">
        <f t="array" ref="J27" xml:space="preserve"> INDEX(十五音韻母清單!$B$6:$K$105, '韻母碼 (台羅)'!$C27,'韻母碼 (台羅)'!J$2)</f>
        <v>iam</v>
      </c>
      <c r="K27" s="23" t="str" cm="1">
        <f t="array" ref="K27" xml:space="preserve"> INDEX(十五音韻母清單!$B$6:$K$105, '韻母碼 (台羅)'!$C27,'韻母碼 (台羅)'!K$2)</f>
        <v>iam</v>
      </c>
      <c r="L27" s="23" t="str" cm="1">
        <f t="array" ref="L27" xml:space="preserve"> INDEX(十五音韻母清單!$B$6:$K$105, '韻母碼 (台羅)'!$C27,'韻母碼 (台羅)'!L$2)</f>
        <v>iam</v>
      </c>
      <c r="M27" s="23" t="str" cm="1">
        <f t="array" ref="M27" xml:space="preserve"> INDEX(十五音韻母清單!$B$6:$K$105, '韻母碼 (台羅)'!$C27,'韻母碼 (台羅)'!M$2)</f>
        <v>ㄧㆰ</v>
      </c>
    </row>
    <row r="28" spans="2:13" ht="29">
      <c r="B28" s="22" t="s">
        <v>162</v>
      </c>
      <c r="C28" s="21">
        <f xml:space="preserve"> MATCH(B28, 十五音韻母清單!$I$6:$I$105,0)</f>
        <v>3</v>
      </c>
      <c r="D28" s="21" cm="1">
        <f t="array" ref="D28" xml:space="preserve"> INDEX(十五音韻母清單!$B$6:$K$105, $C28, D$2)</f>
        <v>2</v>
      </c>
      <c r="F28" s="21">
        <v>24</v>
      </c>
      <c r="G28" s="23" t="str" cm="1">
        <f t="array" ref="G28" xml:space="preserve"> INDEX(十五音韻母清單!$B$6:$K$105, $C28, G$2)</f>
        <v>ian</v>
      </c>
      <c r="H28" s="23" t="str" cm="1">
        <f t="array" ref="H28" xml:space="preserve"> INDEX(十五音韻母清單!$B$6:$K$105, '韻母碼 (台羅)'!$C28,'韻母碼 (台羅)'!H$2)</f>
        <v>ian</v>
      </c>
      <c r="I28" s="21" t="str" cm="1">
        <f t="array" ref="I28" xml:space="preserve"> INDEX(十五音韻母清單!$B$6:$K$105, $C28, I$2)</f>
        <v>堅</v>
      </c>
      <c r="J28" s="23" t="str" cm="1">
        <f t="array" ref="J28" xml:space="preserve"> INDEX(十五音韻母清單!$B$6:$K$105, '韻母碼 (台羅)'!$C28,'韻母碼 (台羅)'!J$2)</f>
        <v>ian</v>
      </c>
      <c r="K28" s="23" t="str" cm="1">
        <f t="array" ref="K28" xml:space="preserve"> INDEX(十五音韻母清單!$B$6:$K$105, '韻母碼 (台羅)'!$C28,'韻母碼 (台羅)'!K$2)</f>
        <v>ian</v>
      </c>
      <c r="L28" s="23" t="str" cm="1">
        <f t="array" ref="L28" xml:space="preserve"> INDEX(十五音韻母清單!$B$6:$K$105, '韻母碼 (台羅)'!$C28,'韻母碼 (台羅)'!L$2)</f>
        <v>ian</v>
      </c>
      <c r="M28" s="23" t="str" cm="1">
        <f t="array" ref="M28" xml:space="preserve"> INDEX(十五音韻母清單!$B$6:$K$105, '韻母碼 (台羅)'!$C28,'韻母碼 (台羅)'!M$2)</f>
        <v>ㄧㄢ</v>
      </c>
    </row>
    <row r="29" spans="2:13" ht="29">
      <c r="B29" s="22" t="s">
        <v>324</v>
      </c>
      <c r="C29" s="21">
        <f xml:space="preserve"> MATCH(B29, 十五音韻母清單!$I$6:$I$105,0)</f>
        <v>35</v>
      </c>
      <c r="D29" s="21" cm="1">
        <f t="array" ref="D29" xml:space="preserve"> INDEX(十五音韻母清單!$B$6:$K$105, $C29, D$2)</f>
        <v>18</v>
      </c>
      <c r="F29" s="21">
        <v>25</v>
      </c>
      <c r="G29" s="23" t="str" cm="1">
        <f t="array" ref="G29" xml:space="preserve"> INDEX(十五音韻母清單!$B$6:$K$105, $C29, G$2)</f>
        <v>iang</v>
      </c>
      <c r="H29" s="23" t="str" cm="1">
        <f t="array" ref="H29" xml:space="preserve"> INDEX(十五音韻母清單!$B$6:$K$105, '韻母碼 (台羅)'!$C29,'韻母碼 (台羅)'!H$2)</f>
        <v>iaŋ</v>
      </c>
      <c r="I29" s="21" t="str" cm="1">
        <f t="array" ref="I29" xml:space="preserve"> INDEX(十五音韻母清單!$B$6:$K$105, $C29, I$2)</f>
        <v>姜</v>
      </c>
      <c r="J29" s="23" t="str" cm="1">
        <f t="array" ref="J29" xml:space="preserve"> INDEX(十五音韻母清單!$B$6:$K$105, '韻母碼 (台羅)'!$C29,'韻母碼 (台羅)'!J$2)</f>
        <v>iang</v>
      </c>
      <c r="K29" s="23" t="str" cm="1">
        <f t="array" ref="K29" xml:space="preserve"> INDEX(十五音韻母清單!$B$6:$K$105, '韻母碼 (台羅)'!$C29,'韻母碼 (台羅)'!K$2)</f>
        <v>iang</v>
      </c>
      <c r="L29" s="23" t="str" cm="1">
        <f t="array" ref="L29" xml:space="preserve"> INDEX(十五音韻母清單!$B$6:$K$105, '韻母碼 (台羅)'!$C29,'韻母碼 (台羅)'!L$2)</f>
        <v>iang</v>
      </c>
      <c r="M29" s="23" t="str" cm="1">
        <f t="array" ref="M29" xml:space="preserve"> INDEX(十五音韻母清單!$B$6:$K$105, '韻母碼 (台羅)'!$C29,'韻母碼 (台羅)'!M$2)</f>
        <v>ㄧㄤ</v>
      </c>
    </row>
    <row r="30" spans="2:13" ht="29">
      <c r="B30" s="99" t="s">
        <v>519</v>
      </c>
      <c r="C30" s="100">
        <f xml:space="preserve"> MATCH(B30, 十五音韻母清單!$I$6:$I$105,0)</f>
        <v>71</v>
      </c>
      <c r="D30" s="100" cm="1">
        <f t="array" ref="D30" xml:space="preserve"> INDEX(十五音韻母清單!$B$6:$K$105, $C30, D$2)</f>
        <v>36</v>
      </c>
      <c r="F30" s="21">
        <v>26</v>
      </c>
      <c r="G30" s="101" t="str" cm="1">
        <f t="array" ref="G30" xml:space="preserve"> INDEX(十五音韻母清單!$B$6:$K$105, $C30, G$2)</f>
        <v>iann</v>
      </c>
      <c r="H30" s="101" t="str" cm="1">
        <f t="array" ref="H30" xml:space="preserve"> INDEX(十五音韻母清單!$B$6:$K$105, '韻母碼 (台羅)'!$C30,'韻母碼 (台羅)'!H$2)</f>
        <v>ĩã</v>
      </c>
      <c r="I30" s="100" t="str" cm="1">
        <f t="array" ref="I30" xml:space="preserve"> INDEX(十五音韻母清單!$B$6:$K$105, $C30, I$2)</f>
        <v>驚</v>
      </c>
      <c r="J30" s="101" t="str" cm="1">
        <f t="array" ref="J30" xml:space="preserve"> INDEX(十五音韻母清單!$B$6:$K$105, '韻母碼 (台羅)'!$C30,'韻母碼 (台羅)'!J$2)</f>
        <v>iaⁿ</v>
      </c>
      <c r="K30" s="101" t="str" cm="1">
        <f t="array" ref="K30" xml:space="preserve"> INDEX(十五音韻母清單!$B$6:$K$105, '韻母碼 (台羅)'!$C30,'韻母碼 (台羅)'!K$2)</f>
        <v>iann</v>
      </c>
      <c r="L30" s="101" t="str" cm="1">
        <f t="array" ref="L30" xml:space="preserve"> INDEX(十五音韻母清單!$B$6:$K$105, '韻母碼 (台羅)'!$C30,'韻母碼 (台羅)'!L$2)</f>
        <v>nia</v>
      </c>
      <c r="M30" s="101" t="str" cm="1">
        <f t="array" ref="M30" xml:space="preserve"> INDEX(十五音韻母清單!$B$6:$K$105, '韻母碼 (台羅)'!$C30,'韻母碼 (台羅)'!M$2)</f>
        <v>ㄧㆩ</v>
      </c>
    </row>
    <row r="31" spans="2:13" ht="29">
      <c r="B31" s="99" t="s">
        <v>520</v>
      </c>
      <c r="C31" s="100">
        <f xml:space="preserve"> MATCH(B31, 十五音韻母清單!$I$6:$I$105,0)</f>
        <v>72</v>
      </c>
      <c r="D31" s="100" cm="1">
        <f t="array" ref="D31" xml:space="preserve"> INDEX(十五音韻母清單!$B$6:$K$105, $C31, D$2)</f>
        <v>36</v>
      </c>
      <c r="F31" s="21">
        <v>27</v>
      </c>
      <c r="G31" s="101" t="str" cm="1">
        <f t="array" ref="G31" xml:space="preserve"> INDEX(十五音韻母清單!$B$6:$K$105, $C31, G$2)</f>
        <v>iannh</v>
      </c>
      <c r="H31" s="101" t="str" cm="1">
        <f t="array" ref="H31" xml:space="preserve"> INDEX(十五音韻母清單!$B$6:$K$105, '韻母碼 (台羅)'!$C31,'韻母碼 (台羅)'!H$2)</f>
        <v>iãh</v>
      </c>
      <c r="I31" s="100" t="str" cm="1">
        <f t="array" ref="I31" xml:space="preserve"> INDEX(十五音韻母清單!$B$6:$K$105, $C31, I$2)</f>
        <v>驚</v>
      </c>
      <c r="J31" s="101" t="str" cm="1">
        <f t="array" ref="J31" xml:space="preserve"> INDEX(十五音韻母清單!$B$6:$K$105, '韻母碼 (台羅)'!$C31,'韻母碼 (台羅)'!J$2)</f>
        <v>iahⁿ</v>
      </c>
      <c r="K31" s="101" t="str" cm="1">
        <f t="array" ref="K31" xml:space="preserve"> INDEX(十五音韻母清單!$B$6:$K$105, '韻母碼 (台羅)'!$C31,'韻母碼 (台羅)'!K$2)</f>
        <v>iannh</v>
      </c>
      <c r="L31" s="101" t="str" cm="1">
        <f t="array" ref="L31" xml:space="preserve"> INDEX(十五音韻母清單!$B$6:$K$105, '韻母碼 (台羅)'!$C31,'韻母碼 (台羅)'!L$2)</f>
        <v>niah</v>
      </c>
      <c r="M31" s="101" t="str" cm="1">
        <f t="array" ref="M31" xml:space="preserve"> INDEX(十五音韻母清單!$B$6:$K$105, '韻母碼 (台羅)'!$C31,'韻母碼 (台羅)'!M$2)</f>
        <v>ㄧㆩㆷ</v>
      </c>
    </row>
    <row r="32" spans="2:13" ht="29">
      <c r="B32" s="22" t="s">
        <v>360</v>
      </c>
      <c r="C32" s="21">
        <f xml:space="preserve"> MATCH(B32, 十五音韻母清單!$I$6:$I$105,0)</f>
        <v>44</v>
      </c>
      <c r="D32" s="21" cm="1">
        <f t="array" ref="D32" xml:space="preserve"> INDEX(十五音韻母清單!$B$6:$K$105, $C32, D$2)</f>
        <v>22</v>
      </c>
      <c r="F32" s="21">
        <v>28</v>
      </c>
      <c r="G32" s="23" t="str" cm="1">
        <f t="array" ref="G32" xml:space="preserve"> INDEX(十五音韻母清單!$B$6:$K$105, $C32, G$2)</f>
        <v>iap</v>
      </c>
      <c r="H32" s="23" t="str" cm="1">
        <f t="array" ref="H32" xml:space="preserve"> INDEX(十五音韻母清單!$B$6:$K$105, '韻母碼 (台羅)'!$C32,'韻母碼 (台羅)'!H$2)</f>
        <v>iap̚</v>
      </c>
      <c r="I32" s="21" t="str" cm="1">
        <f t="array" ref="I32" xml:space="preserve"> INDEX(十五音韻母清單!$B$6:$K$105, $C32, I$2)</f>
        <v>兼</v>
      </c>
      <c r="J32" s="23" t="str" cm="1">
        <f t="array" ref="J32" xml:space="preserve"> INDEX(十五音韻母清單!$B$6:$K$105, '韻母碼 (台羅)'!$C32,'韻母碼 (台羅)'!J$2)</f>
        <v>iap</v>
      </c>
      <c r="K32" s="23" t="str" cm="1">
        <f t="array" ref="K32" xml:space="preserve"> INDEX(十五音韻母清單!$B$6:$K$105, '韻母碼 (台羅)'!$C32,'韻母碼 (台羅)'!K$2)</f>
        <v>iap</v>
      </c>
      <c r="L32" s="23" t="str" cm="1">
        <f t="array" ref="L32" xml:space="preserve"> INDEX(十五音韻母清單!$B$6:$K$105, '韻母碼 (台羅)'!$C32,'韻母碼 (台羅)'!L$2)</f>
        <v>iap</v>
      </c>
      <c r="M32" s="23" t="str" cm="1">
        <f t="array" ref="M32" xml:space="preserve"> INDEX(十五音韻母清單!$B$6:$K$105, '韻母碼 (台羅)'!$C32,'韻母碼 (台羅)'!M$2)</f>
        <v>ㄧㄚㆴ</v>
      </c>
    </row>
    <row r="33" spans="2:13" ht="29">
      <c r="B33" s="22" t="s">
        <v>163</v>
      </c>
      <c r="C33" s="21">
        <f xml:space="preserve"> MATCH(B33, 十五音韻母清單!$I$6:$I$105,0)</f>
        <v>4</v>
      </c>
      <c r="D33" s="21" cm="1">
        <f t="array" ref="D33" xml:space="preserve"> INDEX(十五音韻母清單!$B$6:$K$105, $C33, D$2)</f>
        <v>2</v>
      </c>
      <c r="F33" s="21">
        <v>29</v>
      </c>
      <c r="G33" s="23" t="str" cm="1">
        <f t="array" ref="G33" xml:space="preserve"> INDEX(十五音韻母清單!$B$6:$K$105, $C33, G$2)</f>
        <v>iat</v>
      </c>
      <c r="H33" s="23" t="str" cm="1">
        <f t="array" ref="H33" xml:space="preserve"> INDEX(十五音韻母清單!$B$6:$K$105, '韻母碼 (台羅)'!$C33,'韻母碼 (台羅)'!H$2)</f>
        <v>iat̚</v>
      </c>
      <c r="I33" s="21" t="str" cm="1">
        <f t="array" ref="I33" xml:space="preserve"> INDEX(十五音韻母清單!$B$6:$K$105, $C33, I$2)</f>
        <v>堅</v>
      </c>
      <c r="J33" s="23" t="str" cm="1">
        <f t="array" ref="J33" xml:space="preserve"> INDEX(十五音韻母清單!$B$6:$K$105, '韻母碼 (台羅)'!$C33,'韻母碼 (台羅)'!J$2)</f>
        <v>iat</v>
      </c>
      <c r="K33" s="23" t="str" cm="1">
        <f t="array" ref="K33" xml:space="preserve"> INDEX(十五音韻母清單!$B$6:$K$105, '韻母碼 (台羅)'!$C33,'韻母碼 (台羅)'!K$2)</f>
        <v>iat</v>
      </c>
      <c r="L33" s="23" t="str" cm="1">
        <f t="array" ref="L33" xml:space="preserve"> INDEX(十五音韻母清單!$B$6:$K$105, '韻母碼 (台羅)'!$C33,'韻母碼 (台羅)'!L$2)</f>
        <v>iat</v>
      </c>
      <c r="M33" s="23" t="str" cm="1">
        <f t="array" ref="M33" xml:space="preserve"> INDEX(十五音韻母清單!$B$6:$K$105, '韻母碼 (台羅)'!$C33,'韻母碼 (台羅)'!M$2)</f>
        <v>ㄧㄚㆵ</v>
      </c>
    </row>
    <row r="34" spans="2:13" ht="29">
      <c r="B34" s="22" t="s">
        <v>265</v>
      </c>
      <c r="C34" s="21">
        <f xml:space="preserve"> MATCH(B34, 十五音韻母清單!$I$6:$I$105,0)</f>
        <v>23</v>
      </c>
      <c r="D34" s="21" cm="1">
        <f t="array" ref="D34" xml:space="preserve"> INDEX(十五音韻母清單!$B$6:$K$105, $C34, D$2)</f>
        <v>12</v>
      </c>
      <c r="F34" s="21">
        <v>30</v>
      </c>
      <c r="G34" s="23" t="str" cm="1">
        <f t="array" ref="G34" xml:space="preserve"> INDEX(十五音韻母清單!$B$6:$K$105, $C34, G$2)</f>
        <v>iau</v>
      </c>
      <c r="H34" s="23" t="str" cm="1">
        <f t="array" ref="H34" xml:space="preserve"> INDEX(十五音韻母清單!$B$6:$K$105, '韻母碼 (台羅)'!$C34,'韻母碼 (台羅)'!H$2)</f>
        <v>iaʊ</v>
      </c>
      <c r="I34" s="21" t="str" cm="1">
        <f t="array" ref="I34" xml:space="preserve"> INDEX(十五音韻母清單!$B$6:$K$105, $C34, I$2)</f>
        <v>嬌</v>
      </c>
      <c r="J34" s="23" t="str" cm="1">
        <f t="array" ref="J34" xml:space="preserve"> INDEX(十五音韻母清單!$B$6:$K$105, '韻母碼 (台羅)'!$C34,'韻母碼 (台羅)'!J$2)</f>
        <v>iau</v>
      </c>
      <c r="K34" s="23" t="str" cm="1">
        <f t="array" ref="K34" xml:space="preserve"> INDEX(十五音韻母清單!$B$6:$K$105, '韻母碼 (台羅)'!$C34,'韻母碼 (台羅)'!K$2)</f>
        <v>iau</v>
      </c>
      <c r="L34" s="23" t="str" cm="1">
        <f t="array" ref="L34" xml:space="preserve"> INDEX(十五音韻母清單!$B$6:$K$105, '韻母碼 (台羅)'!$C34,'韻母碼 (台羅)'!L$2)</f>
        <v>iao</v>
      </c>
      <c r="M34" s="23" t="str" cm="1">
        <f t="array" ref="M34" xml:space="preserve"> INDEX(十五音韻母清單!$B$6:$K$105, '韻母碼 (台羅)'!$C34,'韻母碼 (台羅)'!M$2)</f>
        <v>ㄧㄠ</v>
      </c>
    </row>
    <row r="35" spans="2:13" ht="29">
      <c r="B35" s="22" t="s">
        <v>266</v>
      </c>
      <c r="C35" s="21">
        <f xml:space="preserve"> MATCH(B35, 十五音韻母清單!$I$6:$I$105,0)</f>
        <v>24</v>
      </c>
      <c r="D35" s="21" cm="1">
        <f t="array" ref="D35" xml:space="preserve"> INDEX(十五音韻母清單!$B$6:$K$105, $C35, D$2)</f>
        <v>12</v>
      </c>
      <c r="F35" s="21">
        <v>31</v>
      </c>
      <c r="G35" s="23" t="str" cm="1">
        <f t="array" ref="G35" xml:space="preserve"> INDEX(十五音韻母清單!$B$6:$K$105, $C35, G$2)</f>
        <v>iauh</v>
      </c>
      <c r="H35" s="23" t="str" cm="1">
        <f t="array" ref="H35" xml:space="preserve"> INDEX(十五音韻母清單!$B$6:$K$105, '韻母碼 (台羅)'!$C35,'韻母碼 (台羅)'!H$2)</f>
        <v>iau?</v>
      </c>
      <c r="I35" s="21" t="str" cm="1">
        <f t="array" ref="I35" xml:space="preserve"> INDEX(十五音韻母清單!$B$6:$K$105, $C35, I$2)</f>
        <v>嬌</v>
      </c>
      <c r="J35" s="23" t="str" cm="1">
        <f t="array" ref="J35" xml:space="preserve"> INDEX(十五音韻母清單!$B$6:$K$105, '韻母碼 (台羅)'!$C35,'韻母碼 (台羅)'!J$2)</f>
        <v>iauh</v>
      </c>
      <c r="K35" s="23" t="str" cm="1">
        <f t="array" ref="K35" xml:space="preserve"> INDEX(十五音韻母清單!$B$6:$K$105, '韻母碼 (台羅)'!$C35,'韻母碼 (台羅)'!K$2)</f>
        <v>iauh</v>
      </c>
      <c r="L35" s="23" t="str" cm="1">
        <f t="array" ref="L35" xml:space="preserve"> INDEX(十五音韻母清單!$B$6:$K$105, '韻母碼 (台羅)'!$C35,'韻母碼 (台羅)'!L$2)</f>
        <v>iaoh</v>
      </c>
      <c r="M35" s="23" t="str" cm="1">
        <f t="array" ref="M35" xml:space="preserve"> INDEX(十五音韻母清單!$B$6:$K$105, '韻母碼 (台羅)'!$C35,'韻母碼 (台羅)'!M$2)</f>
        <v>ㄧㄠㆷ</v>
      </c>
    </row>
    <row r="36" spans="2:13" ht="29">
      <c r="B36" s="22" t="s">
        <v>637</v>
      </c>
      <c r="C36" s="21">
        <f xml:space="preserve"> MATCH(B36, 十五音韻母清單!$I$6:$I$105,0)</f>
        <v>91</v>
      </c>
      <c r="D36" s="21" cm="1">
        <f t="array" ref="D36" xml:space="preserve"> INDEX(十五音韻母清單!$B$6:$K$105, $C36, D$2)</f>
        <v>46</v>
      </c>
      <c r="F36" s="21">
        <v>32</v>
      </c>
      <c r="G36" s="23" t="str" cm="1">
        <f t="array" ref="G36" xml:space="preserve"> INDEX(十五音韻母清單!$B$6:$K$105, $C36, G$2)</f>
        <v>iaunn</v>
      </c>
      <c r="H36" s="23" t="str" cm="1">
        <f t="array" ref="H36" xml:space="preserve"> INDEX(十五音韻母清單!$B$6:$K$105, '韻母碼 (台羅)'!$C36,'韻母碼 (台羅)'!H$2)</f>
        <v>ĩãũ</v>
      </c>
      <c r="I36" s="21" t="str" cm="1">
        <f t="array" ref="I36" xml:space="preserve"> INDEX(十五音韻母清單!$B$6:$K$105, $C36, I$2)</f>
        <v>嘄</v>
      </c>
      <c r="J36" s="23" t="str" cm="1">
        <f t="array" ref="J36" xml:space="preserve"> INDEX(十五音韻母清單!$B$6:$K$105, '韻母碼 (台羅)'!$C36,'韻母碼 (台羅)'!J$2)</f>
        <v>iauⁿ</v>
      </c>
      <c r="K36" s="23" t="str" cm="1">
        <f t="array" ref="K36" xml:space="preserve"> INDEX(十五音韻母清單!$B$6:$K$105, '韻母碼 (台羅)'!$C36,'韻母碼 (台羅)'!K$2)</f>
        <v>iaunn</v>
      </c>
      <c r="L36" s="23" t="str" cm="1">
        <f t="array" ref="L36" xml:space="preserve"> INDEX(十五音韻母清單!$B$6:$K$105, '韻母碼 (台羅)'!$C36,'韻母碼 (台羅)'!L$2)</f>
        <v>niao</v>
      </c>
      <c r="M36" s="23" t="str" cm="1">
        <f t="array" ref="M36" xml:space="preserve"> INDEX(十五音韻母清單!$B$6:$K$105, '韻母碼 (台羅)'!$C36,'韻母碼 (台羅)'!M$2)</f>
        <v>ㄧㆯ</v>
      </c>
    </row>
    <row r="37" spans="2:13" ht="29">
      <c r="B37" s="22" t="s">
        <v>433</v>
      </c>
      <c r="C37" s="21">
        <f xml:space="preserve"> MATCH(B37, 十五音韻母清單!$I$6:$I$105,0)</f>
        <v>58</v>
      </c>
      <c r="D37" s="21" cm="1">
        <f t="array" ref="D37" xml:space="preserve"> INDEX(十五音韻母清單!$B$6:$K$105, $C37, D$2)</f>
        <v>29</v>
      </c>
      <c r="F37" s="21">
        <v>33</v>
      </c>
      <c r="G37" s="23" t="str" cm="1">
        <f t="array" ref="G37" xml:space="preserve"> INDEX(十五音韻母清單!$B$6:$K$105, $C37, G$2)</f>
        <v>ih</v>
      </c>
      <c r="H37" s="23" t="str" cm="1">
        <f t="array" ref="H37" xml:space="preserve"> INDEX(十五音韻母清單!$B$6:$K$105, '韻母碼 (台羅)'!$C37,'韻母碼 (台羅)'!H$2)</f>
        <v>i?</v>
      </c>
      <c r="I37" s="21" t="str" cm="1">
        <f t="array" ref="I37" xml:space="preserve"> INDEX(十五音韻母清單!$B$6:$K$105, $C37, I$2)</f>
        <v>居</v>
      </c>
      <c r="J37" s="23" t="str" cm="1">
        <f t="array" ref="J37" xml:space="preserve"> INDEX(十五音韻母清單!$B$6:$K$105, '韻母碼 (台羅)'!$C37,'韻母碼 (台羅)'!J$2)</f>
        <v>ih</v>
      </c>
      <c r="K37" s="23" t="str" cm="1">
        <f t="array" ref="K37" xml:space="preserve"> INDEX(十五音韻母清單!$B$6:$K$105, '韻母碼 (台羅)'!$C37,'韻母碼 (台羅)'!K$2)</f>
        <v>ih</v>
      </c>
      <c r="L37" s="23" t="str" cm="1">
        <f t="array" ref="L37" xml:space="preserve"> INDEX(十五音韻母清單!$B$6:$K$105, '韻母碼 (台羅)'!$C37,'韻母碼 (台羅)'!L$2)</f>
        <v>ih</v>
      </c>
      <c r="M37" s="23" t="str" cm="1">
        <f t="array" ref="M37" xml:space="preserve"> INDEX(十五音韻母清單!$B$6:$K$105, '韻母碼 (台羅)'!$C37,'韻母碼 (台羅)'!M$2)</f>
        <v>ㄧㆷ</v>
      </c>
    </row>
    <row r="38" spans="2:13" ht="29">
      <c r="B38" s="22" t="s">
        <v>232</v>
      </c>
      <c r="C38" s="21">
        <f xml:space="preserve"> MATCH(B38, 十五音韻母清單!$I$6:$I$105,0)</f>
        <v>18</v>
      </c>
      <c r="D38" s="21" cm="1">
        <f t="array" ref="D38" xml:space="preserve"> INDEX(十五音韻母清單!$B$6:$K$105, $C38, D$2)</f>
        <v>9</v>
      </c>
      <c r="F38" s="21">
        <v>34</v>
      </c>
      <c r="G38" s="23" t="str" cm="1">
        <f t="array" ref="G38" xml:space="preserve"> INDEX(十五音韻母清單!$B$6:$K$105, $C38, G$2)</f>
        <v>ik</v>
      </c>
      <c r="H38" s="23" t="str" cm="1">
        <f t="array" ref="H38" xml:space="preserve"> INDEX(十五音韻母清單!$B$6:$K$105, '韻母碼 (台羅)'!$C38,'韻母碼 (台羅)'!H$2)</f>
        <v>ik̚</v>
      </c>
      <c r="I38" s="21" t="str" cm="1">
        <f t="array" ref="I38" xml:space="preserve"> INDEX(十五音韻母清單!$B$6:$K$105, $C38, I$2)</f>
        <v>經</v>
      </c>
      <c r="J38" s="23" t="str" cm="1">
        <f t="array" ref="J38" xml:space="preserve"> INDEX(十五音韻母清單!$B$6:$K$105, '韻母碼 (台羅)'!$C38,'韻母碼 (台羅)'!J$2)</f>
        <v>ek</v>
      </c>
      <c r="K38" s="23" t="str" cm="1">
        <f t="array" ref="K38" xml:space="preserve"> INDEX(十五音韻母清單!$B$6:$K$105, '韻母碼 (台羅)'!$C38,'韻母碼 (台羅)'!K$2)</f>
        <v>ik</v>
      </c>
      <c r="L38" s="23" t="str" cm="1">
        <f t="array" ref="L38" xml:space="preserve"> INDEX(十五音韻母清單!$B$6:$K$105, '韻母碼 (台羅)'!$C38,'韻母碼 (台羅)'!L$2)</f>
        <v>ik</v>
      </c>
      <c r="M38" s="23" t="str" cm="1">
        <f t="array" ref="M38" xml:space="preserve"> INDEX(十五音韻母清單!$B$6:$K$105, '韻母碼 (台羅)'!$C38,'韻母碼 (台羅)'!M$2)</f>
        <v>ㄧㆻ</v>
      </c>
    </row>
    <row r="39" spans="2:13" ht="29">
      <c r="B39" s="22" t="s">
        <v>171</v>
      </c>
      <c r="C39" s="21">
        <f xml:space="preserve"> MATCH(B39, 十五音韻母清單!$I$6:$I$105,0)</f>
        <v>5</v>
      </c>
      <c r="D39" s="21" cm="1">
        <f t="array" ref="D39" xml:space="preserve"> INDEX(十五音韻母清單!$B$6:$K$105, $C39, D$2)</f>
        <v>3</v>
      </c>
      <c r="F39" s="21">
        <v>35</v>
      </c>
      <c r="G39" s="23" t="str" cm="1">
        <f t="array" ref="G39" xml:space="preserve"> INDEX(十五音韻母清單!$B$6:$K$105, $C39, G$2)</f>
        <v>im</v>
      </c>
      <c r="H39" s="23" t="str" cm="1">
        <f t="array" ref="H39" xml:space="preserve"> INDEX(十五音韻母清單!$B$6:$K$105, '韻母碼 (台羅)'!$C39,'韻母碼 (台羅)'!H$2)</f>
        <v>im</v>
      </c>
      <c r="I39" s="21" t="str" cm="1">
        <f t="array" ref="I39" xml:space="preserve"> INDEX(十五音韻母清單!$B$6:$K$105, $C39, I$2)</f>
        <v>金</v>
      </c>
      <c r="J39" s="23" t="str" cm="1">
        <f t="array" ref="J39" xml:space="preserve"> INDEX(十五音韻母清單!$B$6:$K$105, '韻母碼 (台羅)'!$C39,'韻母碼 (台羅)'!J$2)</f>
        <v>im</v>
      </c>
      <c r="K39" s="23" t="str" cm="1">
        <f t="array" ref="K39" xml:space="preserve"> INDEX(十五音韻母清單!$B$6:$K$105, '韻母碼 (台羅)'!$C39,'韻母碼 (台羅)'!K$2)</f>
        <v>im</v>
      </c>
      <c r="L39" s="23" t="str" cm="1">
        <f t="array" ref="L39" xml:space="preserve"> INDEX(十五音韻母清單!$B$6:$K$105, '韻母碼 (台羅)'!$C39,'韻母碼 (台羅)'!L$2)</f>
        <v>im</v>
      </c>
      <c r="M39" s="23" t="str" cm="1">
        <f t="array" ref="M39" xml:space="preserve"> INDEX(十五音韻母清單!$B$6:$K$105, '韻母碼 (台羅)'!$C39,'韻母碼 (台羅)'!M$2)</f>
        <v>ㄧㆬ</v>
      </c>
    </row>
    <row r="40" spans="2:13" ht="29">
      <c r="B40" s="22" t="s">
        <v>317</v>
      </c>
      <c r="C40" s="21">
        <f xml:space="preserve"> MATCH(B40, 十五音韻母清單!$I$6:$I$105,0)</f>
        <v>33</v>
      </c>
      <c r="D40" s="21" cm="1">
        <f t="array" ref="D40" xml:space="preserve"> INDEX(十五音韻母清單!$B$6:$K$105, $C40, D$2)</f>
        <v>17</v>
      </c>
      <c r="F40" s="21">
        <v>36</v>
      </c>
      <c r="G40" s="23" t="str" cm="1">
        <f t="array" ref="G40" xml:space="preserve"> INDEX(十五音韻母清單!$B$6:$K$105, $C40, G$2)</f>
        <v>in</v>
      </c>
      <c r="H40" s="23" t="str" cm="1">
        <f t="array" ref="H40" xml:space="preserve"> INDEX(十五音韻母清單!$B$6:$K$105, '韻母碼 (台羅)'!$C40,'韻母碼 (台羅)'!H$2)</f>
        <v>in</v>
      </c>
      <c r="I40" s="21" t="str" cm="1">
        <f t="array" ref="I40" xml:space="preserve"> INDEX(十五音韻母清單!$B$6:$K$105, $C40, I$2)</f>
        <v>巾</v>
      </c>
      <c r="J40" s="23" t="str" cm="1">
        <f t="array" ref="J40" xml:space="preserve"> INDEX(十五音韻母清單!$B$6:$K$105, '韻母碼 (台羅)'!$C40,'韻母碼 (台羅)'!J$2)</f>
        <v>in</v>
      </c>
      <c r="K40" s="23" t="str" cm="1">
        <f t="array" ref="K40" xml:space="preserve"> INDEX(十五音韻母清單!$B$6:$K$105, '韻母碼 (台羅)'!$C40,'韻母碼 (台羅)'!K$2)</f>
        <v>in</v>
      </c>
      <c r="L40" s="23" t="str" cm="1">
        <f t="array" ref="L40" xml:space="preserve"> INDEX(十五音韻母清單!$B$6:$K$105, '韻母碼 (台羅)'!$C40,'韻母碼 (台羅)'!L$2)</f>
        <v>in</v>
      </c>
      <c r="M40" s="23" t="str" cm="1">
        <f t="array" ref="M40" xml:space="preserve"> INDEX(十五音韻母清單!$B$6:$K$105, '韻母碼 (台羅)'!$C40,'韻母碼 (台羅)'!M$2)</f>
        <v>ㄧㄣ</v>
      </c>
    </row>
    <row r="41" spans="2:13" ht="29">
      <c r="B41" s="22" t="s">
        <v>231</v>
      </c>
      <c r="C41" s="21">
        <f xml:space="preserve"> MATCH(B41, 十五音韻母清單!$I$6:$I$105,0)</f>
        <v>17</v>
      </c>
      <c r="D41" s="21" cm="1">
        <f t="array" ref="D41" xml:space="preserve"> INDEX(十五音韻母清單!$B$6:$K$105, $C41, D$2)</f>
        <v>9</v>
      </c>
      <c r="F41" s="21">
        <v>37</v>
      </c>
      <c r="G41" s="23" t="str" cm="1">
        <f t="array" ref="G41" xml:space="preserve"> INDEX(十五音韻母清單!$B$6:$K$105, $C41, G$2)</f>
        <v>ing</v>
      </c>
      <c r="H41" s="23" t="str" cm="1">
        <f t="array" ref="H41" xml:space="preserve"> INDEX(十五音韻母清單!$B$6:$K$105, '韻母碼 (台羅)'!$C41,'韻母碼 (台羅)'!H$2)</f>
        <v>ɪŋ</v>
      </c>
      <c r="I41" s="21" t="str" cm="1">
        <f t="array" ref="I41" xml:space="preserve"> INDEX(十五音韻母清單!$B$6:$K$105, $C41, I$2)</f>
        <v>經</v>
      </c>
      <c r="J41" s="23" t="str" cm="1">
        <f t="array" ref="J41" xml:space="preserve"> INDEX(十五音韻母清單!$B$6:$K$105, '韻母碼 (台羅)'!$C41,'韻母碼 (台羅)'!J$2)</f>
        <v>eng</v>
      </c>
      <c r="K41" s="23" t="str" cm="1">
        <f t="array" ref="K41" xml:space="preserve"> INDEX(十五音韻母清單!$B$6:$K$105, '韻母碼 (台羅)'!$C41,'韻母碼 (台羅)'!K$2)</f>
        <v>ing</v>
      </c>
      <c r="L41" s="23" t="str" cm="1">
        <f t="array" ref="L41" xml:space="preserve"> INDEX(十五音韻母清單!$B$6:$K$105, '韻母碼 (台羅)'!$C41,'韻母碼 (台羅)'!L$2)</f>
        <v>ing</v>
      </c>
      <c r="M41" s="23" t="str" cm="1">
        <f t="array" ref="M41" xml:space="preserve"> INDEX(十五音韻母清單!$B$6:$K$105, '韻母碼 (台羅)'!$C41,'韻母碼 (台羅)'!M$2)</f>
        <v>ㄧㄥ</v>
      </c>
    </row>
    <row r="42" spans="2:13" ht="29">
      <c r="B42" s="22" t="s">
        <v>490</v>
      </c>
      <c r="C42" s="21">
        <f xml:space="preserve"> MATCH(B42, 十五音韻母清單!$I$6:$I$105,0)</f>
        <v>67</v>
      </c>
      <c r="D42" s="21" cm="1">
        <f t="array" ref="D42" xml:space="preserve"> INDEX(十五音韻母清單!$B$6:$K$105, $C42, D$2)</f>
        <v>34</v>
      </c>
      <c r="F42" s="21">
        <v>38</v>
      </c>
      <c r="G42" s="23" t="str" cm="1">
        <f t="array" ref="G42" xml:space="preserve"> INDEX(十五音韻母清單!$B$6:$K$105, $C42, G$2)</f>
        <v>inn</v>
      </c>
      <c r="H42" s="23" t="str" cm="1">
        <f t="array" ref="H42" xml:space="preserve"> INDEX(十五音韻母清單!$B$6:$K$105, '韻母碼 (台羅)'!$C42,'韻母碼 (台羅)'!H$2)</f>
        <v>ĩ</v>
      </c>
      <c r="I42" s="21" t="str" cm="1">
        <f t="array" ref="I42" xml:space="preserve"> INDEX(十五音韻母清單!$B$6:$K$105, $C42, I$2)</f>
        <v>梔</v>
      </c>
      <c r="J42" s="23" t="str" cm="1">
        <f t="array" ref="J42" xml:space="preserve"> INDEX(十五音韻母清單!$B$6:$K$105, '韻母碼 (台羅)'!$C42,'韻母碼 (台羅)'!J$2)</f>
        <v>iⁿ</v>
      </c>
      <c r="K42" s="23" t="str" cm="1">
        <f t="array" ref="K42" xml:space="preserve"> INDEX(十五音韻母清單!$B$6:$K$105, '韻母碼 (台羅)'!$C42,'韻母碼 (台羅)'!K$2)</f>
        <v>inn</v>
      </c>
      <c r="L42" s="23" t="str" cm="1">
        <f t="array" ref="L42" xml:space="preserve"> INDEX(十五音韻母清單!$B$6:$K$105, '韻母碼 (台羅)'!$C42,'韻母碼 (台羅)'!L$2)</f>
        <v>ni</v>
      </c>
      <c r="M42" s="23" t="str" cm="1">
        <f t="array" ref="M42" xml:space="preserve"> INDEX(十五音韻母清單!$B$6:$K$105, '韻母碼 (台羅)'!$C42,'韻母碼 (台羅)'!M$2)</f>
        <v>ㆪ</v>
      </c>
    </row>
    <row r="43" spans="2:13" ht="29">
      <c r="B43" s="22" t="s">
        <v>480</v>
      </c>
      <c r="C43" s="21">
        <f xml:space="preserve"> MATCH(B43, 十五音韻母清單!$I$6:$I$105,0)</f>
        <v>65</v>
      </c>
      <c r="D43" s="21" cm="1">
        <f t="array" ref="D43" xml:space="preserve"> INDEX(十五音韻母清單!$B$6:$K$105, $C43, D$2)</f>
        <v>33</v>
      </c>
      <c r="F43" s="21">
        <v>39</v>
      </c>
      <c r="G43" s="23" t="str" cm="1">
        <f t="array" ref="G43" xml:space="preserve"> INDEX(十五音韻母清單!$B$6:$K$105, $C43, G$2)</f>
        <v>io</v>
      </c>
      <c r="H43" s="23" t="str" cm="1">
        <f t="array" ref="H43" xml:space="preserve"> INDEX(十五音韻母清單!$B$6:$K$105, '韻母碼 (台羅)'!$C43,'韻母碼 (台羅)'!H$2)</f>
        <v>io</v>
      </c>
      <c r="I43" s="21" t="str" cm="1">
        <f t="array" ref="I43" xml:space="preserve"> INDEX(十五音韻母清單!$B$6:$K$105, $C43, I$2)</f>
        <v>茄</v>
      </c>
      <c r="J43" s="23" t="str" cm="1">
        <f t="array" ref="J43" xml:space="preserve"> INDEX(十五音韻母清單!$B$6:$K$105, '韻母碼 (台羅)'!$C43,'韻母碼 (台羅)'!J$2)</f>
        <v>io</v>
      </c>
      <c r="K43" s="23" t="str" cm="1">
        <f t="array" ref="K43" xml:space="preserve"> INDEX(十五音韻母清單!$B$6:$K$105, '韻母碼 (台羅)'!$C43,'韻母碼 (台羅)'!K$2)</f>
        <v>io</v>
      </c>
      <c r="L43" s="23" t="str" cm="1">
        <f t="array" ref="L43" xml:space="preserve"> INDEX(十五音韻母清單!$B$6:$K$105, '韻母碼 (台羅)'!$C43,'韻母碼 (台羅)'!L$2)</f>
        <v>io</v>
      </c>
      <c r="M43" s="23" t="str" cm="1">
        <f t="array" ref="M43" xml:space="preserve"> INDEX(十五音韻母清單!$B$6:$K$105, '韻母碼 (台羅)'!$C43,'韻母碼 (台羅)'!M$2)</f>
        <v>ㄧㄜ</v>
      </c>
    </row>
    <row r="44" spans="2:13" ht="29">
      <c r="B44" s="22" t="s">
        <v>481</v>
      </c>
      <c r="C44" s="21">
        <f xml:space="preserve"> MATCH(B44, 十五音韻母清單!$I$6:$I$105,0)</f>
        <v>66</v>
      </c>
      <c r="D44" s="21" cm="1">
        <f t="array" ref="D44" xml:space="preserve"> INDEX(十五音韻母清單!$B$6:$K$105, $C44, D$2)</f>
        <v>33</v>
      </c>
      <c r="F44" s="21">
        <v>40</v>
      </c>
      <c r="G44" s="23" t="str" cm="1">
        <f t="array" ref="G44" xml:space="preserve"> INDEX(十五音韻母清單!$B$6:$K$105, $C44, G$2)</f>
        <v>ioh</v>
      </c>
      <c r="H44" s="23" t="str" cm="1">
        <f t="array" ref="H44" xml:space="preserve"> INDEX(十五音韻母清單!$B$6:$K$105, '韻母碼 (台羅)'!$C44,'韻母碼 (台羅)'!H$2)</f>
        <v>iə?</v>
      </c>
      <c r="I44" s="21" t="str" cm="1">
        <f t="array" ref="I44" xml:space="preserve"> INDEX(十五音韻母清單!$B$6:$K$105, $C44, I$2)</f>
        <v>茄</v>
      </c>
      <c r="J44" s="23" t="str" cm="1">
        <f t="array" ref="J44" xml:space="preserve"> INDEX(十五音韻母清單!$B$6:$K$105, '韻母碼 (台羅)'!$C44,'韻母碼 (台羅)'!J$2)</f>
        <v>ioh</v>
      </c>
      <c r="K44" s="23" t="str" cm="1">
        <f t="array" ref="K44" xml:space="preserve"> INDEX(十五音韻母清單!$B$6:$K$105, '韻母碼 (台羅)'!$C44,'韻母碼 (台羅)'!K$2)</f>
        <v>ioh</v>
      </c>
      <c r="L44" s="23" t="str" cm="1">
        <f t="array" ref="L44" xml:space="preserve"> INDEX(十五音韻母清單!$B$6:$K$105, '韻母碼 (台羅)'!$C44,'韻母碼 (台羅)'!L$2)</f>
        <v>ioh</v>
      </c>
      <c r="M44" s="23" t="str" cm="1">
        <f t="array" ref="M44" xml:space="preserve"> INDEX(十五音韻母清單!$B$6:$K$105, '韻母碼 (台羅)'!$C44,'韻母碼 (台羅)'!M$2)</f>
        <v>ㄧㄜㆷ</v>
      </c>
    </row>
    <row r="45" spans="2:13" ht="29">
      <c r="B45" s="22" t="s">
        <v>290</v>
      </c>
      <c r="C45" s="21">
        <f xml:space="preserve"> MATCH(B45, 十五音韻母清單!$I$6:$I$105,0)</f>
        <v>28</v>
      </c>
      <c r="D45" s="21" cm="1">
        <f t="array" ref="D45" xml:space="preserve"> INDEX(十五音韻母清單!$B$6:$K$105, $C45, D$2)</f>
        <v>14</v>
      </c>
      <c r="F45" s="21">
        <v>41</v>
      </c>
      <c r="G45" s="23" t="str" cm="1">
        <f t="array" ref="G45" xml:space="preserve"> INDEX(十五音韻母清單!$B$6:$K$105, $C45, G$2)</f>
        <v>iok</v>
      </c>
      <c r="H45" s="23" t="str" cm="1">
        <f t="array" ref="H45" xml:space="preserve"> INDEX(十五音韻母清單!$B$6:$K$105, '韻母碼 (台羅)'!$C45,'韻母碼 (台羅)'!H$2)</f>
        <v>iɔk̚</v>
      </c>
      <c r="I45" s="21" t="str" cm="1">
        <f t="array" ref="I45" xml:space="preserve"> INDEX(十五音韻母清單!$B$6:$K$105, $C45, I$2)</f>
        <v>恭</v>
      </c>
      <c r="J45" s="23" t="str" cm="1">
        <f t="array" ref="J45" xml:space="preserve"> INDEX(十五音韻母清單!$B$6:$K$105, '韻母碼 (台羅)'!$C45,'韻母碼 (台羅)'!J$2)</f>
        <v>iok</v>
      </c>
      <c r="K45" s="23" t="str" cm="1">
        <f t="array" ref="K45" xml:space="preserve"> INDEX(十五音韻母清單!$B$6:$K$105, '韻母碼 (台羅)'!$C45,'韻母碼 (台羅)'!K$2)</f>
        <v>iok</v>
      </c>
      <c r="L45" s="23" t="str" cm="1">
        <f t="array" ref="L45" xml:space="preserve"> INDEX(十五音韻母清單!$B$6:$K$105, '韻母碼 (台羅)'!$C45,'韻母碼 (台羅)'!L$2)</f>
        <v>iok</v>
      </c>
      <c r="M45" s="23" t="str" cm="1">
        <f t="array" ref="M45" xml:space="preserve"> INDEX(十五音韻母清單!$B$6:$K$105, '韻母碼 (台羅)'!$C45,'韻母碼 (台羅)'!M$2)</f>
        <v>ㄧㆦㆻ</v>
      </c>
    </row>
    <row r="46" spans="2:13" ht="29">
      <c r="B46" s="22" t="s">
        <v>289</v>
      </c>
      <c r="C46" s="21">
        <f xml:space="preserve"> MATCH(B46, 十五音韻母清單!$I$6:$I$105,0)</f>
        <v>27</v>
      </c>
      <c r="D46" s="21" cm="1">
        <f t="array" ref="D46" xml:space="preserve"> INDEX(十五音韻母清單!$B$6:$K$105, $C46, D$2)</f>
        <v>14</v>
      </c>
      <c r="F46" s="21">
        <v>42</v>
      </c>
      <c r="G46" s="23" t="str" cm="1">
        <f t="array" ref="G46" xml:space="preserve"> INDEX(十五音韻母清單!$B$6:$K$105, $C46, G$2)</f>
        <v>iong</v>
      </c>
      <c r="H46" s="23" t="str" cm="1">
        <f t="array" ref="H46" xml:space="preserve"> INDEX(十五音韻母清單!$B$6:$K$105, '韻母碼 (台羅)'!$C46,'韻母碼 (台羅)'!H$2)</f>
        <v>iɔŋ</v>
      </c>
      <c r="I46" s="21" t="str" cm="1">
        <f t="array" ref="I46" xml:space="preserve"> INDEX(十五音韻母清單!$B$6:$K$105, $C46, I$2)</f>
        <v>恭</v>
      </c>
      <c r="J46" s="23" t="str" cm="1">
        <f t="array" ref="J46" xml:space="preserve"> INDEX(十五音韻母清單!$B$6:$K$105, '韻母碼 (台羅)'!$C46,'韻母碼 (台羅)'!J$2)</f>
        <v>iong</v>
      </c>
      <c r="K46" s="23" t="str" cm="1">
        <f t="array" ref="K46" xml:space="preserve"> INDEX(十五音韻母清單!$B$6:$K$105, '韻母碼 (台羅)'!$C46,'韻母碼 (台羅)'!K$2)</f>
        <v>iong</v>
      </c>
      <c r="L46" s="23" t="str" cm="1">
        <f t="array" ref="L46" xml:space="preserve"> INDEX(十五音韻母清單!$B$6:$K$105, '韻母碼 (台羅)'!$C46,'韻母碼 (台羅)'!L$2)</f>
        <v>iong</v>
      </c>
      <c r="M46" s="23" t="str" cm="1">
        <f t="array" ref="M46" xml:space="preserve"> INDEX(十五音韻母清單!$B$6:$K$105, '韻母碼 (台羅)'!$C46,'韻母碼 (台羅)'!M$2)</f>
        <v>ㄧㆲ</v>
      </c>
    </row>
    <row r="47" spans="2:13" ht="29">
      <c r="B47" s="22" t="s">
        <v>172</v>
      </c>
      <c r="C47" s="21">
        <f xml:space="preserve"> MATCH(B47, 十五音韻母清單!$I$6:$I$105,0)</f>
        <v>6</v>
      </c>
      <c r="D47" s="21" cm="1">
        <f t="array" ref="D47" xml:space="preserve"> INDEX(十五音韻母清單!$B$6:$K$105, $C47, D$2)</f>
        <v>3</v>
      </c>
      <c r="F47" s="21">
        <v>43</v>
      </c>
      <c r="G47" s="23" t="str" cm="1">
        <f t="array" ref="G47" xml:space="preserve"> INDEX(十五音韻母清單!$B$6:$K$105, $C47, G$2)</f>
        <v>ip</v>
      </c>
      <c r="H47" s="23" t="str" cm="1">
        <f t="array" ref="H47" xml:space="preserve"> INDEX(十五音韻母清單!$B$6:$K$105, '韻母碼 (台羅)'!$C47,'韻母碼 (台羅)'!H$2)</f>
        <v>ip̚</v>
      </c>
      <c r="I47" s="21" t="str" cm="1">
        <f t="array" ref="I47" xml:space="preserve"> INDEX(十五音韻母清單!$B$6:$K$105, $C47, I$2)</f>
        <v>金</v>
      </c>
      <c r="J47" s="23" t="str" cm="1">
        <f t="array" ref="J47" xml:space="preserve"> INDEX(十五音韻母清單!$B$6:$K$105, '韻母碼 (台羅)'!$C47,'韻母碼 (台羅)'!J$2)</f>
        <v>ip</v>
      </c>
      <c r="K47" s="23" t="str" cm="1">
        <f t="array" ref="K47" xml:space="preserve"> INDEX(十五音韻母清單!$B$6:$K$105, '韻母碼 (台羅)'!$C47,'韻母碼 (台羅)'!K$2)</f>
        <v>ip</v>
      </c>
      <c r="L47" s="23" t="str" cm="1">
        <f t="array" ref="L47" xml:space="preserve"> INDEX(十五音韻母清單!$B$6:$K$105, '韻母碼 (台羅)'!$C47,'韻母碼 (台羅)'!L$2)</f>
        <v>ip</v>
      </c>
      <c r="M47" s="23" t="str" cm="1">
        <f t="array" ref="M47" xml:space="preserve"> INDEX(十五音韻母清單!$B$6:$K$105, '韻母碼 (台羅)'!$C47,'韻母碼 (台羅)'!M$2)</f>
        <v>ㄧㆴ</v>
      </c>
    </row>
    <row r="48" spans="2:13" ht="29">
      <c r="B48" s="22" t="s">
        <v>318</v>
      </c>
      <c r="C48" s="21">
        <f xml:space="preserve"> MATCH(B48, 十五音韻母清單!$I$6:$I$105,0)</f>
        <v>34</v>
      </c>
      <c r="D48" s="21" cm="1">
        <f t="array" ref="D48" xml:space="preserve"> INDEX(十五音韻母清單!$B$6:$K$105, $C48, D$2)</f>
        <v>17</v>
      </c>
      <c r="F48" s="21">
        <v>44</v>
      </c>
      <c r="G48" s="23" t="str" cm="1">
        <f t="array" ref="G48" xml:space="preserve"> INDEX(十五音韻母清單!$B$6:$K$105, $C48, G$2)</f>
        <v>it</v>
      </c>
      <c r="H48" s="23" t="str" cm="1">
        <f t="array" ref="H48" xml:space="preserve"> INDEX(十五音韻母清單!$B$6:$K$105, '韻母碼 (台羅)'!$C48,'韻母碼 (台羅)'!H$2)</f>
        <v>it̚</v>
      </c>
      <c r="I48" s="21" t="str" cm="1">
        <f t="array" ref="I48" xml:space="preserve"> INDEX(十五音韻母清單!$B$6:$K$105, $C48, I$2)</f>
        <v>巾</v>
      </c>
      <c r="J48" s="23" t="str" cm="1">
        <f t="array" ref="J48" xml:space="preserve"> INDEX(十五音韻母清單!$B$6:$K$105, '韻母碼 (台羅)'!$C48,'韻母碼 (台羅)'!J$2)</f>
        <v>it</v>
      </c>
      <c r="K48" s="23" t="str" cm="1">
        <f t="array" ref="K48" xml:space="preserve"> INDEX(十五音韻母清單!$B$6:$K$105, '韻母碼 (台羅)'!$C48,'韻母碼 (台羅)'!K$2)</f>
        <v>it</v>
      </c>
      <c r="L48" s="23" t="str" cm="1">
        <f t="array" ref="L48" xml:space="preserve"> INDEX(十五音韻母清單!$B$6:$K$105, '韻母碼 (台羅)'!$C48,'韻母碼 (台羅)'!L$2)</f>
        <v>it</v>
      </c>
      <c r="M48" s="23" t="str" cm="1">
        <f t="array" ref="M48" xml:space="preserve"> INDEX(十五音韻母清單!$B$6:$K$105, '韻母碼 (台羅)'!$C48,'韻母碼 (台羅)'!M$2)</f>
        <v>ㄧㆵ</v>
      </c>
    </row>
    <row r="49" spans="2:13" ht="29">
      <c r="B49" s="22" t="s">
        <v>439</v>
      </c>
      <c r="C49" s="21">
        <f xml:space="preserve"> MATCH(B49, 十五音韻母清單!$I$6:$I$105,0)</f>
        <v>59</v>
      </c>
      <c r="D49" s="21" cm="1">
        <f t="array" ref="D49" xml:space="preserve"> INDEX(十五音韻母清單!$B$6:$K$105, $C49, D$2)</f>
        <v>30</v>
      </c>
      <c r="F49" s="21">
        <v>45</v>
      </c>
      <c r="G49" s="23" t="str" cm="1">
        <f t="array" ref="G49" xml:space="preserve"> INDEX(十五音韻母清單!$B$6:$K$105, $C49, G$2)</f>
        <v>iu</v>
      </c>
      <c r="H49" s="23" t="str" cm="1">
        <f t="array" ref="H49" xml:space="preserve"> INDEX(十五音韻母清單!$B$6:$K$105, '韻母碼 (台羅)'!$C49,'韻母碼 (台羅)'!H$2)</f>
        <v>iu</v>
      </c>
      <c r="I49" s="21" t="str" cm="1">
        <f t="array" ref="I49" xml:space="preserve"> INDEX(十五音韻母清單!$B$6:$K$105, $C49, I$2)</f>
        <v>丩</v>
      </c>
      <c r="J49" s="23" t="str" cm="1">
        <f t="array" ref="J49" xml:space="preserve"> INDEX(十五音韻母清單!$B$6:$K$105, '韻母碼 (台羅)'!$C49,'韻母碼 (台羅)'!J$2)</f>
        <v>iu</v>
      </c>
      <c r="K49" s="23" t="str" cm="1">
        <f t="array" ref="K49" xml:space="preserve"> INDEX(十五音韻母清單!$B$6:$K$105, '韻母碼 (台羅)'!$C49,'韻母碼 (台羅)'!K$2)</f>
        <v>iu</v>
      </c>
      <c r="L49" s="23" t="str" cm="1">
        <f t="array" ref="L49" xml:space="preserve"> INDEX(十五音韻母清單!$B$6:$K$105, '韻母碼 (台羅)'!$C49,'韻母碼 (台羅)'!L$2)</f>
        <v>iu</v>
      </c>
      <c r="M49" s="23" t="str" cm="1">
        <f t="array" ref="M49" xml:space="preserve"> INDEX(十五音韻母清單!$B$6:$K$105, '韻母碼 (台羅)'!$C49,'韻母碼 (台羅)'!M$2)</f>
        <v>ㄧㄨ</v>
      </c>
    </row>
    <row r="50" spans="2:13" ht="29">
      <c r="B50" s="22" t="s">
        <v>677</v>
      </c>
      <c r="C50" s="21">
        <f xml:space="preserve"> MATCH(B50, 十五音韻母清單!$I$6:$I$105,0)</f>
        <v>99</v>
      </c>
      <c r="D50" s="21" cm="1">
        <f t="array" ref="D50" xml:space="preserve"> INDEX(十五音韻母清單!$B$6:$K$105, $C50, D$2)</f>
        <v>50</v>
      </c>
      <c r="F50" s="21">
        <v>46</v>
      </c>
      <c r="G50" s="23" t="str" cm="1">
        <f t="array" ref="G50" xml:space="preserve"> INDEX(十五音韻母清單!$B$6:$K$105, $C50, G$2)</f>
        <v>iunn</v>
      </c>
      <c r="H50" s="23" t="str" cm="1">
        <f t="array" ref="H50" xml:space="preserve"> INDEX(十五音韻母清單!$B$6:$K$105, '韻母碼 (台羅)'!$C50,'韻母碼 (台羅)'!H$2)</f>
        <v>ĩũ</v>
      </c>
      <c r="I50" s="21" t="str" cm="1">
        <f t="array" ref="I50" xml:space="preserve"> INDEX(十五音韻母清單!$B$6:$K$105, $C50, I$2)</f>
        <v>牛</v>
      </c>
      <c r="J50" s="23" t="str" cm="1">
        <f t="array" ref="J50" xml:space="preserve"> INDEX(十五音韻母清單!$B$6:$K$105, '韻母碼 (台羅)'!$C50,'韻母碼 (台羅)'!J$2)</f>
        <v>iuⁿ</v>
      </c>
      <c r="K50" s="23" t="str" cm="1">
        <f t="array" ref="K50" xml:space="preserve"> INDEX(十五音韻母清單!$B$6:$K$105, '韻母碼 (台羅)'!$C50,'韻母碼 (台羅)'!K$2)</f>
        <v>iunn</v>
      </c>
      <c r="L50" s="23" t="str" cm="1">
        <f t="array" ref="L50" xml:space="preserve"> INDEX(十五音韻母清單!$B$6:$K$105, '韻母碼 (台羅)'!$C50,'韻母碼 (台羅)'!L$2)</f>
        <v>niu</v>
      </c>
      <c r="M50" s="23" t="str" cm="1">
        <f t="array" ref="M50" xml:space="preserve"> INDEX(十五音韻母清單!$B$6:$K$105, '韻母碼 (台羅)'!$C50,'韻母碼 (台羅)'!M$2)</f>
        <v>ㄧㆫ</v>
      </c>
    </row>
    <row r="51" spans="2:13" ht="29">
      <c r="B51" s="99" t="s">
        <v>678</v>
      </c>
      <c r="C51" s="100">
        <f xml:space="preserve"> MATCH(B51, 十五音韻母清單!$I$6:$I$105,0)</f>
        <v>100</v>
      </c>
      <c r="D51" s="100" cm="1">
        <f t="array" ref="D51" xml:space="preserve"> INDEX(十五音韻母清單!$B$6:$K$105, $C51, D$2)</f>
        <v>50</v>
      </c>
      <c r="F51" s="21">
        <v>47</v>
      </c>
      <c r="G51" s="101" t="str" cm="1">
        <f t="array" ref="G51" xml:space="preserve"> INDEX(十五音韻母清單!$B$6:$K$105, $C51, G$2)</f>
        <v>iunnh</v>
      </c>
      <c r="H51" s="101" t="str" cm="1">
        <f t="array" ref="H51" xml:space="preserve"> INDEX(十五音韻母清單!$B$6:$K$105, '韻母碼 (台羅)'!$C51,'韻母碼 (台羅)'!H$2)</f>
        <v>iũh</v>
      </c>
      <c r="I51" s="100" t="str" cm="1">
        <f t="array" ref="I51" xml:space="preserve"> INDEX(十五音韻母清單!$B$6:$K$105, $C51, I$2)</f>
        <v>牛</v>
      </c>
      <c r="J51" s="101" t="str" cm="1">
        <f t="array" ref="J51" xml:space="preserve"> INDEX(十五音韻母清單!$B$6:$K$105, '韻母碼 (台羅)'!$C51,'韻母碼 (台羅)'!J$2)</f>
        <v>iuhⁿ</v>
      </c>
      <c r="K51" s="101" t="str" cm="1">
        <f t="array" ref="K51" xml:space="preserve"> INDEX(十五音韻母清單!$B$6:$K$105, '韻母碼 (台羅)'!$C51,'韻母碼 (台羅)'!K$2)</f>
        <v>iunnh</v>
      </c>
      <c r="L51" s="101" t="str" cm="1">
        <f t="array" ref="L51" xml:space="preserve"> INDEX(十五音韻母清單!$B$6:$K$105, '韻母碼 (台羅)'!$C51,'韻母碼 (台羅)'!L$2)</f>
        <v>niuh</v>
      </c>
      <c r="M51" s="101" t="str" cm="1">
        <f t="array" ref="M51" xml:space="preserve"> INDEX(十五音韻母清單!$B$6:$K$105, '韻母碼 (台羅)'!$C51,'韻母碼 (台羅)'!M$2)</f>
        <v>ㄧㆫㆷ</v>
      </c>
    </row>
    <row r="52" spans="2:13" ht="29">
      <c r="B52" s="22" t="s">
        <v>64</v>
      </c>
      <c r="C52" s="21">
        <f xml:space="preserve"> MATCH(B52, 十五音韻母清單!$I$6:$I$105,0)</f>
        <v>83</v>
      </c>
      <c r="D52" s="21" cm="1">
        <f t="array" ref="D52" xml:space="preserve"> INDEX(十五音韻母清單!$B$6:$K$105, $C52, D$2)</f>
        <v>42</v>
      </c>
      <c r="F52" s="21">
        <v>48</v>
      </c>
      <c r="G52" s="23" t="str" cm="1">
        <f t="array" ref="G52" xml:space="preserve"> INDEX(十五音韻母清單!$B$6:$K$105, $C52, G$2)</f>
        <v>m</v>
      </c>
      <c r="H52" s="23" t="str" cm="1">
        <f t="array" ref="H52" xml:space="preserve"> INDEX(十五音韻母清單!$B$6:$K$105, '韻母碼 (台羅)'!$C52,'韻母碼 (台羅)'!H$2)</f>
        <v>m̩</v>
      </c>
      <c r="I52" s="21" t="str" cm="1">
        <f t="array" ref="I52" xml:space="preserve"> INDEX(十五音韻母清單!$B$6:$K$105, $C52, I$2)</f>
        <v>姆</v>
      </c>
      <c r="J52" s="23" t="str" cm="1">
        <f t="array" ref="J52" xml:space="preserve"> INDEX(十五音韻母清單!$B$6:$K$105, '韻母碼 (台羅)'!$C52,'韻母碼 (台羅)'!J$2)</f>
        <v>m</v>
      </c>
      <c r="K52" s="23" t="str" cm="1">
        <f t="array" ref="K52" xml:space="preserve"> INDEX(十五音韻母清單!$B$6:$K$105, '韻母碼 (台羅)'!$C52,'韻母碼 (台羅)'!K$2)</f>
        <v>m</v>
      </c>
      <c r="L52" s="23" t="str" cm="1">
        <f t="array" ref="L52" xml:space="preserve"> INDEX(十五音韻母清單!$B$6:$K$105, '韻母碼 (台羅)'!$C52,'韻母碼 (台羅)'!L$2)</f>
        <v>m</v>
      </c>
      <c r="M52" s="23" t="str" cm="1">
        <f t="array" ref="M52" xml:space="preserve"> INDEX(十五音韻母清單!$B$6:$K$105, '韻母碼 (台羅)'!$C52,'韻母碼 (台羅)'!M$2)</f>
        <v>ㆬ</v>
      </c>
    </row>
    <row r="53" spans="2:13" ht="29">
      <c r="B53" s="99" t="s">
        <v>588</v>
      </c>
      <c r="C53" s="100">
        <f xml:space="preserve"> MATCH(B53, 十五音韻母清單!$I$6:$I$105,0)</f>
        <v>84</v>
      </c>
      <c r="D53" s="100" cm="1">
        <f t="array" ref="D53" xml:space="preserve"> INDEX(十五音韻母清單!$B$6:$K$105, $C53, D$2)</f>
        <v>42</v>
      </c>
      <c r="F53" s="21">
        <v>49</v>
      </c>
      <c r="G53" s="101" t="str" cm="1">
        <f t="array" ref="G53" xml:space="preserve"> INDEX(十五音韻母清單!$B$6:$K$105, $C53, G$2)</f>
        <v>mh</v>
      </c>
      <c r="H53" s="101" t="str" cm="1">
        <f t="array" ref="H53" xml:space="preserve"> INDEX(十五音韻母清單!$B$6:$K$105, '韻母碼 (台羅)'!$C53,'韻母碼 (台羅)'!H$2)</f>
        <v>m̩h</v>
      </c>
      <c r="I53" s="100" t="str" cm="1">
        <f t="array" ref="I53" xml:space="preserve"> INDEX(十五音韻母清單!$B$6:$K$105, $C53, I$2)</f>
        <v>姆</v>
      </c>
      <c r="J53" s="101" t="str" cm="1">
        <f t="array" ref="J53" xml:space="preserve"> INDEX(十五音韻母清單!$B$6:$K$105, '韻母碼 (台羅)'!$C53,'韻母碼 (台羅)'!J$2)</f>
        <v>mh</v>
      </c>
      <c r="K53" s="101" t="str" cm="1">
        <f t="array" ref="K53" xml:space="preserve"> INDEX(十五音韻母清單!$B$6:$K$105, '韻母碼 (台羅)'!$C53,'韻母碼 (台羅)'!K$2)</f>
        <v>mh</v>
      </c>
      <c r="L53" s="101" t="str" cm="1">
        <f t="array" ref="L53" xml:space="preserve"> INDEX(十五音韻母清單!$B$6:$K$105, '韻母碼 (台羅)'!$C53,'韻母碼 (台羅)'!L$2)</f>
        <v>mh</v>
      </c>
      <c r="M53" s="101" t="str" cm="1">
        <f t="array" ref="M53" xml:space="preserve"> INDEX(十五音韻母清單!$B$6:$K$105, '韻母碼 (台羅)'!$C53,'韻母碼 (台羅)'!M$2)</f>
        <v>ㆬㆷ</v>
      </c>
    </row>
    <row r="54" spans="2:13" ht="29">
      <c r="B54" s="22" t="s">
        <v>79</v>
      </c>
      <c r="C54" s="21">
        <f xml:space="preserve"> MATCH(B54, 十五音韻母清單!$I$6:$I$105,0)</f>
        <v>75</v>
      </c>
      <c r="D54" s="21" cm="1">
        <f t="array" ref="D54" xml:space="preserve"> INDEX(十五音韻母清單!$B$6:$K$105, $C54, D$2)</f>
        <v>38</v>
      </c>
      <c r="F54" s="21">
        <v>50</v>
      </c>
      <c r="G54" s="23" t="str" cm="1">
        <f t="array" ref="G54" xml:space="preserve"> INDEX(十五音韻母清單!$B$6:$K$105, $C54, G$2)</f>
        <v>ng</v>
      </c>
      <c r="H54" s="23" t="str" cm="1">
        <f t="array" ref="H54" xml:space="preserve"> INDEX(十五音韻母清單!$B$6:$K$105, '韻母碼 (台羅)'!$C54,'韻母碼 (台羅)'!H$2)</f>
        <v>ŋ̍</v>
      </c>
      <c r="I54" s="21" t="str" cm="1">
        <f t="array" ref="I54" xml:space="preserve"> INDEX(十五音韻母清單!$B$6:$K$105, $C54, I$2)</f>
        <v>鋼</v>
      </c>
      <c r="J54" s="23" t="str" cm="1">
        <f t="array" ref="J54" xml:space="preserve"> INDEX(十五音韻母清單!$B$6:$K$105, '韻母碼 (台羅)'!$C54,'韻母碼 (台羅)'!J$2)</f>
        <v>ng</v>
      </c>
      <c r="K54" s="23" t="str" cm="1">
        <f t="array" ref="K54" xml:space="preserve"> INDEX(十五音韻母清單!$B$6:$K$105, '韻母碼 (台羅)'!$C54,'韻母碼 (台羅)'!K$2)</f>
        <v>ng</v>
      </c>
      <c r="L54" s="23" t="str" cm="1">
        <f t="array" ref="L54" xml:space="preserve"> INDEX(十五音韻母清單!$B$6:$K$105, '韻母碼 (台羅)'!$C54,'韻母碼 (台羅)'!L$2)</f>
        <v>ng</v>
      </c>
      <c r="M54" s="23" t="str" cm="1">
        <f t="array" ref="M54" xml:space="preserve"> INDEX(十五音韻母清單!$B$6:$K$105, '韻母碼 (台羅)'!$C54,'韻母碼 (台羅)'!M$2)</f>
        <v>ㆭ</v>
      </c>
    </row>
    <row r="55" spans="2:13" ht="29">
      <c r="B55" s="99" t="s">
        <v>545</v>
      </c>
      <c r="C55" s="100">
        <f xml:space="preserve"> MATCH(B55, 十五音韻母清單!$I$6:$I$105,0)</f>
        <v>76</v>
      </c>
      <c r="D55" s="100" cm="1">
        <f t="array" ref="D55" xml:space="preserve"> INDEX(十五音韻母清單!$B$6:$K$105, $C55, D$2)</f>
        <v>38</v>
      </c>
      <c r="F55" s="21">
        <v>51</v>
      </c>
      <c r="G55" s="101" t="str" cm="1">
        <f t="array" ref="G55" xml:space="preserve"> INDEX(十五音韻母清單!$B$6:$K$105, $C55, G$2)</f>
        <v>ngh</v>
      </c>
      <c r="H55" s="101" t="str" cm="1">
        <f t="array" ref="H55" xml:space="preserve"> INDEX(十五音韻母清單!$B$6:$K$105, '韻母碼 (台羅)'!$C55,'韻母碼 (台羅)'!H$2)</f>
        <v>ŋ̍h</v>
      </c>
      <c r="I55" s="100" t="str" cm="1">
        <f t="array" ref="I55" xml:space="preserve"> INDEX(十五音韻母清單!$B$6:$K$105, $C55, I$2)</f>
        <v>鋼</v>
      </c>
      <c r="J55" s="101" t="str" cm="1">
        <f t="array" ref="J55" xml:space="preserve"> INDEX(十五音韻母清單!$B$6:$K$105, '韻母碼 (台羅)'!$C55,'韻母碼 (台羅)'!J$2)</f>
        <v>ngh</v>
      </c>
      <c r="K55" s="101" t="str" cm="1">
        <f t="array" ref="K55" xml:space="preserve"> INDEX(十五音韻母清單!$B$6:$K$105, '韻母碼 (台羅)'!$C55,'韻母碼 (台羅)'!K$2)</f>
        <v>ngh</v>
      </c>
      <c r="L55" s="101" t="str" cm="1">
        <f t="array" ref="L55" xml:space="preserve"> INDEX(十五音韻母清單!$B$6:$K$105, '韻母碼 (台羅)'!$C55,'韻母碼 (台羅)'!L$2)</f>
        <v>ngh</v>
      </c>
      <c r="M55" s="101" t="str" cm="1">
        <f t="array" ref="M55" xml:space="preserve"> INDEX(十五音韻母清單!$B$6:$K$105, '韻母碼 (台羅)'!$C55,'韻母碼 (台羅)'!M$2)</f>
        <v>ㆭㆷ</v>
      </c>
    </row>
    <row r="56" spans="2:13" ht="29">
      <c r="B56" s="22" t="s">
        <v>299</v>
      </c>
      <c r="C56" s="21">
        <f xml:space="preserve"> MATCH(B56, 十五音韻母清單!$I$6:$I$105,0)</f>
        <v>29</v>
      </c>
      <c r="D56" s="21" cm="1">
        <f t="array" ref="D56" xml:space="preserve"> INDEX(十五音韻母清單!$B$6:$K$105, $C56, D$2)</f>
        <v>15</v>
      </c>
      <c r="F56" s="21">
        <v>52</v>
      </c>
      <c r="G56" s="23" t="str" cm="1">
        <f t="array" ref="G56" xml:space="preserve"> INDEX(十五音韻母清單!$B$6:$K$105, $C56, G$2)</f>
        <v>o</v>
      </c>
      <c r="H56" s="23" t="str" cm="1">
        <f t="array" ref="H56" xml:space="preserve"> INDEX(十五音韻母清單!$B$6:$K$105, '韻母碼 (台羅)'!$C56,'韻母碼 (台羅)'!H$2)</f>
        <v>o</v>
      </c>
      <c r="I56" s="21" t="str" cm="1">
        <f t="array" ref="I56" xml:space="preserve"> INDEX(十五音韻母清單!$B$6:$K$105, $C56, I$2)</f>
        <v>高</v>
      </c>
      <c r="J56" s="23" t="str" cm="1">
        <f t="array" ref="J56" xml:space="preserve"> INDEX(十五音韻母清單!$B$6:$K$105, '韻母碼 (台羅)'!$C56,'韻母碼 (台羅)'!J$2)</f>
        <v>o</v>
      </c>
      <c r="K56" s="23" t="str" cm="1">
        <f t="array" ref="K56" xml:space="preserve"> INDEX(十五音韻母清單!$B$6:$K$105, '韻母碼 (台羅)'!$C56,'韻母碼 (台羅)'!K$2)</f>
        <v>o</v>
      </c>
      <c r="L56" s="23" t="str" cm="1">
        <f t="array" ref="L56" xml:space="preserve"> INDEX(十五音韻母清單!$B$6:$K$105, '韻母碼 (台羅)'!$C56,'韻母碼 (台羅)'!L$2)</f>
        <v>o</v>
      </c>
      <c r="M56" s="23" t="str" cm="1">
        <f t="array" ref="M56" xml:space="preserve"> INDEX(十五音韻母清單!$B$6:$K$105, '韻母碼 (台羅)'!$C56,'韻母碼 (台羅)'!M$2)</f>
        <v>ㄜ</v>
      </c>
    </row>
    <row r="57" spans="2:13" ht="29">
      <c r="B57" s="22" t="s">
        <v>300</v>
      </c>
      <c r="C57" s="21">
        <f xml:space="preserve"> MATCH(B57, 十五音韻母清單!$I$6:$I$105,0)</f>
        <v>30</v>
      </c>
      <c r="D57" s="21" cm="1">
        <f t="array" ref="D57" xml:space="preserve"> INDEX(十五音韻母清單!$B$6:$K$105, $C57, D$2)</f>
        <v>15</v>
      </c>
      <c r="F57" s="21">
        <v>53</v>
      </c>
      <c r="G57" s="23" t="str" cm="1">
        <f t="array" ref="G57" xml:space="preserve"> INDEX(十五音韻母清單!$B$6:$K$105, $C57, G$2)</f>
        <v>oh</v>
      </c>
      <c r="H57" s="23" t="str" cm="1">
        <f t="array" ref="H57" xml:space="preserve"> INDEX(十五音韻母清單!$B$6:$K$105, '韻母碼 (台羅)'!$C57,'韻母碼 (台羅)'!H$2)</f>
        <v>ə?</v>
      </c>
      <c r="I57" s="21" t="str" cm="1">
        <f t="array" ref="I57" xml:space="preserve"> INDEX(十五音韻母清單!$B$6:$K$105, $C57, I$2)</f>
        <v>高</v>
      </c>
      <c r="J57" s="23" t="str" cm="1">
        <f t="array" ref="J57" xml:space="preserve"> INDEX(十五音韻母清單!$B$6:$K$105, '韻母碼 (台羅)'!$C57,'韻母碼 (台羅)'!J$2)</f>
        <v>oh</v>
      </c>
      <c r="K57" s="23" t="str" cm="1">
        <f t="array" ref="K57" xml:space="preserve"> INDEX(十五音韻母清單!$B$6:$K$105, '韻母碼 (台羅)'!$C57,'韻母碼 (台羅)'!K$2)</f>
        <v>oh</v>
      </c>
      <c r="L57" s="23" t="str" cm="1">
        <f t="array" ref="L57" xml:space="preserve"> INDEX(十五音韻母清單!$B$6:$K$105, '韻母碼 (台羅)'!$C57,'韻母碼 (台羅)'!L$2)</f>
        <v>oh</v>
      </c>
      <c r="M57" s="23" t="str" cm="1">
        <f t="array" ref="M57" xml:space="preserve"> INDEX(十五音韻母清單!$B$6:$K$105, '韻母碼 (台羅)'!$C57,'韻母碼 (台羅)'!M$2)</f>
        <v>ㄜㆷ</v>
      </c>
    </row>
    <row r="58" spans="2:13" ht="29">
      <c r="B58" s="22" t="s">
        <v>212</v>
      </c>
      <c r="C58" s="21">
        <f xml:space="preserve"> MATCH(B58, 十五音韻母清單!$I$6:$I$105,0)</f>
        <v>14</v>
      </c>
      <c r="D58" s="21" cm="1">
        <f t="array" ref="D58" xml:space="preserve"> INDEX(十五音韻母清單!$B$6:$K$105, $C58, D$2)</f>
        <v>7</v>
      </c>
      <c r="F58" s="21">
        <v>54</v>
      </c>
      <c r="G58" s="23" t="str" cm="1">
        <f t="array" ref="G58" xml:space="preserve"> INDEX(十五音韻母清單!$B$6:$K$105, $C58, G$2)</f>
        <v>ok</v>
      </c>
      <c r="H58" s="23" t="str" cm="1">
        <f t="array" ref="H58" xml:space="preserve"> INDEX(十五音韻母清單!$B$6:$K$105, '韻母碼 (台羅)'!$C58,'韻母碼 (台羅)'!H$2)</f>
        <v>ɔk̚</v>
      </c>
      <c r="I58" s="21" t="str" cm="1">
        <f t="array" ref="I58" xml:space="preserve"> INDEX(十五音韻母清單!$B$6:$K$105, $C58, I$2)</f>
        <v>公</v>
      </c>
      <c r="J58" s="23" t="str" cm="1">
        <f t="array" ref="J58" xml:space="preserve"> INDEX(十五音韻母清單!$B$6:$K$105, '韻母碼 (台羅)'!$C58,'韻母碼 (台羅)'!J$2)</f>
        <v>ok</v>
      </c>
      <c r="K58" s="23" t="str" cm="1">
        <f t="array" ref="K58" xml:space="preserve"> INDEX(十五音韻母清單!$B$6:$K$105, '韻母碼 (台羅)'!$C58,'韻母碼 (台羅)'!K$2)</f>
        <v>ok</v>
      </c>
      <c r="L58" s="23" t="str" cm="1">
        <f t="array" ref="L58" xml:space="preserve"> INDEX(十五音韻母清單!$B$6:$K$105, '韻母碼 (台羅)'!$C58,'韻母碼 (台羅)'!L$2)</f>
        <v>ok</v>
      </c>
      <c r="M58" s="23" t="str" cm="1">
        <f t="array" ref="M58" xml:space="preserve"> INDEX(十五音韻母清單!$B$6:$K$105, '韻母碼 (台羅)'!$C58,'韻母碼 (台羅)'!M$2)</f>
        <v>ㆦㆻ</v>
      </c>
    </row>
    <row r="59" spans="2:13" ht="29">
      <c r="B59" s="22" t="s">
        <v>649</v>
      </c>
      <c r="C59" s="21">
        <f xml:space="preserve"> MATCH(B59, 十五音韻母清單!$I$6:$I$105,0)</f>
        <v>93</v>
      </c>
      <c r="D59" s="21" cm="1">
        <f t="array" ref="D59" xml:space="preserve"> INDEX(十五音韻母清單!$B$6:$K$105, $C59, D$2)</f>
        <v>47</v>
      </c>
      <c r="F59" s="21">
        <v>55</v>
      </c>
      <c r="G59" s="23" t="str" cm="1">
        <f t="array" ref="G59" xml:space="preserve"> INDEX(十五音韻母清單!$B$6:$K$105, $C59, G$2)</f>
        <v>om</v>
      </c>
      <c r="H59" s="23" t="str" cm="1">
        <f t="array" ref="H59" xml:space="preserve"> INDEX(十五音韻母清單!$B$6:$K$105, '韻母碼 (台羅)'!$C59,'韻母碼 (台羅)'!H$2)</f>
        <v>ɔm</v>
      </c>
      <c r="I59" s="21" t="str" cm="1">
        <f t="array" ref="I59" xml:space="preserve"> INDEX(十五音韻母清單!$B$6:$K$105, $C59, I$2)</f>
        <v>箴</v>
      </c>
      <c r="J59" s="23" t="str" cm="1">
        <f t="array" ref="J59" xml:space="preserve"> INDEX(十五音韻母清單!$B$6:$K$105, '韻母碼 (台羅)'!$C59,'韻母碼 (台羅)'!J$2)</f>
        <v>om</v>
      </c>
      <c r="K59" s="23" t="str" cm="1">
        <f t="array" ref="K59" xml:space="preserve"> INDEX(十五音韻母清單!$B$6:$K$105, '韻母碼 (台羅)'!$C59,'韻母碼 (台羅)'!K$2)</f>
        <v>om</v>
      </c>
      <c r="L59" s="23" t="str" cm="1">
        <f t="array" ref="L59" xml:space="preserve"> INDEX(十五音韻母清單!$B$6:$K$105, '韻母碼 (台羅)'!$C59,'韻母碼 (台羅)'!L$2)</f>
        <v>om</v>
      </c>
      <c r="M59" s="23" t="str" cm="1">
        <f t="array" ref="M59" xml:space="preserve"> INDEX(十五音韻母清單!$B$6:$K$105, '韻母碼 (台羅)'!$C59,'韻母碼 (台羅)'!M$2)</f>
        <v>ㆱ</v>
      </c>
    </row>
    <row r="60" spans="2:13" ht="29">
      <c r="B60" s="22" t="s">
        <v>211</v>
      </c>
      <c r="C60" s="21">
        <f xml:space="preserve"> MATCH(B60, 十五音韻母清單!$I$6:$I$105,0)</f>
        <v>13</v>
      </c>
      <c r="D60" s="21" cm="1">
        <f t="array" ref="D60" xml:space="preserve"> INDEX(十五音韻母清單!$B$6:$K$105, $C60, D$2)</f>
        <v>7</v>
      </c>
      <c r="F60" s="21">
        <v>56</v>
      </c>
      <c r="G60" s="23" t="str" cm="1">
        <f t="array" ref="G60" xml:space="preserve"> INDEX(十五音韻母清單!$B$6:$K$105, $C60, G$2)</f>
        <v>ong</v>
      </c>
      <c r="H60" s="23" t="str" cm="1">
        <f t="array" ref="H60" xml:space="preserve"> INDEX(十五音韻母清單!$B$6:$K$105, '韻母碼 (台羅)'!$C60,'韻母碼 (台羅)'!H$2)</f>
        <v>ɔŋ</v>
      </c>
      <c r="I60" s="21" t="str" cm="1">
        <f t="array" ref="I60" xml:space="preserve"> INDEX(十五音韻母清單!$B$6:$K$105, $C60, I$2)</f>
        <v>公</v>
      </c>
      <c r="J60" s="23" t="str" cm="1">
        <f t="array" ref="J60" xml:space="preserve"> INDEX(十五音韻母清單!$B$6:$K$105, '韻母碼 (台羅)'!$C60,'韻母碼 (台羅)'!J$2)</f>
        <v>ong</v>
      </c>
      <c r="K60" s="23" t="str" cm="1">
        <f t="array" ref="K60" xml:space="preserve"> INDEX(十五音韻母清單!$B$6:$K$105, '韻母碼 (台羅)'!$C60,'韻母碼 (台羅)'!K$2)</f>
        <v>ong</v>
      </c>
      <c r="L60" s="23" t="str" cm="1">
        <f t="array" ref="L60" xml:space="preserve"> INDEX(十五音韻母清單!$B$6:$K$105, '韻母碼 (台羅)'!$C60,'韻母碼 (台羅)'!L$2)</f>
        <v>ong</v>
      </c>
      <c r="M60" s="23" t="str" cm="1">
        <f t="array" ref="M60" xml:space="preserve"> INDEX(十五音韻母清單!$B$6:$K$105, '韻母碼 (台羅)'!$C60,'韻母碼 (台羅)'!M$2)</f>
        <v>ㆲ</v>
      </c>
    </row>
    <row r="61" spans="2:13" ht="29">
      <c r="B61" s="22" t="s">
        <v>573</v>
      </c>
      <c r="C61" s="21">
        <f xml:space="preserve"> MATCH(B61, 十五音韻母清單!$I$6:$I$105,0)</f>
        <v>81</v>
      </c>
      <c r="D61" s="21" cm="1">
        <f t="array" ref="D61" xml:space="preserve"> INDEX(十五音韻母清單!$B$6:$K$105, $C61, D$2)</f>
        <v>41</v>
      </c>
      <c r="F61" s="21">
        <v>57</v>
      </c>
      <c r="G61" s="23" t="str" cm="1">
        <f t="array" ref="G61" xml:space="preserve"> INDEX(十五音韻母清單!$B$6:$K$105, $C61, G$2)</f>
        <v>onn</v>
      </c>
      <c r="H61" s="23" t="str" cm="1">
        <f t="array" ref="H61" xml:space="preserve"> INDEX(十五音韻母清單!$B$6:$K$105, '韻母碼 (台羅)'!$C61,'韻母碼 (台羅)'!H$2)</f>
        <v>ɔ̃</v>
      </c>
      <c r="I61" s="21" t="str" cm="1">
        <f t="array" ref="I61" xml:space="preserve"> INDEX(十五音韻母清單!$B$6:$K$105, $C61, I$2)</f>
        <v>姑</v>
      </c>
      <c r="J61" s="23" t="str" cm="1">
        <f t="array" ref="J61" xml:space="preserve"> INDEX(十五音韻母清單!$B$6:$K$105, '韻母碼 (台羅)'!$C61,'韻母碼 (台羅)'!J$2)</f>
        <v>oⁿ</v>
      </c>
      <c r="K61" s="23" t="str" cm="1">
        <f t="array" ref="K61" xml:space="preserve"> INDEX(十五音韻母清單!$B$6:$K$105, '韻母碼 (台羅)'!$C61,'韻母碼 (台羅)'!K$2)</f>
        <v>onn</v>
      </c>
      <c r="L61" s="23" t="str" cm="1">
        <f t="array" ref="L61" xml:space="preserve"> INDEX(十五音韻母清單!$B$6:$K$105, '韻母碼 (台羅)'!$C61,'韻母碼 (台羅)'!L$2)</f>
        <v>noo</v>
      </c>
      <c r="M61" s="23" t="str" cm="1">
        <f t="array" ref="M61" xml:space="preserve"> INDEX(十五音韻母清單!$B$6:$K$105, '韻母碼 (台羅)'!$C61,'韻母碼 (台羅)'!M$2)</f>
        <v>ㆧ</v>
      </c>
    </row>
    <row r="62" spans="2:13" ht="29">
      <c r="B62" s="22" t="s">
        <v>574</v>
      </c>
      <c r="C62" s="21">
        <f xml:space="preserve"> MATCH(B62, 十五音韻母清單!$I$6:$I$105,0)</f>
        <v>82</v>
      </c>
      <c r="D62" s="21" cm="1">
        <f t="array" ref="D62" xml:space="preserve"> INDEX(十五音韻母清單!$B$6:$K$105, $C62, D$2)</f>
        <v>41</v>
      </c>
      <c r="F62" s="21">
        <v>58</v>
      </c>
      <c r="G62" s="23" t="str" cm="1">
        <f t="array" ref="G62" xml:space="preserve"> INDEX(十五音韻母清單!$B$6:$K$105, $C62, G$2)</f>
        <v>onnh</v>
      </c>
      <c r="H62" s="23" t="str" cm="1">
        <f t="array" ref="H62" xml:space="preserve"> INDEX(十五音韻母清單!$B$6:$K$105, '韻母碼 (台羅)'!$C62,'韻母碼 (台羅)'!H$2)</f>
        <v>ɔ̃?</v>
      </c>
      <c r="I62" s="21" t="str" cm="1">
        <f t="array" ref="I62" xml:space="preserve"> INDEX(十五音韻母清單!$B$6:$K$105, $C62, I$2)</f>
        <v>姑</v>
      </c>
      <c r="J62" s="23" t="str" cm="1">
        <f t="array" ref="J62" xml:space="preserve"> INDEX(十五音韻母清單!$B$6:$K$105, '韻母碼 (台羅)'!$C62,'韻母碼 (台羅)'!J$2)</f>
        <v>ohⁿ</v>
      </c>
      <c r="K62" s="23" t="str" cm="1">
        <f t="array" ref="K62" xml:space="preserve"> INDEX(十五音韻母清單!$B$6:$K$105, '韻母碼 (台羅)'!$C62,'韻母碼 (台羅)'!K$2)</f>
        <v>onnh</v>
      </c>
      <c r="L62" s="23" t="str" cm="1">
        <f t="array" ref="L62" xml:space="preserve"> INDEX(十五音韻母清單!$B$6:$K$105, '韻母碼 (台羅)'!$C62,'韻母碼 (台羅)'!L$2)</f>
        <v>nooh</v>
      </c>
      <c r="M62" s="23" t="str" cm="1">
        <f t="array" ref="M62" xml:space="preserve"> INDEX(十五音韻母清單!$B$6:$K$105, '韻母碼 (台羅)'!$C62,'韻母碼 (台羅)'!M$2)</f>
        <v>ㆧㆷ</v>
      </c>
    </row>
    <row r="63" spans="2:13" ht="29">
      <c r="B63" s="22" t="s">
        <v>252</v>
      </c>
      <c r="C63" s="21">
        <f xml:space="preserve"> MATCH(B63, 十五音韻母清單!$I$6:$I$105,0)</f>
        <v>21</v>
      </c>
      <c r="D63" s="21" cm="1">
        <f t="array" ref="D63" xml:space="preserve"> INDEX(十五音韻母清單!$B$6:$K$105, $C63, D$2)</f>
        <v>11</v>
      </c>
      <c r="F63" s="21">
        <v>59</v>
      </c>
      <c r="G63" s="23" t="str" cm="1">
        <f t="array" ref="G63" xml:space="preserve"> INDEX(十五音韻母清單!$B$6:$K$105, $C63, G$2)</f>
        <v>oo</v>
      </c>
      <c r="H63" s="23" t="str" cm="1">
        <f t="array" ref="H63" xml:space="preserve"> INDEX(十五音韻母清單!$B$6:$K$105, '韻母碼 (台羅)'!$C63,'韻母碼 (台羅)'!H$2)</f>
        <v>ɔ</v>
      </c>
      <c r="I63" s="21" t="str" cm="1">
        <f t="array" ref="I63" xml:space="preserve"> INDEX(十五音韻母清單!$B$6:$K$105, $C63, I$2)</f>
        <v>沽</v>
      </c>
      <c r="J63" s="23" t="str" cm="1">
        <f t="array" ref="J63" xml:space="preserve"> INDEX(十五音韻母清單!$B$6:$K$105, '韻母碼 (台羅)'!$C63,'韻母碼 (台羅)'!J$2)</f>
        <v>o͘</v>
      </c>
      <c r="K63" s="23" t="str" cm="1">
        <f t="array" ref="K63" xml:space="preserve"> INDEX(十五音韻母清單!$B$6:$K$105, '韻母碼 (台羅)'!$C63,'韻母碼 (台羅)'!K$2)</f>
        <v>oo</v>
      </c>
      <c r="L63" s="23" t="str" cm="1">
        <f t="array" ref="L63" xml:space="preserve"> INDEX(十五音韻母清單!$B$6:$K$105, '韻母碼 (台羅)'!$C63,'韻母碼 (台羅)'!L$2)</f>
        <v>oo</v>
      </c>
      <c r="M63" s="23" t="str" cm="1">
        <f t="array" ref="M63" xml:space="preserve"> INDEX(十五音韻母清單!$B$6:$K$105, '韻母碼 (台羅)'!$C63,'韻母碼 (台羅)'!M$2)</f>
        <v>ㆦ</v>
      </c>
    </row>
    <row r="64" spans="2:13" ht="29">
      <c r="B64" s="99" t="s">
        <v>253</v>
      </c>
      <c r="C64" s="100">
        <f xml:space="preserve"> MATCH(B64, 十五音韻母清單!$I$6:$I$105,0)</f>
        <v>22</v>
      </c>
      <c r="D64" s="100" cm="1">
        <f t="array" ref="D64" xml:space="preserve"> INDEX(十五音韻母清單!$B$6:$K$105, $C64, D$2)</f>
        <v>11</v>
      </c>
      <c r="F64" s="21">
        <v>60</v>
      </c>
      <c r="G64" s="101" t="str" cm="1">
        <f t="array" ref="G64" xml:space="preserve"> INDEX(十五音韻母清單!$B$6:$K$105, $C64, G$2)</f>
        <v>ooh</v>
      </c>
      <c r="H64" s="101" t="str" cm="1">
        <f t="array" ref="H64" xml:space="preserve"> INDEX(十五音韻母清單!$B$6:$K$105, '韻母碼 (台羅)'!$C64,'韻母碼 (台羅)'!H$2)</f>
        <v>ɔu?</v>
      </c>
      <c r="I64" s="100" t="str" cm="1">
        <f t="array" ref="I64" xml:space="preserve"> INDEX(十五音韻母清單!$B$6:$K$105, $C64, I$2)</f>
        <v>沽</v>
      </c>
      <c r="J64" s="101" t="str" cm="1">
        <f t="array" ref="J64" xml:space="preserve"> INDEX(十五音韻母清單!$B$6:$K$105, '韻母碼 (台羅)'!$C64,'韻母碼 (台羅)'!J$2)</f>
        <v>o͘h</v>
      </c>
      <c r="K64" s="101" t="str" cm="1">
        <f t="array" ref="K64" xml:space="preserve"> INDEX(十五音韻母清單!$B$6:$K$105, '韻母碼 (台羅)'!$C64,'韻母碼 (台羅)'!K$2)</f>
        <v>ooh</v>
      </c>
      <c r="L64" s="101" t="str" cm="1">
        <f t="array" ref="L64" xml:space="preserve"> INDEX(十五音韻母清單!$B$6:$K$105, '韻母碼 (台羅)'!$C64,'韻母碼 (台羅)'!L$2)</f>
        <v>ooh</v>
      </c>
      <c r="M64" s="101" t="str" cm="1">
        <f t="array" ref="M64" xml:space="preserve"> INDEX(十五音韻母清單!$B$6:$K$105, '韻母碼 (台羅)'!$C64,'韻母碼 (台羅)'!M$2)</f>
        <v>ㆦㆷ</v>
      </c>
    </row>
    <row r="65" spans="2:13" ht="29">
      <c r="B65" s="22" t="s">
        <v>415</v>
      </c>
      <c r="C65" s="21">
        <f xml:space="preserve"> MATCH(B65, 十五音韻母清單!$I$6:$I$105,0)</f>
        <v>53</v>
      </c>
      <c r="D65" s="21" cm="1">
        <f t="array" ref="D65" xml:space="preserve"> INDEX(十五音韻母清單!$B$6:$K$105, $C65, D$2)</f>
        <v>27</v>
      </c>
      <c r="F65" s="21">
        <v>61</v>
      </c>
      <c r="G65" s="23" t="str" cm="1">
        <f t="array" ref="G65" xml:space="preserve"> INDEX(十五音韻母清單!$B$6:$K$105, $C65, G$2)</f>
        <v>u</v>
      </c>
      <c r="H65" s="23" t="str" cm="1">
        <f t="array" ref="H65" xml:space="preserve"> INDEX(十五音韻母清單!$B$6:$K$105, '韻母碼 (台羅)'!$C65,'韻母碼 (台羅)'!H$2)</f>
        <v>u</v>
      </c>
      <c r="I65" s="21" t="str" cm="1">
        <f t="array" ref="I65" xml:space="preserve"> INDEX(十五音韻母清單!$B$6:$K$105, $C65, I$2)</f>
        <v>艍</v>
      </c>
      <c r="J65" s="23" t="str" cm="1">
        <f t="array" ref="J65" xml:space="preserve"> INDEX(十五音韻母清單!$B$6:$K$105, '韻母碼 (台羅)'!$C65,'韻母碼 (台羅)'!J$2)</f>
        <v>u</v>
      </c>
      <c r="K65" s="23" t="str" cm="1">
        <f t="array" ref="K65" xml:space="preserve"> INDEX(十五音韻母清單!$B$6:$K$105, '韻母碼 (台羅)'!$C65,'韻母碼 (台羅)'!K$2)</f>
        <v>u</v>
      </c>
      <c r="L65" s="23" t="str" cm="1">
        <f t="array" ref="L65" xml:space="preserve"> INDEX(十五音韻母清單!$B$6:$K$105, '韻母碼 (台羅)'!$C65,'韻母碼 (台羅)'!L$2)</f>
        <v>u</v>
      </c>
      <c r="M65" s="23" t="str" cm="1">
        <f t="array" ref="M65" xml:space="preserve"> INDEX(十五音韻母清單!$B$6:$K$105, '韻母碼 (台羅)'!$C65,'韻母碼 (台羅)'!M$2)</f>
        <v>ㄨ</v>
      </c>
    </row>
    <row r="66" spans="2:13" ht="29">
      <c r="B66" s="22" t="s">
        <v>340</v>
      </c>
      <c r="C66" s="21">
        <f xml:space="preserve"> MATCH(B66, 十五音韻母清單!$I$6:$I$105,0)</f>
        <v>39</v>
      </c>
      <c r="D66" s="21" cm="1">
        <f t="array" ref="D66" xml:space="preserve"> INDEX(十五音韻母清單!$B$6:$K$105, $C66, D$2)</f>
        <v>20</v>
      </c>
      <c r="F66" s="21">
        <v>62</v>
      </c>
      <c r="G66" s="23" t="str" cm="1">
        <f t="array" ref="G66" xml:space="preserve"> INDEX(十五音韻母清單!$B$6:$K$105, $C66, G$2)</f>
        <v>ua</v>
      </c>
      <c r="H66" s="23" t="str" cm="1">
        <f t="array" ref="H66" xml:space="preserve"> INDEX(十五音韻母清單!$B$6:$K$105, '韻母碼 (台羅)'!$C66,'韻母碼 (台羅)'!H$2)</f>
        <v>ua</v>
      </c>
      <c r="I66" s="21" t="str" cm="1">
        <f t="array" ref="I66" xml:space="preserve"> INDEX(十五音韻母清單!$B$6:$K$105, $C66, I$2)</f>
        <v>瓜</v>
      </c>
      <c r="J66" s="23" t="str" cm="1">
        <f t="array" ref="J66" xml:space="preserve"> INDEX(十五音韻母清單!$B$6:$K$105, '韻母碼 (台羅)'!$C66,'韻母碼 (台羅)'!J$2)</f>
        <v>oa</v>
      </c>
      <c r="K66" s="23" t="str" cm="1">
        <f t="array" ref="K66" xml:space="preserve"> INDEX(十五音韻母清單!$B$6:$K$105, '韻母碼 (台羅)'!$C66,'韻母碼 (台羅)'!K$2)</f>
        <v>ua</v>
      </c>
      <c r="L66" s="23" t="str" cm="1">
        <f t="array" ref="L66" xml:space="preserve"> INDEX(十五音韻母清單!$B$6:$K$105, '韻母碼 (台羅)'!$C66,'韻母碼 (台羅)'!L$2)</f>
        <v>ua</v>
      </c>
      <c r="M66" s="23" t="str" cm="1">
        <f t="array" ref="M66" xml:space="preserve"> INDEX(十五音韻母清單!$B$6:$K$105, '韻母碼 (台羅)'!$C66,'韻母碼 (台羅)'!M$2)</f>
        <v>ㄨㄚ</v>
      </c>
    </row>
    <row r="67" spans="2:13" ht="29">
      <c r="B67" s="22" t="s">
        <v>341</v>
      </c>
      <c r="C67" s="21">
        <f xml:space="preserve"> MATCH(B67, 十五音韻母清單!$I$6:$I$105,0)</f>
        <v>40</v>
      </c>
      <c r="D67" s="21" cm="1">
        <f t="array" ref="D67" xml:space="preserve"> INDEX(十五音韻母清單!$B$6:$K$105, $C67, D$2)</f>
        <v>20</v>
      </c>
      <c r="F67" s="21">
        <v>63</v>
      </c>
      <c r="G67" s="23" t="str" cm="1">
        <f t="array" ref="G67" xml:space="preserve"> INDEX(十五音韻母清單!$B$6:$K$105, $C67, G$2)</f>
        <v>uah</v>
      </c>
      <c r="H67" s="23" t="str" cm="1">
        <f t="array" ref="H67" xml:space="preserve"> INDEX(十五音韻母清單!$B$6:$K$105, '韻母碼 (台羅)'!$C67,'韻母碼 (台羅)'!H$2)</f>
        <v>ua?</v>
      </c>
      <c r="I67" s="21" t="str" cm="1">
        <f t="array" ref="I67" xml:space="preserve"> INDEX(十五音韻母清單!$B$6:$K$105, $C67, I$2)</f>
        <v>瓜</v>
      </c>
      <c r="J67" s="23" t="str" cm="1">
        <f t="array" ref="J67" xml:space="preserve"> INDEX(十五音韻母清單!$B$6:$K$105, '韻母碼 (台羅)'!$C67,'韻母碼 (台羅)'!J$2)</f>
        <v>oah</v>
      </c>
      <c r="K67" s="23" t="str" cm="1">
        <f t="array" ref="K67" xml:space="preserve"> INDEX(十五音韻母清單!$B$6:$K$105, '韻母碼 (台羅)'!$C67,'韻母碼 (台羅)'!K$2)</f>
        <v>uah</v>
      </c>
      <c r="L67" s="23" t="str" cm="1">
        <f t="array" ref="L67" xml:space="preserve"> INDEX(十五音韻母清單!$B$6:$K$105, '韻母碼 (台羅)'!$C67,'韻母碼 (台羅)'!L$2)</f>
        <v>uah</v>
      </c>
      <c r="M67" s="23" t="str" cm="1">
        <f t="array" ref="M67" xml:space="preserve"> INDEX(十五音韻母清單!$B$6:$K$105, '韻母碼 (台羅)'!$C67,'韻母碼 (台羅)'!M$2)</f>
        <v>ㄨㄚㆷ</v>
      </c>
    </row>
    <row r="68" spans="2:13" ht="29">
      <c r="B68" s="22" t="s">
        <v>220</v>
      </c>
      <c r="C68" s="21">
        <f xml:space="preserve"> MATCH(B68, 十五音韻母清單!$I$6:$I$105,0)</f>
        <v>15</v>
      </c>
      <c r="D68" s="21" cm="1">
        <f t="array" ref="D68" xml:space="preserve"> INDEX(十五音韻母清單!$B$6:$K$105, $C68, D$2)</f>
        <v>8</v>
      </c>
      <c r="F68" s="21">
        <v>64</v>
      </c>
      <c r="G68" s="23" t="str" cm="1">
        <f t="array" ref="G68" xml:space="preserve"> INDEX(十五音韻母清單!$B$6:$K$105, $C68, G$2)</f>
        <v>uai</v>
      </c>
      <c r="H68" s="23" t="str" cm="1">
        <f t="array" ref="H68" xml:space="preserve"> INDEX(十五音韻母清單!$B$6:$K$105, '韻母碼 (台羅)'!$C68,'韻母碼 (台羅)'!H$2)</f>
        <v>uai</v>
      </c>
      <c r="I68" s="21" t="str" cm="1">
        <f t="array" ref="I68" xml:space="preserve"> INDEX(十五音韻母清單!$B$6:$K$105, $C68, I$2)</f>
        <v>乖</v>
      </c>
      <c r="J68" s="23" t="str" cm="1">
        <f t="array" ref="J68" xml:space="preserve"> INDEX(十五音韻母清單!$B$6:$K$105, '韻母碼 (台羅)'!$C68,'韻母碼 (台羅)'!J$2)</f>
        <v>oai</v>
      </c>
      <c r="K68" s="23" t="str" cm="1">
        <f t="array" ref="K68" xml:space="preserve"> INDEX(十五音韻母清單!$B$6:$K$105, '韻母碼 (台羅)'!$C68,'韻母碼 (台羅)'!K$2)</f>
        <v>uai</v>
      </c>
      <c r="L68" s="23" t="str" cm="1">
        <f t="array" ref="L68" xml:space="preserve"> INDEX(十五音韻母清單!$B$6:$K$105, '韻母碼 (台羅)'!$C68,'韻母碼 (台羅)'!L$2)</f>
        <v>uai</v>
      </c>
      <c r="M68" s="23" t="str" cm="1">
        <f t="array" ref="M68" xml:space="preserve"> INDEX(十五音韻母清單!$B$6:$K$105, '韻母碼 (台羅)'!$C68,'韻母碼 (台羅)'!M$2)</f>
        <v>ㄨㄞ</v>
      </c>
    </row>
    <row r="69" spans="2:13" ht="29">
      <c r="B69" s="22" t="s">
        <v>610</v>
      </c>
      <c r="C69" s="21">
        <f xml:space="preserve"> MATCH(B69, 十五音韻母清單!$I$6:$I$105,0)</f>
        <v>87</v>
      </c>
      <c r="D69" s="21" cm="1">
        <f t="array" ref="D69" xml:space="preserve"> INDEX(十五音韻母清單!$B$6:$K$105, $C69, D$2)</f>
        <v>44</v>
      </c>
      <c r="F69" s="21">
        <v>65</v>
      </c>
      <c r="G69" s="23" t="str" cm="1">
        <f t="array" ref="G69" xml:space="preserve"> INDEX(十五音韻母清單!$B$6:$K$105, $C69, G$2)</f>
        <v>uainn</v>
      </c>
      <c r="H69" s="23" t="str" cm="1">
        <f t="array" ref="H69" xml:space="preserve"> INDEX(十五音韻母清單!$B$6:$K$105, '韻母碼 (台羅)'!$C69,'韻母碼 (台羅)'!H$2)</f>
        <v>ũãĩ</v>
      </c>
      <c r="I69" s="21" t="str" cm="1">
        <f t="array" ref="I69" xml:space="preserve"> INDEX(十五音韻母清單!$B$6:$K$105, $C69, I$2)</f>
        <v>閂</v>
      </c>
      <c r="J69" s="23" t="str" cm="1">
        <f t="array" ref="J69" xml:space="preserve"> INDEX(十五音韻母清單!$B$6:$K$105, '韻母碼 (台羅)'!$C69,'韻母碼 (台羅)'!J$2)</f>
        <v>oaiⁿ</v>
      </c>
      <c r="K69" s="23" t="str" cm="1">
        <f t="array" ref="K69" xml:space="preserve"> INDEX(十五音韻母清單!$B$6:$K$105, '韻母碼 (台羅)'!$C69,'韻母碼 (台羅)'!K$2)</f>
        <v>uainn</v>
      </c>
      <c r="L69" s="23" t="str" cm="1">
        <f t="array" ref="L69" xml:space="preserve"> INDEX(十五音韻母清單!$B$6:$K$105, '韻母碼 (台羅)'!$C69,'韻母碼 (台羅)'!L$2)</f>
        <v>nuai</v>
      </c>
      <c r="M69" s="23" t="str" cm="1">
        <f t="array" ref="M69" xml:space="preserve"> INDEX(十五音韻母清單!$B$6:$K$105, '韻母碼 (台羅)'!$C69,'韻母碼 (台羅)'!M$2)</f>
        <v>ㄨㆮ</v>
      </c>
    </row>
    <row r="70" spans="2:13" ht="29">
      <c r="B70" s="22" t="s">
        <v>241</v>
      </c>
      <c r="C70" s="21">
        <f xml:space="preserve"> MATCH(B70, 十五音韻母清單!$I$6:$I$105,0)</f>
        <v>19</v>
      </c>
      <c r="D70" s="21" cm="1">
        <f t="array" ref="D70" xml:space="preserve"> INDEX(十五音韻母清單!$B$6:$K$105, $C70, D$2)</f>
        <v>10</v>
      </c>
      <c r="F70" s="21">
        <v>66</v>
      </c>
      <c r="G70" s="23" t="str" cm="1">
        <f t="array" ref="G70" xml:space="preserve"> INDEX(十五音韻母清單!$B$6:$K$105, $C70, G$2)</f>
        <v>uan</v>
      </c>
      <c r="H70" s="23" t="str" cm="1">
        <f t="array" ref="H70" xml:space="preserve"> INDEX(十五音韻母清單!$B$6:$K$105, '韻母碼 (台羅)'!$C70,'韻母碼 (台羅)'!H$2)</f>
        <v>uan</v>
      </c>
      <c r="I70" s="21" t="str" cm="1">
        <f t="array" ref="I70" xml:space="preserve"> INDEX(十五音韻母清單!$B$6:$K$105, $C70, I$2)</f>
        <v>觀</v>
      </c>
      <c r="J70" s="23" t="str" cm="1">
        <f t="array" ref="J70" xml:space="preserve"> INDEX(十五音韻母清單!$B$6:$K$105, '韻母碼 (台羅)'!$C70,'韻母碼 (台羅)'!J$2)</f>
        <v>oan</v>
      </c>
      <c r="K70" s="23" t="str" cm="1">
        <f t="array" ref="K70" xml:space="preserve"> INDEX(十五音韻母清單!$B$6:$K$105, '韻母碼 (台羅)'!$C70,'韻母碼 (台羅)'!K$2)</f>
        <v>uan</v>
      </c>
      <c r="L70" s="23" t="str" cm="1">
        <f t="array" ref="L70" xml:space="preserve"> INDEX(十五音韻母清單!$B$6:$K$105, '韻母碼 (台羅)'!$C70,'韻母碼 (台羅)'!L$2)</f>
        <v>uan</v>
      </c>
      <c r="M70" s="23" t="str" cm="1">
        <f t="array" ref="M70" xml:space="preserve"> INDEX(十五音韻母清單!$B$6:$K$105, '韻母碼 (台羅)'!$C70,'韻母碼 (台羅)'!M$2)</f>
        <v>ㄨㄢ</v>
      </c>
    </row>
    <row r="71" spans="2:13" ht="29">
      <c r="B71" s="22" t="s">
        <v>598</v>
      </c>
      <c r="C71" s="21">
        <f xml:space="preserve"> MATCH(B71, 十五音韻母清單!$I$6:$I$105,0)</f>
        <v>85</v>
      </c>
      <c r="D71" s="21" cm="1">
        <f t="array" ref="D71" xml:space="preserve"> INDEX(十五音韻母清單!$B$6:$K$105, $C71, D$2)</f>
        <v>43</v>
      </c>
      <c r="F71" s="21">
        <v>67</v>
      </c>
      <c r="G71" s="23" t="str" cm="1">
        <f t="array" ref="G71" xml:space="preserve"> INDEX(十五音韻母清單!$B$6:$K$105, $C71, G$2)</f>
        <v>uang</v>
      </c>
      <c r="H71" s="23" t="str" cm="1">
        <f t="array" ref="H71" xml:space="preserve"> INDEX(十五音韻母清單!$B$6:$K$105, '韻母碼 (台羅)'!$C71,'韻母碼 (台羅)'!H$2)</f>
        <v>uaŋ</v>
      </c>
      <c r="I71" s="21" t="str" cm="1">
        <f t="array" ref="I71" xml:space="preserve"> INDEX(十五音韻母清單!$B$6:$K$105, $C71, I$2)</f>
        <v>光</v>
      </c>
      <c r="J71" s="23" t="str" cm="1">
        <f t="array" ref="J71" xml:space="preserve"> INDEX(十五音韻母清單!$B$6:$K$105, '韻母碼 (台羅)'!$C71,'韻母碼 (台羅)'!J$2)</f>
        <v>oang</v>
      </c>
      <c r="K71" s="23" t="str" cm="1">
        <f t="array" ref="K71" xml:space="preserve"> INDEX(十五音韻母清單!$B$6:$K$105, '韻母碼 (台羅)'!$C71,'韻母碼 (台羅)'!K$2)</f>
        <v>uang</v>
      </c>
      <c r="L71" s="23" t="str" cm="1">
        <f t="array" ref="L71" xml:space="preserve"> INDEX(十五音韻母清單!$B$6:$K$105, '韻母碼 (台羅)'!$C71,'韻母碼 (台羅)'!L$2)</f>
        <v>uang</v>
      </c>
      <c r="M71" s="23" t="str" cm="1">
        <f t="array" ref="M71" xml:space="preserve"> INDEX(十五音韻母清單!$B$6:$K$105, '韻母碼 (台羅)'!$C71,'韻母碼 (台羅)'!M$2)</f>
        <v>ㄨㄤ</v>
      </c>
    </row>
    <row r="72" spans="2:13" ht="29">
      <c r="B72" s="22" t="s">
        <v>532</v>
      </c>
      <c r="C72" s="21">
        <f xml:space="preserve"> MATCH(B72, 十五音韻母清單!$I$6:$I$105,0)</f>
        <v>73</v>
      </c>
      <c r="D72" s="21" cm="1">
        <f t="array" ref="D72" xml:space="preserve"> INDEX(十五音韻母清單!$B$6:$K$105, $C72, D$2)</f>
        <v>37</v>
      </c>
      <c r="F72" s="21">
        <v>68</v>
      </c>
      <c r="G72" s="23" t="str" cm="1">
        <f t="array" ref="G72" xml:space="preserve"> INDEX(十五音韻母清單!$B$6:$K$105, $C72, G$2)</f>
        <v>uann</v>
      </c>
      <c r="H72" s="23" t="str" cm="1">
        <f t="array" ref="H72" xml:space="preserve"> INDEX(十五音韻母清單!$B$6:$K$105, '韻母碼 (台羅)'!$C72,'韻母碼 (台羅)'!H$2)</f>
        <v>ũã</v>
      </c>
      <c r="I72" s="21" t="str" cm="1">
        <f t="array" ref="I72" xml:space="preserve"> INDEX(十五音韻母清單!$B$6:$K$105, $C72, I$2)</f>
        <v>官</v>
      </c>
      <c r="J72" s="23" t="str" cm="1">
        <f t="array" ref="J72" xml:space="preserve"> INDEX(十五音韻母清單!$B$6:$K$105, '韻母碼 (台羅)'!$C72,'韻母碼 (台羅)'!J$2)</f>
        <v>oaⁿ</v>
      </c>
      <c r="K72" s="23" t="str" cm="1">
        <f t="array" ref="K72" xml:space="preserve"> INDEX(十五音韻母清單!$B$6:$K$105, '韻母碼 (台羅)'!$C72,'韻母碼 (台羅)'!K$2)</f>
        <v>uann</v>
      </c>
      <c r="L72" s="23" t="str" cm="1">
        <f t="array" ref="L72" xml:space="preserve"> INDEX(十五音韻母清單!$B$6:$K$105, '韻母碼 (台羅)'!$C72,'韻母碼 (台羅)'!L$2)</f>
        <v>nua</v>
      </c>
      <c r="M72" s="23" t="str" cm="1">
        <f t="array" ref="M72" xml:space="preserve"> INDEX(十五音韻母清單!$B$6:$K$105, '韻母碼 (台羅)'!$C72,'韻母碼 (台羅)'!M$2)</f>
        <v>ㄨㆩ</v>
      </c>
    </row>
    <row r="73" spans="2:13" ht="29">
      <c r="B73" s="22" t="s">
        <v>242</v>
      </c>
      <c r="C73" s="21">
        <f xml:space="preserve"> MATCH(B73, 十五音韻母清單!$I$6:$I$105,0)</f>
        <v>20</v>
      </c>
      <c r="D73" s="21" cm="1">
        <f t="array" ref="D73" xml:space="preserve"> INDEX(十五音韻母清單!$B$6:$K$105, $C73, D$2)</f>
        <v>10</v>
      </c>
      <c r="F73" s="21">
        <v>69</v>
      </c>
      <c r="G73" s="23" t="str" cm="1">
        <f t="array" ref="G73" xml:space="preserve"> INDEX(十五音韻母清單!$B$6:$K$105, $C73, G$2)</f>
        <v>uat</v>
      </c>
      <c r="H73" s="23" t="str" cm="1">
        <f t="array" ref="H73" xml:space="preserve"> INDEX(十五音韻母清單!$B$6:$K$105, '韻母碼 (台羅)'!$C73,'韻母碼 (台羅)'!H$2)</f>
        <v>uat̚</v>
      </c>
      <c r="I73" s="21" t="str" cm="1">
        <f t="array" ref="I73" xml:space="preserve"> INDEX(十五音韻母清單!$B$6:$K$105, $C73, I$2)</f>
        <v>觀</v>
      </c>
      <c r="J73" s="23" t="str" cm="1">
        <f t="array" ref="J73" xml:space="preserve"> INDEX(十五音韻母清單!$B$6:$K$105, '韻母碼 (台羅)'!$C73,'韻母碼 (台羅)'!J$2)</f>
        <v>oat</v>
      </c>
      <c r="K73" s="23" t="str" cm="1">
        <f t="array" ref="K73" xml:space="preserve"> INDEX(十五音韻母清單!$B$6:$K$105, '韻母碼 (台羅)'!$C73,'韻母碼 (台羅)'!K$2)</f>
        <v>uat</v>
      </c>
      <c r="L73" s="23" t="str" cm="1">
        <f t="array" ref="L73" xml:space="preserve"> INDEX(十五音韻母清單!$B$6:$K$105, '韻母碼 (台羅)'!$C73,'韻母碼 (台羅)'!L$2)</f>
        <v>uat</v>
      </c>
      <c r="M73" s="23" t="str" cm="1">
        <f t="array" ref="M73" xml:space="preserve"> INDEX(十五音韻母清單!$B$6:$K$105, '韻母碼 (台羅)'!$C73,'韻母碼 (台羅)'!M$2)</f>
        <v>ㄨㄚㆵ</v>
      </c>
    </row>
    <row r="74" spans="2:13" ht="29">
      <c r="B74" s="22" t="s">
        <v>389</v>
      </c>
      <c r="C74" s="21">
        <f xml:space="preserve"> MATCH(B74, 十五音韻母清單!$I$6:$I$105,0)</f>
        <v>49</v>
      </c>
      <c r="D74" s="21" cm="1">
        <f t="array" ref="D74" xml:space="preserve"> INDEX(十五音韻母清單!$B$6:$K$105, $C74, D$2)</f>
        <v>25</v>
      </c>
      <c r="F74" s="21">
        <v>70</v>
      </c>
      <c r="G74" s="23" t="str" cm="1">
        <f t="array" ref="G74" xml:space="preserve"> INDEX(十五音韻母清單!$B$6:$K$105, $C74, G$2)</f>
        <v>ue</v>
      </c>
      <c r="H74" s="23" t="str" cm="1">
        <f t="array" ref="H74" xml:space="preserve"> INDEX(十五音韻母清單!$B$6:$K$105, '韻母碼 (台羅)'!$C74,'韻母碼 (台羅)'!H$2)</f>
        <v>ue</v>
      </c>
      <c r="I74" s="21" t="str" cm="1">
        <f t="array" ref="I74" xml:space="preserve"> INDEX(十五音韻母清單!$B$6:$K$105, $C74, I$2)</f>
        <v>檜</v>
      </c>
      <c r="J74" s="23" t="str" cm="1">
        <f t="array" ref="J74" xml:space="preserve"> INDEX(十五音韻母清單!$B$6:$K$105, '韻母碼 (台羅)'!$C74,'韻母碼 (台羅)'!J$2)</f>
        <v>oe</v>
      </c>
      <c r="K74" s="23" t="str" cm="1">
        <f t="array" ref="K74" xml:space="preserve"> INDEX(十五音韻母清單!$B$6:$K$105, '韻母碼 (台羅)'!$C74,'韻母碼 (台羅)'!K$2)</f>
        <v>ue</v>
      </c>
      <c r="L74" s="23" t="str" cm="1">
        <f t="array" ref="L74" xml:space="preserve"> INDEX(十五音韻母清單!$B$6:$K$105, '韻母碼 (台羅)'!$C74,'韻母碼 (台羅)'!L$2)</f>
        <v>ue</v>
      </c>
      <c r="M74" s="23" t="str" cm="1">
        <f t="array" ref="M74" xml:space="preserve"> INDEX(十五音韻母清單!$B$6:$K$105, '韻母碼 (台羅)'!$C74,'韻母碼 (台羅)'!M$2)</f>
        <v>ㄨㆤ</v>
      </c>
    </row>
    <row r="75" spans="2:13" ht="29">
      <c r="B75" s="22" t="s">
        <v>390</v>
      </c>
      <c r="C75" s="21">
        <f xml:space="preserve"> MATCH(B75, 十五音韻母清單!$I$6:$I$105,0)</f>
        <v>50</v>
      </c>
      <c r="D75" s="21" cm="1">
        <f t="array" ref="D75" xml:space="preserve"> INDEX(十五音韻母清單!$B$6:$K$105, $C75, D$2)</f>
        <v>25</v>
      </c>
      <c r="F75" s="21">
        <v>71</v>
      </c>
      <c r="G75" s="23" t="str" cm="1">
        <f t="array" ref="G75" xml:space="preserve"> INDEX(十五音韻母清單!$B$6:$K$105, $C75, G$2)</f>
        <v>ueh</v>
      </c>
      <c r="H75" s="23" t="str" cm="1">
        <f t="array" ref="H75" xml:space="preserve"> INDEX(十五音韻母清單!$B$6:$K$105, '韻母碼 (台羅)'!$C75,'韻母碼 (台羅)'!H$2)</f>
        <v>ue?</v>
      </c>
      <c r="I75" s="21" t="str" cm="1">
        <f t="array" ref="I75" xml:space="preserve"> INDEX(十五音韻母清單!$B$6:$K$105, $C75, I$2)</f>
        <v>檜</v>
      </c>
      <c r="J75" s="23" t="str" cm="1">
        <f t="array" ref="J75" xml:space="preserve"> INDEX(十五音韻母清單!$B$6:$K$105, '韻母碼 (台羅)'!$C75,'韻母碼 (台羅)'!J$2)</f>
        <v>oeh</v>
      </c>
      <c r="K75" s="23" t="str" cm="1">
        <f t="array" ref="K75" xml:space="preserve"> INDEX(十五音韻母清單!$B$6:$K$105, '韻母碼 (台羅)'!$C75,'韻母碼 (台羅)'!K$2)</f>
        <v>ueh</v>
      </c>
      <c r="L75" s="23" t="str" cm="1">
        <f t="array" ref="L75" xml:space="preserve"> INDEX(十五音韻母清單!$B$6:$K$105, '韻母碼 (台羅)'!$C75,'韻母碼 (台羅)'!L$2)</f>
        <v>ueh</v>
      </c>
      <c r="M75" s="23" t="str" cm="1">
        <f t="array" ref="M75" xml:space="preserve"> INDEX(十五音韻母清單!$B$6:$K$105, '韻母碼 (台羅)'!$C75,'韻母碼 (台羅)'!M$2)</f>
        <v>ㄨㆤㆷ</v>
      </c>
    </row>
    <row r="76" spans="2:13" ht="29">
      <c r="B76" s="22" t="s">
        <v>416</v>
      </c>
      <c r="C76" s="21">
        <f xml:space="preserve"> MATCH(B76, 十五音韻母清單!$I$6:$I$105,0)</f>
        <v>54</v>
      </c>
      <c r="D76" s="21" cm="1">
        <f t="array" ref="D76" xml:space="preserve"> INDEX(十五音韻母清單!$B$6:$K$105, $C76, D$2)</f>
        <v>27</v>
      </c>
      <c r="F76" s="21">
        <v>72</v>
      </c>
      <c r="G76" s="23" t="str" cm="1">
        <f t="array" ref="G76" xml:space="preserve"> INDEX(十五音韻母清單!$B$6:$K$105, $C76, G$2)</f>
        <v>uh</v>
      </c>
      <c r="H76" s="23" t="str" cm="1">
        <f t="array" ref="H76" xml:space="preserve"> INDEX(十五音韻母清單!$B$6:$K$105, '韻母碼 (台羅)'!$C76,'韻母碼 (台羅)'!H$2)</f>
        <v>u?</v>
      </c>
      <c r="I76" s="21" t="str" cm="1">
        <f t="array" ref="I76" xml:space="preserve"> INDEX(十五音韻母清單!$B$6:$K$105, $C76, I$2)</f>
        <v>艍</v>
      </c>
      <c r="J76" s="23" t="str" cm="1">
        <f t="array" ref="J76" xml:space="preserve"> INDEX(十五音韻母清單!$B$6:$K$105, '韻母碼 (台羅)'!$C76,'韻母碼 (台羅)'!J$2)</f>
        <v>uh</v>
      </c>
      <c r="K76" s="23" t="str" cm="1">
        <f t="array" ref="K76" xml:space="preserve"> INDEX(十五音韻母清單!$B$6:$K$105, '韻母碼 (台羅)'!$C76,'韻母碼 (台羅)'!K$2)</f>
        <v>uh</v>
      </c>
      <c r="L76" s="23" t="str" cm="1">
        <f t="array" ref="L76" xml:space="preserve"> INDEX(十五音韻母清單!$B$6:$K$105, '韻母碼 (台羅)'!$C76,'韻母碼 (台羅)'!L$2)</f>
        <v>uh</v>
      </c>
      <c r="M76" s="23" t="str" cm="1">
        <f t="array" ref="M76" xml:space="preserve"> INDEX(十五音韻母清單!$B$6:$K$105, '韻母碼 (台羅)'!$C76,'韻母碼 (台羅)'!M$2)</f>
        <v>ㄨㆷ</v>
      </c>
    </row>
    <row r="77" spans="2:13" ht="29">
      <c r="B77" s="22" t="s">
        <v>178</v>
      </c>
      <c r="C77" s="21">
        <f xml:space="preserve"> MATCH(B77, 十五音韻母清單!$I$6:$I$105,0)</f>
        <v>7</v>
      </c>
      <c r="D77" s="21" cm="1">
        <f t="array" ref="D77" xml:space="preserve"> INDEX(十五音韻母清單!$B$6:$K$105, $C77, D$2)</f>
        <v>4</v>
      </c>
      <c r="F77" s="21">
        <v>73</v>
      </c>
      <c r="G77" s="23" t="str" cm="1">
        <f t="array" ref="G77" xml:space="preserve"> INDEX(十五音韻母清單!$B$6:$K$105, $C77, G$2)</f>
        <v>ui</v>
      </c>
      <c r="H77" s="23" t="str" cm="1">
        <f t="array" ref="H77" xml:space="preserve"> INDEX(十五音韻母清單!$B$6:$K$105, '韻母碼 (台羅)'!$C77,'韻母碼 (台羅)'!H$2)</f>
        <v>ui</v>
      </c>
      <c r="I77" s="21" t="str" cm="1">
        <f t="array" ref="I77" xml:space="preserve"> INDEX(十五音韻母清單!$B$6:$K$105, $C77, I$2)</f>
        <v>規</v>
      </c>
      <c r="J77" s="23" t="str" cm="1">
        <f t="array" ref="J77" xml:space="preserve"> INDEX(十五音韻母清單!$B$6:$K$105, '韻母碼 (台羅)'!$C77,'韻母碼 (台羅)'!J$2)</f>
        <v>ui</v>
      </c>
      <c r="K77" s="23" t="str" cm="1">
        <f t="array" ref="K77" xml:space="preserve"> INDEX(十五音韻母清單!$B$6:$K$105, '韻母碼 (台羅)'!$C77,'韻母碼 (台羅)'!K$2)</f>
        <v>ui</v>
      </c>
      <c r="L77" s="23" t="str" cm="1">
        <f t="array" ref="L77" xml:space="preserve"> INDEX(十五音韻母清單!$B$6:$K$105, '韻母碼 (台羅)'!$C77,'韻母碼 (台羅)'!L$2)</f>
        <v>ui</v>
      </c>
      <c r="M77" s="23" t="str" cm="1">
        <f t="array" ref="M77" xml:space="preserve"> INDEX(十五音韻母清單!$B$6:$K$105, '韻母碼 (台羅)'!$C77,'韻母碼 (台羅)'!M$2)</f>
        <v>ㄨㄧ</v>
      </c>
    </row>
    <row r="78" spans="2:13" ht="29">
      <c r="B78" s="22" t="s">
        <v>153</v>
      </c>
      <c r="C78" s="21">
        <f xml:space="preserve"> MATCH(B78, 十五音韻母清單!$I$6:$I$105,0)</f>
        <v>1</v>
      </c>
      <c r="D78" s="21" cm="1">
        <f t="array" ref="D78" xml:space="preserve"> INDEX(十五音韻母清單!$B$6:$K$105, $C78, D$2)</f>
        <v>1</v>
      </c>
      <c r="F78" s="21">
        <v>74</v>
      </c>
      <c r="G78" s="23" t="str" cm="1">
        <f t="array" ref="G78" xml:space="preserve"> INDEX(十五音韻母清單!$B$6:$K$105, $C78, G$2)</f>
        <v>un</v>
      </c>
      <c r="H78" s="23" t="str" cm="1">
        <f t="array" ref="H78" xml:space="preserve"> INDEX(十五音韻母清單!$B$6:$K$105, '韻母碼 (台羅)'!$C78,'韻母碼 (台羅)'!H$2)</f>
        <v>un</v>
      </c>
      <c r="I78" s="21" t="str" cm="1">
        <f t="array" ref="I78" xml:space="preserve"> INDEX(十五音韻母清單!$B$6:$K$105, $C78, I$2)</f>
        <v>君</v>
      </c>
      <c r="J78" s="23" t="str" cm="1">
        <f t="array" ref="J78" xml:space="preserve"> INDEX(十五音韻母清單!$B$6:$K$105, '韻母碼 (台羅)'!$C78,'韻母碼 (台羅)'!J$2)</f>
        <v>un</v>
      </c>
      <c r="K78" s="23" t="str" cm="1">
        <f t="array" ref="K78" xml:space="preserve"> INDEX(十五音韻母清單!$B$6:$K$105, '韻母碼 (台羅)'!$C78,'韻母碼 (台羅)'!K$2)</f>
        <v>un</v>
      </c>
      <c r="L78" s="23" t="str" cm="1">
        <f t="array" ref="L78" xml:space="preserve"> INDEX(十五音韻母清單!$B$6:$K$105, '韻母碼 (台羅)'!$C78,'韻母碼 (台羅)'!L$2)</f>
        <v>un</v>
      </c>
      <c r="M78" s="23" t="str" cm="1">
        <f t="array" ref="M78" xml:space="preserve"> INDEX(十五音韻母清單!$B$6:$K$105, '韻母碼 (台羅)'!$C78,'韻母碼 (台羅)'!M$2)</f>
        <v>ㄨㄣ</v>
      </c>
    </row>
    <row r="79" spans="2:13" ht="29">
      <c r="B79" s="22" t="s">
        <v>154</v>
      </c>
      <c r="C79" s="21">
        <f xml:space="preserve"> MATCH(B79, 十五音韻母清單!$I$6:$I$105,0)</f>
        <v>2</v>
      </c>
      <c r="D79" s="21" cm="1">
        <f t="array" ref="D79" xml:space="preserve"> INDEX(十五音韻母清單!$B$6:$K$105, $C79, D$2)</f>
        <v>1</v>
      </c>
      <c r="F79" s="21">
        <v>75</v>
      </c>
      <c r="G79" s="23" t="str" cm="1">
        <f t="array" ref="G79" xml:space="preserve"> INDEX(十五音韻母清單!$B$6:$K$105, $C79, G$2)</f>
        <v>ut</v>
      </c>
      <c r="H79" s="23" t="str" cm="1">
        <f t="array" ref="H79" xml:space="preserve"> INDEX(十五音韻母清單!$B$6:$K$105, '韻母碼 (台羅)'!$C79,'韻母碼 (台羅)'!H$2)</f>
        <v>ut̚</v>
      </c>
      <c r="I79" s="21" t="str" cm="1">
        <f t="array" ref="I79" xml:space="preserve"> INDEX(十五音韻母清單!$B$6:$K$105, $C79, I$2)</f>
        <v>君</v>
      </c>
      <c r="J79" s="23" t="str" cm="1">
        <f t="array" ref="J79" xml:space="preserve"> INDEX(十五音韻母清單!$B$6:$K$105, '韻母碼 (台羅)'!$C79,'韻母碼 (台羅)'!J$2)</f>
        <v>ut</v>
      </c>
      <c r="K79" s="23" t="str" cm="1">
        <f t="array" ref="K79" xml:space="preserve"> INDEX(十五音韻母清單!$B$6:$K$105, '韻母碼 (台羅)'!$C79,'韻母碼 (台羅)'!K$2)</f>
        <v>ut</v>
      </c>
      <c r="L79" s="23" t="str" cm="1">
        <f t="array" ref="L79" xml:space="preserve"> INDEX(十五音韻母清單!$B$6:$K$105, '韻母碼 (台羅)'!$C79,'韻母碼 (台羅)'!L$2)</f>
        <v>ut</v>
      </c>
      <c r="M79" s="23" t="str" cm="1">
        <f t="array" ref="M79" xml:space="preserve"> INDEX(十五音韻母清單!$B$6:$K$105, '韻母碼 (台羅)'!$C79,'韻母碼 (台羅)'!M$2)</f>
        <v>ㄨㆵ</v>
      </c>
    </row>
  </sheetData>
  <autoFilter ref="F4:M79" xr:uid="{739BAB2F-E711-E743-B828-2C308E0CB861}"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59135-44C5-5841-8D40-A5CD6106D59D}">
  <sheetPr>
    <tabColor rgb="FFFF0000"/>
  </sheetPr>
  <dimension ref="B2:Z28"/>
  <sheetViews>
    <sheetView showGridLines="0" workbookViewId="0">
      <selection activeCell="S4" sqref="S4:S22"/>
    </sheetView>
  </sheetViews>
  <sheetFormatPr baseColWidth="10" defaultColWidth="10.8984375" defaultRowHeight="22"/>
  <cols>
    <col min="1" max="1" width="3.19921875" customWidth="1"/>
    <col min="2" max="2" width="8.8984375" bestFit="1" customWidth="1"/>
    <col min="10" max="10" width="10.8984375" style="24"/>
    <col min="19" max="19" width="10.8984375" style="24"/>
  </cols>
  <sheetData>
    <row r="2" spans="2:19" ht="43" customHeight="1">
      <c r="B2" s="121" cm="1">
        <f t="array" ref="B2">COLUMN() - COLUMN($A:$A)</f>
        <v>1</v>
      </c>
      <c r="C2" s="121" cm="1">
        <f t="array" ref="C2">COLUMN() - COLUMN($A:$A)</f>
        <v>2</v>
      </c>
      <c r="D2" s="121" cm="1">
        <f t="array" ref="D2">COLUMN() - COLUMN($A:$A)</f>
        <v>3</v>
      </c>
      <c r="E2" s="121" cm="1">
        <f t="array" ref="E2">COLUMN() - COLUMN($A:$A)</f>
        <v>4</v>
      </c>
      <c r="F2" s="121" cm="1">
        <f t="array" ref="F2">COLUMN() - COLUMN($A:$A)</f>
        <v>5</v>
      </c>
      <c r="G2" s="121" cm="1">
        <f t="array" ref="G2">COLUMN() - COLUMN($A:$A)</f>
        <v>6</v>
      </c>
      <c r="H2" s="121" cm="1">
        <f t="array" ref="H2">COLUMN() - COLUMN($A:$A)</f>
        <v>7</v>
      </c>
      <c r="M2" s="6">
        <v>3</v>
      </c>
      <c r="N2" s="6">
        <v>4</v>
      </c>
      <c r="O2" s="6">
        <v>5</v>
      </c>
      <c r="P2" s="6">
        <v>6</v>
      </c>
      <c r="Q2" s="6">
        <v>7</v>
      </c>
    </row>
    <row r="3" spans="2:19" ht="9" customHeight="1"/>
    <row r="4" spans="2:19" ht="28">
      <c r="B4" s="19" t="s">
        <v>0</v>
      </c>
      <c r="C4" s="19" t="s">
        <v>1947</v>
      </c>
      <c r="D4" s="328" t="s">
        <v>1970</v>
      </c>
      <c r="E4" s="49" t="s">
        <v>9</v>
      </c>
      <c r="F4" s="19" t="s">
        <v>6</v>
      </c>
      <c r="G4" s="19" t="s">
        <v>3</v>
      </c>
      <c r="H4" s="19" t="s">
        <v>1948</v>
      </c>
      <c r="J4" s="19" t="s">
        <v>1947</v>
      </c>
      <c r="K4" s="19" t="s">
        <v>0</v>
      </c>
      <c r="L4" s="19" t="s">
        <v>1947</v>
      </c>
      <c r="M4" s="327" t="s">
        <v>1970</v>
      </c>
      <c r="N4" s="49" t="s">
        <v>9</v>
      </c>
      <c r="O4" s="19" t="s">
        <v>6</v>
      </c>
      <c r="P4" s="19" t="s">
        <v>3</v>
      </c>
      <c r="Q4" s="19" t="s">
        <v>1948</v>
      </c>
      <c r="S4" s="19" t="s">
        <v>1947</v>
      </c>
    </row>
    <row r="5" spans="2:19" ht="51" customHeight="1">
      <c r="B5" s="2" cm="1">
        <f t="array" ref="B5" xml:space="preserve"> ROW() - ROW($4:$4)</f>
        <v>1</v>
      </c>
      <c r="C5" s="4" t="s">
        <v>65</v>
      </c>
      <c r="D5" s="3" t="s">
        <v>12</v>
      </c>
      <c r="E5" s="322" t="s">
        <v>1971</v>
      </c>
      <c r="F5" s="4" t="s">
        <v>1972</v>
      </c>
      <c r="G5" s="4" t="s">
        <v>65</v>
      </c>
      <c r="H5" s="4" t="s">
        <v>65</v>
      </c>
      <c r="J5" s="324" t="s">
        <v>16</v>
      </c>
      <c r="K5" s="167">
        <f xml:space="preserve"> MATCH(J5, $C$5:$C$22, 0)</f>
        <v>12</v>
      </c>
      <c r="L5" s="325" t="str">
        <f>J5</f>
        <v>Ø</v>
      </c>
      <c r="M5" s="325" t="str" cm="1">
        <f t="array" ref="M5" xml:space="preserve"> INDEX($B$5:$H$22, $K5, M$2)</f>
        <v>英</v>
      </c>
      <c r="N5" s="329" t="str" cm="1">
        <f t="array" ref="N5" xml:space="preserve"> INDEX($B$5:$H$22, $K5, N$2)</f>
        <v>q</v>
      </c>
      <c r="O5" s="329" t="str" cm="1">
        <f t="array" ref="O5" xml:space="preserve"> INDEX($B$5:$H$22, $K5, O$2)</f>
        <v>[ʔ]</v>
      </c>
      <c r="P5" s="329" t="str" cm="1">
        <f t="array" ref="P5" xml:space="preserve"> INDEX($B$5:$H$22, $K5, P$2)</f>
        <v>q</v>
      </c>
      <c r="Q5" s="329" t="str" cm="1">
        <f t="array" ref="Q5" xml:space="preserve"> INDEX($B$5:$H$22, $K5, Q$2)</f>
        <v>q</v>
      </c>
      <c r="S5" s="324" t="s">
        <v>16</v>
      </c>
    </row>
    <row r="6" spans="2:19" ht="51" customHeight="1">
      <c r="B6" s="2" cm="1">
        <f t="array" ref="B6" xml:space="preserve"> ROW() - ROW($4:$4)</f>
        <v>2</v>
      </c>
      <c r="C6" s="4" t="s">
        <v>56</v>
      </c>
      <c r="D6" s="3" t="s">
        <v>12</v>
      </c>
      <c r="E6" s="322" t="s">
        <v>1973</v>
      </c>
      <c r="F6" s="4" t="s">
        <v>1974</v>
      </c>
      <c r="G6" s="4" t="s">
        <v>56</v>
      </c>
      <c r="H6" s="4" t="s">
        <v>1975</v>
      </c>
      <c r="J6" s="326" t="s">
        <v>21</v>
      </c>
      <c r="K6" s="167">
        <f t="shared" ref="K6:K22" si="0" xml:space="preserve"> MATCH(J6, $C$5:$C$22, 0)</f>
        <v>13</v>
      </c>
      <c r="L6" s="325" t="str">
        <f t="shared" ref="L6:L22" si="1">J6</f>
        <v>b</v>
      </c>
      <c r="M6" s="325" t="str" cm="1">
        <f t="array" ref="M6" xml:space="preserve"> INDEX($B$5:$H$22, $K6, M$2)</f>
        <v>門</v>
      </c>
      <c r="N6" s="325" t="str" cm="1">
        <f t="array" ref="N6" xml:space="preserve"> INDEX($B$5:$H$22, $K6, N$2)</f>
        <v>ㆠ</v>
      </c>
      <c r="O6" s="325" t="str" cm="1">
        <f t="array" ref="O6" xml:space="preserve"> INDEX($B$5:$H$22, $K6, O$2)</f>
        <v>[b]</v>
      </c>
      <c r="P6" s="325" t="str" cm="1">
        <f t="array" ref="P6" xml:space="preserve"> INDEX($B$5:$H$22, $K6, P$2)</f>
        <v>b</v>
      </c>
      <c r="Q6" s="325" t="str" cm="1">
        <f t="array" ref="Q6" xml:space="preserve"> INDEX($B$5:$H$22, $K6, Q$2)</f>
        <v>bb</v>
      </c>
      <c r="S6" s="326" t="s">
        <v>22</v>
      </c>
    </row>
    <row r="7" spans="2:19" ht="51" customHeight="1">
      <c r="B7" s="2" cm="1">
        <f t="array" ref="B7" xml:space="preserve"> ROW() - ROW($4:$4)</f>
        <v>3</v>
      </c>
      <c r="C7" s="4" t="s">
        <v>24</v>
      </c>
      <c r="D7" s="3" t="s">
        <v>23</v>
      </c>
      <c r="E7" s="3" t="s">
        <v>26</v>
      </c>
      <c r="F7" s="4" t="s">
        <v>25</v>
      </c>
      <c r="G7" s="4" t="s">
        <v>24</v>
      </c>
      <c r="H7" s="4" t="s">
        <v>21</v>
      </c>
      <c r="J7" s="326" t="s">
        <v>27</v>
      </c>
      <c r="K7" s="167">
        <f t="shared" si="0"/>
        <v>15</v>
      </c>
      <c r="L7" s="325" t="str">
        <f t="shared" si="1"/>
        <v>g</v>
      </c>
      <c r="M7" s="325" t="str" cm="1">
        <f t="array" ref="M7" xml:space="preserve"> INDEX($B$5:$H$22, $K7, M$2)</f>
        <v>語</v>
      </c>
      <c r="N7" s="325" t="str" cm="1">
        <f t="array" ref="N7" xml:space="preserve"> INDEX($B$5:$H$22, $K7, N$2)</f>
        <v>ㆣ</v>
      </c>
      <c r="O7" s="325" t="str" cm="1">
        <f t="array" ref="O7" xml:space="preserve"> INDEX($B$5:$H$22, $K7, O$2)</f>
        <v>[ɡ]</v>
      </c>
      <c r="P7" s="325" t="str" cm="1">
        <f t="array" ref="P7" xml:space="preserve"> INDEX($B$5:$H$22, $K7, P$2)</f>
        <v>g</v>
      </c>
      <c r="Q7" s="325" t="str" cm="1">
        <f t="array" ref="Q7" xml:space="preserve"> INDEX($B$5:$H$22, $K7, Q$2)</f>
        <v>gg</v>
      </c>
      <c r="S7" s="326" t="s">
        <v>28</v>
      </c>
    </row>
    <row r="8" spans="2:19" ht="51" customHeight="1">
      <c r="B8" s="2" cm="1">
        <f t="array" ref="B8" xml:space="preserve"> ROW() - ROW($4:$4)</f>
        <v>4</v>
      </c>
      <c r="C8" s="4" t="s">
        <v>30</v>
      </c>
      <c r="D8" s="3" t="s">
        <v>29</v>
      </c>
      <c r="E8" s="3" t="s">
        <v>32</v>
      </c>
      <c r="F8" s="4" t="s">
        <v>31</v>
      </c>
      <c r="G8" s="4" t="s">
        <v>30</v>
      </c>
      <c r="H8" s="4" t="s">
        <v>27</v>
      </c>
      <c r="J8" s="324" t="s">
        <v>33</v>
      </c>
      <c r="K8" s="167">
        <f t="shared" si="0"/>
        <v>18</v>
      </c>
      <c r="L8" s="325" t="str">
        <f t="shared" si="1"/>
        <v>h</v>
      </c>
      <c r="M8" s="325" t="str" cm="1">
        <f t="array" ref="M8" xml:space="preserve"> INDEX($B$5:$H$22, $K8, M$2)</f>
        <v>喜</v>
      </c>
      <c r="N8" s="325" t="str" cm="1">
        <f t="array" ref="N8" xml:space="preserve"> INDEX($B$5:$H$22, $K8, N$2)</f>
        <v>ㄏ</v>
      </c>
      <c r="O8" s="325" t="str" cm="1">
        <f t="array" ref="O8" xml:space="preserve"> INDEX($B$5:$H$22, $K8, O$2)</f>
        <v>[h]</v>
      </c>
      <c r="P8" s="325" t="str" cm="1">
        <f t="array" ref="P8" xml:space="preserve"> INDEX($B$5:$H$22, $K8, P$2)</f>
        <v>h</v>
      </c>
      <c r="Q8" s="325" t="str" cm="1">
        <f t="array" ref="Q8" xml:space="preserve"> INDEX($B$5:$H$22, $K8, Q$2)</f>
        <v>h</v>
      </c>
      <c r="S8" s="324" t="s">
        <v>34</v>
      </c>
    </row>
    <row r="9" spans="2:19" ht="51" customHeight="1">
      <c r="B9" s="2" cm="1">
        <f t="array" ref="B9" xml:space="preserve"> ROW() - ROW($4:$4)</f>
        <v>5</v>
      </c>
      <c r="C9" s="4" t="s">
        <v>36</v>
      </c>
      <c r="D9" s="3" t="s">
        <v>35</v>
      </c>
      <c r="E9" s="3" t="s">
        <v>38</v>
      </c>
      <c r="F9" s="4" t="s">
        <v>37</v>
      </c>
      <c r="G9" s="4" t="s">
        <v>36</v>
      </c>
      <c r="H9" s="4" t="s">
        <v>30</v>
      </c>
      <c r="J9" s="324" t="s">
        <v>39</v>
      </c>
      <c r="K9" s="167">
        <f t="shared" si="0"/>
        <v>10</v>
      </c>
      <c r="L9" s="325" t="str">
        <f t="shared" si="1"/>
        <v>j</v>
      </c>
      <c r="M9" s="325" t="str" cm="1">
        <f t="array" ref="M9" xml:space="preserve"> INDEX($B$5:$H$22, $K9, M$2)</f>
        <v>入</v>
      </c>
      <c r="N9" s="325" t="str" cm="1">
        <f t="array" ref="N9" xml:space="preserve"> INDEX($B$5:$H$22, $K9, N$2)</f>
        <v>ㆡ
ㆢ</v>
      </c>
      <c r="O9" s="325" t="str" cm="1">
        <f t="array" ref="O9" xml:space="preserve"> INDEX($B$5:$H$22, $K9, O$2)</f>
        <v>[ʣ]
[ʥ]</v>
      </c>
      <c r="P9" s="325" t="str" cm="1">
        <f t="array" ref="P9" xml:space="preserve"> INDEX($B$5:$H$22, $K9, P$2)</f>
        <v>j</v>
      </c>
      <c r="Q9" s="325" t="str" cm="1">
        <f t="array" ref="Q9" xml:space="preserve"> INDEX($B$5:$H$22, $K9, Q$2)</f>
        <v>zz</v>
      </c>
      <c r="S9" s="324" t="s">
        <v>40</v>
      </c>
    </row>
    <row r="10" spans="2:19" ht="51" customHeight="1">
      <c r="B10" s="2" cm="1">
        <f t="array" ref="B10" xml:space="preserve"> ROW() - ROW($4:$4)</f>
        <v>6</v>
      </c>
      <c r="C10" s="4" t="s">
        <v>42</v>
      </c>
      <c r="D10" s="3" t="s">
        <v>41</v>
      </c>
      <c r="E10" s="3" t="s">
        <v>45</v>
      </c>
      <c r="F10" s="4" t="s">
        <v>43</v>
      </c>
      <c r="G10" s="4" t="s">
        <v>42</v>
      </c>
      <c r="H10" s="4" t="s">
        <v>44</v>
      </c>
      <c r="J10" s="324" t="s">
        <v>30</v>
      </c>
      <c r="K10" s="167">
        <f t="shared" si="0"/>
        <v>4</v>
      </c>
      <c r="L10" s="325" t="str">
        <f t="shared" si="1"/>
        <v>k</v>
      </c>
      <c r="M10" s="325" t="str" cm="1">
        <f t="array" ref="M10" xml:space="preserve"> INDEX($B$5:$H$22, $K10, M$2)</f>
        <v>求</v>
      </c>
      <c r="N10" s="325" t="str" cm="1">
        <f t="array" ref="N10" xml:space="preserve"> INDEX($B$5:$H$22, $K10, N$2)</f>
        <v>ㄍ</v>
      </c>
      <c r="O10" s="325" t="str" cm="1">
        <f t="array" ref="O10" xml:space="preserve"> INDEX($B$5:$H$22, $K10, O$2)</f>
        <v>[k]</v>
      </c>
      <c r="P10" s="325" t="str" cm="1">
        <f t="array" ref="P10" xml:space="preserve"> INDEX($B$5:$H$22, $K10, P$2)</f>
        <v>k</v>
      </c>
      <c r="Q10" s="325" t="str" cm="1">
        <f t="array" ref="Q10" xml:space="preserve"> INDEX($B$5:$H$22, $K10, Q$2)</f>
        <v>g</v>
      </c>
      <c r="S10" s="324" t="s">
        <v>46</v>
      </c>
    </row>
    <row r="11" spans="2:19" ht="51" customHeight="1">
      <c r="B11" s="2" cm="1">
        <f t="array" ref="B11" xml:space="preserve"> ROW() - ROW($4:$4)</f>
        <v>7</v>
      </c>
      <c r="C11" s="4" t="s">
        <v>48</v>
      </c>
      <c r="D11" s="3" t="s">
        <v>47</v>
      </c>
      <c r="E11" s="3" t="s">
        <v>50</v>
      </c>
      <c r="F11" s="4" t="s">
        <v>49</v>
      </c>
      <c r="G11" s="4" t="s">
        <v>48</v>
      </c>
      <c r="H11" s="4" t="s">
        <v>24</v>
      </c>
      <c r="J11" s="324" t="s">
        <v>36</v>
      </c>
      <c r="K11" s="167">
        <f t="shared" si="0"/>
        <v>5</v>
      </c>
      <c r="L11" s="325" t="str">
        <f t="shared" si="1"/>
        <v>kh</v>
      </c>
      <c r="M11" s="325" t="str" cm="1">
        <f t="array" ref="M11" xml:space="preserve"> INDEX($B$5:$H$22, $K11, M$2)</f>
        <v>去</v>
      </c>
      <c r="N11" s="325" t="str" cm="1">
        <f t="array" ref="N11" xml:space="preserve"> INDEX($B$5:$H$22, $K11, N$2)</f>
        <v>ㄎ</v>
      </c>
      <c r="O11" s="325" t="str" cm="1">
        <f t="array" ref="O11" xml:space="preserve"> INDEX($B$5:$H$22, $K11, O$2)</f>
        <v>[kʰ]</v>
      </c>
      <c r="P11" s="325" t="str" cm="1">
        <f t="array" ref="P11" xml:space="preserve"> INDEX($B$5:$H$22, $K11, P$2)</f>
        <v>kh</v>
      </c>
      <c r="Q11" s="325" t="str" cm="1">
        <f t="array" ref="Q11" xml:space="preserve"> INDEX($B$5:$H$22, $K11, Q$2)</f>
        <v>k</v>
      </c>
      <c r="S11" s="324" t="s">
        <v>51</v>
      </c>
    </row>
    <row r="12" spans="2:19" ht="51" customHeight="1">
      <c r="B12" s="2" cm="1">
        <f t="array" ref="B12" xml:space="preserve"> ROW() - ROW($4:$4)</f>
        <v>8</v>
      </c>
      <c r="C12" s="4" t="s">
        <v>53</v>
      </c>
      <c r="D12" s="3" t="s">
        <v>52</v>
      </c>
      <c r="E12" s="3" t="s">
        <v>55</v>
      </c>
      <c r="F12" s="4" t="s">
        <v>54</v>
      </c>
      <c r="G12" s="4" t="s">
        <v>53</v>
      </c>
      <c r="H12" s="4" t="s">
        <v>42</v>
      </c>
      <c r="J12" s="324" t="s">
        <v>13</v>
      </c>
      <c r="K12" s="167">
        <f t="shared" si="0"/>
        <v>1</v>
      </c>
      <c r="L12" s="325" t="str">
        <f t="shared" si="1"/>
        <v>l</v>
      </c>
      <c r="M12" s="325" t="str" cm="1">
        <f t="array" ref="M12" xml:space="preserve"> INDEX($B$5:$H$22, $K12, M$2)</f>
        <v>柳</v>
      </c>
      <c r="N12" s="325" t="str" cm="1">
        <f t="array" ref="N12" xml:space="preserve"> INDEX($B$5:$H$22, $K12, N$2)</f>
        <v>ㄌ</v>
      </c>
      <c r="O12" s="325" t="str" cm="1">
        <f t="array" ref="O12" xml:space="preserve"> INDEX($B$5:$H$22, $K12, O$2)</f>
        <v>[l]</v>
      </c>
      <c r="P12" s="325" t="str" cm="1">
        <f t="array" ref="P12" xml:space="preserve"> INDEX($B$5:$H$22, $K12, P$2)</f>
        <v>l</v>
      </c>
      <c r="Q12" s="325" t="str" cm="1">
        <f t="array" ref="Q12" xml:space="preserve"> INDEX($B$5:$H$22, $K12, Q$2)</f>
        <v>l</v>
      </c>
      <c r="S12" s="324" t="s">
        <v>56</v>
      </c>
    </row>
    <row r="13" spans="2:19" ht="51" customHeight="1">
      <c r="B13" s="2" cm="1">
        <f t="array" ref="B13" xml:space="preserve"> ROW() - ROW($4:$4)</f>
        <v>9</v>
      </c>
      <c r="C13" s="4" t="s">
        <v>103</v>
      </c>
      <c r="D13" s="3" t="s">
        <v>57</v>
      </c>
      <c r="E13" s="3" t="s">
        <v>1953</v>
      </c>
      <c r="F13" s="4" t="s">
        <v>1954</v>
      </c>
      <c r="G13" s="4" t="s">
        <v>59</v>
      </c>
      <c r="H13" s="4" t="s">
        <v>62</v>
      </c>
      <c r="J13" s="324" t="s">
        <v>64</v>
      </c>
      <c r="K13" s="167">
        <f t="shared" si="0"/>
        <v>14</v>
      </c>
      <c r="L13" s="325" t="str">
        <f t="shared" si="1"/>
        <v>m</v>
      </c>
      <c r="M13" s="325" t="str" cm="1">
        <f t="array" ref="M13" xml:space="preserve"> INDEX($B$5:$H$22, $K13, M$2)</f>
        <v>門</v>
      </c>
      <c r="N13" s="325" t="str" cm="1">
        <f t="array" ref="N13" xml:space="preserve"> INDEX($B$5:$H$22, $K13, N$2)</f>
        <v>ㄇ</v>
      </c>
      <c r="O13" s="325" t="str" cm="1">
        <f t="array" ref="O13" xml:space="preserve"> INDEX($B$5:$H$22, $K13, O$2)</f>
        <v>[m]</v>
      </c>
      <c r="P13" s="325" t="str" cm="1">
        <f t="array" ref="P13" xml:space="preserve"> INDEX($B$5:$H$22, $K13, P$2)</f>
        <v>m</v>
      </c>
      <c r="Q13" s="325" t="str" cm="1">
        <f t="array" ref="Q13" xml:space="preserve"> INDEX($B$5:$H$22, $K13, Q$2)</f>
        <v>bbn</v>
      </c>
      <c r="S13" s="324" t="s">
        <v>65</v>
      </c>
    </row>
    <row r="14" spans="2:19" ht="51" customHeight="1">
      <c r="B14" s="2" cm="1">
        <f t="array" ref="B14" xml:space="preserve"> ROW() - ROW($4:$4)</f>
        <v>10</v>
      </c>
      <c r="C14" s="4" t="s">
        <v>39</v>
      </c>
      <c r="D14" s="3" t="s">
        <v>66</v>
      </c>
      <c r="E14" s="3" t="s">
        <v>1955</v>
      </c>
      <c r="F14" s="4" t="s">
        <v>1956</v>
      </c>
      <c r="G14" s="4" t="s">
        <v>39</v>
      </c>
      <c r="H14" s="4" t="s">
        <v>70</v>
      </c>
      <c r="J14" s="324" t="s">
        <v>17</v>
      </c>
      <c r="K14" s="167">
        <f t="shared" si="0"/>
        <v>2</v>
      </c>
      <c r="L14" s="325" t="str">
        <f t="shared" si="1"/>
        <v>n</v>
      </c>
      <c r="M14" s="325" t="str" cm="1">
        <f t="array" ref="M14" xml:space="preserve"> INDEX($B$5:$H$22, $K14, M$2)</f>
        <v>柳</v>
      </c>
      <c r="N14" s="325" t="str" cm="1">
        <f t="array" ref="N14" xml:space="preserve"> INDEX($B$5:$H$22, $K14, N$2)</f>
        <v>ㄋ</v>
      </c>
      <c r="O14" s="325" t="str" cm="1">
        <f t="array" ref="O14" xml:space="preserve"> INDEX($B$5:$H$22, $K14, O$2)</f>
        <v>[n]</v>
      </c>
      <c r="P14" s="325" t="str" cm="1">
        <f t="array" ref="P14" xml:space="preserve"> INDEX($B$5:$H$22, $K14, P$2)</f>
        <v>n</v>
      </c>
      <c r="Q14" s="325" t="str" cm="1">
        <f t="array" ref="Q14" xml:space="preserve"> INDEX($B$5:$H$22, $K14, Q$2)</f>
        <v>ln</v>
      </c>
      <c r="S14" s="324" t="s">
        <v>72</v>
      </c>
    </row>
    <row r="15" spans="2:19" ht="51" customHeight="1">
      <c r="B15" s="2" cm="1">
        <f t="array" ref="B15" xml:space="preserve"> ROW() - ROW($4:$4)</f>
        <v>11</v>
      </c>
      <c r="C15" s="4" t="s">
        <v>76</v>
      </c>
      <c r="D15" s="3" t="s">
        <v>74</v>
      </c>
      <c r="E15" s="3" t="s">
        <v>1957</v>
      </c>
      <c r="F15" s="4" t="s">
        <v>1958</v>
      </c>
      <c r="G15" s="4" t="s">
        <v>76</v>
      </c>
      <c r="H15" s="4" t="s">
        <v>76</v>
      </c>
      <c r="J15" s="324" t="s">
        <v>79</v>
      </c>
      <c r="K15" s="167">
        <f t="shared" si="0"/>
        <v>16</v>
      </c>
      <c r="L15" s="325" t="str">
        <f t="shared" si="1"/>
        <v>ng</v>
      </c>
      <c r="M15" s="325" t="str" cm="1">
        <f t="array" ref="M15" xml:space="preserve"> INDEX($B$5:$H$22, $K15, M$2)</f>
        <v>語</v>
      </c>
      <c r="N15" s="325" t="str" cm="1">
        <f t="array" ref="N15" xml:space="preserve"> INDEX($B$5:$H$22, $K15, N$2)</f>
        <v>ㄫ</v>
      </c>
      <c r="O15" s="325" t="str" cm="1">
        <f t="array" ref="O15" xml:space="preserve"> INDEX($B$5:$H$22, $K15, O$2)</f>
        <v>[ŋ]</v>
      </c>
      <c r="P15" s="325" t="str" cm="1">
        <f t="array" ref="P15" xml:space="preserve"> INDEX($B$5:$H$22, $K15, P$2)</f>
        <v>ng</v>
      </c>
      <c r="Q15" s="325" t="str" cm="1">
        <f t="array" ref="Q15" xml:space="preserve"> INDEX($B$5:$H$22, $K15, Q$2)</f>
        <v>ggn</v>
      </c>
      <c r="S15" s="324" t="s">
        <v>80</v>
      </c>
    </row>
    <row r="16" spans="2:19" ht="51" customHeight="1">
      <c r="B16" s="2" cm="1">
        <f t="array" ref="B16" xml:space="preserve"> ROW() - ROW($4:$4)</f>
        <v>12</v>
      </c>
      <c r="C16" s="20" t="s">
        <v>16</v>
      </c>
      <c r="D16" s="3" t="s">
        <v>82</v>
      </c>
      <c r="E16" s="3" t="s">
        <v>83</v>
      </c>
      <c r="F16" s="4" t="s">
        <v>85</v>
      </c>
      <c r="G16" s="20" t="s">
        <v>83</v>
      </c>
      <c r="H16" s="20" t="s">
        <v>83</v>
      </c>
      <c r="J16" s="324" t="s">
        <v>24</v>
      </c>
      <c r="K16" s="167">
        <f t="shared" si="0"/>
        <v>3</v>
      </c>
      <c r="L16" s="325" t="str">
        <f t="shared" si="1"/>
        <v>p</v>
      </c>
      <c r="M16" s="325" t="str" cm="1">
        <f t="array" ref="M16" xml:space="preserve"> INDEX($B$5:$H$22, $K16, M$2)</f>
        <v>邊</v>
      </c>
      <c r="N16" s="325" t="str" cm="1">
        <f t="array" ref="N16" xml:space="preserve"> INDEX($B$5:$H$22, $K16, N$2)</f>
        <v>ㄅ</v>
      </c>
      <c r="O16" s="325" t="str" cm="1">
        <f t="array" ref="O16" xml:space="preserve"> INDEX($B$5:$H$22, $K16, O$2)</f>
        <v>[p]</v>
      </c>
      <c r="P16" s="325" t="str" cm="1">
        <f t="array" ref="P16" xml:space="preserve"> INDEX($B$5:$H$22, $K16, P$2)</f>
        <v>p</v>
      </c>
      <c r="Q16" s="325" t="str" cm="1">
        <f t="array" ref="Q16" xml:space="preserve"> INDEX($B$5:$H$22, $K16, Q$2)</f>
        <v>b</v>
      </c>
      <c r="S16" s="324" t="s">
        <v>86</v>
      </c>
    </row>
    <row r="17" spans="2:26" ht="51" customHeight="1">
      <c r="B17" s="2" cm="1">
        <f t="array" ref="B17" xml:space="preserve"> ROW() - ROW($4:$4)</f>
        <v>13</v>
      </c>
      <c r="C17" s="4" t="s">
        <v>34</v>
      </c>
      <c r="D17" s="3" t="s">
        <v>88</v>
      </c>
      <c r="E17" s="323" t="s">
        <v>1976</v>
      </c>
      <c r="F17" s="4" t="s">
        <v>1977</v>
      </c>
      <c r="G17" s="4" t="s">
        <v>34</v>
      </c>
      <c r="H17" s="4" t="s">
        <v>1978</v>
      </c>
      <c r="J17" s="324" t="s">
        <v>48</v>
      </c>
      <c r="K17" s="167">
        <f t="shared" si="0"/>
        <v>7</v>
      </c>
      <c r="L17" s="325" t="str">
        <f t="shared" si="1"/>
        <v>ph</v>
      </c>
      <c r="M17" s="325" t="str" cm="1">
        <f t="array" ref="M17" xml:space="preserve"> INDEX($B$5:$H$22, $K17, M$2)</f>
        <v>頗</v>
      </c>
      <c r="N17" s="325" t="str" cm="1">
        <f t="array" ref="N17" xml:space="preserve"> INDEX($B$5:$H$22, $K17, N$2)</f>
        <v>ㄆ</v>
      </c>
      <c r="O17" s="325" t="str" cm="1">
        <f t="array" ref="O17" xml:space="preserve"> INDEX($B$5:$H$22, $K17, O$2)</f>
        <v>[pʰ]</v>
      </c>
      <c r="P17" s="325" t="str" cm="1">
        <f t="array" ref="P17" xml:space="preserve"> INDEX($B$5:$H$22, $K17, P$2)</f>
        <v>ph</v>
      </c>
      <c r="Q17" s="325" t="str" cm="1">
        <f t="array" ref="Q17" xml:space="preserve"> INDEX($B$5:$H$22, $K17, Q$2)</f>
        <v>p</v>
      </c>
      <c r="S17" s="324" t="s">
        <v>92</v>
      </c>
    </row>
    <row r="18" spans="2:26" ht="51" customHeight="1">
      <c r="B18" s="2" cm="1">
        <f t="array" ref="B18" xml:space="preserve"> ROW() - ROW($4:$4)</f>
        <v>14</v>
      </c>
      <c r="C18" s="4" t="s">
        <v>40</v>
      </c>
      <c r="D18" s="3" t="s">
        <v>88</v>
      </c>
      <c r="E18" s="322" t="s">
        <v>1597</v>
      </c>
      <c r="F18" s="4" t="s">
        <v>1979</v>
      </c>
      <c r="G18" s="4" t="s">
        <v>40</v>
      </c>
      <c r="H18" s="4" t="s">
        <v>1980</v>
      </c>
      <c r="J18" s="324" t="s">
        <v>76</v>
      </c>
      <c r="K18" s="167">
        <f t="shared" si="0"/>
        <v>11</v>
      </c>
      <c r="L18" s="325" t="str">
        <f t="shared" si="1"/>
        <v>s</v>
      </c>
      <c r="M18" s="325" t="str" cm="1">
        <f t="array" ref="M18" xml:space="preserve"> INDEX($B$5:$H$22, $K18, M$2)</f>
        <v>時</v>
      </c>
      <c r="N18" s="325" t="str" cm="1">
        <f t="array" ref="N18" xml:space="preserve"> INDEX($B$5:$H$22, $K18, N$2)</f>
        <v>ㄙ
ㄒ</v>
      </c>
      <c r="O18" s="325" t="str" cm="1">
        <f t="array" ref="O18" xml:space="preserve"> INDEX($B$5:$H$22, $K18, O$2)</f>
        <v>[s]
[ɕ]</v>
      </c>
      <c r="P18" s="325" t="str" cm="1">
        <f t="array" ref="P18" xml:space="preserve"> INDEX($B$5:$H$22, $K18, P$2)</f>
        <v>s</v>
      </c>
      <c r="Q18" s="325" t="str" cm="1">
        <f t="array" ref="Q18" xml:space="preserve"> INDEX($B$5:$H$22, $K18, Q$2)</f>
        <v>s</v>
      </c>
      <c r="S18" s="324" t="s">
        <v>97</v>
      </c>
    </row>
    <row r="19" spans="2:26" ht="51" customHeight="1">
      <c r="B19" s="2" cm="1">
        <f t="array" ref="B19" xml:space="preserve"> ROW() - ROW($4:$4)</f>
        <v>15</v>
      </c>
      <c r="C19" s="4" t="s">
        <v>86</v>
      </c>
      <c r="D19" s="3" t="s">
        <v>99</v>
      </c>
      <c r="E19" s="323" t="s">
        <v>1981</v>
      </c>
      <c r="F19" s="4" t="s">
        <v>1982</v>
      </c>
      <c r="G19" s="4" t="s">
        <v>86</v>
      </c>
      <c r="H19" s="4" t="s">
        <v>1983</v>
      </c>
      <c r="J19" s="324" t="s">
        <v>42</v>
      </c>
      <c r="K19" s="167">
        <f t="shared" si="0"/>
        <v>6</v>
      </c>
      <c r="L19" s="325" t="str">
        <f t="shared" si="1"/>
        <v>t</v>
      </c>
      <c r="M19" s="325" t="str" cm="1">
        <f t="array" ref="M19" xml:space="preserve"> INDEX($B$5:$H$22, $K19, M$2)</f>
        <v>地</v>
      </c>
      <c r="N19" s="325" t="str" cm="1">
        <f t="array" ref="N19" xml:space="preserve"> INDEX($B$5:$H$22, $K19, N$2)</f>
        <v>ㄉ</v>
      </c>
      <c r="O19" s="325" t="str" cm="1">
        <f t="array" ref="O19" xml:space="preserve"> INDEX($B$5:$H$22, $K19, O$2)</f>
        <v>[t]</v>
      </c>
      <c r="P19" s="325" t="str" cm="1">
        <f t="array" ref="P19" xml:space="preserve"> INDEX($B$5:$H$22, $K19, P$2)</f>
        <v>t</v>
      </c>
      <c r="Q19" s="325" t="str" cm="1">
        <f t="array" ref="Q19" xml:space="preserve"> INDEX($B$5:$H$22, $K19, Q$2)</f>
        <v>d</v>
      </c>
      <c r="S19" s="324" t="s">
        <v>103</v>
      </c>
    </row>
    <row r="20" spans="2:26" ht="51" customHeight="1">
      <c r="B20" s="2" cm="1">
        <f t="array" ref="B20" xml:space="preserve"> ROW() - ROW($4:$4)</f>
        <v>16</v>
      </c>
      <c r="C20" s="4" t="s">
        <v>92</v>
      </c>
      <c r="D20" s="3" t="s">
        <v>99</v>
      </c>
      <c r="E20" s="323" t="s">
        <v>1984</v>
      </c>
      <c r="F20" s="4" t="s">
        <v>1985</v>
      </c>
      <c r="G20" s="4" t="s">
        <v>92</v>
      </c>
      <c r="H20" s="4" t="s">
        <v>1986</v>
      </c>
      <c r="J20" s="324" t="s">
        <v>53</v>
      </c>
      <c r="K20" s="167">
        <f t="shared" si="0"/>
        <v>8</v>
      </c>
      <c r="L20" s="325" t="str">
        <f t="shared" si="1"/>
        <v>th</v>
      </c>
      <c r="M20" s="325" t="str" cm="1">
        <f t="array" ref="M20" xml:space="preserve"> INDEX($B$5:$H$22, $K20, M$2)</f>
        <v>他</v>
      </c>
      <c r="N20" s="325" t="str" cm="1">
        <f t="array" ref="N20" xml:space="preserve"> INDEX($B$5:$H$22, $K20, N$2)</f>
        <v>ㄊ</v>
      </c>
      <c r="O20" s="325" t="str" cm="1">
        <f t="array" ref="O20" xml:space="preserve"> INDEX($B$5:$H$22, $K20, O$2)</f>
        <v>[tʰ]</v>
      </c>
      <c r="P20" s="325" t="str" cm="1">
        <f t="array" ref="P20" xml:space="preserve"> INDEX($B$5:$H$22, $K20, P$2)</f>
        <v>th</v>
      </c>
      <c r="Q20" s="325" t="str" cm="1">
        <f t="array" ref="Q20" xml:space="preserve"> INDEX($B$5:$H$22, $K20, Q$2)</f>
        <v>t</v>
      </c>
      <c r="S20" s="324" t="s">
        <v>108</v>
      </c>
    </row>
    <row r="21" spans="2:26" ht="51" customHeight="1">
      <c r="B21" s="2" cm="1">
        <f t="array" ref="B21" xml:space="preserve"> ROW() - ROW($4:$4)</f>
        <v>17</v>
      </c>
      <c r="C21" s="4" t="s">
        <v>108</v>
      </c>
      <c r="D21" s="3" t="s">
        <v>110</v>
      </c>
      <c r="E21" s="3" t="s">
        <v>1967</v>
      </c>
      <c r="F21" s="4" t="s">
        <v>1968</v>
      </c>
      <c r="G21" s="4" t="s">
        <v>112</v>
      </c>
      <c r="H21" s="4" t="s">
        <v>115</v>
      </c>
      <c r="J21" s="324" t="s">
        <v>59</v>
      </c>
      <c r="K21" s="167">
        <f t="shared" si="0"/>
        <v>9</v>
      </c>
      <c r="L21" s="325" t="str">
        <f t="shared" si="1"/>
        <v>ts</v>
      </c>
      <c r="M21" s="325" t="str" cm="1">
        <f t="array" ref="M21" xml:space="preserve"> INDEX($B$5:$H$22, $K21, M$2)</f>
        <v>曾</v>
      </c>
      <c r="N21" s="325" t="str" cm="1">
        <f t="array" ref="N21" xml:space="preserve"> INDEX($B$5:$H$22, $K21, N$2)</f>
        <v>ㄗ
ㄐ</v>
      </c>
      <c r="O21" s="325" t="str" cm="1">
        <f t="array" ref="O21" xml:space="preserve"> INDEX($B$5:$H$22, $K21, O$2)</f>
        <v>[ʦ]
[ʨ]</v>
      </c>
      <c r="P21" s="325" t="str" cm="1">
        <f t="array" ref="P21" xml:space="preserve"> INDEX($B$5:$H$22, $K21, P$2)</f>
        <v>ts</v>
      </c>
      <c r="Q21" s="325" t="str" cm="1">
        <f t="array" ref="Q21" xml:space="preserve"> INDEX($B$5:$H$22, $K21, Q$2)</f>
        <v>z</v>
      </c>
      <c r="S21" s="324" t="s">
        <v>117</v>
      </c>
    </row>
    <row r="22" spans="2:26" ht="51" customHeight="1">
      <c r="B22" s="2" cm="1">
        <f t="array" ref="B22" xml:space="preserve"> ROW() - ROW($4:$4)</f>
        <v>18</v>
      </c>
      <c r="C22" s="4" t="s">
        <v>33</v>
      </c>
      <c r="D22" s="3" t="s">
        <v>119</v>
      </c>
      <c r="E22" s="3" t="s">
        <v>1969</v>
      </c>
      <c r="F22" s="4" t="s">
        <v>120</v>
      </c>
      <c r="G22" s="4" t="s">
        <v>33</v>
      </c>
      <c r="H22" s="4" t="s">
        <v>33</v>
      </c>
      <c r="J22" s="324" t="s">
        <v>112</v>
      </c>
      <c r="K22" s="167">
        <f t="shared" si="0"/>
        <v>17</v>
      </c>
      <c r="L22" s="325" t="str">
        <f t="shared" si="1"/>
        <v>tsh</v>
      </c>
      <c r="M22" s="325" t="str" cm="1">
        <f t="array" ref="M22" xml:space="preserve"> INDEX($B$5:$H$22, $K22, M$2)</f>
        <v>出</v>
      </c>
      <c r="N22" s="325" t="str" cm="1">
        <f t="array" ref="N22" xml:space="preserve"> INDEX($B$5:$H$22, $K22, N$2)</f>
        <v>ㄘ
ㄑ</v>
      </c>
      <c r="O22" s="325" t="str" cm="1">
        <f t="array" ref="O22" xml:space="preserve"> INDEX($B$5:$H$22, $K22, O$2)</f>
        <v>[ʦʰ]
[ʨʰ]</v>
      </c>
      <c r="P22" s="325" t="str" cm="1">
        <f t="array" ref="P22" xml:space="preserve"> INDEX($B$5:$H$22, $K22, P$2)</f>
        <v>tsh</v>
      </c>
      <c r="Q22" s="325" t="str" cm="1">
        <f t="array" ref="Q22" xml:space="preserve"> INDEX($B$5:$H$22, $K22, Q$2)</f>
        <v>c</v>
      </c>
      <c r="S22" s="324" t="s">
        <v>122</v>
      </c>
    </row>
    <row r="28" spans="2:26">
      <c r="J28" s="336" t="s">
        <v>21</v>
      </c>
      <c r="K28" s="336" t="s">
        <v>27</v>
      </c>
      <c r="L28" s="336" t="s">
        <v>33</v>
      </c>
      <c r="M28" s="336" t="s">
        <v>39</v>
      </c>
      <c r="N28" s="336" t="s">
        <v>30</v>
      </c>
      <c r="O28" s="336" t="s">
        <v>36</v>
      </c>
      <c r="P28" s="336" t="s">
        <v>13</v>
      </c>
      <c r="Q28" s="336" t="s">
        <v>64</v>
      </c>
      <c r="R28" s="336" t="s">
        <v>17</v>
      </c>
      <c r="S28" s="336" t="s">
        <v>79</v>
      </c>
      <c r="T28" s="336" t="s">
        <v>24</v>
      </c>
      <c r="U28" s="336" t="s">
        <v>48</v>
      </c>
      <c r="V28" s="336" t="s">
        <v>76</v>
      </c>
      <c r="W28" s="336" t="s">
        <v>42</v>
      </c>
      <c r="X28" s="336" t="s">
        <v>53</v>
      </c>
      <c r="Y28" s="336" t="s">
        <v>59</v>
      </c>
      <c r="Z28" s="336" t="s">
        <v>112</v>
      </c>
    </row>
  </sheetData>
  <phoneticPr fontId="1" type="noConversion"/>
  <hyperlinks>
    <hyperlink ref="F4" r:id="rId1" xr:uid="{500D25D4-9EDC-324E-877B-5E0853FA6566}"/>
    <hyperlink ref="H4" r:id="rId2" xr:uid="{E1407B0A-E535-4648-86B2-EBDC53B367DF}"/>
    <hyperlink ref="G4" r:id="rId3" xr:uid="{CDCDA14A-D9F6-0C45-B8B9-81079326BB6F}"/>
    <hyperlink ref="F7" r:id="rId4" xr:uid="{A6169EC3-F815-5942-8A91-B951E3A09E1E}"/>
    <hyperlink ref="F8" r:id="rId5" xr:uid="{D35174DC-FD9B-5445-95A3-E24FC703C0F6}"/>
    <hyperlink ref="F9" r:id="rId6" xr:uid="{1F6BAB91-41AC-D244-95ED-0568CA8FF1FC}"/>
    <hyperlink ref="F10" r:id="rId7" xr:uid="{220C4806-7A4D-E444-95A8-DF1FD1C8B3D9}"/>
    <hyperlink ref="F11" r:id="rId8" xr:uid="{C58B20B3-2453-C74E-A8F2-0CB28BE29C84}"/>
    <hyperlink ref="F12" r:id="rId9" xr:uid="{83355652-FFE4-664D-A4D6-0CC174ED03E4}"/>
    <hyperlink ref="F16" r:id="rId10" xr:uid="{B06785DD-BFAB-B14B-8BE0-07C39D6E7D0A}"/>
    <hyperlink ref="F22" r:id="rId11" xr:uid="{707853C2-8399-144E-B020-F4C38721AE19}"/>
    <hyperlink ref="O4" r:id="rId12" xr:uid="{DBC0CB66-CA3D-B14B-BD5C-B0A054F87B8F}"/>
    <hyperlink ref="Q4" r:id="rId13" xr:uid="{BBBC0694-9E09-0E44-9F1E-2CE738C38044}"/>
    <hyperlink ref="P4" r:id="rId14" xr:uid="{BE47B9F0-1CE6-CE4D-ABEA-6F6386873036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C84C-49F9-0B4D-AAAF-4867409EE4F9}">
  <sheetPr codeName="工作表17">
    <tabColor rgb="FF00B0F0"/>
  </sheetPr>
  <dimension ref="B1:AG58"/>
  <sheetViews>
    <sheetView topLeftCell="A28" workbookViewId="0"/>
  </sheetViews>
  <sheetFormatPr baseColWidth="10" defaultColWidth="10.69921875" defaultRowHeight="30" outlineLevelRow="1" outlineLevelCol="2"/>
  <cols>
    <col min="1" max="1" width="3.09765625" style="57" customWidth="1"/>
    <col min="2" max="2" width="4.5" style="68" customWidth="1"/>
    <col min="3" max="3" width="13" style="57" customWidth="1"/>
    <col min="4" max="5" width="10.69921875" style="57"/>
    <col min="6" max="6" width="9.796875" style="57" customWidth="1"/>
    <col min="7" max="7" width="9.796875" style="57" customWidth="1" outlineLevel="1"/>
    <col min="8" max="9" width="9.796875" style="57" customWidth="1" outlineLevel="2"/>
    <col min="10" max="13" width="9.796875" style="65" customWidth="1" outlineLevel="1"/>
    <col min="14" max="14" width="4.5" style="56" customWidth="1"/>
    <col min="15" max="15" width="10.69921875" style="57"/>
    <col min="16" max="16" width="9.296875" style="223" customWidth="1"/>
    <col min="17" max="18" width="9.296875" style="221" hidden="1" customWidth="1" outlineLevel="1"/>
    <col min="19" max="19" width="4.796875" style="56" customWidth="1" collapsed="1"/>
    <col min="20" max="20" width="9.296875" style="205" customWidth="1"/>
    <col min="21" max="21" width="9.296875" style="206" customWidth="1"/>
    <col min="22" max="23" width="9.296875" style="206" hidden="1" customWidth="1" outlineLevel="2"/>
    <col min="24" max="24" width="17.796875" style="207" hidden="1" customWidth="1" outlineLevel="1" collapsed="1"/>
    <col min="25" max="27" width="17.796875" style="207" hidden="1" customWidth="1" outlineLevel="1"/>
    <col min="28" max="28" width="5.296875" style="57" customWidth="1" collapsed="1"/>
    <col min="29" max="29" width="4.5" style="68" customWidth="1"/>
    <col min="30" max="30" width="13" style="261" customWidth="1"/>
    <col min="31" max="33" width="10.5" style="57" customWidth="1"/>
    <col min="34" max="16384" width="10.69921875" style="57"/>
  </cols>
  <sheetData>
    <row r="1" spans="2:33" outlineLevel="1"/>
    <row r="2" spans="2:33" outlineLevel="1">
      <c r="B2" s="53"/>
      <c r="C2" s="53"/>
      <c r="D2" s="53"/>
      <c r="E2" s="53"/>
      <c r="F2" s="215">
        <v>3</v>
      </c>
      <c r="G2" s="215">
        <v>4</v>
      </c>
      <c r="H2" s="215">
        <v>5</v>
      </c>
      <c r="I2" s="215">
        <v>6</v>
      </c>
      <c r="J2" s="215">
        <v>9</v>
      </c>
      <c r="K2" s="215">
        <v>10</v>
      </c>
      <c r="L2" s="215">
        <v>13</v>
      </c>
      <c r="M2" s="215">
        <v>14</v>
      </c>
      <c r="O2" s="53"/>
      <c r="AC2" s="53"/>
      <c r="AD2" s="262"/>
      <c r="AE2" s="53"/>
    </row>
    <row r="3" spans="2:33">
      <c r="B3" s="53"/>
      <c r="C3" s="53"/>
      <c r="D3" s="53"/>
      <c r="E3" s="53"/>
      <c r="F3" s="53"/>
      <c r="G3" s="53"/>
      <c r="H3" s="54"/>
      <c r="I3" s="54"/>
      <c r="J3" s="55"/>
      <c r="K3" s="55"/>
      <c r="L3" s="55"/>
      <c r="M3" s="55"/>
      <c r="O3" s="53"/>
      <c r="AC3" s="53"/>
      <c r="AD3" s="262"/>
      <c r="AE3" s="53"/>
    </row>
    <row r="4" spans="2:33" ht="42">
      <c r="B4" s="212" t="s">
        <v>123</v>
      </c>
      <c r="C4" s="212" t="s">
        <v>1992</v>
      </c>
      <c r="D4" s="212" t="s">
        <v>1993</v>
      </c>
      <c r="E4" s="230" t="s">
        <v>1994</v>
      </c>
      <c r="F4" s="231" t="s">
        <v>1995</v>
      </c>
      <c r="G4" s="231" t="s">
        <v>1996</v>
      </c>
      <c r="H4" s="213" t="s">
        <v>138</v>
      </c>
      <c r="I4" s="213" t="s">
        <v>139</v>
      </c>
      <c r="J4" s="214" t="s">
        <v>142</v>
      </c>
      <c r="K4" s="214" t="s">
        <v>143</v>
      </c>
      <c r="L4" s="214" t="s">
        <v>1997</v>
      </c>
      <c r="M4" s="214" t="s">
        <v>1998</v>
      </c>
      <c r="O4" s="212" t="s">
        <v>1999</v>
      </c>
      <c r="P4" s="213" t="s">
        <v>2000</v>
      </c>
      <c r="Q4" s="212" t="s">
        <v>2001</v>
      </c>
      <c r="R4" s="212" t="s">
        <v>2002</v>
      </c>
      <c r="T4" s="212" t="s">
        <v>2003</v>
      </c>
      <c r="U4" s="213" t="s">
        <v>2000</v>
      </c>
      <c r="V4" s="212" t="s">
        <v>2001</v>
      </c>
      <c r="W4" s="212" t="s">
        <v>2002</v>
      </c>
      <c r="AC4" s="212" t="str">
        <f>B4</f>
        <v>序次</v>
      </c>
      <c r="AD4" s="264" t="str">
        <f xml:space="preserve"> C4</f>
        <v>彙集雅俗通</v>
      </c>
      <c r="AE4" s="212" t="s">
        <v>738</v>
      </c>
      <c r="AF4" s="212" t="str">
        <f>D4</f>
        <v>彙音寶鑑</v>
      </c>
      <c r="AG4" s="212" t="str">
        <f>E4</f>
        <v>台語拼音</v>
      </c>
    </row>
    <row r="5" spans="2:33">
      <c r="B5" s="216">
        <v>1</v>
      </c>
      <c r="C5" s="217" t="s">
        <v>152</v>
      </c>
      <c r="D5" s="217"/>
      <c r="E5" s="217"/>
      <c r="F5" s="220" t="str" cm="1">
        <f t="array" ref="F5" xml:space="preserve"> INDEX('十五音-韻母'!$B$5:$O$54, $B5, F$2)</f>
        <v>un</v>
      </c>
      <c r="G5" s="220" t="str" cm="1">
        <f t="array" ref="G5" xml:space="preserve"> INDEX('十五音-韻母'!$B$5:$O$54, $B5, G$2)</f>
        <v>ut</v>
      </c>
      <c r="H5" s="220" t="str" cm="1">
        <f t="array" ref="H5" xml:space="preserve"> INDEX('十五音-韻母'!$B$5:$O$54, $B5, H$2)</f>
        <v>un</v>
      </c>
      <c r="I5" s="220" t="str" cm="1">
        <f t="array" ref="I5" xml:space="preserve"> INDEX('十五音-韻母'!$B$5:$O$54, $B5, I$2)</f>
        <v>ut̚</v>
      </c>
      <c r="J5" s="220" t="str" cm="1">
        <f t="array" ref="J5" xml:space="preserve"> INDEX('十五音-韻母'!$B$5:$O$54, $B5, J$2)</f>
        <v>un</v>
      </c>
      <c r="K5" s="220" t="str" cm="1">
        <f t="array" ref="K5" xml:space="preserve"> INDEX('十五音-韻母'!$B$5:$O$54, $B5, K$2)</f>
        <v>ut</v>
      </c>
      <c r="L5" s="220" t="str" cm="1">
        <f t="array" ref="L5" xml:space="preserve"> INDEX('十五音-韻母'!$B$5:$O$54, $B5, L$2)</f>
        <v>ㄨㄣ</v>
      </c>
      <c r="M5" s="220" t="str" cm="1">
        <f t="array" ref="M5" xml:space="preserve"> INDEX('十五音-韻母'!$B$5:$O$54, $B5, M$2)</f>
        <v>ㄨㆵ</v>
      </c>
      <c r="O5" s="225" t="s">
        <v>152</v>
      </c>
      <c r="P5" s="226" t="s">
        <v>153</v>
      </c>
      <c r="Q5" s="227">
        <f xml:space="preserve"> IFERROR(MATCH(P5, $F$5:$F$54, 0), "")</f>
        <v>1</v>
      </c>
      <c r="R5" s="227">
        <f xml:space="preserve"> IFERROR(Q5-$B5, 0)</f>
        <v>0</v>
      </c>
      <c r="T5" s="225" t="s">
        <v>152</v>
      </c>
      <c r="U5" s="226" t="s">
        <v>153</v>
      </c>
      <c r="V5" s="227">
        <f xml:space="preserve"> MATCH(U5, $F$5:$F$54, 0)</f>
        <v>1</v>
      </c>
      <c r="W5" s="227">
        <f>V5-$B5</f>
        <v>0</v>
      </c>
      <c r="X5" s="258"/>
      <c r="Y5" s="258"/>
      <c r="Z5" s="258"/>
      <c r="AA5" s="258"/>
      <c r="AC5" s="216">
        <f t="shared" ref="AC5:AC54" si="0">B5</f>
        <v>1</v>
      </c>
      <c r="AD5" s="225" t="str">
        <f>C5</f>
        <v>君</v>
      </c>
      <c r="AE5" s="260" t="str">
        <f xml:space="preserve"> F5</f>
        <v>un</v>
      </c>
      <c r="AF5" s="260">
        <f xml:space="preserve"> IFERROR( MATCH($F5, $P$5:$P$49,0), "無對映")</f>
        <v>1</v>
      </c>
      <c r="AG5" s="260">
        <f xml:space="preserve"> IFERROR( MATCH($F5, $U$5:$U$48,0), "無對映")</f>
        <v>1</v>
      </c>
    </row>
    <row r="6" spans="2:33">
      <c r="B6" s="216">
        <v>2</v>
      </c>
      <c r="C6" s="217" t="s">
        <v>161</v>
      </c>
      <c r="D6" s="217"/>
      <c r="E6" s="217"/>
      <c r="F6" s="220" t="str" cm="1">
        <f t="array" ref="F6" xml:space="preserve"> INDEX('十五音-韻母'!$B$5:$O$54, $B6, F$2)</f>
        <v>ian</v>
      </c>
      <c r="G6" s="220" t="str" cm="1">
        <f t="array" ref="G6" xml:space="preserve"> INDEX('十五音-韻母'!$B$5:$O$54, $B6, G$2)</f>
        <v>iat</v>
      </c>
      <c r="H6" s="220" t="str" cm="1">
        <f t="array" ref="H6" xml:space="preserve"> INDEX('十五音-韻母'!$B$5:$O$54, $B6, H$2)</f>
        <v>ian</v>
      </c>
      <c r="I6" s="220" t="str" cm="1">
        <f t="array" ref="I6" xml:space="preserve"> INDEX('十五音-韻母'!$B$5:$O$54, $B6, I$2)</f>
        <v>iat̚</v>
      </c>
      <c r="J6" s="220" t="str" cm="1">
        <f t="array" ref="J6" xml:space="preserve"> INDEX('十五音-韻母'!$B$5:$O$54, $B6, J$2)</f>
        <v>ian</v>
      </c>
      <c r="K6" s="220" t="str" cm="1">
        <f t="array" ref="K6" xml:space="preserve"> INDEX('十五音-韻母'!$B$5:$O$54, $B6, K$2)</f>
        <v>iat</v>
      </c>
      <c r="L6" s="220" t="str" cm="1">
        <f t="array" ref="L6" xml:space="preserve"> INDEX('十五音-韻母'!$B$5:$O$54, $B6, L$2)</f>
        <v>ㄧㄢ</v>
      </c>
      <c r="M6" s="220" t="str" cm="1">
        <f t="array" ref="M6" xml:space="preserve"> INDEX('十五音-韻母'!$B$5:$O$54, $B6, M$2)</f>
        <v>ㄧㄚㆵ</v>
      </c>
      <c r="O6" s="225" t="s">
        <v>161</v>
      </c>
      <c r="P6" s="226" t="s">
        <v>162</v>
      </c>
      <c r="Q6" s="227">
        <f t="shared" ref="Q6:Q54" si="1" xml:space="preserve"> IFERROR(MATCH(P6, $F$5:$F$54, 0), "")</f>
        <v>2</v>
      </c>
      <c r="R6" s="227">
        <f t="shared" ref="R6:R54" si="2" xml:space="preserve"> IFERROR(Q6-$B6, 0)</f>
        <v>0</v>
      </c>
      <c r="T6" s="225" t="s">
        <v>161</v>
      </c>
      <c r="U6" s="226" t="s">
        <v>162</v>
      </c>
      <c r="V6" s="227">
        <f t="shared" ref="V6:V54" si="3" xml:space="preserve"> MATCH(U6, $F$5:$F$54, 0)</f>
        <v>2</v>
      </c>
      <c r="W6" s="227">
        <f t="shared" ref="W6:W54" si="4">V6-$B6</f>
        <v>0</v>
      </c>
      <c r="X6" s="258"/>
      <c r="Y6" s="258"/>
      <c r="Z6" s="258"/>
      <c r="AA6" s="258"/>
      <c r="AC6" s="216">
        <f t="shared" si="0"/>
        <v>2</v>
      </c>
      <c r="AD6" s="225" t="str">
        <f t="shared" ref="AD6:AD54" si="5">C6</f>
        <v>堅</v>
      </c>
      <c r="AE6" s="260" t="str">
        <f t="shared" ref="AE6:AE54" si="6" xml:space="preserve"> F6</f>
        <v>ian</v>
      </c>
      <c r="AF6" s="260">
        <f t="shared" ref="AF6:AF54" si="7" xml:space="preserve"> IFERROR( MATCH($F6, $P$5:$P$49,0), "無對映")</f>
        <v>2</v>
      </c>
      <c r="AG6" s="260">
        <f t="shared" ref="AG6:AG54" si="8" xml:space="preserve"> IFERROR( MATCH($F6, $U$5:$U$48,0), "無對映")</f>
        <v>2</v>
      </c>
    </row>
    <row r="7" spans="2:33">
      <c r="B7" s="216">
        <v>3</v>
      </c>
      <c r="C7" s="217" t="s">
        <v>170</v>
      </c>
      <c r="D7" s="217"/>
      <c r="E7" s="217"/>
      <c r="F7" s="220" t="str" cm="1">
        <f t="array" ref="F7" xml:space="preserve"> INDEX('十五音-韻母'!$B$5:$O$54, $B7, F$2)</f>
        <v>im</v>
      </c>
      <c r="G7" s="220" t="str" cm="1">
        <f t="array" ref="G7" xml:space="preserve"> INDEX('十五音-韻母'!$B$5:$O$54, $B7, G$2)</f>
        <v>ip</v>
      </c>
      <c r="H7" s="220" t="str" cm="1">
        <f t="array" ref="H7" xml:space="preserve"> INDEX('十五音-韻母'!$B$5:$O$54, $B7, H$2)</f>
        <v>im</v>
      </c>
      <c r="I7" s="220" t="str" cm="1">
        <f t="array" ref="I7" xml:space="preserve"> INDEX('十五音-韻母'!$B$5:$O$54, $B7, I$2)</f>
        <v>ip̚</v>
      </c>
      <c r="J7" s="220" t="str" cm="1">
        <f t="array" ref="J7" xml:space="preserve"> INDEX('十五音-韻母'!$B$5:$O$54, $B7, J$2)</f>
        <v>im</v>
      </c>
      <c r="K7" s="220" t="str" cm="1">
        <f t="array" ref="K7" xml:space="preserve"> INDEX('十五音-韻母'!$B$5:$O$54, $B7, K$2)</f>
        <v>ip</v>
      </c>
      <c r="L7" s="220" t="str" cm="1">
        <f t="array" ref="L7" xml:space="preserve"> INDEX('十五音-韻母'!$B$5:$O$54, $B7, L$2)</f>
        <v>ㄧㆬ</v>
      </c>
      <c r="M7" s="220" t="str" cm="1">
        <f t="array" ref="M7" xml:space="preserve"> INDEX('十五音-韻母'!$B$5:$O$54, $B7, M$2)</f>
        <v>ㄧㆴ</v>
      </c>
      <c r="O7" s="225" t="s">
        <v>170</v>
      </c>
      <c r="P7" s="226" t="s">
        <v>171</v>
      </c>
      <c r="Q7" s="227">
        <f t="shared" si="1"/>
        <v>3</v>
      </c>
      <c r="R7" s="227">
        <f t="shared" si="2"/>
        <v>0</v>
      </c>
      <c r="T7" s="225" t="s">
        <v>170</v>
      </c>
      <c r="U7" s="226" t="s">
        <v>171</v>
      </c>
      <c r="V7" s="227">
        <f t="shared" si="3"/>
        <v>3</v>
      </c>
      <c r="W7" s="227">
        <f t="shared" si="4"/>
        <v>0</v>
      </c>
      <c r="X7" s="258"/>
      <c r="Y7" s="258"/>
      <c r="Z7" s="258"/>
      <c r="AA7" s="258"/>
      <c r="AC7" s="216">
        <f t="shared" si="0"/>
        <v>3</v>
      </c>
      <c r="AD7" s="225" t="str">
        <f t="shared" si="5"/>
        <v>金</v>
      </c>
      <c r="AE7" s="260" t="str">
        <f t="shared" si="6"/>
        <v>im</v>
      </c>
      <c r="AF7" s="260">
        <f t="shared" si="7"/>
        <v>3</v>
      </c>
      <c r="AG7" s="260">
        <f t="shared" si="8"/>
        <v>3</v>
      </c>
    </row>
    <row r="8" spans="2:33">
      <c r="B8" s="216">
        <v>4</v>
      </c>
      <c r="C8" s="218" t="s">
        <v>177</v>
      </c>
      <c r="D8" s="218"/>
      <c r="E8" s="218"/>
      <c r="F8" s="220" t="str" cm="1">
        <f t="array" ref="F8" xml:space="preserve"> INDEX('十五音-韻母'!$B$5:$O$54, $B8, F$2)</f>
        <v>ui</v>
      </c>
      <c r="G8" s="220" t="str" cm="1">
        <f t="array" ref="G8" xml:space="preserve"> INDEX('十五音-韻母'!$B$5:$O$54, $B8, G$2)</f>
        <v>uih</v>
      </c>
      <c r="H8" s="220" t="str" cm="1">
        <f t="array" ref="H8" xml:space="preserve"> INDEX('十五音-韻母'!$B$5:$O$54, $B8, H$2)</f>
        <v>ui</v>
      </c>
      <c r="I8" s="220" t="str" cm="1">
        <f t="array" ref="I8" xml:space="preserve"> INDEX('十五音-韻母'!$B$5:$O$54, $B8, I$2)</f>
        <v>ui?</v>
      </c>
      <c r="J8" s="220" t="str" cm="1">
        <f t="array" ref="J8" xml:space="preserve"> INDEX('十五音-韻母'!$B$5:$O$54, $B8, J$2)</f>
        <v>ui</v>
      </c>
      <c r="K8" s="220" t="str" cm="1">
        <f t="array" ref="K8" xml:space="preserve"> INDEX('十五音-韻母'!$B$5:$O$54, $B8, K$2)</f>
        <v>uih</v>
      </c>
      <c r="L8" s="220" t="str" cm="1">
        <f t="array" ref="L8" xml:space="preserve"> INDEX('十五音-韻母'!$B$5:$O$54, $B8, L$2)</f>
        <v>ㄨㄧ</v>
      </c>
      <c r="M8" s="220" t="str" cm="1">
        <f t="array" ref="M8" xml:space="preserve"> INDEX('十五音-韻母'!$B$5:$O$54, $B8, M$2)</f>
        <v>ㄨㄧㆷ</v>
      </c>
      <c r="O8" s="225" t="s">
        <v>177</v>
      </c>
      <c r="P8" s="226" t="s">
        <v>178</v>
      </c>
      <c r="Q8" s="227">
        <f t="shared" si="1"/>
        <v>4</v>
      </c>
      <c r="R8" s="227">
        <f t="shared" si="2"/>
        <v>0</v>
      </c>
      <c r="T8" s="225" t="s">
        <v>2004</v>
      </c>
      <c r="U8" s="226" t="s">
        <v>178</v>
      </c>
      <c r="V8" s="227">
        <f t="shared" si="3"/>
        <v>4</v>
      </c>
      <c r="W8" s="227">
        <f t="shared" si="4"/>
        <v>0</v>
      </c>
      <c r="X8" s="258"/>
      <c r="Y8" s="258"/>
      <c r="Z8" s="258"/>
      <c r="AA8" s="258"/>
      <c r="AC8" s="216">
        <f t="shared" si="0"/>
        <v>4</v>
      </c>
      <c r="AD8" s="225" t="str">
        <f t="shared" si="5"/>
        <v>規</v>
      </c>
      <c r="AE8" s="260" t="str">
        <f t="shared" si="6"/>
        <v>ui</v>
      </c>
      <c r="AF8" s="260">
        <f t="shared" si="7"/>
        <v>4</v>
      </c>
      <c r="AG8" s="260">
        <f t="shared" si="8"/>
        <v>4</v>
      </c>
    </row>
    <row r="9" spans="2:33">
      <c r="B9" s="216">
        <v>5</v>
      </c>
      <c r="C9" s="219" t="s">
        <v>187</v>
      </c>
      <c r="D9" s="219"/>
      <c r="E9" s="219" t="s">
        <v>186</v>
      </c>
      <c r="F9" s="220" t="str" cm="1">
        <f t="array" ref="F9" xml:space="preserve"> INDEX('十五音-韻母'!$B$5:$O$54, $B9, F$2)</f>
        <v>ee</v>
      </c>
      <c r="G9" s="220" t="str" cm="1">
        <f t="array" ref="G9" xml:space="preserve"> INDEX('十五音-韻母'!$B$5:$O$54, $B9, G$2)</f>
        <v>eh</v>
      </c>
      <c r="H9" s="220" t="str" cm="1">
        <f t="array" ref="H9" xml:space="preserve"> INDEX('十五音-韻母'!$B$5:$O$54, $B9, H$2)</f>
        <v>ɛ</v>
      </c>
      <c r="I9" s="220" t="str" cm="1">
        <f t="array" ref="I9" xml:space="preserve"> INDEX('十五音-韻母'!$B$5:$O$54, $B9, I$2)</f>
        <v>ɛ?</v>
      </c>
      <c r="J9" s="220" t="str" cm="1">
        <f t="array" ref="J9" xml:space="preserve"> INDEX('十五音-韻母'!$B$5:$O$54, $B9, J$2)</f>
        <v>ee</v>
      </c>
      <c r="K9" s="220" t="str" cm="1">
        <f t="array" ref="K9" xml:space="preserve"> INDEX('十五音-韻母'!$B$5:$O$54, $B9, K$2)</f>
        <v>eh</v>
      </c>
      <c r="L9" s="220" t="str" cm="1">
        <f t="array" ref="L9" xml:space="preserve"> INDEX('十五音-韻母'!$B$5:$O$54, $B9, L$2)</f>
        <v>ㄝ</v>
      </c>
      <c r="M9" s="220" t="str" cm="1">
        <f t="array" ref="M9" xml:space="preserve"> INDEX('十五音-韻母'!$B$5:$O$54, $B9, M$2)</f>
        <v>ㄝㆷ</v>
      </c>
      <c r="O9" s="225" t="s">
        <v>187</v>
      </c>
      <c r="P9" s="226" t="s">
        <v>193</v>
      </c>
      <c r="Q9" s="227">
        <f t="shared" si="1"/>
        <v>39</v>
      </c>
      <c r="R9" s="227">
        <f t="shared" si="2"/>
        <v>34</v>
      </c>
      <c r="T9" s="225" t="s">
        <v>2005</v>
      </c>
      <c r="U9" s="226" t="s">
        <v>193</v>
      </c>
      <c r="V9" s="227">
        <f t="shared" si="3"/>
        <v>39</v>
      </c>
      <c r="W9" s="227">
        <f t="shared" si="4"/>
        <v>34</v>
      </c>
      <c r="X9" s="258"/>
      <c r="Y9" s="258"/>
      <c r="Z9" s="258"/>
      <c r="AA9" s="258"/>
      <c r="AC9" s="216">
        <f t="shared" si="0"/>
        <v>5</v>
      </c>
      <c r="AD9" s="225" t="str">
        <f t="shared" si="5"/>
        <v>嘉</v>
      </c>
      <c r="AE9" s="260" t="str">
        <f t="shared" si="6"/>
        <v>ee</v>
      </c>
      <c r="AF9" s="260" t="str">
        <f t="shared" si="7"/>
        <v>無對映</v>
      </c>
      <c r="AG9" s="260" t="str">
        <f t="shared" si="8"/>
        <v>無對映</v>
      </c>
    </row>
    <row r="10" spans="2:33">
      <c r="B10" s="216">
        <v>6</v>
      </c>
      <c r="C10" s="217" t="s">
        <v>201</v>
      </c>
      <c r="D10" s="217"/>
      <c r="E10" s="217"/>
      <c r="F10" s="220" t="str" cm="1">
        <f t="array" ref="F10" xml:space="preserve"> INDEX('十五音-韻母'!$B$5:$O$54, $B10, F$2)</f>
        <v>an</v>
      </c>
      <c r="G10" s="220" t="str" cm="1">
        <f t="array" ref="G10" xml:space="preserve"> INDEX('十五音-韻母'!$B$5:$O$54, $B10, G$2)</f>
        <v>ap</v>
      </c>
      <c r="H10" s="220" t="str" cm="1">
        <f t="array" ref="H10" xml:space="preserve"> INDEX('十五音-韻母'!$B$5:$O$54, $B10, H$2)</f>
        <v>an</v>
      </c>
      <c r="I10" s="220" t="str" cm="1">
        <f t="array" ref="I10" xml:space="preserve"> INDEX('十五音-韻母'!$B$5:$O$54, $B10, I$2)</f>
        <v>at̚</v>
      </c>
      <c r="J10" s="220" t="str" cm="1">
        <f t="array" ref="J10" xml:space="preserve"> INDEX('十五音-韻母'!$B$5:$O$54, $B10, J$2)</f>
        <v>an</v>
      </c>
      <c r="K10" s="220" t="str" cm="1">
        <f t="array" ref="K10" xml:space="preserve"> INDEX('十五音-韻母'!$B$5:$O$54, $B10, K$2)</f>
        <v>ap</v>
      </c>
      <c r="L10" s="220" t="str" cm="1">
        <f t="array" ref="L10" xml:space="preserve"> INDEX('十五音-韻母'!$B$5:$O$54, $B10, L$2)</f>
        <v>ㄢ</v>
      </c>
      <c r="M10" s="220" t="str" cm="1">
        <f t="array" ref="M10" xml:space="preserve"> INDEX('十五音-韻母'!$B$5:$O$54, $B10, M$2)</f>
        <v>ㄚㆵ</v>
      </c>
      <c r="O10" s="225" t="s">
        <v>201</v>
      </c>
      <c r="P10" s="226" t="s">
        <v>202</v>
      </c>
      <c r="Q10" s="227">
        <f t="shared" si="1"/>
        <v>6</v>
      </c>
      <c r="R10" s="227">
        <f t="shared" si="2"/>
        <v>0</v>
      </c>
      <c r="T10" s="225" t="s">
        <v>201</v>
      </c>
      <c r="U10" s="226" t="s">
        <v>202</v>
      </c>
      <c r="V10" s="227">
        <f t="shared" si="3"/>
        <v>6</v>
      </c>
      <c r="W10" s="227">
        <f t="shared" si="4"/>
        <v>0</v>
      </c>
      <c r="X10" s="258"/>
      <c r="Y10" s="258"/>
      <c r="Z10" s="258"/>
      <c r="AA10" s="258"/>
      <c r="AC10" s="216">
        <f t="shared" si="0"/>
        <v>6</v>
      </c>
      <c r="AD10" s="225" t="str">
        <f t="shared" si="5"/>
        <v>干</v>
      </c>
      <c r="AE10" s="260" t="str">
        <f t="shared" si="6"/>
        <v>an</v>
      </c>
      <c r="AF10" s="260">
        <f t="shared" si="7"/>
        <v>6</v>
      </c>
      <c r="AG10" s="260">
        <f t="shared" si="8"/>
        <v>6</v>
      </c>
    </row>
    <row r="11" spans="2:33">
      <c r="B11" s="216">
        <v>7</v>
      </c>
      <c r="C11" s="217" t="s">
        <v>210</v>
      </c>
      <c r="D11" s="217"/>
      <c r="E11" s="217"/>
      <c r="F11" s="220" t="str" cm="1">
        <f t="array" ref="F11" xml:space="preserve"> INDEX('十五音-韻母'!$B$5:$O$54, $B11, F$2)</f>
        <v>ong</v>
      </c>
      <c r="G11" s="220" t="str" cm="1">
        <f t="array" ref="G11" xml:space="preserve"> INDEX('十五音-韻母'!$B$5:$O$54, $B11, G$2)</f>
        <v>ok</v>
      </c>
      <c r="H11" s="220" t="str" cm="1">
        <f t="array" ref="H11" xml:space="preserve"> INDEX('十五音-韻母'!$B$5:$O$54, $B11, H$2)</f>
        <v>ɔŋ</v>
      </c>
      <c r="I11" s="220" t="str" cm="1">
        <f t="array" ref="I11" xml:space="preserve"> INDEX('十五音-韻母'!$B$5:$O$54, $B11, I$2)</f>
        <v>ɔk̚</v>
      </c>
      <c r="J11" s="220" t="str" cm="1">
        <f t="array" ref="J11" xml:space="preserve"> INDEX('十五音-韻母'!$B$5:$O$54, $B11, J$2)</f>
        <v>ong</v>
      </c>
      <c r="K11" s="220" t="str" cm="1">
        <f t="array" ref="K11" xml:space="preserve"> INDEX('十五音-韻母'!$B$5:$O$54, $B11, K$2)</f>
        <v>ok</v>
      </c>
      <c r="L11" s="220" t="str" cm="1">
        <f t="array" ref="L11" xml:space="preserve"> INDEX('十五音-韻母'!$B$5:$O$54, $B11, L$2)</f>
        <v>ㆲ</v>
      </c>
      <c r="M11" s="220" t="str" cm="1">
        <f t="array" ref="M11" xml:space="preserve"> INDEX('十五音-韻母'!$B$5:$O$54, $B11, M$2)</f>
        <v>ㆦㆻ</v>
      </c>
      <c r="O11" s="225" t="s">
        <v>210</v>
      </c>
      <c r="P11" s="226" t="s">
        <v>211</v>
      </c>
      <c r="Q11" s="227">
        <f t="shared" si="1"/>
        <v>7</v>
      </c>
      <c r="R11" s="227">
        <f t="shared" si="2"/>
        <v>0</v>
      </c>
      <c r="T11" s="225" t="s">
        <v>597</v>
      </c>
      <c r="U11" s="226" t="s">
        <v>211</v>
      </c>
      <c r="V11" s="227">
        <f t="shared" si="3"/>
        <v>7</v>
      </c>
      <c r="W11" s="227">
        <f t="shared" si="4"/>
        <v>0</v>
      </c>
      <c r="X11" s="258"/>
      <c r="Y11" s="258"/>
      <c r="Z11" s="258"/>
      <c r="AA11" s="258"/>
      <c r="AC11" s="216">
        <f t="shared" si="0"/>
        <v>7</v>
      </c>
      <c r="AD11" s="225" t="str">
        <f t="shared" si="5"/>
        <v>公</v>
      </c>
      <c r="AE11" s="260" t="str">
        <f t="shared" si="6"/>
        <v>ong</v>
      </c>
      <c r="AF11" s="260">
        <f t="shared" si="7"/>
        <v>7</v>
      </c>
      <c r="AG11" s="260">
        <f t="shared" si="8"/>
        <v>7</v>
      </c>
    </row>
    <row r="12" spans="2:33">
      <c r="B12" s="216">
        <v>8</v>
      </c>
      <c r="C12" s="217" t="s">
        <v>219</v>
      </c>
      <c r="D12" s="217"/>
      <c r="E12" s="217"/>
      <c r="F12" s="220" t="str" cm="1">
        <f t="array" ref="F12" xml:space="preserve"> INDEX('十五音-韻母'!$B$5:$O$54, $B12, F$2)</f>
        <v>uai</v>
      </c>
      <c r="G12" s="220" t="str" cm="1">
        <f t="array" ref="G12" xml:space="preserve"> INDEX('十五音-韻母'!$B$5:$O$54, $B12, G$2)</f>
        <v>uaih</v>
      </c>
      <c r="H12" s="220" t="str" cm="1">
        <f t="array" ref="H12" xml:space="preserve"> INDEX('十五音-韻母'!$B$5:$O$54, $B12, H$2)</f>
        <v>uai</v>
      </c>
      <c r="I12" s="220" t="str" cm="1">
        <f t="array" ref="I12" xml:space="preserve"> INDEX('十五音-韻母'!$B$5:$O$54, $B12, I$2)</f>
        <v>uai?</v>
      </c>
      <c r="J12" s="220" t="str" cm="1">
        <f t="array" ref="J12" xml:space="preserve"> INDEX('十五音-韻母'!$B$5:$O$54, $B12, J$2)</f>
        <v>uai</v>
      </c>
      <c r="K12" s="220" t="str" cm="1">
        <f t="array" ref="K12" xml:space="preserve"> INDEX('十五音-韻母'!$B$5:$O$54, $B12, K$2)</f>
        <v>uaih</v>
      </c>
      <c r="L12" s="220" t="str" cm="1">
        <f t="array" ref="L12" xml:space="preserve"> INDEX('十五音-韻母'!$B$5:$O$54, $B12, L$2)</f>
        <v>ㄨㄞ</v>
      </c>
      <c r="M12" s="220" t="str" cm="1">
        <f t="array" ref="M12" xml:space="preserve"> INDEX('十五音-韻母'!$B$5:$O$54, $B12, M$2)</f>
        <v>ㄨㄞㆷ</v>
      </c>
      <c r="O12" s="225" t="s">
        <v>219</v>
      </c>
      <c r="P12" s="226" t="s">
        <v>223</v>
      </c>
      <c r="Q12" s="227" t="str">
        <f t="shared" si="1"/>
        <v/>
      </c>
      <c r="R12" s="227">
        <f t="shared" si="2"/>
        <v>0</v>
      </c>
      <c r="T12" s="225" t="s">
        <v>219</v>
      </c>
      <c r="U12" s="226" t="s">
        <v>2006</v>
      </c>
      <c r="V12" s="227" t="e">
        <f t="shared" si="3"/>
        <v>#N/A</v>
      </c>
      <c r="W12" s="227" t="e">
        <f t="shared" si="4"/>
        <v>#N/A</v>
      </c>
      <c r="X12" s="258"/>
      <c r="Y12" s="258"/>
      <c r="Z12" s="258"/>
      <c r="AA12" s="258"/>
      <c r="AC12" s="216">
        <f t="shared" si="0"/>
        <v>8</v>
      </c>
      <c r="AD12" s="225" t="str">
        <f t="shared" si="5"/>
        <v>乖</v>
      </c>
      <c r="AE12" s="260" t="str">
        <f t="shared" si="6"/>
        <v>uai</v>
      </c>
      <c r="AF12" s="260" t="str">
        <f t="shared" si="7"/>
        <v>無對映</v>
      </c>
      <c r="AG12" s="260" t="str">
        <f t="shared" si="8"/>
        <v>無對映</v>
      </c>
    </row>
    <row r="13" spans="2:33">
      <c r="B13" s="216">
        <v>9</v>
      </c>
      <c r="C13" s="217" t="s">
        <v>230</v>
      </c>
      <c r="D13" s="217"/>
      <c r="E13" s="217"/>
      <c r="F13" s="220" t="str" cm="1">
        <f t="array" ref="F13" xml:space="preserve"> INDEX('十五音-韻母'!$B$5:$O$54, $B13, F$2)</f>
        <v>ing</v>
      </c>
      <c r="G13" s="220" t="str" cm="1">
        <f t="array" ref="G13" xml:space="preserve"> INDEX('十五音-韻母'!$B$5:$O$54, $B13, G$2)</f>
        <v>ik</v>
      </c>
      <c r="H13" s="220" t="str" cm="1">
        <f t="array" ref="H13" xml:space="preserve"> INDEX('十五音-韻母'!$B$5:$O$54, $B13, H$2)</f>
        <v>ɪŋ</v>
      </c>
      <c r="I13" s="220" t="str" cm="1">
        <f t="array" ref="I13" xml:space="preserve"> INDEX('十五音-韻母'!$B$5:$O$54, $B13, I$2)</f>
        <v>ik̚</v>
      </c>
      <c r="J13" s="220" t="str" cm="1">
        <f t="array" ref="J13" xml:space="preserve"> INDEX('十五音-韻母'!$B$5:$O$54, $B13, J$2)</f>
        <v>ing</v>
      </c>
      <c r="K13" s="220" t="str" cm="1">
        <f t="array" ref="K13" xml:space="preserve"> INDEX('十五音-韻母'!$B$5:$O$54, $B13, K$2)</f>
        <v>ik</v>
      </c>
      <c r="L13" s="220" t="str" cm="1">
        <f t="array" ref="L13" xml:space="preserve"> INDEX('十五音-韻母'!$B$5:$O$54, $B13, L$2)</f>
        <v>ㄧㄥ</v>
      </c>
      <c r="M13" s="220" t="str" cm="1">
        <f t="array" ref="M13" xml:space="preserve"> INDEX('十五音-韻母'!$B$5:$O$54, $B13, M$2)</f>
        <v>ㄧㆻ</v>
      </c>
      <c r="O13" s="225" t="s">
        <v>230</v>
      </c>
      <c r="P13" s="226" t="s">
        <v>235</v>
      </c>
      <c r="Q13" s="227" t="str">
        <f t="shared" si="1"/>
        <v/>
      </c>
      <c r="R13" s="227">
        <f t="shared" si="2"/>
        <v>0</v>
      </c>
      <c r="T13" s="225" t="s">
        <v>2007</v>
      </c>
      <c r="U13" s="226" t="s">
        <v>235</v>
      </c>
      <c r="V13" s="227" t="e">
        <f t="shared" si="3"/>
        <v>#N/A</v>
      </c>
      <c r="W13" s="227" t="e">
        <f t="shared" si="4"/>
        <v>#N/A</v>
      </c>
      <c r="X13" s="258"/>
      <c r="Y13" s="258"/>
      <c r="Z13" s="258"/>
      <c r="AA13" s="258"/>
      <c r="AC13" s="216">
        <f t="shared" si="0"/>
        <v>9</v>
      </c>
      <c r="AD13" s="225" t="str">
        <f t="shared" si="5"/>
        <v>經</v>
      </c>
      <c r="AE13" s="260" t="str">
        <f t="shared" si="6"/>
        <v>ing</v>
      </c>
      <c r="AF13" s="260" t="str">
        <f t="shared" si="7"/>
        <v>無對映</v>
      </c>
      <c r="AG13" s="260" t="str">
        <f t="shared" si="8"/>
        <v>無對映</v>
      </c>
    </row>
    <row r="14" spans="2:33">
      <c r="B14" s="216">
        <v>10</v>
      </c>
      <c r="C14" s="217" t="s">
        <v>240</v>
      </c>
      <c r="D14" s="217"/>
      <c r="E14" s="217"/>
      <c r="F14" s="220" t="str" cm="1">
        <f t="array" ref="F14" xml:space="preserve"> INDEX('十五音-韻母'!$B$5:$O$54, $B14, F$2)</f>
        <v>uan</v>
      </c>
      <c r="G14" s="220" t="str" cm="1">
        <f t="array" ref="G14" xml:space="preserve"> INDEX('十五音-韻母'!$B$5:$O$54, $B14, G$2)</f>
        <v>uat</v>
      </c>
      <c r="H14" s="220" t="str" cm="1">
        <f t="array" ref="H14" xml:space="preserve"> INDEX('十五音-韻母'!$B$5:$O$54, $B14, H$2)</f>
        <v>uan</v>
      </c>
      <c r="I14" s="220" t="str" cm="1">
        <f t="array" ref="I14" xml:space="preserve"> INDEX('十五音-韻母'!$B$5:$O$54, $B14, I$2)</f>
        <v>uat̚</v>
      </c>
      <c r="J14" s="220" t="str" cm="1">
        <f t="array" ref="J14" xml:space="preserve"> INDEX('十五音-韻母'!$B$5:$O$54, $B14, J$2)</f>
        <v>uan</v>
      </c>
      <c r="K14" s="220" t="str" cm="1">
        <f t="array" ref="K14" xml:space="preserve"> INDEX('十五音-韻母'!$B$5:$O$54, $B14, K$2)</f>
        <v>uat</v>
      </c>
      <c r="L14" s="220" t="str" cm="1">
        <f t="array" ref="L14" xml:space="preserve"> INDEX('十五音-韻母'!$B$5:$O$54, $B14, L$2)</f>
        <v>ㄨㄢ</v>
      </c>
      <c r="M14" s="220" t="str" cm="1">
        <f t="array" ref="M14" xml:space="preserve"> INDEX('十五音-韻母'!$B$5:$O$54, $B14, M$2)</f>
        <v>ㄨㄚㆵ</v>
      </c>
      <c r="O14" s="225" t="s">
        <v>240</v>
      </c>
      <c r="P14" s="226" t="s">
        <v>244</v>
      </c>
      <c r="Q14" s="227" t="str">
        <f t="shared" si="1"/>
        <v/>
      </c>
      <c r="R14" s="227">
        <f t="shared" si="2"/>
        <v>0</v>
      </c>
      <c r="T14" s="225" t="s">
        <v>463</v>
      </c>
      <c r="U14" s="226" t="s">
        <v>244</v>
      </c>
      <c r="V14" s="227" t="e">
        <f t="shared" si="3"/>
        <v>#N/A</v>
      </c>
      <c r="W14" s="227" t="e">
        <f t="shared" si="4"/>
        <v>#N/A</v>
      </c>
      <c r="X14" s="258"/>
      <c r="Y14" s="258"/>
      <c r="Z14" s="258"/>
      <c r="AA14" s="258"/>
      <c r="AC14" s="216">
        <f t="shared" si="0"/>
        <v>10</v>
      </c>
      <c r="AD14" s="225" t="str">
        <f t="shared" si="5"/>
        <v>觀</v>
      </c>
      <c r="AE14" s="260" t="str">
        <f t="shared" si="6"/>
        <v>uan</v>
      </c>
      <c r="AF14" s="260" t="str">
        <f t="shared" si="7"/>
        <v>無對映</v>
      </c>
      <c r="AG14" s="260" t="str">
        <f t="shared" si="8"/>
        <v>無對映</v>
      </c>
    </row>
    <row r="15" spans="2:33">
      <c r="B15" s="216">
        <v>11</v>
      </c>
      <c r="C15" s="217" t="s">
        <v>251</v>
      </c>
      <c r="D15" s="217"/>
      <c r="E15" s="217"/>
      <c r="F15" s="220" t="str" cm="1">
        <f t="array" ref="F15" xml:space="preserve"> INDEX('十五音-韻母'!$B$5:$O$54, $B15, F$2)</f>
        <v>oo</v>
      </c>
      <c r="G15" s="220" t="str" cm="1">
        <f t="array" ref="G15" xml:space="preserve"> INDEX('十五音-韻母'!$B$5:$O$54, $B15, G$2)</f>
        <v>ooh</v>
      </c>
      <c r="H15" s="220" t="str" cm="1">
        <f t="array" ref="H15" xml:space="preserve"> INDEX('十五音-韻母'!$B$5:$O$54, $B15, H$2)</f>
        <v>ɔ</v>
      </c>
      <c r="I15" s="220" t="str" cm="1">
        <f t="array" ref="I15" xml:space="preserve"> INDEX('十五音-韻母'!$B$5:$O$54, $B15, I$2)</f>
        <v>ɔu?</v>
      </c>
      <c r="J15" s="220" t="str" cm="1">
        <f t="array" ref="J15" xml:space="preserve"> INDEX('十五音-韻母'!$B$5:$O$54, $B15, J$2)</f>
        <v>oo</v>
      </c>
      <c r="K15" s="220" t="str" cm="1">
        <f t="array" ref="K15" xml:space="preserve"> INDEX('十五音-韻母'!$B$5:$O$54, $B15, K$2)</f>
        <v>ooh</v>
      </c>
      <c r="L15" s="220" t="str" cm="1">
        <f t="array" ref="L15" xml:space="preserve"> INDEX('十五音-韻母'!$B$5:$O$54, $B15, L$2)</f>
        <v>ㆦ</v>
      </c>
      <c r="M15" s="220" t="str" cm="1">
        <f t="array" ref="M15" xml:space="preserve"> INDEX('十五音-韻母'!$B$5:$O$54, $B15, M$2)</f>
        <v>ㆦㆷ</v>
      </c>
      <c r="O15" s="225" t="s">
        <v>251</v>
      </c>
      <c r="P15" s="226" t="s">
        <v>252</v>
      </c>
      <c r="Q15" s="227">
        <f t="shared" si="1"/>
        <v>11</v>
      </c>
      <c r="R15" s="227">
        <f t="shared" si="2"/>
        <v>0</v>
      </c>
      <c r="T15" s="225" t="s">
        <v>572</v>
      </c>
      <c r="U15" s="226" t="s">
        <v>252</v>
      </c>
      <c r="V15" s="227">
        <f t="shared" si="3"/>
        <v>11</v>
      </c>
      <c r="W15" s="227">
        <f t="shared" si="4"/>
        <v>0</v>
      </c>
      <c r="X15" s="258"/>
      <c r="Y15" s="258"/>
      <c r="Z15" s="258"/>
      <c r="AA15" s="258"/>
      <c r="AC15" s="216">
        <f t="shared" si="0"/>
        <v>11</v>
      </c>
      <c r="AD15" s="225" t="str">
        <f t="shared" si="5"/>
        <v>沽</v>
      </c>
      <c r="AE15" s="260" t="str">
        <f t="shared" si="6"/>
        <v>oo</v>
      </c>
      <c r="AF15" s="260">
        <f t="shared" si="7"/>
        <v>11</v>
      </c>
      <c r="AG15" s="260">
        <f t="shared" si="8"/>
        <v>11</v>
      </c>
    </row>
    <row r="16" spans="2:33">
      <c r="B16" s="216">
        <v>12</v>
      </c>
      <c r="C16" s="217" t="s">
        <v>264</v>
      </c>
      <c r="D16" s="229"/>
      <c r="E16" s="217"/>
      <c r="F16" s="220" t="str" cm="1">
        <f t="array" ref="F16" xml:space="preserve"> INDEX('十五音-韻母'!$B$5:$O$54, $B16, F$2)</f>
        <v>iau</v>
      </c>
      <c r="G16" s="220" t="str" cm="1">
        <f t="array" ref="G16" xml:space="preserve"> INDEX('十五音-韻母'!$B$5:$O$54, $B16, G$2)</f>
        <v>iauh</v>
      </c>
      <c r="H16" s="220" t="str" cm="1">
        <f t="array" ref="H16" xml:space="preserve"> INDEX('十五音-韻母'!$B$5:$O$54, $B16, H$2)</f>
        <v>iaʊ</v>
      </c>
      <c r="I16" s="220" t="str" cm="1">
        <f t="array" ref="I16" xml:space="preserve"> INDEX('十五音-韻母'!$B$5:$O$54, $B16, I$2)</f>
        <v>iau?</v>
      </c>
      <c r="J16" s="220" t="str" cm="1">
        <f t="array" ref="J16" xml:space="preserve"> INDEX('十五音-韻母'!$B$5:$O$54, $B16, J$2)</f>
        <v>iau</v>
      </c>
      <c r="K16" s="220" t="str" cm="1">
        <f t="array" ref="K16" xml:space="preserve"> INDEX('十五音-韻母'!$B$5:$O$54, $B16, K$2)</f>
        <v>iauh</v>
      </c>
      <c r="L16" s="220" t="str" cm="1">
        <f t="array" ref="L16" xml:space="preserve"> INDEX('十五音-韻母'!$B$5:$O$54, $B16, L$2)</f>
        <v>ㄧㄠ</v>
      </c>
      <c r="M16" s="220" t="str" cm="1">
        <f t="array" ref="M16" xml:space="preserve"> INDEX('十五音-韻母'!$B$5:$O$54, $B16, M$2)</f>
        <v>ㄧㄠㆷ</v>
      </c>
      <c r="O16" s="225" t="s">
        <v>264</v>
      </c>
      <c r="P16" s="226" t="s">
        <v>265</v>
      </c>
      <c r="Q16" s="227">
        <f t="shared" si="1"/>
        <v>12</v>
      </c>
      <c r="R16" s="227">
        <f t="shared" si="2"/>
        <v>0</v>
      </c>
      <c r="T16" s="225" t="s">
        <v>264</v>
      </c>
      <c r="U16" s="226" t="s">
        <v>265</v>
      </c>
      <c r="V16" s="227">
        <f t="shared" si="3"/>
        <v>12</v>
      </c>
      <c r="W16" s="227">
        <f t="shared" si="4"/>
        <v>0</v>
      </c>
      <c r="X16" s="258"/>
      <c r="Y16" s="258"/>
      <c r="Z16" s="258"/>
      <c r="AA16" s="258"/>
      <c r="AC16" s="216">
        <f t="shared" si="0"/>
        <v>12</v>
      </c>
      <c r="AD16" s="225" t="str">
        <f t="shared" si="5"/>
        <v>嬌</v>
      </c>
      <c r="AE16" s="260" t="str">
        <f t="shared" si="6"/>
        <v>iau</v>
      </c>
      <c r="AF16" s="260">
        <f t="shared" si="7"/>
        <v>12</v>
      </c>
      <c r="AG16" s="260">
        <f t="shared" si="8"/>
        <v>12</v>
      </c>
    </row>
    <row r="17" spans="2:33">
      <c r="B17" s="216">
        <v>13</v>
      </c>
      <c r="C17" s="219" t="s">
        <v>277</v>
      </c>
      <c r="D17" s="219"/>
      <c r="E17" s="219"/>
      <c r="F17" s="220" t="str" cm="1">
        <f t="array" ref="F17" xml:space="preserve"> INDEX('十五音-韻母'!$B$5:$O$54, $B17, F$2)</f>
        <v>ei</v>
      </c>
      <c r="G17" s="220" t="str" cm="1">
        <f t="array" ref="G17" xml:space="preserve"> INDEX('十五音-韻母'!$B$5:$O$54, $B17, G$2)</f>
        <v>eih</v>
      </c>
      <c r="H17" s="220" t="str" cm="1">
        <f t="array" ref="H17" xml:space="preserve"> INDEX('十五音-韻母'!$B$5:$O$54, $B17, H$2)</f>
        <v>ei</v>
      </c>
      <c r="I17" s="220" t="str" cm="1">
        <f t="array" ref="I17" xml:space="preserve"> INDEX('十五音-韻母'!$B$5:$O$54, $B17, I$2)</f>
        <v>ei?</v>
      </c>
      <c r="J17" s="220" t="str" cm="1">
        <f t="array" ref="J17" xml:space="preserve"> INDEX('十五音-韻母'!$B$5:$O$54, $B17, J$2)</f>
        <v>e</v>
      </c>
      <c r="K17" s="220" t="str" cm="1">
        <f t="array" ref="K17" xml:space="preserve"> INDEX('十五音-韻母'!$B$5:$O$54, $B17, K$2)</f>
        <v>eh</v>
      </c>
      <c r="L17" s="220" t="str" cm="1">
        <f t="array" ref="L17" xml:space="preserve"> INDEX('十五音-韻母'!$B$5:$O$54, $B17, L$2)</f>
        <v>ㄟ</v>
      </c>
      <c r="M17" s="220" t="str" cm="1">
        <f t="array" ref="M17" xml:space="preserve"> INDEX('十五音-韻母'!$B$5:$O$54, $B17, M$2)</f>
        <v>ㄟㆷ</v>
      </c>
      <c r="O17" s="225" t="s">
        <v>2008</v>
      </c>
      <c r="P17" s="226" t="s">
        <v>1631</v>
      </c>
      <c r="Q17" s="227">
        <f t="shared" si="1"/>
        <v>34</v>
      </c>
      <c r="R17" s="227">
        <f t="shared" si="2"/>
        <v>21</v>
      </c>
      <c r="T17" s="225" t="s">
        <v>2009</v>
      </c>
      <c r="U17" s="226" t="s">
        <v>278</v>
      </c>
      <c r="V17" s="227">
        <f t="shared" si="3"/>
        <v>39</v>
      </c>
      <c r="W17" s="227">
        <f t="shared" si="4"/>
        <v>26</v>
      </c>
      <c r="X17" s="258"/>
      <c r="Y17" s="258"/>
      <c r="Z17" s="258"/>
      <c r="AA17" s="258"/>
      <c r="AC17" s="216">
        <f t="shared" si="0"/>
        <v>13</v>
      </c>
      <c r="AD17" s="225" t="str">
        <f t="shared" si="5"/>
        <v>稽</v>
      </c>
      <c r="AE17" s="260" t="str">
        <f t="shared" si="6"/>
        <v>ei</v>
      </c>
      <c r="AF17" s="260" t="str">
        <f t="shared" si="7"/>
        <v>無對映</v>
      </c>
      <c r="AG17" s="260" t="str">
        <f t="shared" si="8"/>
        <v>無對映</v>
      </c>
    </row>
    <row r="18" spans="2:33">
      <c r="B18" s="216">
        <v>14</v>
      </c>
      <c r="C18" s="217" t="s">
        <v>288</v>
      </c>
      <c r="D18" s="217"/>
      <c r="E18" s="217" t="s">
        <v>287</v>
      </c>
      <c r="F18" s="220" t="str" cm="1">
        <f t="array" ref="F18" xml:space="preserve"> INDEX('十五音-韻母'!$B$5:$O$54, $B18, F$2)</f>
        <v>iong</v>
      </c>
      <c r="G18" s="220" t="str" cm="1">
        <f t="array" ref="G18" xml:space="preserve"> INDEX('十五音-韻母'!$B$5:$O$54, $B18, G$2)</f>
        <v>iok</v>
      </c>
      <c r="H18" s="220" t="str" cm="1">
        <f t="array" ref="H18" xml:space="preserve"> INDEX('十五音-韻母'!$B$5:$O$54, $B18, H$2)</f>
        <v>iɔŋ</v>
      </c>
      <c r="I18" s="220" t="str" cm="1">
        <f t="array" ref="I18" xml:space="preserve"> INDEX('十五音-韻母'!$B$5:$O$54, $B18, I$2)</f>
        <v>iɔk̚</v>
      </c>
      <c r="J18" s="220" t="str" cm="1">
        <f t="array" ref="J18" xml:space="preserve"> INDEX('十五音-韻母'!$B$5:$O$54, $B18, J$2)</f>
        <v>iong</v>
      </c>
      <c r="K18" s="220" t="str" cm="1">
        <f t="array" ref="K18" xml:space="preserve"> INDEX('十五音-韻母'!$B$5:$O$54, $B18, K$2)</f>
        <v>iok</v>
      </c>
      <c r="L18" s="220" t="str" cm="1">
        <f t="array" ref="L18" xml:space="preserve"> INDEX('十五音-韻母'!$B$5:$O$54, $B18, L$2)</f>
        <v>ㄧㆲ</v>
      </c>
      <c r="M18" s="220" t="str" cm="1">
        <f t="array" ref="M18" xml:space="preserve"> INDEX('十五音-韻母'!$B$5:$O$54, $B18, M$2)</f>
        <v>ㄧㆦㆻ</v>
      </c>
      <c r="O18" s="225" t="s">
        <v>288</v>
      </c>
      <c r="P18" s="226" t="s">
        <v>289</v>
      </c>
      <c r="Q18" s="227">
        <f t="shared" si="1"/>
        <v>14</v>
      </c>
      <c r="R18" s="227">
        <f t="shared" si="2"/>
        <v>0</v>
      </c>
      <c r="T18" s="225" t="s">
        <v>2010</v>
      </c>
      <c r="U18" s="226" t="s">
        <v>289</v>
      </c>
      <c r="V18" s="227">
        <f t="shared" si="3"/>
        <v>14</v>
      </c>
      <c r="W18" s="227">
        <f t="shared" si="4"/>
        <v>0</v>
      </c>
      <c r="X18" s="258"/>
      <c r="Y18" s="258"/>
      <c r="Z18" s="258"/>
      <c r="AA18" s="258"/>
      <c r="AC18" s="216">
        <f t="shared" si="0"/>
        <v>14</v>
      </c>
      <c r="AD18" s="225" t="str">
        <f t="shared" si="5"/>
        <v>恭</v>
      </c>
      <c r="AE18" s="260" t="str">
        <f t="shared" si="6"/>
        <v>iong</v>
      </c>
      <c r="AF18" s="260">
        <f t="shared" si="7"/>
        <v>14</v>
      </c>
      <c r="AG18" s="260">
        <f t="shared" si="8"/>
        <v>14</v>
      </c>
    </row>
    <row r="19" spans="2:33">
      <c r="B19" s="216">
        <v>15</v>
      </c>
      <c r="C19" s="217" t="s">
        <v>298</v>
      </c>
      <c r="D19" s="217"/>
      <c r="E19" s="217"/>
      <c r="F19" s="220" t="str" cm="1">
        <f t="array" ref="F19" xml:space="preserve"> INDEX('十五音-韻母'!$B$5:$O$54, $B19, F$2)</f>
        <v>o</v>
      </c>
      <c r="G19" s="220" t="str" cm="1">
        <f t="array" ref="G19" xml:space="preserve"> INDEX('十五音-韻母'!$B$5:$O$54, $B19, G$2)</f>
        <v>oh</v>
      </c>
      <c r="H19" s="220" t="str" cm="1">
        <f t="array" ref="H19" xml:space="preserve"> INDEX('十五音-韻母'!$B$5:$O$54, $B19, H$2)</f>
        <v>o</v>
      </c>
      <c r="I19" s="220" t="str" cm="1">
        <f t="array" ref="I19" xml:space="preserve"> INDEX('十五音-韻母'!$B$5:$O$54, $B19, I$2)</f>
        <v>ə?</v>
      </c>
      <c r="J19" s="220" t="str" cm="1">
        <f t="array" ref="J19" xml:space="preserve"> INDEX('十五音-韻母'!$B$5:$O$54, $B19, J$2)</f>
        <v>o</v>
      </c>
      <c r="K19" s="220" t="str" cm="1">
        <f t="array" ref="K19" xml:space="preserve"> INDEX('十五音-韻母'!$B$5:$O$54, $B19, K$2)</f>
        <v>oh</v>
      </c>
      <c r="L19" s="220" t="str" cm="1">
        <f t="array" ref="L19" xml:space="preserve"> INDEX('十五音-韻母'!$B$5:$O$54, $B19, L$2)</f>
        <v>ㄜ</v>
      </c>
      <c r="M19" s="220" t="str" cm="1">
        <f t="array" ref="M19" xml:space="preserve"> INDEX('十五音-韻母'!$B$5:$O$54, $B19, M$2)</f>
        <v>ㄜㆷ</v>
      </c>
      <c r="O19" s="225" t="s">
        <v>298</v>
      </c>
      <c r="P19" s="226" t="s">
        <v>299</v>
      </c>
      <c r="Q19" s="227">
        <f t="shared" si="1"/>
        <v>15</v>
      </c>
      <c r="R19" s="227">
        <f t="shared" si="2"/>
        <v>0</v>
      </c>
      <c r="T19" s="225" t="s">
        <v>298</v>
      </c>
      <c r="U19" s="226" t="s">
        <v>299</v>
      </c>
      <c r="V19" s="227">
        <f t="shared" si="3"/>
        <v>15</v>
      </c>
      <c r="W19" s="227">
        <f t="shared" si="4"/>
        <v>0</v>
      </c>
      <c r="X19" s="258"/>
      <c r="Y19" s="258"/>
      <c r="Z19" s="258"/>
      <c r="AA19" s="258"/>
      <c r="AC19" s="216">
        <f t="shared" si="0"/>
        <v>15</v>
      </c>
      <c r="AD19" s="225" t="str">
        <f t="shared" si="5"/>
        <v>高</v>
      </c>
      <c r="AE19" s="260" t="str">
        <f t="shared" si="6"/>
        <v>o</v>
      </c>
      <c r="AF19" s="260">
        <f t="shared" si="7"/>
        <v>15</v>
      </c>
      <c r="AG19" s="260">
        <f t="shared" si="8"/>
        <v>15</v>
      </c>
    </row>
    <row r="20" spans="2:33">
      <c r="B20" s="216">
        <v>16</v>
      </c>
      <c r="C20" s="217" t="s">
        <v>306</v>
      </c>
      <c r="D20" s="217"/>
      <c r="E20" s="217"/>
      <c r="F20" s="220" t="str" cm="1">
        <f t="array" ref="F20" xml:space="preserve"> INDEX('十五音-韻母'!$B$5:$O$54, $B20, F$2)</f>
        <v>ai</v>
      </c>
      <c r="G20" s="220" t="str" cm="1">
        <f t="array" ref="G20" xml:space="preserve"> INDEX('十五音-韻母'!$B$5:$O$54, $B20, G$2)</f>
        <v>aih</v>
      </c>
      <c r="H20" s="220" t="str" cm="1">
        <f t="array" ref="H20" xml:space="preserve"> INDEX('十五音-韻母'!$B$5:$O$54, $B20, H$2)</f>
        <v>ai</v>
      </c>
      <c r="I20" s="220" t="str" cm="1">
        <f t="array" ref="I20" xml:space="preserve"> INDEX('十五音-韻母'!$B$5:$O$54, $B20, I$2)</f>
        <v>ai?</v>
      </c>
      <c r="J20" s="220" t="str" cm="1">
        <f t="array" ref="J20" xml:space="preserve"> INDEX('十五音-韻母'!$B$5:$O$54, $B20, J$2)</f>
        <v>ai</v>
      </c>
      <c r="K20" s="220" t="str" cm="1">
        <f t="array" ref="K20" xml:space="preserve"> INDEX('十五音-韻母'!$B$5:$O$54, $B20, K$2)</f>
        <v>aih</v>
      </c>
      <c r="L20" s="220" t="str" cm="1">
        <f t="array" ref="L20" xml:space="preserve"> INDEX('十五音-韻母'!$B$5:$O$54, $B20, L$2)</f>
        <v>ㄞ</v>
      </c>
      <c r="M20" s="220" t="str" cm="1">
        <f t="array" ref="M20" xml:space="preserve"> INDEX('十五音-韻母'!$B$5:$O$54, $B20, M$2)</f>
        <v>ㄞㆷ</v>
      </c>
      <c r="O20" s="225" t="s">
        <v>306</v>
      </c>
      <c r="P20" s="226" t="s">
        <v>307</v>
      </c>
      <c r="Q20" s="227">
        <f t="shared" si="1"/>
        <v>16</v>
      </c>
      <c r="R20" s="227">
        <f t="shared" si="2"/>
        <v>0</v>
      </c>
      <c r="T20" s="225" t="s">
        <v>306</v>
      </c>
      <c r="U20" s="226" t="s">
        <v>307</v>
      </c>
      <c r="V20" s="227">
        <f t="shared" si="3"/>
        <v>16</v>
      </c>
      <c r="W20" s="227">
        <f t="shared" si="4"/>
        <v>0</v>
      </c>
      <c r="X20" s="258"/>
      <c r="Y20" s="258"/>
      <c r="Z20" s="258"/>
      <c r="AA20" s="258"/>
      <c r="AC20" s="216">
        <f t="shared" si="0"/>
        <v>16</v>
      </c>
      <c r="AD20" s="225" t="str">
        <f t="shared" si="5"/>
        <v>皆</v>
      </c>
      <c r="AE20" s="260" t="str">
        <f t="shared" si="6"/>
        <v>ai</v>
      </c>
      <c r="AF20" s="260">
        <f t="shared" si="7"/>
        <v>16</v>
      </c>
      <c r="AG20" s="260">
        <f t="shared" si="8"/>
        <v>16</v>
      </c>
    </row>
    <row r="21" spans="2:33">
      <c r="B21" s="216">
        <v>17</v>
      </c>
      <c r="C21" s="217" t="s">
        <v>316</v>
      </c>
      <c r="D21" s="217"/>
      <c r="E21" s="217"/>
      <c r="F21" s="220" t="str" cm="1">
        <f t="array" ref="F21" xml:space="preserve"> INDEX('十五音-韻母'!$B$5:$O$54, $B21, F$2)</f>
        <v>in</v>
      </c>
      <c r="G21" s="220" t="str" cm="1">
        <f t="array" ref="G21" xml:space="preserve"> INDEX('十五音-韻母'!$B$5:$O$54, $B21, G$2)</f>
        <v>it</v>
      </c>
      <c r="H21" s="220" t="str" cm="1">
        <f t="array" ref="H21" xml:space="preserve"> INDEX('十五音-韻母'!$B$5:$O$54, $B21, H$2)</f>
        <v>in</v>
      </c>
      <c r="I21" s="220" t="str" cm="1">
        <f t="array" ref="I21" xml:space="preserve"> INDEX('十五音-韻母'!$B$5:$O$54, $B21, I$2)</f>
        <v>it̚</v>
      </c>
      <c r="J21" s="220" t="str" cm="1">
        <f t="array" ref="J21" xml:space="preserve"> INDEX('十五音-韻母'!$B$5:$O$54, $B21, J$2)</f>
        <v>in</v>
      </c>
      <c r="K21" s="220" t="str" cm="1">
        <f t="array" ref="K21" xml:space="preserve"> INDEX('十五音-韻母'!$B$5:$O$54, $B21, K$2)</f>
        <v>it</v>
      </c>
      <c r="L21" s="220" t="str" cm="1">
        <f t="array" ref="L21" xml:space="preserve"> INDEX('十五音-韻母'!$B$5:$O$54, $B21, L$2)</f>
        <v>ㄧㄣ</v>
      </c>
      <c r="M21" s="220" t="str" cm="1">
        <f t="array" ref="M21" xml:space="preserve"> INDEX('十五音-韻母'!$B$5:$O$54, $B21, M$2)</f>
        <v>ㄧㆵ</v>
      </c>
      <c r="O21" s="225" t="s">
        <v>316</v>
      </c>
      <c r="P21" s="226" t="s">
        <v>317</v>
      </c>
      <c r="Q21" s="227">
        <f t="shared" si="1"/>
        <v>17</v>
      </c>
      <c r="R21" s="227">
        <f t="shared" si="2"/>
        <v>0</v>
      </c>
      <c r="T21" s="225" t="s">
        <v>2011</v>
      </c>
      <c r="U21" s="226" t="s">
        <v>317</v>
      </c>
      <c r="V21" s="227">
        <f t="shared" si="3"/>
        <v>17</v>
      </c>
      <c r="W21" s="227">
        <f t="shared" si="4"/>
        <v>0</v>
      </c>
      <c r="X21" s="258"/>
      <c r="Y21" s="258"/>
      <c r="Z21" s="258"/>
      <c r="AA21" s="258"/>
      <c r="AC21" s="216">
        <f t="shared" si="0"/>
        <v>17</v>
      </c>
      <c r="AD21" s="225" t="str">
        <f t="shared" si="5"/>
        <v>巾</v>
      </c>
      <c r="AE21" s="260" t="str">
        <f t="shared" si="6"/>
        <v>in</v>
      </c>
      <c r="AF21" s="260">
        <f t="shared" si="7"/>
        <v>17</v>
      </c>
      <c r="AG21" s="260">
        <f t="shared" si="8"/>
        <v>17</v>
      </c>
    </row>
    <row r="22" spans="2:33">
      <c r="B22" s="216">
        <v>18</v>
      </c>
      <c r="C22" s="217" t="s">
        <v>323</v>
      </c>
      <c r="D22" s="217"/>
      <c r="E22" s="217"/>
      <c r="F22" s="220" t="str" cm="1">
        <f t="array" ref="F22" xml:space="preserve"> INDEX('十五音-韻母'!$B$5:$O$54, $B22, F$2)</f>
        <v>iang</v>
      </c>
      <c r="G22" s="220" t="str" cm="1">
        <f t="array" ref="G22" xml:space="preserve"> INDEX('十五音-韻母'!$B$5:$O$54, $B22, G$2)</f>
        <v>iak</v>
      </c>
      <c r="H22" s="220" t="str" cm="1">
        <f t="array" ref="H22" xml:space="preserve"> INDEX('十五音-韻母'!$B$5:$O$54, $B22, H$2)</f>
        <v>iaŋ</v>
      </c>
      <c r="I22" s="220" t="str" cm="1">
        <f t="array" ref="I22" xml:space="preserve"> INDEX('十五音-韻母'!$B$5:$O$54, $B22, I$2)</f>
        <v>iak̚</v>
      </c>
      <c r="J22" s="220" t="str" cm="1">
        <f t="array" ref="J22" xml:space="preserve"> INDEX('十五音-韻母'!$B$5:$O$54, $B22, J$2)</f>
        <v>iang</v>
      </c>
      <c r="K22" s="220" t="str" cm="1">
        <f t="array" ref="K22" xml:space="preserve"> INDEX('十五音-韻母'!$B$5:$O$54, $B22, K$2)</f>
        <v>iak</v>
      </c>
      <c r="L22" s="220" t="str" cm="1">
        <f t="array" ref="L22" xml:space="preserve"> INDEX('十五音-韻母'!$B$5:$O$54, $B22, L$2)</f>
        <v>ㄧㄤ</v>
      </c>
      <c r="M22" s="220" t="str" cm="1">
        <f t="array" ref="M22" xml:space="preserve"> INDEX('十五音-韻母'!$B$5:$O$54, $B22, M$2)</f>
        <v>ㄧㄚㆻ</v>
      </c>
      <c r="O22" s="225" t="s">
        <v>323</v>
      </c>
      <c r="P22" s="226" t="s">
        <v>324</v>
      </c>
      <c r="Q22" s="227">
        <f t="shared" si="1"/>
        <v>18</v>
      </c>
      <c r="R22" s="227">
        <f t="shared" si="2"/>
        <v>0</v>
      </c>
      <c r="T22" s="225" t="s">
        <v>323</v>
      </c>
      <c r="U22" s="226" t="s">
        <v>324</v>
      </c>
      <c r="V22" s="227">
        <f t="shared" si="3"/>
        <v>18</v>
      </c>
      <c r="W22" s="227">
        <f t="shared" si="4"/>
        <v>0</v>
      </c>
      <c r="X22" s="258"/>
      <c r="Y22" s="258"/>
      <c r="Z22" s="258"/>
      <c r="AA22" s="258"/>
      <c r="AC22" s="216">
        <f t="shared" si="0"/>
        <v>18</v>
      </c>
      <c r="AD22" s="225" t="str">
        <f t="shared" si="5"/>
        <v>姜</v>
      </c>
      <c r="AE22" s="260" t="str">
        <f t="shared" si="6"/>
        <v>iang</v>
      </c>
      <c r="AF22" s="260">
        <f t="shared" si="7"/>
        <v>18</v>
      </c>
      <c r="AG22" s="260">
        <f t="shared" si="8"/>
        <v>18</v>
      </c>
    </row>
    <row r="23" spans="2:33">
      <c r="B23" s="216">
        <v>19</v>
      </c>
      <c r="C23" s="217" t="s">
        <v>333</v>
      </c>
      <c r="D23" s="217"/>
      <c r="E23" s="217"/>
      <c r="F23" s="220" t="str" cm="1">
        <f t="array" ref="F23" xml:space="preserve"> INDEX('十五音-韻母'!$B$5:$O$54, $B23, F$2)</f>
        <v>am</v>
      </c>
      <c r="G23" s="220" t="str" cm="1">
        <f t="array" ref="G23" xml:space="preserve"> INDEX('十五音-韻母'!$B$5:$O$54, $B23, G$2)</f>
        <v>ap</v>
      </c>
      <c r="H23" s="220" t="str" cm="1">
        <f t="array" ref="H23" xml:space="preserve"> INDEX('十五音-韻母'!$B$5:$O$54, $B23, H$2)</f>
        <v>am</v>
      </c>
      <c r="I23" s="220" t="str" cm="1">
        <f t="array" ref="I23" xml:space="preserve"> INDEX('十五音-韻母'!$B$5:$O$54, $B23, I$2)</f>
        <v>ap̚</v>
      </c>
      <c r="J23" s="220" t="str" cm="1">
        <f t="array" ref="J23" xml:space="preserve"> INDEX('十五音-韻母'!$B$5:$O$54, $B23, J$2)</f>
        <v>am</v>
      </c>
      <c r="K23" s="220" t="str" cm="1">
        <f t="array" ref="K23" xml:space="preserve"> INDEX('十五音-韻母'!$B$5:$O$54, $B23, K$2)</f>
        <v>ap</v>
      </c>
      <c r="L23" s="220" t="str" cm="1">
        <f t="array" ref="L23" xml:space="preserve"> INDEX('十五音-韻母'!$B$5:$O$54, $B23, L$2)</f>
        <v>ㆰ</v>
      </c>
      <c r="M23" s="220" t="str" cm="1">
        <f t="array" ref="M23" xml:space="preserve"> INDEX('十五音-韻母'!$B$5:$O$54, $B23, M$2)</f>
        <v>ㄚㆴ</v>
      </c>
      <c r="O23" s="225" t="s">
        <v>333</v>
      </c>
      <c r="P23" s="226" t="s">
        <v>334</v>
      </c>
      <c r="Q23" s="227">
        <f t="shared" si="1"/>
        <v>19</v>
      </c>
      <c r="R23" s="227">
        <f t="shared" si="2"/>
        <v>0</v>
      </c>
      <c r="T23" s="225" t="s">
        <v>333</v>
      </c>
      <c r="U23" s="226" t="s">
        <v>334</v>
      </c>
      <c r="V23" s="227">
        <f t="shared" si="3"/>
        <v>19</v>
      </c>
      <c r="W23" s="227">
        <f t="shared" si="4"/>
        <v>0</v>
      </c>
      <c r="X23" s="258"/>
      <c r="Y23" s="258"/>
      <c r="Z23" s="258"/>
      <c r="AA23" s="258"/>
      <c r="AC23" s="216">
        <f t="shared" si="0"/>
        <v>19</v>
      </c>
      <c r="AD23" s="225" t="str">
        <f t="shared" si="5"/>
        <v>甘</v>
      </c>
      <c r="AE23" s="260" t="str">
        <f t="shared" si="6"/>
        <v>am</v>
      </c>
      <c r="AF23" s="260">
        <f t="shared" si="7"/>
        <v>19</v>
      </c>
      <c r="AG23" s="260">
        <f t="shared" si="8"/>
        <v>19</v>
      </c>
    </row>
    <row r="24" spans="2:33">
      <c r="B24" s="216">
        <v>20</v>
      </c>
      <c r="C24" s="217" t="s">
        <v>339</v>
      </c>
      <c r="D24" s="217"/>
      <c r="E24" s="217"/>
      <c r="F24" s="220" t="str" cm="1">
        <f t="array" ref="F24" xml:space="preserve"> INDEX('十五音-韻母'!$B$5:$O$54, $B24, F$2)</f>
        <v>ua</v>
      </c>
      <c r="G24" s="220" t="str" cm="1">
        <f t="array" ref="G24" xml:space="preserve"> INDEX('十五音-韻母'!$B$5:$O$54, $B24, G$2)</f>
        <v>uah</v>
      </c>
      <c r="H24" s="220" t="str" cm="1">
        <f t="array" ref="H24" xml:space="preserve"> INDEX('十五音-韻母'!$B$5:$O$54, $B24, H$2)</f>
        <v>ua</v>
      </c>
      <c r="I24" s="220" t="str" cm="1">
        <f t="array" ref="I24" xml:space="preserve"> INDEX('十五音-韻母'!$B$5:$O$54, $B24, I$2)</f>
        <v>ua?</v>
      </c>
      <c r="J24" s="220" t="str" cm="1">
        <f t="array" ref="J24" xml:space="preserve"> INDEX('十五音-韻母'!$B$5:$O$54, $B24, J$2)</f>
        <v>ua</v>
      </c>
      <c r="K24" s="220" t="str" cm="1">
        <f t="array" ref="K24" xml:space="preserve"> INDEX('十五音-韻母'!$B$5:$O$54, $B24, K$2)</f>
        <v>uah</v>
      </c>
      <c r="L24" s="220" t="str" cm="1">
        <f t="array" ref="L24" xml:space="preserve"> INDEX('十五音-韻母'!$B$5:$O$54, $B24, L$2)</f>
        <v>ㄨㄚ</v>
      </c>
      <c r="M24" s="220" t="str" cm="1">
        <f t="array" ref="M24" xml:space="preserve"> INDEX('十五音-韻母'!$B$5:$O$54, $B24, M$2)</f>
        <v>ㄨㄚㆷ</v>
      </c>
      <c r="O24" s="225" t="s">
        <v>339</v>
      </c>
      <c r="P24" s="226" t="s">
        <v>343</v>
      </c>
      <c r="Q24" s="227" t="str">
        <f t="shared" si="1"/>
        <v/>
      </c>
      <c r="R24" s="227">
        <f t="shared" si="2"/>
        <v>0</v>
      </c>
      <c r="T24" s="225" t="s">
        <v>339</v>
      </c>
      <c r="U24" s="226" t="s">
        <v>343</v>
      </c>
      <c r="V24" s="227" t="e">
        <f t="shared" si="3"/>
        <v>#N/A</v>
      </c>
      <c r="W24" s="227" t="e">
        <f t="shared" si="4"/>
        <v>#N/A</v>
      </c>
      <c r="X24" s="258"/>
      <c r="Y24" s="258"/>
      <c r="Z24" s="258"/>
      <c r="AA24" s="258"/>
      <c r="AC24" s="216">
        <f t="shared" si="0"/>
        <v>20</v>
      </c>
      <c r="AD24" s="225" t="str">
        <f t="shared" si="5"/>
        <v>瓜</v>
      </c>
      <c r="AE24" s="260" t="str">
        <f t="shared" si="6"/>
        <v>ua</v>
      </c>
      <c r="AF24" s="260" t="str">
        <f t="shared" si="7"/>
        <v>無對映</v>
      </c>
      <c r="AG24" s="260" t="str">
        <f t="shared" si="8"/>
        <v>無對映</v>
      </c>
    </row>
    <row r="25" spans="2:33">
      <c r="B25" s="216">
        <v>21</v>
      </c>
      <c r="C25" s="217" t="s">
        <v>350</v>
      </c>
      <c r="D25" s="217"/>
      <c r="E25" s="217"/>
      <c r="F25" s="220" t="str" cm="1">
        <f t="array" ref="F25" xml:space="preserve"> INDEX('十五音-韻母'!$B$5:$O$54, $B25, F$2)</f>
        <v>ang</v>
      </c>
      <c r="G25" s="220" t="str" cm="1">
        <f t="array" ref="G25" xml:space="preserve"> INDEX('十五音-韻母'!$B$5:$O$54, $B25, G$2)</f>
        <v>ak</v>
      </c>
      <c r="H25" s="220" t="str" cm="1">
        <f t="array" ref="H25" xml:space="preserve"> INDEX('十五音-韻母'!$B$5:$O$54, $B25, H$2)</f>
        <v>aŋ</v>
      </c>
      <c r="I25" s="220" t="str" cm="1">
        <f t="array" ref="I25" xml:space="preserve"> INDEX('十五音-韻母'!$B$5:$O$54, $B25, I$2)</f>
        <v>ak̚</v>
      </c>
      <c r="J25" s="220" t="str" cm="1">
        <f t="array" ref="J25" xml:space="preserve"> INDEX('十五音-韻母'!$B$5:$O$54, $B25, J$2)</f>
        <v>ang</v>
      </c>
      <c r="K25" s="220" t="str" cm="1">
        <f t="array" ref="K25" xml:space="preserve"> INDEX('十五音-韻母'!$B$5:$O$54, $B25, K$2)</f>
        <v>ak</v>
      </c>
      <c r="L25" s="220" t="str" cm="1">
        <f t="array" ref="L25" xml:space="preserve"> INDEX('十五音-韻母'!$B$5:$O$54, $B25, L$2)</f>
        <v>ㄤ</v>
      </c>
      <c r="M25" s="220" t="str" cm="1">
        <f t="array" ref="M25" xml:space="preserve"> INDEX('十五音-韻母'!$B$5:$O$54, $B25, M$2)</f>
        <v>ㄚㆻ</v>
      </c>
      <c r="O25" s="225" t="s">
        <v>350</v>
      </c>
      <c r="P25" s="226" t="s">
        <v>351</v>
      </c>
      <c r="Q25" s="227">
        <f t="shared" si="1"/>
        <v>21</v>
      </c>
      <c r="R25" s="227">
        <f t="shared" si="2"/>
        <v>0</v>
      </c>
      <c r="T25" s="225" t="s">
        <v>350</v>
      </c>
      <c r="U25" s="226" t="s">
        <v>351</v>
      </c>
      <c r="V25" s="227">
        <f t="shared" si="3"/>
        <v>21</v>
      </c>
      <c r="W25" s="227">
        <f t="shared" si="4"/>
        <v>0</v>
      </c>
      <c r="X25" s="258"/>
      <c r="Y25" s="258"/>
      <c r="Z25" s="258"/>
      <c r="AA25" s="258"/>
      <c r="AC25" s="216">
        <f t="shared" si="0"/>
        <v>21</v>
      </c>
      <c r="AD25" s="225" t="str">
        <f t="shared" si="5"/>
        <v>江</v>
      </c>
      <c r="AE25" s="260" t="str">
        <f t="shared" si="6"/>
        <v>ang</v>
      </c>
      <c r="AF25" s="260">
        <f t="shared" si="7"/>
        <v>21</v>
      </c>
      <c r="AG25" s="260">
        <f t="shared" si="8"/>
        <v>21</v>
      </c>
    </row>
    <row r="26" spans="2:33">
      <c r="B26" s="216">
        <v>22</v>
      </c>
      <c r="C26" s="217" t="s">
        <v>358</v>
      </c>
      <c r="D26" s="217"/>
      <c r="E26" s="217"/>
      <c r="F26" s="220" t="str" cm="1">
        <f t="array" ref="F26" xml:space="preserve"> INDEX('十五音-韻母'!$B$5:$O$54, $B26, F$2)</f>
        <v>iam</v>
      </c>
      <c r="G26" s="220" t="str" cm="1">
        <f t="array" ref="G26" xml:space="preserve"> INDEX('十五音-韻母'!$B$5:$O$54, $B26, G$2)</f>
        <v>iap</v>
      </c>
      <c r="H26" s="220" t="str" cm="1">
        <f t="array" ref="H26" xml:space="preserve"> INDEX('十五音-韻母'!$B$5:$O$54, $B26, H$2)</f>
        <v>iam</v>
      </c>
      <c r="I26" s="220" t="str" cm="1">
        <f t="array" ref="I26" xml:space="preserve"> INDEX('十五音-韻母'!$B$5:$O$54, $B26, I$2)</f>
        <v>iap̚</v>
      </c>
      <c r="J26" s="220" t="str" cm="1">
        <f t="array" ref="J26" xml:space="preserve"> INDEX('十五音-韻母'!$B$5:$O$54, $B26, J$2)</f>
        <v>iam</v>
      </c>
      <c r="K26" s="220" t="str" cm="1">
        <f t="array" ref="K26" xml:space="preserve"> INDEX('十五音-韻母'!$B$5:$O$54, $B26, K$2)</f>
        <v>iap</v>
      </c>
      <c r="L26" s="220" t="str" cm="1">
        <f t="array" ref="L26" xml:space="preserve"> INDEX('十五音-韻母'!$B$5:$O$54, $B26, L$2)</f>
        <v>ㄧㆰ</v>
      </c>
      <c r="M26" s="220" t="str" cm="1">
        <f t="array" ref="M26" xml:space="preserve"> INDEX('十五音-韻母'!$B$5:$O$54, $B26, M$2)</f>
        <v>ㄧㄚㆴ</v>
      </c>
      <c r="O26" s="225" t="s">
        <v>358</v>
      </c>
      <c r="P26" s="226" t="s">
        <v>359</v>
      </c>
      <c r="Q26" s="227">
        <f t="shared" si="1"/>
        <v>22</v>
      </c>
      <c r="R26" s="227">
        <f t="shared" si="2"/>
        <v>0</v>
      </c>
      <c r="T26" s="225" t="s">
        <v>358</v>
      </c>
      <c r="U26" s="226" t="s">
        <v>359</v>
      </c>
      <c r="V26" s="227">
        <f t="shared" si="3"/>
        <v>22</v>
      </c>
      <c r="W26" s="227">
        <f t="shared" si="4"/>
        <v>0</v>
      </c>
      <c r="X26" s="258"/>
      <c r="Y26" s="258"/>
      <c r="Z26" s="258"/>
      <c r="AA26" s="258"/>
      <c r="AC26" s="216">
        <f t="shared" si="0"/>
        <v>22</v>
      </c>
      <c r="AD26" s="225" t="str">
        <f t="shared" si="5"/>
        <v>兼</v>
      </c>
      <c r="AE26" s="260" t="str">
        <f t="shared" si="6"/>
        <v>iam</v>
      </c>
      <c r="AF26" s="260">
        <f t="shared" si="7"/>
        <v>22</v>
      </c>
      <c r="AG26" s="260">
        <f t="shared" si="8"/>
        <v>22</v>
      </c>
    </row>
    <row r="27" spans="2:33">
      <c r="B27" s="216">
        <v>23</v>
      </c>
      <c r="C27" s="217" t="s">
        <v>367</v>
      </c>
      <c r="D27" s="217"/>
      <c r="E27" s="217"/>
      <c r="F27" s="220" t="str" cm="1">
        <f t="array" ref="F27" xml:space="preserve"> INDEX('十五音-韻母'!$B$5:$O$54, $B27, F$2)</f>
        <v>au</v>
      </c>
      <c r="G27" s="220" t="str" cm="1">
        <f t="array" ref="G27" xml:space="preserve"> INDEX('十五音-韻母'!$B$5:$O$54, $B27, G$2)</f>
        <v>auh</v>
      </c>
      <c r="H27" s="220" t="str" cm="1">
        <f t="array" ref="H27" xml:space="preserve"> INDEX('十五音-韻母'!$B$5:$O$54, $B27, H$2)</f>
        <v>aʊ</v>
      </c>
      <c r="I27" s="220" t="str" cm="1">
        <f t="array" ref="I27" xml:space="preserve"> INDEX('十五音-韻母'!$B$5:$O$54, $B27, I$2)</f>
        <v>au?</v>
      </c>
      <c r="J27" s="220" t="str" cm="1">
        <f t="array" ref="J27" xml:space="preserve"> INDEX('十五音-韻母'!$B$5:$O$54, $B27, J$2)</f>
        <v>au</v>
      </c>
      <c r="K27" s="220" t="str" cm="1">
        <f t="array" ref="K27" xml:space="preserve"> INDEX('十五音-韻母'!$B$5:$O$54, $B27, K$2)</f>
        <v>auh</v>
      </c>
      <c r="L27" s="220" t="str" cm="1">
        <f t="array" ref="L27" xml:space="preserve"> INDEX('十五音-韻母'!$B$5:$O$54, $B27, L$2)</f>
        <v>ㄠ</v>
      </c>
      <c r="M27" s="220" t="str" cm="1">
        <f t="array" ref="M27" xml:space="preserve"> INDEX('十五音-韻母'!$B$5:$O$54, $B27, M$2)</f>
        <v>ㄠㆷ</v>
      </c>
      <c r="O27" s="225" t="s">
        <v>367</v>
      </c>
      <c r="P27" s="226" t="s">
        <v>368</v>
      </c>
      <c r="Q27" s="227">
        <f t="shared" si="1"/>
        <v>23</v>
      </c>
      <c r="R27" s="227">
        <f t="shared" si="2"/>
        <v>0</v>
      </c>
      <c r="T27" s="225" t="s">
        <v>367</v>
      </c>
      <c r="U27" s="226" t="s">
        <v>368</v>
      </c>
      <c r="V27" s="227">
        <f t="shared" si="3"/>
        <v>23</v>
      </c>
      <c r="W27" s="227">
        <f t="shared" si="4"/>
        <v>0</v>
      </c>
      <c r="X27" s="258"/>
      <c r="Y27" s="258"/>
      <c r="Z27" s="258"/>
      <c r="AA27" s="258"/>
      <c r="AC27" s="216">
        <f t="shared" si="0"/>
        <v>23</v>
      </c>
      <c r="AD27" s="225" t="str">
        <f t="shared" si="5"/>
        <v>交</v>
      </c>
      <c r="AE27" s="260" t="str">
        <f t="shared" si="6"/>
        <v>au</v>
      </c>
      <c r="AF27" s="260">
        <f t="shared" si="7"/>
        <v>23</v>
      </c>
      <c r="AG27" s="260">
        <f t="shared" si="8"/>
        <v>23</v>
      </c>
    </row>
    <row r="28" spans="2:33">
      <c r="B28" s="216">
        <v>24</v>
      </c>
      <c r="C28" s="217" t="s">
        <v>378</v>
      </c>
      <c r="D28" s="217"/>
      <c r="E28" s="217"/>
      <c r="F28" s="220" t="str" cm="1">
        <f t="array" ref="F28" xml:space="preserve"> INDEX('十五音-韻母'!$B$5:$O$54, $B28, F$2)</f>
        <v>ia</v>
      </c>
      <c r="G28" s="220" t="str" cm="1">
        <f t="array" ref="G28" xml:space="preserve"> INDEX('十五音-韻母'!$B$5:$O$54, $B28, G$2)</f>
        <v>iah</v>
      </c>
      <c r="H28" s="220" t="str" cm="1">
        <f t="array" ref="H28" xml:space="preserve"> INDEX('十五音-韻母'!$B$5:$O$54, $B28, H$2)</f>
        <v>ia</v>
      </c>
      <c r="I28" s="220" t="str" cm="1">
        <f t="array" ref="I28" xml:space="preserve"> INDEX('十五音-韻母'!$B$5:$O$54, $B28, I$2)</f>
        <v>ia?</v>
      </c>
      <c r="J28" s="220" t="str" cm="1">
        <f t="array" ref="J28" xml:space="preserve"> INDEX('十五音-韻母'!$B$5:$O$54, $B28, J$2)</f>
        <v>ia</v>
      </c>
      <c r="K28" s="220" t="str" cm="1">
        <f t="array" ref="K28" xml:space="preserve"> INDEX('十五音-韻母'!$B$5:$O$54, $B28, K$2)</f>
        <v>iah</v>
      </c>
      <c r="L28" s="220" t="str" cm="1">
        <f t="array" ref="L28" xml:space="preserve"> INDEX('十五音-韻母'!$B$5:$O$54, $B28, L$2)</f>
        <v>ㄧㄚ</v>
      </c>
      <c r="M28" s="220" t="str" cm="1">
        <f t="array" ref="M28" xml:space="preserve"> INDEX('十五音-韻母'!$B$5:$O$54, $B28, M$2)</f>
        <v>ㄧㄚㆷ</v>
      </c>
      <c r="O28" s="225" t="s">
        <v>378</v>
      </c>
      <c r="P28" s="226" t="s">
        <v>379</v>
      </c>
      <c r="Q28" s="227">
        <f t="shared" si="1"/>
        <v>24</v>
      </c>
      <c r="R28" s="227">
        <f t="shared" si="2"/>
        <v>0</v>
      </c>
      <c r="T28" s="225" t="s">
        <v>553</v>
      </c>
      <c r="U28" s="226" t="s">
        <v>379</v>
      </c>
      <c r="V28" s="227">
        <f t="shared" si="3"/>
        <v>24</v>
      </c>
      <c r="W28" s="227">
        <f t="shared" si="4"/>
        <v>0</v>
      </c>
      <c r="X28" s="258"/>
      <c r="Y28" s="258"/>
      <c r="Z28" s="258"/>
      <c r="AA28" s="258"/>
      <c r="AC28" s="216">
        <f t="shared" si="0"/>
        <v>24</v>
      </c>
      <c r="AD28" s="225" t="str">
        <f t="shared" si="5"/>
        <v>迦</v>
      </c>
      <c r="AE28" s="260" t="str">
        <f t="shared" si="6"/>
        <v>ia</v>
      </c>
      <c r="AF28" s="260">
        <f t="shared" si="7"/>
        <v>24</v>
      </c>
      <c r="AG28" s="260">
        <f t="shared" si="8"/>
        <v>24</v>
      </c>
    </row>
    <row r="29" spans="2:33">
      <c r="B29" s="216">
        <v>25</v>
      </c>
      <c r="C29" s="217" t="s">
        <v>388</v>
      </c>
      <c r="D29" s="217"/>
      <c r="E29" s="217"/>
      <c r="F29" s="220" t="str" cm="1">
        <f t="array" ref="F29" xml:space="preserve"> INDEX('十五音-韻母'!$B$5:$O$54, $B29, F$2)</f>
        <v>ue</v>
      </c>
      <c r="G29" s="220" t="str" cm="1">
        <f t="array" ref="G29" xml:space="preserve"> INDEX('十五音-韻母'!$B$5:$O$54, $B29, G$2)</f>
        <v>ueh</v>
      </c>
      <c r="H29" s="220" t="str" cm="1">
        <f t="array" ref="H29" xml:space="preserve"> INDEX('十五音-韻母'!$B$5:$O$54, $B29, H$2)</f>
        <v>ue</v>
      </c>
      <c r="I29" s="220" t="str" cm="1">
        <f t="array" ref="I29" xml:space="preserve"> INDEX('十五音-韻母'!$B$5:$O$54, $B29, I$2)</f>
        <v>ue?</v>
      </c>
      <c r="J29" s="220" t="str" cm="1">
        <f t="array" ref="J29" xml:space="preserve"> INDEX('十五音-韻母'!$B$5:$O$54, $B29, J$2)</f>
        <v>ue</v>
      </c>
      <c r="K29" s="220" t="str" cm="1">
        <f t="array" ref="K29" xml:space="preserve"> INDEX('十五音-韻母'!$B$5:$O$54, $B29, K$2)</f>
        <v>ueh</v>
      </c>
      <c r="L29" s="220" t="str" cm="1">
        <f t="array" ref="L29" xml:space="preserve"> INDEX('十五音-韻母'!$B$5:$O$54, $B29, L$2)</f>
        <v>ㄨㆤ</v>
      </c>
      <c r="M29" s="220" t="str" cm="1">
        <f t="array" ref="M29" xml:space="preserve"> INDEX('十五音-韻母'!$B$5:$O$54, $B29, M$2)</f>
        <v>ㄨㆤㆷ</v>
      </c>
      <c r="O29" s="225" t="s">
        <v>388</v>
      </c>
      <c r="P29" s="226" t="s">
        <v>261</v>
      </c>
      <c r="Q29" s="227" t="str">
        <f t="shared" si="1"/>
        <v/>
      </c>
      <c r="R29" s="227">
        <f t="shared" si="2"/>
        <v>0</v>
      </c>
      <c r="T29" s="225" t="s">
        <v>388</v>
      </c>
      <c r="U29" s="226" t="s">
        <v>261</v>
      </c>
      <c r="V29" s="227" t="e">
        <f t="shared" si="3"/>
        <v>#N/A</v>
      </c>
      <c r="W29" s="227" t="e">
        <f t="shared" si="4"/>
        <v>#N/A</v>
      </c>
      <c r="X29" s="258"/>
      <c r="Y29" s="258"/>
      <c r="Z29" s="258"/>
      <c r="AA29" s="258"/>
      <c r="AC29" s="216">
        <f t="shared" si="0"/>
        <v>25</v>
      </c>
      <c r="AD29" s="225" t="str">
        <f t="shared" si="5"/>
        <v>檜</v>
      </c>
      <c r="AE29" s="260" t="str">
        <f t="shared" si="6"/>
        <v>ue</v>
      </c>
      <c r="AF29" s="260" t="str">
        <f t="shared" si="7"/>
        <v>無對映</v>
      </c>
      <c r="AG29" s="260" t="str">
        <f t="shared" si="8"/>
        <v>無對映</v>
      </c>
    </row>
    <row r="30" spans="2:33">
      <c r="B30" s="216">
        <v>26</v>
      </c>
      <c r="C30" s="217" t="s">
        <v>399</v>
      </c>
      <c r="D30" s="217"/>
      <c r="E30" s="217"/>
      <c r="F30" s="220" t="str" cm="1">
        <f t="array" ref="F30" xml:space="preserve"> INDEX('十五音-韻母'!$B$5:$O$54, $B30, F$2)</f>
        <v>ann</v>
      </c>
      <c r="G30" s="220" t="str" cm="1">
        <f t="array" ref="G30" xml:space="preserve"> INDEX('十五音-韻母'!$B$5:$O$54, $B30, G$2)</f>
        <v>annh</v>
      </c>
      <c r="H30" s="220" t="str" cm="1">
        <f t="array" ref="H30" xml:space="preserve"> INDEX('十五音-韻母'!$B$5:$O$54, $B30, H$2)</f>
        <v>ã</v>
      </c>
      <c r="I30" s="220" t="str" cm="1">
        <f t="array" ref="I30" xml:space="preserve"> INDEX('十五音-韻母'!$B$5:$O$54, $B30, I$2)</f>
        <v>ã?</v>
      </c>
      <c r="J30" s="220" t="str" cm="1">
        <f t="array" ref="J30" xml:space="preserve"> INDEX('十五音-韻母'!$B$5:$O$54, $B30, J$2)</f>
        <v>ann</v>
      </c>
      <c r="K30" s="220" t="str" cm="1">
        <f t="array" ref="K30" xml:space="preserve"> INDEX('十五音-韻母'!$B$5:$O$54, $B30, K$2)</f>
        <v>annh</v>
      </c>
      <c r="L30" s="220" t="str" cm="1">
        <f t="array" ref="L30" xml:space="preserve"> INDEX('十五音-韻母'!$B$5:$O$54, $B30, L$2)</f>
        <v>ㆩ</v>
      </c>
      <c r="M30" s="220" t="str" cm="1">
        <f t="array" ref="M30" xml:space="preserve"> INDEX('十五音-韻母'!$B$5:$O$54, $B30, M$2)</f>
        <v>ㆩㆷ</v>
      </c>
      <c r="O30" s="225" t="s">
        <v>399</v>
      </c>
      <c r="P30" s="226" t="s">
        <v>400</v>
      </c>
      <c r="Q30" s="227">
        <f t="shared" si="1"/>
        <v>26</v>
      </c>
      <c r="R30" s="227">
        <f t="shared" si="2"/>
        <v>0</v>
      </c>
      <c r="T30" s="225" t="s">
        <v>2012</v>
      </c>
      <c r="U30" s="226" t="s">
        <v>424</v>
      </c>
      <c r="V30" s="227">
        <f t="shared" si="3"/>
        <v>28</v>
      </c>
      <c r="W30" s="227">
        <f t="shared" si="4"/>
        <v>2</v>
      </c>
      <c r="X30" s="258"/>
      <c r="Y30" s="258"/>
      <c r="Z30" s="258"/>
      <c r="AA30" s="258"/>
      <c r="AC30" s="216">
        <f t="shared" si="0"/>
        <v>26</v>
      </c>
      <c r="AD30" s="225" t="str">
        <f t="shared" si="5"/>
        <v>監</v>
      </c>
      <c r="AE30" s="260" t="str">
        <f t="shared" si="6"/>
        <v>ann</v>
      </c>
      <c r="AF30" s="260">
        <f t="shared" si="7"/>
        <v>26</v>
      </c>
      <c r="AG30" s="260">
        <f t="shared" si="8"/>
        <v>39</v>
      </c>
    </row>
    <row r="31" spans="2:33">
      <c r="B31" s="216">
        <v>27</v>
      </c>
      <c r="C31" s="217" t="s">
        <v>414</v>
      </c>
      <c r="D31" s="217"/>
      <c r="E31" s="217"/>
      <c r="F31" s="220" t="str" cm="1">
        <f t="array" ref="F31" xml:space="preserve"> INDEX('十五音-韻母'!$B$5:$O$54, $B31, F$2)</f>
        <v>u</v>
      </c>
      <c r="G31" s="220" t="str" cm="1">
        <f t="array" ref="G31" xml:space="preserve"> INDEX('十五音-韻母'!$B$5:$O$54, $B31, G$2)</f>
        <v>uh</v>
      </c>
      <c r="H31" s="220" t="str" cm="1">
        <f t="array" ref="H31" xml:space="preserve"> INDEX('十五音-韻母'!$B$5:$O$54, $B31, H$2)</f>
        <v>u</v>
      </c>
      <c r="I31" s="220" t="str" cm="1">
        <f t="array" ref="I31" xml:space="preserve"> INDEX('十五音-韻母'!$B$5:$O$54, $B31, I$2)</f>
        <v>u?</v>
      </c>
      <c r="J31" s="220" t="str" cm="1">
        <f t="array" ref="J31" xml:space="preserve"> INDEX('十五音-韻母'!$B$5:$O$54, $B31, J$2)</f>
        <v>u</v>
      </c>
      <c r="K31" s="220" t="str" cm="1">
        <f t="array" ref="K31" xml:space="preserve"> INDEX('十五音-韻母'!$B$5:$O$54, $B31, K$2)</f>
        <v>uh</v>
      </c>
      <c r="L31" s="220" t="str" cm="1">
        <f t="array" ref="L31" xml:space="preserve"> INDEX('十五音-韻母'!$B$5:$O$54, $B31, L$2)</f>
        <v>ㄨ</v>
      </c>
      <c r="M31" s="220" t="str" cm="1">
        <f t="array" ref="M31" xml:space="preserve"> INDEX('十五音-韻母'!$B$5:$O$54, $B31, M$2)</f>
        <v>ㄨㆷ</v>
      </c>
      <c r="O31" s="225" t="s">
        <v>2013</v>
      </c>
      <c r="P31" s="226" t="s">
        <v>415</v>
      </c>
      <c r="Q31" s="227">
        <f t="shared" si="1"/>
        <v>27</v>
      </c>
      <c r="R31" s="227">
        <f t="shared" si="2"/>
        <v>0</v>
      </c>
      <c r="T31" s="225" t="s">
        <v>2013</v>
      </c>
      <c r="U31" s="226" t="s">
        <v>415</v>
      </c>
      <c r="V31" s="227">
        <f t="shared" si="3"/>
        <v>27</v>
      </c>
      <c r="W31" s="227">
        <f t="shared" si="4"/>
        <v>0</v>
      </c>
      <c r="X31" s="258"/>
      <c r="Y31" s="258"/>
      <c r="Z31" s="258"/>
      <c r="AA31" s="258"/>
      <c r="AC31" s="216">
        <f t="shared" si="0"/>
        <v>27</v>
      </c>
      <c r="AD31" s="225" t="str">
        <f t="shared" si="5"/>
        <v>艍</v>
      </c>
      <c r="AE31" s="260" t="str">
        <f t="shared" si="6"/>
        <v>u</v>
      </c>
      <c r="AF31" s="260">
        <f t="shared" si="7"/>
        <v>27</v>
      </c>
      <c r="AG31" s="260">
        <f t="shared" si="8"/>
        <v>27</v>
      </c>
    </row>
    <row r="32" spans="2:33">
      <c r="B32" s="216">
        <v>28</v>
      </c>
      <c r="C32" s="217" t="s">
        <v>398</v>
      </c>
      <c r="D32" s="217"/>
      <c r="E32" s="217" t="s">
        <v>397</v>
      </c>
      <c r="F32" s="220" t="str" cm="1">
        <f t="array" ref="F32" xml:space="preserve"> INDEX('十五音-韻母'!$B$5:$O$54, $B32, F$2)</f>
        <v>a</v>
      </c>
      <c r="G32" s="220" t="str" cm="1">
        <f t="array" ref="G32" xml:space="preserve"> INDEX('十五音-韻母'!$B$5:$O$54, $B32, G$2)</f>
        <v>ah</v>
      </c>
      <c r="H32" s="220" t="str" cm="1">
        <f t="array" ref="H32" xml:space="preserve"> INDEX('十五音-韻母'!$B$5:$O$54, $B32, H$2)</f>
        <v>a</v>
      </c>
      <c r="I32" s="220" t="str" cm="1">
        <f t="array" ref="I32" xml:space="preserve"> INDEX('十五音-韻母'!$B$5:$O$54, $B32, I$2)</f>
        <v>a?</v>
      </c>
      <c r="J32" s="220" t="str" cm="1">
        <f t="array" ref="J32" xml:space="preserve"> INDEX('十五音-韻母'!$B$5:$O$54, $B32, J$2)</f>
        <v>a</v>
      </c>
      <c r="K32" s="220" t="str" cm="1">
        <f t="array" ref="K32" xml:space="preserve"> INDEX('十五音-韻母'!$B$5:$O$54, $B32, K$2)</f>
        <v>ah</v>
      </c>
      <c r="L32" s="220" t="str" cm="1">
        <f t="array" ref="L32" xml:space="preserve"> INDEX('十五音-韻母'!$B$5:$O$54, $B32, L$2)</f>
        <v>ㄚ</v>
      </c>
      <c r="M32" s="220" t="str" cm="1">
        <f t="array" ref="M32" xml:space="preserve"> INDEX('十五音-韻母'!$B$5:$O$54, $B32, M$2)</f>
        <v>ㄚㆷ</v>
      </c>
      <c r="O32" s="225" t="s">
        <v>398</v>
      </c>
      <c r="P32" s="226" t="s">
        <v>424</v>
      </c>
      <c r="Q32" s="227">
        <f t="shared" si="1"/>
        <v>28</v>
      </c>
      <c r="R32" s="227">
        <f t="shared" si="2"/>
        <v>0</v>
      </c>
      <c r="T32" s="225" t="s">
        <v>721</v>
      </c>
      <c r="U32" s="226" t="s">
        <v>649</v>
      </c>
      <c r="V32" s="227">
        <f t="shared" si="3"/>
        <v>47</v>
      </c>
      <c r="W32" s="227">
        <f t="shared" si="4"/>
        <v>19</v>
      </c>
      <c r="X32" s="258"/>
      <c r="Y32" s="258"/>
      <c r="Z32" s="258"/>
      <c r="AA32" s="258"/>
      <c r="AC32" s="216">
        <f t="shared" si="0"/>
        <v>28</v>
      </c>
      <c r="AD32" s="225" t="str">
        <f t="shared" si="5"/>
        <v>膠</v>
      </c>
      <c r="AE32" s="260" t="str">
        <f t="shared" si="6"/>
        <v>a</v>
      </c>
      <c r="AF32" s="260">
        <f t="shared" si="7"/>
        <v>28</v>
      </c>
      <c r="AG32" s="260">
        <f t="shared" si="8"/>
        <v>26</v>
      </c>
    </row>
    <row r="33" spans="2:33">
      <c r="B33" s="216">
        <v>29</v>
      </c>
      <c r="C33" s="217" t="s">
        <v>431</v>
      </c>
      <c r="D33" s="217"/>
      <c r="E33" s="217"/>
      <c r="F33" s="220" t="str" cm="1">
        <f t="array" ref="F33" xml:space="preserve"> INDEX('十五音-韻母'!$B$5:$O$54, $B33, F$2)</f>
        <v>i</v>
      </c>
      <c r="G33" s="220" t="str" cm="1">
        <f t="array" ref="G33" xml:space="preserve"> INDEX('十五音-韻母'!$B$5:$O$54, $B33, G$2)</f>
        <v>ih</v>
      </c>
      <c r="H33" s="220" t="str" cm="1">
        <f t="array" ref="H33" xml:space="preserve"> INDEX('十五音-韻母'!$B$5:$O$54, $B33, H$2)</f>
        <v>i</v>
      </c>
      <c r="I33" s="220" t="str" cm="1">
        <f t="array" ref="I33" xml:space="preserve"> INDEX('十五音-韻母'!$B$5:$O$54, $B33, I$2)</f>
        <v>i?</v>
      </c>
      <c r="J33" s="220" t="str" cm="1">
        <f t="array" ref="J33" xml:space="preserve"> INDEX('十五音-韻母'!$B$5:$O$54, $B33, J$2)</f>
        <v>i</v>
      </c>
      <c r="K33" s="220" t="str" cm="1">
        <f t="array" ref="K33" xml:space="preserve"> INDEX('十五音-韻母'!$B$5:$O$54, $B33, K$2)</f>
        <v>ih</v>
      </c>
      <c r="L33" s="220" t="str" cm="1">
        <f t="array" ref="L33" xml:space="preserve"> INDEX('十五音-韻母'!$B$5:$O$54, $B33, L$2)</f>
        <v>ㄧ</v>
      </c>
      <c r="M33" s="220" t="str" cm="1">
        <f t="array" ref="M33" xml:space="preserve"> INDEX('十五音-韻母'!$B$5:$O$54, $B33, M$2)</f>
        <v>ㄧㆷ</v>
      </c>
      <c r="O33" s="225" t="s">
        <v>431</v>
      </c>
      <c r="P33" s="226" t="s">
        <v>432</v>
      </c>
      <c r="Q33" s="227">
        <f t="shared" si="1"/>
        <v>29</v>
      </c>
      <c r="R33" s="227">
        <f t="shared" si="2"/>
        <v>0</v>
      </c>
      <c r="T33" s="225" t="s">
        <v>2014</v>
      </c>
      <c r="U33" s="226" t="s">
        <v>432</v>
      </c>
      <c r="V33" s="227">
        <f t="shared" si="3"/>
        <v>29</v>
      </c>
      <c r="W33" s="227">
        <f t="shared" si="4"/>
        <v>0</v>
      </c>
      <c r="X33" s="258"/>
      <c r="Y33" s="258"/>
      <c r="Z33" s="258"/>
      <c r="AA33" s="258"/>
      <c r="AC33" s="216">
        <f t="shared" si="0"/>
        <v>29</v>
      </c>
      <c r="AD33" s="225" t="str">
        <f t="shared" si="5"/>
        <v>居</v>
      </c>
      <c r="AE33" s="260" t="str">
        <f t="shared" si="6"/>
        <v>i</v>
      </c>
      <c r="AF33" s="260">
        <f t="shared" si="7"/>
        <v>29</v>
      </c>
      <c r="AG33" s="260">
        <f t="shared" si="8"/>
        <v>29</v>
      </c>
    </row>
    <row r="34" spans="2:33">
      <c r="B34" s="216">
        <v>30</v>
      </c>
      <c r="C34" s="217" t="s">
        <v>438</v>
      </c>
      <c r="D34" s="217"/>
      <c r="E34" s="217"/>
      <c r="F34" s="220" t="str" cm="1">
        <f t="array" ref="F34" xml:space="preserve"> INDEX('十五音-韻母'!$B$5:$O$54, $B34, F$2)</f>
        <v>iu</v>
      </c>
      <c r="G34" s="220" t="str" cm="1">
        <f t="array" ref="G34" xml:space="preserve"> INDEX('十五音-韻母'!$B$5:$O$54, $B34, G$2)</f>
        <v>iuh</v>
      </c>
      <c r="H34" s="220" t="str" cm="1">
        <f t="array" ref="H34" xml:space="preserve"> INDEX('十五音-韻母'!$B$5:$O$54, $B34, H$2)</f>
        <v>iu</v>
      </c>
      <c r="I34" s="220" t="str" cm="1">
        <f t="array" ref="I34" xml:space="preserve"> INDEX('十五音-韻母'!$B$5:$O$54, $B34, I$2)</f>
        <v>iu?</v>
      </c>
      <c r="J34" s="220" t="str" cm="1">
        <f t="array" ref="J34" xml:space="preserve"> INDEX('十五音-韻母'!$B$5:$O$54, $B34, J$2)</f>
        <v>iu</v>
      </c>
      <c r="K34" s="220" t="str" cm="1">
        <f t="array" ref="K34" xml:space="preserve"> INDEX('十五音-韻母'!$B$5:$O$54, $B34, K$2)</f>
        <v>iuh</v>
      </c>
      <c r="L34" s="220" t="str" cm="1">
        <f t="array" ref="L34" xml:space="preserve"> INDEX('十五音-韻母'!$B$5:$O$54, $B34, L$2)</f>
        <v>ㄧㄨ</v>
      </c>
      <c r="M34" s="220" t="str" cm="1">
        <f t="array" ref="M34" xml:space="preserve"> INDEX('十五音-韻母'!$B$5:$O$54, $B34, M$2)</f>
        <v>ㄧㄨㆷ</v>
      </c>
      <c r="O34" s="225" t="s">
        <v>438</v>
      </c>
      <c r="P34" s="226" t="s">
        <v>439</v>
      </c>
      <c r="Q34" s="227">
        <f t="shared" si="1"/>
        <v>30</v>
      </c>
      <c r="R34" s="227">
        <f t="shared" si="2"/>
        <v>0</v>
      </c>
      <c r="T34" s="225" t="s">
        <v>438</v>
      </c>
      <c r="U34" s="226" t="s">
        <v>439</v>
      </c>
      <c r="V34" s="227">
        <f t="shared" si="3"/>
        <v>30</v>
      </c>
      <c r="W34" s="227">
        <f t="shared" si="4"/>
        <v>0</v>
      </c>
      <c r="AC34" s="216">
        <f t="shared" si="0"/>
        <v>30</v>
      </c>
      <c r="AD34" s="225" t="str">
        <f t="shared" si="5"/>
        <v>丩</v>
      </c>
      <c r="AE34" s="260" t="str">
        <f t="shared" si="6"/>
        <v>iu</v>
      </c>
      <c r="AF34" s="260">
        <f t="shared" si="7"/>
        <v>30</v>
      </c>
      <c r="AG34" s="260">
        <f t="shared" si="8"/>
        <v>30</v>
      </c>
    </row>
    <row r="35" spans="2:33">
      <c r="B35" s="216">
        <v>31</v>
      </c>
      <c r="C35" s="225" t="s">
        <v>448</v>
      </c>
      <c r="D35" s="217"/>
      <c r="E35" s="217"/>
      <c r="F35" s="220" t="str" cm="1">
        <f t="array" ref="F35" xml:space="preserve"> INDEX('十五音-韻母'!$B$5:$O$54, $B35, F$2)</f>
        <v>enn</v>
      </c>
      <c r="G35" s="220" t="str" cm="1">
        <f t="array" ref="G35" xml:space="preserve"> INDEX('十五音-韻母'!$B$5:$O$54, $B35, G$2)</f>
        <v>ennh</v>
      </c>
      <c r="H35" s="220" t="str" cm="1">
        <f t="array" ref="H35" xml:space="preserve"> INDEX('十五音-韻母'!$B$5:$O$54, $B35, H$2)</f>
        <v>ẽ</v>
      </c>
      <c r="I35" s="220" t="str" cm="1">
        <f t="array" ref="I35" xml:space="preserve"> INDEX('十五音-韻母'!$B$5:$O$54, $B35, I$2)</f>
        <v>ẽ?</v>
      </c>
      <c r="J35" s="220" t="str" cm="1">
        <f t="array" ref="J35" xml:space="preserve"> INDEX('十五音-韻母'!$B$5:$O$54, $B35, J$2)</f>
        <v>enn</v>
      </c>
      <c r="K35" s="220" t="str" cm="1">
        <f t="array" ref="K35" xml:space="preserve"> INDEX('十五音-韻母'!$B$5:$O$54, $B35, K$2)</f>
        <v>ennh</v>
      </c>
      <c r="L35" s="220" t="str" cm="1">
        <f t="array" ref="L35" xml:space="preserve"> INDEX('十五音-韻母'!$B$5:$O$54, $B35, L$2)</f>
        <v>ㆥ</v>
      </c>
      <c r="M35" s="220" t="str" cm="1">
        <f t="array" ref="M35" xml:space="preserve"> INDEX('十五音-韻母'!$B$5:$O$54, $B35, M$2)</f>
        <v>ㆥㆷ</v>
      </c>
      <c r="O35" s="225" t="s">
        <v>448</v>
      </c>
      <c r="P35" s="226" t="s">
        <v>449</v>
      </c>
      <c r="Q35" s="227">
        <f t="shared" si="1"/>
        <v>31</v>
      </c>
      <c r="R35" s="227">
        <f t="shared" si="2"/>
        <v>0</v>
      </c>
      <c r="T35" s="225" t="s">
        <v>446</v>
      </c>
      <c r="U35" s="226" t="s">
        <v>2015</v>
      </c>
      <c r="V35" s="227">
        <f t="shared" si="3"/>
        <v>36</v>
      </c>
      <c r="W35" s="227">
        <f t="shared" si="4"/>
        <v>5</v>
      </c>
      <c r="X35" s="207" t="s">
        <v>2016</v>
      </c>
      <c r="Y35" s="207" t="s">
        <v>2017</v>
      </c>
      <c r="AC35" s="216">
        <f t="shared" si="0"/>
        <v>31</v>
      </c>
      <c r="AD35" s="225" t="str">
        <f t="shared" si="5"/>
        <v>更</v>
      </c>
      <c r="AE35" s="260" t="str">
        <f t="shared" si="6"/>
        <v>enn</v>
      </c>
      <c r="AF35" s="260">
        <f t="shared" si="7"/>
        <v>31</v>
      </c>
      <c r="AG35" s="260">
        <f t="shared" si="8"/>
        <v>41</v>
      </c>
    </row>
    <row r="36" spans="2:33">
      <c r="B36" s="216">
        <v>32</v>
      </c>
      <c r="C36" s="225" t="s">
        <v>464</v>
      </c>
      <c r="D36" s="229" t="s">
        <v>2018</v>
      </c>
      <c r="E36" s="218"/>
      <c r="F36" s="220" t="str" cm="1">
        <f t="array" ref="F36" xml:space="preserve"> INDEX('十五音-韻母'!$B$5:$O$54, $B36, F$2)</f>
        <v>uinn</v>
      </c>
      <c r="G36" s="220" t="str" cm="1">
        <f t="array" ref="G36" xml:space="preserve"> INDEX('十五音-韻母'!$B$5:$O$54, $B36, G$2)</f>
        <v>uinnh</v>
      </c>
      <c r="H36" s="220" t="str" cm="1">
        <f t="array" ref="H36" xml:space="preserve"> INDEX('十五音-韻母'!$B$5:$O$54, $B36, H$2)</f>
        <v>ũĩ</v>
      </c>
      <c r="I36" s="220" t="str" cm="1">
        <f t="array" ref="I36" xml:space="preserve"> INDEX('十五音-韻母'!$B$5:$O$54, $B36, I$2)</f>
        <v>ũĩ?</v>
      </c>
      <c r="J36" s="220" t="str" cm="1">
        <f t="array" ref="J36" xml:space="preserve"> INDEX('十五音-韻母'!$B$5:$O$54, $B36, J$2)</f>
        <v>uinn</v>
      </c>
      <c r="K36" s="220" t="str" cm="1">
        <f t="array" ref="K36" xml:space="preserve"> INDEX('十五音-韻母'!$B$5:$O$54, $B36, K$2)</f>
        <v>uinnh</v>
      </c>
      <c r="L36" s="220" t="str" cm="1">
        <f t="array" ref="L36" xml:space="preserve"> INDEX('十五音-韻母'!$B$5:$O$54, $B36, L$2)</f>
        <v>ㄨㆪ</v>
      </c>
      <c r="M36" s="220" t="str" cm="1">
        <f t="array" ref="M36" xml:space="preserve"> INDEX('十五音-韻母'!$B$5:$O$54, $B36, M$2)</f>
        <v>ㄨㆪㆷ</v>
      </c>
      <c r="O36" s="225" t="s">
        <v>464</v>
      </c>
      <c r="P36" s="226" t="s">
        <v>92</v>
      </c>
      <c r="Q36" s="227">
        <f t="shared" si="1"/>
        <v>38</v>
      </c>
      <c r="R36" s="227">
        <f t="shared" si="2"/>
        <v>6</v>
      </c>
      <c r="T36" s="225" t="s">
        <v>462</v>
      </c>
      <c r="U36" s="226" t="s">
        <v>2019</v>
      </c>
      <c r="V36" s="227" t="e">
        <f t="shared" si="3"/>
        <v>#N/A</v>
      </c>
      <c r="W36" s="227" t="e">
        <f t="shared" si="4"/>
        <v>#N/A</v>
      </c>
      <c r="X36" s="207" t="s">
        <v>2020</v>
      </c>
      <c r="Y36" s="207" t="s">
        <v>2021</v>
      </c>
      <c r="AC36" s="216">
        <f t="shared" si="0"/>
        <v>32</v>
      </c>
      <c r="AD36" s="225" t="str">
        <f t="shared" si="5"/>
        <v>褌</v>
      </c>
      <c r="AE36" s="260" t="str">
        <f t="shared" si="6"/>
        <v>uinn</v>
      </c>
      <c r="AF36" s="260">
        <f t="shared" si="7"/>
        <v>45</v>
      </c>
      <c r="AG36" s="260" t="str">
        <f t="shared" si="8"/>
        <v>無對映</v>
      </c>
    </row>
    <row r="37" spans="2:33">
      <c r="B37" s="216">
        <v>33</v>
      </c>
      <c r="C37" s="225" t="s">
        <v>479</v>
      </c>
      <c r="D37" s="229"/>
      <c r="E37" s="229" t="s">
        <v>531</v>
      </c>
      <c r="F37" s="220" t="str" cm="1">
        <f t="array" ref="F37" xml:space="preserve"> INDEX('十五音-韻母'!$B$5:$O$54, $B37, F$2)</f>
        <v>io</v>
      </c>
      <c r="G37" s="220" t="str" cm="1">
        <f t="array" ref="G37" xml:space="preserve"> INDEX('十五音-韻母'!$B$5:$O$54, $B37, G$2)</f>
        <v>ioh</v>
      </c>
      <c r="H37" s="220" t="str" cm="1">
        <f t="array" ref="H37" xml:space="preserve"> INDEX('十五音-韻母'!$B$5:$O$54, $B37, H$2)</f>
        <v>io</v>
      </c>
      <c r="I37" s="220" t="str" cm="1">
        <f t="array" ref="I37" xml:space="preserve"> INDEX('十五音-韻母'!$B$5:$O$54, $B37, I$2)</f>
        <v>iə?</v>
      </c>
      <c r="J37" s="220" t="str" cm="1">
        <f t="array" ref="J37" xml:space="preserve"> INDEX('十五音-韻母'!$B$5:$O$54, $B37, J$2)</f>
        <v>io</v>
      </c>
      <c r="K37" s="220" t="str" cm="1">
        <f t="array" ref="K37" xml:space="preserve"> INDEX('十五音-韻母'!$B$5:$O$54, $B37, K$2)</f>
        <v>ioh</v>
      </c>
      <c r="L37" s="220" t="str" cm="1">
        <f t="array" ref="L37" xml:space="preserve"> INDEX('十五音-韻母'!$B$5:$O$54, $B37, L$2)</f>
        <v>ㄧㄜ</v>
      </c>
      <c r="M37" s="220" t="str" cm="1">
        <f t="array" ref="M37" xml:space="preserve"> INDEX('十五音-韻母'!$B$5:$O$54, $B37, M$2)</f>
        <v>ㄧㄜㆷ</v>
      </c>
      <c r="O37" s="225" t="s">
        <v>479</v>
      </c>
      <c r="P37" s="226" t="s">
        <v>480</v>
      </c>
      <c r="Q37" s="227">
        <f t="shared" si="1"/>
        <v>33</v>
      </c>
      <c r="R37" s="227">
        <f t="shared" si="2"/>
        <v>0</v>
      </c>
      <c r="T37" s="225" t="s">
        <v>477</v>
      </c>
      <c r="U37" s="226" t="s">
        <v>1631</v>
      </c>
      <c r="V37" s="227">
        <f t="shared" si="3"/>
        <v>34</v>
      </c>
      <c r="W37" s="227">
        <f t="shared" si="4"/>
        <v>1</v>
      </c>
      <c r="X37" s="207" t="s">
        <v>2022</v>
      </c>
      <c r="Y37" s="207" t="s">
        <v>2023</v>
      </c>
      <c r="AC37" s="216">
        <f t="shared" si="0"/>
        <v>33</v>
      </c>
      <c r="AD37" s="225" t="str">
        <f t="shared" si="5"/>
        <v>茄</v>
      </c>
      <c r="AE37" s="260" t="str">
        <f t="shared" si="6"/>
        <v>io</v>
      </c>
      <c r="AF37" s="260">
        <f t="shared" si="7"/>
        <v>33</v>
      </c>
      <c r="AG37" s="260">
        <f t="shared" si="8"/>
        <v>37</v>
      </c>
    </row>
    <row r="38" spans="2:33">
      <c r="B38" s="216">
        <v>34</v>
      </c>
      <c r="C38" s="225" t="s">
        <v>489</v>
      </c>
      <c r="D38" s="217"/>
      <c r="E38" s="229" t="s">
        <v>477</v>
      </c>
      <c r="F38" s="220" t="str" cm="1">
        <f t="array" ref="F38" xml:space="preserve"> INDEX('十五音-韻母'!$B$5:$O$54, $B38, F$2)</f>
        <v>inn</v>
      </c>
      <c r="G38" s="220" t="str" cm="1">
        <f t="array" ref="G38" xml:space="preserve"> INDEX('十五音-韻母'!$B$5:$O$54, $B38, G$2)</f>
        <v>innh</v>
      </c>
      <c r="H38" s="220" t="str" cm="1">
        <f t="array" ref="H38" xml:space="preserve"> INDEX('十五音-韻母'!$B$5:$O$54, $B38, H$2)</f>
        <v>ĩ</v>
      </c>
      <c r="I38" s="220" t="str" cm="1">
        <f t="array" ref="I38" xml:space="preserve"> INDEX('十五音-韻母'!$B$5:$O$54, $B38, I$2)</f>
        <v>ĩ?</v>
      </c>
      <c r="J38" s="220" t="str" cm="1">
        <f t="array" ref="J38" xml:space="preserve"> INDEX('十五音-韻母'!$B$5:$O$54, $B38, J$2)</f>
        <v>inn</v>
      </c>
      <c r="K38" s="220" t="str" cm="1">
        <f t="array" ref="K38" xml:space="preserve"> INDEX('十五音-韻母'!$B$5:$O$54, $B38, K$2)</f>
        <v>innh</v>
      </c>
      <c r="L38" s="220" t="str" cm="1">
        <f t="array" ref="L38" xml:space="preserve"> INDEX('十五音-韻母'!$B$5:$O$54, $B38, L$2)</f>
        <v>ㆪ</v>
      </c>
      <c r="M38" s="220" t="str" cm="1">
        <f t="array" ref="M38" xml:space="preserve"> INDEX('十五音-韻母'!$B$5:$O$54, $B38, M$2)</f>
        <v>ㆪ</v>
      </c>
      <c r="O38" s="225" t="s">
        <v>1991</v>
      </c>
      <c r="P38" s="226" t="s">
        <v>2024</v>
      </c>
      <c r="Q38" s="227">
        <f t="shared" si="1"/>
        <v>50</v>
      </c>
      <c r="R38" s="227">
        <f t="shared" si="2"/>
        <v>16</v>
      </c>
      <c r="T38" s="225" t="s">
        <v>487</v>
      </c>
      <c r="U38" s="226" t="s">
        <v>92</v>
      </c>
      <c r="V38" s="227">
        <f t="shared" si="3"/>
        <v>38</v>
      </c>
      <c r="W38" s="227">
        <f t="shared" si="4"/>
        <v>4</v>
      </c>
      <c r="X38" s="207" t="s">
        <v>2025</v>
      </c>
      <c r="Y38" s="207" t="s">
        <v>2026</v>
      </c>
      <c r="Z38" s="207" t="s">
        <v>2027</v>
      </c>
      <c r="AA38" s="207" t="s">
        <v>2028</v>
      </c>
      <c r="AC38" s="216">
        <f t="shared" si="0"/>
        <v>34</v>
      </c>
      <c r="AD38" s="225" t="str">
        <f t="shared" si="5"/>
        <v>梔</v>
      </c>
      <c r="AE38" s="260" t="str">
        <f t="shared" si="6"/>
        <v>inn</v>
      </c>
      <c r="AF38" s="260">
        <f t="shared" si="7"/>
        <v>13</v>
      </c>
      <c r="AG38" s="260">
        <f t="shared" si="8"/>
        <v>33</v>
      </c>
    </row>
    <row r="39" spans="2:33">
      <c r="B39" s="216">
        <v>35</v>
      </c>
      <c r="C39" s="225" t="s">
        <v>1991</v>
      </c>
      <c r="D39" s="219"/>
      <c r="E39" s="219"/>
      <c r="F39" s="267" t="str" cm="1">
        <f t="array" ref="F39" xml:space="preserve"> INDEX('十五音-韻母'!$B$5:$O$54, $B39, F$2)</f>
        <v>ionn</v>
      </c>
      <c r="G39" s="220" t="str" cm="1">
        <f t="array" ref="G39" xml:space="preserve"> INDEX('十五音-韻母'!$B$5:$O$54, $B39, G$2)</f>
        <v>ionnh</v>
      </c>
      <c r="H39" s="220" t="str" cm="1">
        <f t="array" ref="H39" xml:space="preserve"> INDEX('十五音-韻母'!$B$5:$O$54, $B39, H$2)</f>
        <v>ĩɔ̃</v>
      </c>
      <c r="I39" s="220" t="str" cm="1">
        <f t="array" ref="I39" xml:space="preserve"> INDEX('十五音-韻母'!$B$5:$O$54, $B39, I$2)</f>
        <v>ĩɔ̃?</v>
      </c>
      <c r="J39" s="220" t="str" cm="1">
        <f t="array" ref="J39" xml:space="preserve"> INDEX('十五音-韻母'!$B$5:$O$54, $B39, J$2)</f>
        <v>ionn</v>
      </c>
      <c r="K39" s="220" t="str" cm="1">
        <f t="array" ref="K39" xml:space="preserve"> INDEX('十五音-韻母'!$B$5:$O$54, $B39, K$2)</f>
        <v>ionnh</v>
      </c>
      <c r="L39" s="220" t="str" cm="1">
        <f t="array" ref="L39" xml:space="preserve"> INDEX('十五音-韻母'!$B$5:$O$54, $B39, L$2)</f>
        <v>ㄧㆧ</v>
      </c>
      <c r="M39" s="220" t="str" cm="1">
        <f t="array" ref="M39" xml:space="preserve"> INDEX('十五音-韻母'!$B$5:$O$54, $B39, M$2)</f>
        <v>ㄧㆧㆷ</v>
      </c>
      <c r="O39" s="225" t="s">
        <v>2029</v>
      </c>
      <c r="P39" s="226" t="s">
        <v>2019</v>
      </c>
      <c r="Q39" s="227" t="str">
        <f t="shared" si="1"/>
        <v/>
      </c>
      <c r="R39" s="227">
        <f t="shared" si="2"/>
        <v>0</v>
      </c>
      <c r="T39" s="225" t="s">
        <v>2030</v>
      </c>
      <c r="U39" s="226" t="s">
        <v>2031</v>
      </c>
      <c r="V39" s="227">
        <f t="shared" si="3"/>
        <v>40</v>
      </c>
      <c r="W39" s="227">
        <f t="shared" si="4"/>
        <v>5</v>
      </c>
      <c r="X39" s="207" t="s">
        <v>2032</v>
      </c>
      <c r="Y39" s="207" t="s">
        <v>2033</v>
      </c>
      <c r="AC39" s="216">
        <f t="shared" si="0"/>
        <v>35</v>
      </c>
      <c r="AD39" s="225" t="str">
        <f t="shared" si="5"/>
        <v>薑</v>
      </c>
      <c r="AE39" s="260" t="str">
        <f t="shared" si="6"/>
        <v>ionn</v>
      </c>
      <c r="AF39" s="260" t="str">
        <f t="shared" si="7"/>
        <v>無對映</v>
      </c>
      <c r="AG39" s="260" t="str">
        <f t="shared" si="8"/>
        <v>無對映</v>
      </c>
    </row>
    <row r="40" spans="2:33">
      <c r="B40" s="216">
        <v>36</v>
      </c>
      <c r="C40" s="225" t="s">
        <v>518</v>
      </c>
      <c r="D40" s="217"/>
      <c r="E40" s="229" t="s">
        <v>446</v>
      </c>
      <c r="F40" s="220" t="str" cm="1">
        <f t="array" ref="F40" xml:space="preserve"> INDEX('十五音-韻母'!$B$5:$O$54, $B40, F$2)</f>
        <v>iann</v>
      </c>
      <c r="G40" s="220" t="str" cm="1">
        <f t="array" ref="G40" xml:space="preserve"> INDEX('十五音-韻母'!$B$5:$O$54, $B40, G$2)</f>
        <v>iannh</v>
      </c>
      <c r="H40" s="220" t="str" cm="1">
        <f t="array" ref="H40" xml:space="preserve"> INDEX('十五音-韻母'!$B$5:$O$54, $B40, H$2)</f>
        <v>ĩã</v>
      </c>
      <c r="I40" s="220" t="str" cm="1">
        <f t="array" ref="I40" xml:space="preserve"> INDEX('十五音-韻母'!$B$5:$O$54, $B40, I$2)</f>
        <v>iãh</v>
      </c>
      <c r="J40" s="220" t="str" cm="1">
        <f t="array" ref="J40" xml:space="preserve"> INDEX('十五音-韻母'!$B$5:$O$54, $B40, J$2)</f>
        <v>iann</v>
      </c>
      <c r="K40" s="220" t="str" cm="1">
        <f t="array" ref="K40" xml:space="preserve"> INDEX('十五音-韻母'!$B$5:$O$54, $B40, K$2)</f>
        <v>iannh</v>
      </c>
      <c r="L40" s="220" t="str" cm="1">
        <f t="array" ref="L40" xml:space="preserve"> INDEX('十五音-韻母'!$B$5:$O$54, $B40, L$2)</f>
        <v>ㄧㆩ</v>
      </c>
      <c r="M40" s="220" t="str" cm="1">
        <f t="array" ref="M40" xml:space="preserve"> INDEX('十五音-韻母'!$B$5:$O$54, $B40, M$2)</f>
        <v>ㄧㆩㆷ</v>
      </c>
      <c r="O40" s="225" t="s">
        <v>572</v>
      </c>
      <c r="P40" s="226" t="s">
        <v>579</v>
      </c>
      <c r="Q40" s="227">
        <f t="shared" si="1"/>
        <v>41</v>
      </c>
      <c r="R40" s="227">
        <f t="shared" si="2"/>
        <v>5</v>
      </c>
      <c r="T40" s="225" t="s">
        <v>516</v>
      </c>
      <c r="U40" s="226" t="s">
        <v>2024</v>
      </c>
      <c r="V40" s="227">
        <f t="shared" si="3"/>
        <v>50</v>
      </c>
      <c r="W40" s="227">
        <f t="shared" si="4"/>
        <v>14</v>
      </c>
      <c r="X40" s="207" t="s">
        <v>2034</v>
      </c>
      <c r="Y40" s="207" t="s">
        <v>2035</v>
      </c>
      <c r="AC40" s="216">
        <f t="shared" si="0"/>
        <v>36</v>
      </c>
      <c r="AD40" s="225" t="str">
        <f t="shared" si="5"/>
        <v>驚</v>
      </c>
      <c r="AE40" s="260" t="str">
        <f t="shared" si="6"/>
        <v>iann</v>
      </c>
      <c r="AF40" s="260">
        <f t="shared" si="7"/>
        <v>44</v>
      </c>
      <c r="AG40" s="260">
        <f t="shared" si="8"/>
        <v>31</v>
      </c>
    </row>
    <row r="41" spans="2:33">
      <c r="B41" s="216">
        <v>37</v>
      </c>
      <c r="C41" s="225" t="s">
        <v>2029</v>
      </c>
      <c r="D41" s="217"/>
      <c r="E41" s="217" t="s">
        <v>462</v>
      </c>
      <c r="F41" s="220" t="str" cm="1">
        <f t="array" ref="F41" xml:space="preserve"> INDEX('十五音-韻母'!$B$5:$O$54, $B41, F$2)</f>
        <v>uann</v>
      </c>
      <c r="G41" s="220" t="str" cm="1">
        <f t="array" ref="G41" xml:space="preserve"> INDEX('十五音-韻母'!$B$5:$O$54, $B41, G$2)</f>
        <v>uannh</v>
      </c>
      <c r="H41" s="220" t="str" cm="1">
        <f t="array" ref="H41" xml:space="preserve"> INDEX('十五音-韻母'!$B$5:$O$54, $B41, H$2)</f>
        <v>ũã</v>
      </c>
      <c r="I41" s="220" t="str" cm="1">
        <f t="array" ref="I41" xml:space="preserve"> INDEX('十五音-韻母'!$B$5:$O$54, $B41, I$2)</f>
        <v>ũã?</v>
      </c>
      <c r="J41" s="220" t="str" cm="1">
        <f t="array" ref="J41" xml:space="preserve"> INDEX('十五音-韻母'!$B$5:$O$54, $B41, J$2)</f>
        <v>uann</v>
      </c>
      <c r="K41" s="220" t="str" cm="1">
        <f t="array" ref="K41" xml:space="preserve"> INDEX('十五音-韻母'!$B$5:$O$54, $B41, K$2)</f>
        <v>uannh</v>
      </c>
      <c r="L41" s="220" t="str" cm="1">
        <f t="array" ref="L41" xml:space="preserve"> INDEX('十五音-韻母'!$B$5:$O$54, $B41, L$2)</f>
        <v>ㄨㆩ</v>
      </c>
      <c r="M41" s="220" t="str" cm="1">
        <f t="array" ref="M41" xml:space="preserve"> INDEX('十五音-韻母'!$B$5:$O$54, $B41, M$2)</f>
        <v>ㄨㆩㆷ</v>
      </c>
      <c r="O41" s="225" t="s">
        <v>597</v>
      </c>
      <c r="P41" s="226" t="s">
        <v>2036</v>
      </c>
      <c r="Q41" s="227" t="str">
        <f t="shared" si="1"/>
        <v/>
      </c>
      <c r="R41" s="227">
        <f t="shared" si="2"/>
        <v>0</v>
      </c>
      <c r="T41" s="225" t="s">
        <v>531</v>
      </c>
      <c r="U41" s="226" t="s">
        <v>2037</v>
      </c>
      <c r="V41" s="227">
        <f t="shared" si="3"/>
        <v>33</v>
      </c>
      <c r="W41" s="227">
        <f t="shared" si="4"/>
        <v>-4</v>
      </c>
      <c r="X41" s="207" t="s">
        <v>2038</v>
      </c>
      <c r="Y41" s="207" t="s">
        <v>2039</v>
      </c>
      <c r="Z41" s="259" t="s">
        <v>2040</v>
      </c>
      <c r="AA41" s="259" t="s">
        <v>2041</v>
      </c>
      <c r="AC41" s="216">
        <f t="shared" si="0"/>
        <v>37</v>
      </c>
      <c r="AD41" s="225" t="str">
        <f t="shared" si="5"/>
        <v>官</v>
      </c>
      <c r="AE41" s="260" t="str">
        <f t="shared" si="6"/>
        <v>uann</v>
      </c>
      <c r="AF41" s="260" t="str">
        <f t="shared" si="7"/>
        <v>無對映</v>
      </c>
      <c r="AG41" s="260" t="str">
        <f t="shared" si="8"/>
        <v>無對映</v>
      </c>
    </row>
    <row r="42" spans="2:33">
      <c r="B42" s="216">
        <v>38</v>
      </c>
      <c r="C42" s="225" t="s">
        <v>488</v>
      </c>
      <c r="D42" s="218"/>
      <c r="E42" s="229" t="s">
        <v>487</v>
      </c>
      <c r="F42" s="220" t="str" cm="1">
        <f t="array" ref="F42" xml:space="preserve"> INDEX('十五音-韻母'!$B$5:$O$54, $B42, F$2)</f>
        <v>ng</v>
      </c>
      <c r="G42" s="220" t="str" cm="1">
        <f t="array" ref="G42" xml:space="preserve"> INDEX('十五音-韻母'!$B$5:$O$54, $B42, G$2)</f>
        <v>ngh</v>
      </c>
      <c r="H42" s="220" t="str" cm="1">
        <f t="array" ref="H42" xml:space="preserve"> INDEX('十五音-韻母'!$B$5:$O$54, $B42, H$2)</f>
        <v>ŋ̍</v>
      </c>
      <c r="I42" s="220" t="str" cm="1">
        <f t="array" ref="I42" xml:space="preserve"> INDEX('十五音-韻母'!$B$5:$O$54, $B42, I$2)</f>
        <v>ŋ̍h</v>
      </c>
      <c r="J42" s="220" t="str" cm="1">
        <f t="array" ref="J42" xml:space="preserve"> INDEX('十五音-韻母'!$B$5:$O$54, $B42, J$2)</f>
        <v>ng</v>
      </c>
      <c r="K42" s="220" t="str" cm="1">
        <f t="array" ref="K42" xml:space="preserve"> INDEX('十五音-韻母'!$B$5:$O$54, $B42, K$2)</f>
        <v>ngh</v>
      </c>
      <c r="L42" s="220" t="str" cm="1">
        <f t="array" ref="L42" xml:space="preserve"> INDEX('十五音-韻母'!$B$5:$O$54, $B42, L$2)</f>
        <v>ㆭ</v>
      </c>
      <c r="M42" s="220" t="str" cm="1">
        <f t="array" ref="M42" xml:space="preserve"> INDEX('十五音-韻母'!$B$5:$O$54, $B42, M$2)</f>
        <v>ㆭㆷ</v>
      </c>
      <c r="O42" s="225" t="s">
        <v>544</v>
      </c>
      <c r="P42" s="226" t="s">
        <v>40</v>
      </c>
      <c r="Q42" s="227">
        <f t="shared" si="1"/>
        <v>42</v>
      </c>
      <c r="R42" s="227">
        <f t="shared" si="2"/>
        <v>4</v>
      </c>
      <c r="T42" s="225" t="s">
        <v>543</v>
      </c>
      <c r="U42" s="226" t="s">
        <v>40</v>
      </c>
      <c r="V42" s="227">
        <f t="shared" si="3"/>
        <v>42</v>
      </c>
      <c r="W42" s="227">
        <f t="shared" si="4"/>
        <v>4</v>
      </c>
      <c r="X42" s="207" t="s">
        <v>2042</v>
      </c>
      <c r="Y42" s="207" t="s">
        <v>2043</v>
      </c>
      <c r="AC42" s="216">
        <f t="shared" si="0"/>
        <v>38</v>
      </c>
      <c r="AD42" s="225" t="str">
        <f t="shared" si="5"/>
        <v>鋼</v>
      </c>
      <c r="AE42" s="260" t="str">
        <f t="shared" si="6"/>
        <v>ng</v>
      </c>
      <c r="AF42" s="260">
        <f t="shared" si="7"/>
        <v>32</v>
      </c>
      <c r="AG42" s="260">
        <f t="shared" si="8"/>
        <v>34</v>
      </c>
    </row>
    <row r="43" spans="2:33">
      <c r="B43" s="216">
        <v>39</v>
      </c>
      <c r="C43" s="229" t="s">
        <v>553</v>
      </c>
      <c r="D43" s="219"/>
      <c r="E43" s="219"/>
      <c r="F43" s="220" t="str" cm="1">
        <f t="array" ref="F43" xml:space="preserve"> INDEX('十五音-韻母'!$B$5:$O$54, $B43, F$2)</f>
        <v>e</v>
      </c>
      <c r="G43" s="220" t="str" cm="1">
        <f t="array" ref="G43" xml:space="preserve"> INDEX('十五音-韻母'!$B$5:$O$54, $B43, G$2)</f>
        <v>eh</v>
      </c>
      <c r="H43" s="220" t="str" cm="1">
        <f t="array" ref="H43" xml:space="preserve"> INDEX('十五音-韻母'!$B$5:$O$54, $B43, H$2)</f>
        <v>e</v>
      </c>
      <c r="I43" s="220" t="str" cm="1">
        <f t="array" ref="I43" xml:space="preserve"> INDEX('十五音-韻母'!$B$5:$O$54, $B43, I$2)</f>
        <v>e?</v>
      </c>
      <c r="J43" s="220" t="str" cm="1">
        <f t="array" ref="J43" xml:space="preserve"> INDEX('十五音-韻母'!$B$5:$O$54, $B43, J$2)</f>
        <v>e</v>
      </c>
      <c r="K43" s="220" t="str" cm="1">
        <f t="array" ref="K43" xml:space="preserve"> INDEX('十五音-韻母'!$B$5:$O$54, $B43, K$2)</f>
        <v>eh</v>
      </c>
      <c r="L43" s="220" t="str" cm="1">
        <f t="array" ref="L43" xml:space="preserve"> INDEX('十五音-韻母'!$B$5:$O$54, $B43, L$2)</f>
        <v>ㆤ</v>
      </c>
      <c r="M43" s="220" t="str" cm="1">
        <f t="array" ref="M43" xml:space="preserve"> INDEX('十五音-韻母'!$B$5:$O$54, $B43, M$2)</f>
        <v>ㆤㆷ</v>
      </c>
      <c r="O43" s="225" t="s">
        <v>623</v>
      </c>
      <c r="P43" s="226" t="s">
        <v>2044</v>
      </c>
      <c r="Q43" s="227" t="str">
        <f t="shared" si="1"/>
        <v/>
      </c>
      <c r="R43" s="227">
        <f t="shared" si="2"/>
        <v>0</v>
      </c>
      <c r="T43" s="225" t="s">
        <v>552</v>
      </c>
      <c r="U43" s="226" t="s">
        <v>1629</v>
      </c>
      <c r="V43" s="227">
        <f t="shared" si="3"/>
        <v>26</v>
      </c>
      <c r="W43" s="227">
        <f t="shared" si="4"/>
        <v>-13</v>
      </c>
      <c r="X43" s="207" t="s">
        <v>2045</v>
      </c>
      <c r="Y43" s="207" t="s">
        <v>2046</v>
      </c>
      <c r="AC43" s="216">
        <f t="shared" si="0"/>
        <v>39</v>
      </c>
      <c r="AD43" s="225" t="str">
        <f t="shared" si="5"/>
        <v>伽</v>
      </c>
      <c r="AE43" s="260" t="str">
        <f t="shared" si="6"/>
        <v>e</v>
      </c>
      <c r="AF43" s="260">
        <f t="shared" si="7"/>
        <v>5</v>
      </c>
      <c r="AG43" s="260">
        <f t="shared" si="8"/>
        <v>5</v>
      </c>
    </row>
    <row r="44" spans="2:33">
      <c r="B44" s="216">
        <v>40</v>
      </c>
      <c r="C44" s="225" t="s">
        <v>705</v>
      </c>
      <c r="D44" s="217"/>
      <c r="E44" s="217" t="s">
        <v>501</v>
      </c>
      <c r="F44" s="220" t="str" cm="1">
        <f t="array" ref="F44" xml:space="preserve"> INDEX('十五音-韻母'!$B$5:$O$54, $B44, F$2)</f>
        <v>ainn</v>
      </c>
      <c r="G44" s="220" t="str" cm="1">
        <f t="array" ref="G44" xml:space="preserve"> INDEX('十五音-韻母'!$B$5:$O$54, $B44, G$2)</f>
        <v>ainnh</v>
      </c>
      <c r="H44" s="220" t="str" cm="1">
        <f t="array" ref="H44" xml:space="preserve"> INDEX('十五音-韻母'!$B$5:$O$54, $B44, H$2)</f>
        <v>ãĩ</v>
      </c>
      <c r="I44" s="220" t="str" cm="1">
        <f t="array" ref="I44" xml:space="preserve"> INDEX('十五音-韻母'!$B$5:$O$54, $B44, I$2)</f>
        <v>ãĩ?</v>
      </c>
      <c r="J44" s="220" t="str" cm="1">
        <f t="array" ref="J44" xml:space="preserve"> INDEX('十五音-韻母'!$B$5:$O$54, $B44, J$2)</f>
        <v>ainn</v>
      </c>
      <c r="K44" s="220" t="str" cm="1">
        <f t="array" ref="K44" xml:space="preserve"> INDEX('十五音-韻母'!$B$5:$O$54, $B44, K$2)</f>
        <v>ainnh</v>
      </c>
      <c r="L44" s="220" t="str" cm="1">
        <f t="array" ref="L44" xml:space="preserve"> INDEX('十五音-韻母'!$B$5:$O$54, $B44, L$2)</f>
        <v>ㆮ</v>
      </c>
      <c r="M44" s="220" t="str" cm="1">
        <f t="array" ref="M44" xml:space="preserve"> INDEX('十五音-韻母'!$B$5:$O$54, $B44, M$2)</f>
        <v>ㆮㆷ</v>
      </c>
      <c r="O44" s="225" t="s">
        <v>705</v>
      </c>
      <c r="P44" s="226" t="s">
        <v>559</v>
      </c>
      <c r="Q44" s="227">
        <f t="shared" si="1"/>
        <v>40</v>
      </c>
      <c r="R44" s="227">
        <f t="shared" si="2"/>
        <v>0</v>
      </c>
      <c r="T44" s="225" t="s">
        <v>557</v>
      </c>
      <c r="U44" s="226" t="s">
        <v>2044</v>
      </c>
      <c r="V44" s="227" t="e">
        <f t="shared" si="3"/>
        <v>#N/A</v>
      </c>
      <c r="W44" s="227" t="e">
        <f t="shared" si="4"/>
        <v>#N/A</v>
      </c>
      <c r="X44" s="207" t="s">
        <v>2047</v>
      </c>
      <c r="AC44" s="216">
        <f t="shared" si="0"/>
        <v>40</v>
      </c>
      <c r="AD44" s="225" t="str">
        <f t="shared" si="5"/>
        <v>閒</v>
      </c>
      <c r="AE44" s="260" t="str">
        <f t="shared" si="6"/>
        <v>ainn</v>
      </c>
      <c r="AF44" s="260">
        <f t="shared" si="7"/>
        <v>40</v>
      </c>
      <c r="AG44" s="260">
        <f t="shared" si="8"/>
        <v>35</v>
      </c>
    </row>
    <row r="45" spans="2:33">
      <c r="B45" s="216">
        <v>41</v>
      </c>
      <c r="C45" s="229" t="s">
        <v>572</v>
      </c>
      <c r="D45" s="219"/>
      <c r="E45" s="219"/>
      <c r="F45" s="220" t="str" cm="1">
        <f t="array" ref="F45" xml:space="preserve"> INDEX('十五音-韻母'!$B$5:$O$54, $B45, F$2)</f>
        <v>onn</v>
      </c>
      <c r="G45" s="220" t="str" cm="1">
        <f t="array" ref="G45" xml:space="preserve"> INDEX('十五音-韻母'!$B$5:$O$54, $B45, G$2)</f>
        <v>onnh</v>
      </c>
      <c r="H45" s="220" t="str" cm="1">
        <f t="array" ref="H45" xml:space="preserve"> INDEX('十五音-韻母'!$B$5:$O$54, $B45, H$2)</f>
        <v>ɔ̃</v>
      </c>
      <c r="I45" s="220" t="str" cm="1">
        <f t="array" ref="I45" xml:space="preserve"> INDEX('十五音-韻母'!$B$5:$O$54, $B45, I$2)</f>
        <v>ɔ̃?</v>
      </c>
      <c r="J45" s="220" t="str" cm="1">
        <f t="array" ref="J45" xml:space="preserve"> INDEX('十五音-韻母'!$B$5:$O$54, $B45, J$2)</f>
        <v>onn</v>
      </c>
      <c r="K45" s="220" t="str" cm="1">
        <f t="array" ref="K45" xml:space="preserve"> INDEX('十五音-韻母'!$B$5:$O$54, $B45, K$2)</f>
        <v>onnh</v>
      </c>
      <c r="L45" s="220" t="str" cm="1">
        <f t="array" ref="L45" xml:space="preserve"> INDEX('十五音-韻母'!$B$5:$O$54, $B45, L$2)</f>
        <v>ㆧ</v>
      </c>
      <c r="M45" s="220" t="str" cm="1">
        <f t="array" ref="M45" xml:space="preserve"> INDEX('十五音-韻母'!$B$5:$O$54, $B45, M$2)</f>
        <v>ㆧㆷ</v>
      </c>
      <c r="O45" s="225" t="s">
        <v>636</v>
      </c>
      <c r="P45" s="226" t="s">
        <v>2048</v>
      </c>
      <c r="Q45" s="227">
        <f t="shared" si="1"/>
        <v>46</v>
      </c>
      <c r="R45" s="227">
        <f t="shared" si="2"/>
        <v>5</v>
      </c>
      <c r="T45" s="225" t="s">
        <v>571</v>
      </c>
      <c r="U45" s="226" t="s">
        <v>1635</v>
      </c>
      <c r="V45" s="227">
        <f t="shared" si="3"/>
        <v>31</v>
      </c>
      <c r="W45" s="227">
        <f t="shared" si="4"/>
        <v>-10</v>
      </c>
      <c r="X45" s="207" t="s">
        <v>2049</v>
      </c>
      <c r="Y45" s="207" t="s">
        <v>2050</v>
      </c>
      <c r="AC45" s="216">
        <f t="shared" si="0"/>
        <v>41</v>
      </c>
      <c r="AD45" s="225" t="str">
        <f t="shared" si="5"/>
        <v>姑</v>
      </c>
      <c r="AE45" s="260" t="str">
        <f t="shared" si="6"/>
        <v>onn</v>
      </c>
      <c r="AF45" s="260">
        <f t="shared" si="7"/>
        <v>36</v>
      </c>
      <c r="AG45" s="260">
        <f t="shared" si="8"/>
        <v>42</v>
      </c>
    </row>
    <row r="46" spans="2:33">
      <c r="B46" s="216">
        <v>42</v>
      </c>
      <c r="C46" s="225" t="s">
        <v>544</v>
      </c>
      <c r="D46" s="218"/>
      <c r="E46" s="218"/>
      <c r="F46" s="220" t="str" cm="1">
        <f t="array" ref="F46" xml:space="preserve"> INDEX('十五音-韻母'!$B$5:$O$54, $B46, F$2)</f>
        <v>m</v>
      </c>
      <c r="G46" s="220" t="str" cm="1">
        <f t="array" ref="G46" xml:space="preserve"> INDEX('十五音-韻母'!$B$5:$O$54, $B46, G$2)</f>
        <v>mh</v>
      </c>
      <c r="H46" s="220" t="str" cm="1">
        <f t="array" ref="H46" xml:space="preserve"> INDEX('十五音-韻母'!$B$5:$O$54, $B46, H$2)</f>
        <v>m̩</v>
      </c>
      <c r="I46" s="220" t="str" cm="1">
        <f t="array" ref="I46" xml:space="preserve"> INDEX('十五音-韻母'!$B$5:$O$54, $B46, I$2)</f>
        <v>m̩h</v>
      </c>
      <c r="J46" s="220" t="str" cm="1">
        <f t="array" ref="J46" xml:space="preserve"> INDEX('十五音-韻母'!$B$5:$O$54, $B46, J$2)</f>
        <v>m</v>
      </c>
      <c r="K46" s="220" t="str" cm="1">
        <f t="array" ref="K46" xml:space="preserve"> INDEX('十五音-韻母'!$B$5:$O$54, $B46, K$2)</f>
        <v>mh</v>
      </c>
      <c r="L46" s="220" t="str" cm="1">
        <f t="array" ref="L46" xml:space="preserve"> INDEX('十五音-韻母'!$B$5:$O$54, $B46, L$2)</f>
        <v>ㆬ</v>
      </c>
      <c r="M46" s="220" t="str" cm="1">
        <f t="array" ref="M46" xml:space="preserve"> INDEX('十五音-韻母'!$B$5:$O$54, $B46, M$2)</f>
        <v>ㆬㆷ</v>
      </c>
      <c r="O46" s="225" t="s">
        <v>721</v>
      </c>
      <c r="P46" s="226" t="s">
        <v>2051</v>
      </c>
      <c r="Q46" s="227">
        <f t="shared" si="1"/>
        <v>47</v>
      </c>
      <c r="R46" s="227">
        <f t="shared" si="2"/>
        <v>5</v>
      </c>
      <c r="T46" s="225" t="s">
        <v>587</v>
      </c>
      <c r="U46" s="226" t="s">
        <v>579</v>
      </c>
      <c r="V46" s="227">
        <f t="shared" si="3"/>
        <v>41</v>
      </c>
      <c r="W46" s="227">
        <f t="shared" si="4"/>
        <v>-1</v>
      </c>
      <c r="X46" s="207" t="s">
        <v>2052</v>
      </c>
      <c r="Y46" s="207" t="s">
        <v>2053</v>
      </c>
      <c r="AC46" s="216">
        <f t="shared" si="0"/>
        <v>42</v>
      </c>
      <c r="AD46" s="225" t="str">
        <f t="shared" si="5"/>
        <v>姆</v>
      </c>
      <c r="AE46" s="260" t="str">
        <f t="shared" si="6"/>
        <v>m</v>
      </c>
      <c r="AF46" s="260">
        <f t="shared" si="7"/>
        <v>38</v>
      </c>
      <c r="AG46" s="260">
        <f t="shared" si="8"/>
        <v>38</v>
      </c>
    </row>
    <row r="47" spans="2:33">
      <c r="B47" s="216">
        <v>43</v>
      </c>
      <c r="C47" s="217" t="s">
        <v>597</v>
      </c>
      <c r="D47" s="229"/>
      <c r="E47" s="217"/>
      <c r="F47" s="220" t="str" cm="1">
        <f t="array" ref="F47" xml:space="preserve"> INDEX('十五音-韻母'!$B$5:$O$54, $B47, F$2)</f>
        <v>uang</v>
      </c>
      <c r="G47" s="220" t="str" cm="1">
        <f t="array" ref="G47" xml:space="preserve"> INDEX('十五音-韻母'!$B$5:$O$54, $B47, G$2)</f>
        <v>uak</v>
      </c>
      <c r="H47" s="220" t="str" cm="1">
        <f t="array" ref="H47" xml:space="preserve"> INDEX('十五音-韻母'!$B$5:$O$54, $B47, H$2)</f>
        <v>uaŋ</v>
      </c>
      <c r="I47" s="220" t="str" cm="1">
        <f t="array" ref="I47" xml:space="preserve"> INDEX('十五音-韻母'!$B$5:$O$54, $B47, I$2)</f>
        <v>uak̚</v>
      </c>
      <c r="J47" s="220" t="str" cm="1">
        <f t="array" ref="J47" xml:space="preserve"> INDEX('十五音-韻母'!$B$5:$O$54, $B47, J$2)</f>
        <v>uang</v>
      </c>
      <c r="K47" s="220" t="str" cm="1">
        <f t="array" ref="K47" xml:space="preserve"> INDEX('十五音-韻母'!$B$5:$O$54, $B47, K$2)</f>
        <v>uak</v>
      </c>
      <c r="L47" s="220" t="str" cm="1">
        <f t="array" ref="L47" xml:space="preserve"> INDEX('十五音-韻母'!$B$5:$O$54, $B47, L$2)</f>
        <v>ㄨㄤ</v>
      </c>
      <c r="M47" s="220" t="str" cm="1">
        <f t="array" ref="M47" xml:space="preserve"> INDEX('十五音-韻母'!$B$5:$O$54, $B47, M$2)</f>
        <v>ㄨㄚㆻ</v>
      </c>
      <c r="O47" s="225" t="s">
        <v>656</v>
      </c>
      <c r="P47" s="226" t="s">
        <v>2054</v>
      </c>
      <c r="Q47" s="227">
        <f t="shared" si="1"/>
        <v>48</v>
      </c>
      <c r="R47" s="227">
        <f t="shared" si="2"/>
        <v>5</v>
      </c>
      <c r="T47" s="225" t="s">
        <v>595</v>
      </c>
      <c r="U47" s="226" t="s">
        <v>2054</v>
      </c>
      <c r="V47" s="227">
        <f t="shared" si="3"/>
        <v>48</v>
      </c>
      <c r="W47" s="227">
        <f t="shared" si="4"/>
        <v>5</v>
      </c>
      <c r="X47" s="207" t="s">
        <v>2055</v>
      </c>
      <c r="Y47" s="207" t="s">
        <v>2056</v>
      </c>
      <c r="AC47" s="216">
        <f t="shared" si="0"/>
        <v>43</v>
      </c>
      <c r="AD47" s="225" t="str">
        <f t="shared" si="5"/>
        <v>光</v>
      </c>
      <c r="AE47" s="260" t="str">
        <f t="shared" si="6"/>
        <v>uang</v>
      </c>
      <c r="AF47" s="260" t="str">
        <f t="shared" si="7"/>
        <v>無對映</v>
      </c>
      <c r="AG47" s="260" t="str">
        <f t="shared" si="8"/>
        <v>無對映</v>
      </c>
    </row>
    <row r="48" spans="2:33">
      <c r="B48" s="216">
        <v>44</v>
      </c>
      <c r="C48" s="218" t="s">
        <v>558</v>
      </c>
      <c r="D48" s="218"/>
      <c r="E48" s="218"/>
      <c r="F48" s="220" t="str" cm="1">
        <f t="array" ref="F48" xml:space="preserve"> INDEX('十五音-韻母'!$B$5:$O$54, $B48, F$2)</f>
        <v>uainn</v>
      </c>
      <c r="G48" s="220" t="str" cm="1">
        <f t="array" ref="G48" xml:space="preserve"> INDEX('十五音-韻母'!$B$5:$O$54, $B48, G$2)</f>
        <v>uainnh</v>
      </c>
      <c r="H48" s="220" t="str" cm="1">
        <f t="array" ref="H48" xml:space="preserve"> INDEX('十五音-韻母'!$B$5:$O$54, $B48, H$2)</f>
        <v>ũãĩ</v>
      </c>
      <c r="I48" s="220" t="str" cm="1">
        <f t="array" ref="I48" xml:space="preserve"> INDEX('十五音-韻母'!$B$5:$O$54, $B48, I$2)</f>
        <v>uãĩ?</v>
      </c>
      <c r="J48" s="220" t="str" cm="1">
        <f t="array" ref="J48" xml:space="preserve"> INDEX('十五音-韻母'!$B$5:$O$54, $B48, J$2)</f>
        <v>uainn</v>
      </c>
      <c r="K48" s="220" t="str" cm="1">
        <f t="array" ref="K48" xml:space="preserve"> INDEX('十五音-韻母'!$B$5:$O$54, $B48, K$2)</f>
        <v>uainnh</v>
      </c>
      <c r="L48" s="220" t="str" cm="1">
        <f t="array" ref="L48" xml:space="preserve"> INDEX('十五音-韻母'!$B$5:$O$54, $B48, L$2)</f>
        <v>ㄨㆮ</v>
      </c>
      <c r="M48" s="220" t="str" cm="1">
        <f t="array" ref="M48" xml:space="preserve"> INDEX('十五音-韻母'!$B$5:$O$54, $B48, M$2)</f>
        <v>ㄨㆮㆷ</v>
      </c>
      <c r="O48" s="225" t="s">
        <v>518</v>
      </c>
      <c r="P48" s="226" t="s">
        <v>2015</v>
      </c>
      <c r="Q48" s="227">
        <f t="shared" si="1"/>
        <v>36</v>
      </c>
      <c r="R48" s="227">
        <f t="shared" si="2"/>
        <v>-8</v>
      </c>
      <c r="T48" s="225" t="s">
        <v>608</v>
      </c>
      <c r="U48" s="226" t="s">
        <v>2048</v>
      </c>
      <c r="V48" s="227">
        <f t="shared" si="3"/>
        <v>46</v>
      </c>
      <c r="W48" s="227">
        <f t="shared" si="4"/>
        <v>2</v>
      </c>
      <c r="X48" s="207" t="s">
        <v>2057</v>
      </c>
      <c r="AC48" s="216">
        <f t="shared" si="0"/>
        <v>44</v>
      </c>
      <c r="AD48" s="225" t="str">
        <f t="shared" si="5"/>
        <v>閂</v>
      </c>
      <c r="AE48" s="260" t="str">
        <f t="shared" si="6"/>
        <v>uainn</v>
      </c>
      <c r="AF48" s="260" t="str">
        <f t="shared" si="7"/>
        <v>無對映</v>
      </c>
      <c r="AG48" s="260" t="str">
        <f t="shared" si="8"/>
        <v>無對映</v>
      </c>
    </row>
    <row r="49" spans="2:33">
      <c r="B49" s="216">
        <v>45</v>
      </c>
      <c r="C49" s="268" t="s">
        <v>623</v>
      </c>
      <c r="D49" s="218"/>
      <c r="E49" s="218"/>
      <c r="F49" s="267" t="str" cm="1">
        <f t="array" ref="F49" xml:space="preserve"> INDEX('十五音-韻母'!$B$5:$O$54, $B49, F$2)</f>
        <v>uenn</v>
      </c>
      <c r="G49" s="220" t="str" cm="1">
        <f t="array" ref="G49" xml:space="preserve"> INDEX('十五音-韻母'!$B$5:$O$54, $B49, G$2)</f>
        <v>uennh</v>
      </c>
      <c r="H49" s="220" t="str" cm="1">
        <f t="array" ref="H49" xml:space="preserve"> INDEX('十五音-韻母'!$B$5:$O$54, $B49, H$2)</f>
        <v>ũẽ</v>
      </c>
      <c r="I49" s="220" t="str" cm="1">
        <f t="array" ref="I49" xml:space="preserve"> INDEX('十五音-韻母'!$B$5:$O$54, $B49, I$2)</f>
        <v>ũẽ?</v>
      </c>
      <c r="J49" s="220" t="str" cm="1">
        <f t="array" ref="J49" xml:space="preserve"> INDEX('十五音-韻母'!$B$5:$O$54, $B49, J$2)</f>
        <v>uenn</v>
      </c>
      <c r="K49" s="220" t="str" cm="1">
        <f t="array" ref="K49" xml:space="preserve"> INDEX('十五音-韻母'!$B$5:$O$54, $B49, K$2)</f>
        <v>uennh</v>
      </c>
      <c r="L49" s="220" t="str" cm="1">
        <f t="array" ref="L49" xml:space="preserve"> INDEX('十五音-韻母'!$B$5:$O$54, $B49, L$2)</f>
        <v>ㄨㆥ</v>
      </c>
      <c r="M49" s="220" t="str" cm="1">
        <f t="array" ref="M49" xml:space="preserve"> INDEX('十五音-韻母'!$B$5:$O$54, $B49, M$2)</f>
        <v>ㄨㆥㆷ</v>
      </c>
      <c r="O49" s="225" t="s">
        <v>2058</v>
      </c>
      <c r="P49" s="226" t="s">
        <v>2059</v>
      </c>
      <c r="Q49" s="227">
        <f t="shared" si="1"/>
        <v>32</v>
      </c>
      <c r="R49" s="227">
        <f t="shared" si="2"/>
        <v>-13</v>
      </c>
      <c r="T49" s="225"/>
      <c r="U49" s="226"/>
      <c r="V49" s="227" t="e">
        <f t="shared" si="3"/>
        <v>#N/A</v>
      </c>
      <c r="W49" s="227" t="e">
        <f t="shared" si="4"/>
        <v>#N/A</v>
      </c>
      <c r="AC49" s="216">
        <f t="shared" si="0"/>
        <v>45</v>
      </c>
      <c r="AD49" s="225" t="str">
        <f t="shared" si="5"/>
        <v>糜</v>
      </c>
      <c r="AE49" s="260" t="str">
        <f t="shared" si="6"/>
        <v>uenn</v>
      </c>
      <c r="AF49" s="260" t="str">
        <f t="shared" si="7"/>
        <v>無對映</v>
      </c>
      <c r="AG49" s="260" t="str">
        <f t="shared" si="8"/>
        <v>無對映</v>
      </c>
    </row>
    <row r="50" spans="2:33">
      <c r="B50" s="216">
        <v>46</v>
      </c>
      <c r="C50" s="217" t="s">
        <v>636</v>
      </c>
      <c r="D50" s="229"/>
      <c r="E50" s="229" t="s">
        <v>608</v>
      </c>
      <c r="F50" s="220" t="str" cm="1">
        <f t="array" ref="F50" xml:space="preserve"> INDEX('十五音-韻母'!$B$5:$O$54, $B50, F$2)</f>
        <v>iaunn</v>
      </c>
      <c r="G50" s="220" t="str" cm="1">
        <f t="array" ref="G50" xml:space="preserve"> INDEX('十五音-韻母'!$B$5:$O$54, $B50, G$2)</f>
        <v>iaunnh</v>
      </c>
      <c r="H50" s="220" t="str" cm="1">
        <f t="array" ref="H50" xml:space="preserve"> INDEX('十五音-韻母'!$B$5:$O$54, $B50, H$2)</f>
        <v>ĩãũ</v>
      </c>
      <c r="I50" s="220" t="str" cm="1">
        <f t="array" ref="I50" xml:space="preserve"> INDEX('十五音-韻母'!$B$5:$O$54, $B50, I$2)</f>
        <v>ĩãũ?</v>
      </c>
      <c r="J50" s="220" t="str" cm="1">
        <f t="array" ref="J50" xml:space="preserve"> INDEX('十五音-韻母'!$B$5:$O$54, $B50, J$2)</f>
        <v>iaunn</v>
      </c>
      <c r="K50" s="220" t="str" cm="1">
        <f t="array" ref="K50" xml:space="preserve"> INDEX('十五音-韻母'!$B$5:$O$54, $B50, K$2)</f>
        <v>iaunnh</v>
      </c>
      <c r="L50" s="220" t="str" cm="1">
        <f t="array" ref="L50" xml:space="preserve"> INDEX('十五音-韻母'!$B$5:$O$54, $B50, L$2)</f>
        <v>ㄧㆯ</v>
      </c>
      <c r="M50" s="220" t="str" cm="1">
        <f t="array" ref="M50" xml:space="preserve"> INDEX('十五音-韻母'!$B$5:$O$54, $B50, M$2)</f>
        <v>ㄧㆯㆷ</v>
      </c>
      <c r="O50" s="228"/>
      <c r="P50" s="226"/>
      <c r="Q50" s="227" t="str">
        <f t="shared" si="1"/>
        <v/>
      </c>
      <c r="R50" s="227">
        <f t="shared" si="2"/>
        <v>0</v>
      </c>
      <c r="T50" s="228"/>
      <c r="U50" s="226"/>
      <c r="V50" s="227" t="e">
        <f t="shared" si="3"/>
        <v>#N/A</v>
      </c>
      <c r="W50" s="227" t="e">
        <f t="shared" si="4"/>
        <v>#N/A</v>
      </c>
      <c r="AC50" s="216">
        <f t="shared" si="0"/>
        <v>46</v>
      </c>
      <c r="AD50" s="225" t="str">
        <f t="shared" si="5"/>
        <v>嘄</v>
      </c>
      <c r="AE50" s="260" t="str">
        <f t="shared" si="6"/>
        <v>iaunn</v>
      </c>
      <c r="AF50" s="260">
        <f t="shared" si="7"/>
        <v>41</v>
      </c>
      <c r="AG50" s="260">
        <f t="shared" si="8"/>
        <v>44</v>
      </c>
    </row>
    <row r="51" spans="2:33">
      <c r="B51" s="216">
        <v>47</v>
      </c>
      <c r="C51" s="217" t="s">
        <v>721</v>
      </c>
      <c r="D51" s="217"/>
      <c r="E51" s="217"/>
      <c r="F51" s="220" t="str" cm="1">
        <f t="array" ref="F51" xml:space="preserve"> INDEX('十五音-韻母'!$B$5:$O$54, $B51, F$2)</f>
        <v>om</v>
      </c>
      <c r="G51" s="220" t="str" cm="1">
        <f t="array" ref="G51" xml:space="preserve"> INDEX('十五音-韻母'!$B$5:$O$54, $B51, G$2)</f>
        <v>op</v>
      </c>
      <c r="H51" s="220" t="str" cm="1">
        <f t="array" ref="H51" xml:space="preserve"> INDEX('十五音-韻母'!$B$5:$O$54, $B51, H$2)</f>
        <v>ɔm</v>
      </c>
      <c r="I51" s="220" t="str" cm="1">
        <f t="array" ref="I51" xml:space="preserve"> INDEX('十五音-韻母'!$B$5:$O$54, $B51, I$2)</f>
        <v>ɔp̚</v>
      </c>
      <c r="J51" s="220" t="str" cm="1">
        <f t="array" ref="J51" xml:space="preserve"> INDEX('十五音-韻母'!$B$5:$O$54, $B51, J$2)</f>
        <v>om</v>
      </c>
      <c r="K51" s="220" t="str" cm="1">
        <f t="array" ref="K51" xml:space="preserve"> INDEX('十五音-韻母'!$B$5:$O$54, $B51, K$2)</f>
        <v>op</v>
      </c>
      <c r="L51" s="220" t="str" cm="1">
        <f t="array" ref="L51" xml:space="preserve"> INDEX('十五音-韻母'!$B$5:$O$54, $B51, L$2)</f>
        <v>ㆱ</v>
      </c>
      <c r="M51" s="220" t="str" cm="1">
        <f t="array" ref="M51" xml:space="preserve"> INDEX('十五音-韻母'!$B$5:$O$54, $B51, M$2)</f>
        <v>ㆦㆴ</v>
      </c>
      <c r="O51" s="228"/>
      <c r="P51" s="226"/>
      <c r="Q51" s="227" t="str">
        <f t="shared" si="1"/>
        <v/>
      </c>
      <c r="R51" s="227">
        <f t="shared" si="2"/>
        <v>0</v>
      </c>
      <c r="T51" s="228"/>
      <c r="U51" s="226"/>
      <c r="V51" s="227" t="e">
        <f t="shared" si="3"/>
        <v>#N/A</v>
      </c>
      <c r="W51" s="227" t="e">
        <f t="shared" si="4"/>
        <v>#N/A</v>
      </c>
      <c r="AC51" s="216">
        <f t="shared" si="0"/>
        <v>47</v>
      </c>
      <c r="AD51" s="225" t="str">
        <f t="shared" si="5"/>
        <v>箴</v>
      </c>
      <c r="AE51" s="260" t="str">
        <f t="shared" si="6"/>
        <v>om</v>
      </c>
      <c r="AF51" s="260">
        <f t="shared" si="7"/>
        <v>42</v>
      </c>
      <c r="AG51" s="260">
        <f t="shared" si="8"/>
        <v>28</v>
      </c>
    </row>
    <row r="52" spans="2:33">
      <c r="B52" s="216">
        <v>48</v>
      </c>
      <c r="C52" s="217" t="s">
        <v>656</v>
      </c>
      <c r="D52" s="229"/>
      <c r="E52" s="229" t="s">
        <v>595</v>
      </c>
      <c r="F52" s="220" t="str" cm="1">
        <f t="array" ref="F52" xml:space="preserve"> INDEX('十五音-韻母'!$B$5:$O$54, $B52, F$2)</f>
        <v>aunn</v>
      </c>
      <c r="G52" s="220" t="str" cm="1">
        <f t="array" ref="G52" xml:space="preserve"> INDEX('十五音-韻母'!$B$5:$O$54, $B52, G$2)</f>
        <v>aunnh</v>
      </c>
      <c r="H52" s="220" t="str" cm="1">
        <f t="array" ref="H52" xml:space="preserve"> INDEX('十五音-韻母'!$B$5:$O$54, $B52, H$2)</f>
        <v>ãũ</v>
      </c>
      <c r="I52" s="220" t="str" cm="1">
        <f t="array" ref="I52" xml:space="preserve"> INDEX('十五音-韻母'!$B$5:$O$54, $B52, I$2)</f>
        <v>ãũ?</v>
      </c>
      <c r="J52" s="220" t="str" cm="1">
        <f t="array" ref="J52" xml:space="preserve"> INDEX('十五音-韻母'!$B$5:$O$54, $B52, J$2)</f>
        <v>aunn</v>
      </c>
      <c r="K52" s="220" t="str" cm="1">
        <f t="array" ref="K52" xml:space="preserve"> INDEX('十五音-韻母'!$B$5:$O$54, $B52, K$2)</f>
        <v>aunnh</v>
      </c>
      <c r="L52" s="220" t="str" cm="1">
        <f t="array" ref="L52" xml:space="preserve"> INDEX('十五音-韻母'!$B$5:$O$54, $B52, L$2)</f>
        <v>ㆯ</v>
      </c>
      <c r="M52" s="220" t="str" cm="1">
        <f t="array" ref="M52" xml:space="preserve"> INDEX('十五音-韻母'!$B$5:$O$54, $B52, M$2)</f>
        <v>ㆯㆷ</v>
      </c>
      <c r="O52" s="228"/>
      <c r="P52" s="226"/>
      <c r="Q52" s="227" t="str">
        <f t="shared" si="1"/>
        <v/>
      </c>
      <c r="R52" s="227">
        <f t="shared" si="2"/>
        <v>0</v>
      </c>
      <c r="T52" s="228"/>
      <c r="U52" s="226"/>
      <c r="V52" s="227" t="e">
        <f t="shared" si="3"/>
        <v>#N/A</v>
      </c>
      <c r="W52" s="227" t="e">
        <f t="shared" si="4"/>
        <v>#N/A</v>
      </c>
      <c r="AC52" s="216">
        <f t="shared" si="0"/>
        <v>48</v>
      </c>
      <c r="AD52" s="225" t="str">
        <f t="shared" si="5"/>
        <v>爻</v>
      </c>
      <c r="AE52" s="260" t="str">
        <f t="shared" si="6"/>
        <v>aunn</v>
      </c>
      <c r="AF52" s="260">
        <f t="shared" si="7"/>
        <v>43</v>
      </c>
      <c r="AG52" s="260">
        <f t="shared" si="8"/>
        <v>43</v>
      </c>
    </row>
    <row r="53" spans="2:33">
      <c r="B53" s="216">
        <v>49</v>
      </c>
      <c r="C53" s="225" t="s">
        <v>668</v>
      </c>
      <c r="D53" s="219" t="s">
        <v>250</v>
      </c>
      <c r="E53" s="219" t="s">
        <v>587</v>
      </c>
      <c r="F53" s="220" t="str" cm="1">
        <f t="array" ref="F53" xml:space="preserve"> INDEX('十五音-韻母'!$B$5:$O$54, $B53, F$2)</f>
        <v>oonn</v>
      </c>
      <c r="G53" s="220" t="str" cm="1">
        <f t="array" ref="G53" xml:space="preserve"> INDEX('十五音-韻母'!$B$5:$O$54, $B53, G$2)</f>
        <v>oonnh</v>
      </c>
      <c r="H53" s="220" t="str" cm="1">
        <f t="array" ref="H53" xml:space="preserve"> INDEX('十五音-韻母'!$B$5:$O$54, $B53, H$2)</f>
        <v>õ</v>
      </c>
      <c r="I53" s="220" t="str" cm="1">
        <f t="array" ref="I53" xml:space="preserve"> INDEX('十五音-韻母'!$B$5:$O$54, $B53, I$2)</f>
        <v>õh</v>
      </c>
      <c r="J53" s="220" t="str" cm="1">
        <f t="array" ref="J53" xml:space="preserve"> INDEX('十五音-韻母'!$B$5:$O$54, $B53, J$2)</f>
        <v>onn</v>
      </c>
      <c r="K53" s="220" t="str" cm="1">
        <f t="array" ref="K53" xml:space="preserve"> INDEX('十五音-韻母'!$B$5:$O$54, $B53, K$2)</f>
        <v>onnh</v>
      </c>
      <c r="L53" s="220" t="str" cm="1">
        <f t="array" ref="L53" xml:space="preserve"> INDEX('十五音-韻母'!$B$5:$O$54, $B53, L$2)</f>
        <v>ㆧ</v>
      </c>
      <c r="M53" s="220" t="str" cm="1">
        <f t="array" ref="M53" xml:space="preserve"> INDEX('十五音-韻母'!$B$5:$O$54, $B53, M$2)</f>
        <v>ㆧㆷ</v>
      </c>
      <c r="O53" s="228"/>
      <c r="P53" s="226"/>
      <c r="Q53" s="227" t="str">
        <f t="shared" si="1"/>
        <v/>
      </c>
      <c r="R53" s="227">
        <f t="shared" si="2"/>
        <v>0</v>
      </c>
      <c r="T53" s="228"/>
      <c r="U53" s="226"/>
      <c r="V53" s="227" t="e">
        <f t="shared" si="3"/>
        <v>#N/A</v>
      </c>
      <c r="W53" s="227" t="e">
        <f t="shared" si="4"/>
        <v>#N/A</v>
      </c>
      <c r="AC53" s="216">
        <f t="shared" si="0"/>
        <v>49</v>
      </c>
      <c r="AD53" s="225" t="str">
        <f t="shared" si="5"/>
        <v>扛</v>
      </c>
      <c r="AE53" s="260" t="str">
        <f t="shared" si="6"/>
        <v>oonn</v>
      </c>
      <c r="AF53" s="260" t="str">
        <f t="shared" si="7"/>
        <v>無對映</v>
      </c>
      <c r="AG53" s="260" t="str">
        <f t="shared" si="8"/>
        <v>無對映</v>
      </c>
    </row>
    <row r="54" spans="2:33">
      <c r="B54" s="216">
        <v>50</v>
      </c>
      <c r="C54" s="268" t="s">
        <v>676</v>
      </c>
      <c r="D54" s="225" t="s">
        <v>503</v>
      </c>
      <c r="E54" s="225" t="s">
        <v>516</v>
      </c>
      <c r="F54" s="220" t="str" cm="1">
        <f t="array" ref="F54" xml:space="preserve"> INDEX('十五音-韻母'!$B$5:$O$54, $B54, F$2)</f>
        <v>iunn</v>
      </c>
      <c r="G54" s="220" t="str" cm="1">
        <f t="array" ref="G54" xml:space="preserve"> INDEX('十五音-韻母'!$B$5:$O$54, $B54, G$2)</f>
        <v>iunnh</v>
      </c>
      <c r="H54" s="220" t="str" cm="1">
        <f t="array" ref="H54" xml:space="preserve"> INDEX('十五音-韻母'!$B$5:$O$54, $B54, H$2)</f>
        <v>ĩũ</v>
      </c>
      <c r="I54" s="220" t="str" cm="1">
        <f t="array" ref="I54" xml:space="preserve"> INDEX('十五音-韻母'!$B$5:$O$54, $B54, I$2)</f>
        <v>iũh</v>
      </c>
      <c r="J54" s="220" t="str" cm="1">
        <f t="array" ref="J54" xml:space="preserve"> INDEX('十五音-韻母'!$B$5:$O$54, $B54, J$2)</f>
        <v>iunn</v>
      </c>
      <c r="K54" s="220" t="str" cm="1">
        <f t="array" ref="K54" xml:space="preserve"> INDEX('十五音-韻母'!$B$5:$O$54, $B54, K$2)</f>
        <v>iunnh</v>
      </c>
      <c r="L54" s="220" t="str" cm="1">
        <f t="array" ref="L54" xml:space="preserve"> INDEX('十五音-韻母'!$B$5:$O$54, $B54, L$2)</f>
        <v>ㄧㆫ</v>
      </c>
      <c r="M54" s="220" t="str" cm="1">
        <f t="array" ref="M54" xml:space="preserve"> INDEX('十五音-韻母'!$B$5:$O$54, $B54, M$2)</f>
        <v>ㄧㆫㆷ</v>
      </c>
      <c r="O54" s="228"/>
      <c r="P54" s="226"/>
      <c r="Q54" s="227" t="str">
        <f t="shared" si="1"/>
        <v/>
      </c>
      <c r="R54" s="227">
        <f t="shared" si="2"/>
        <v>0</v>
      </c>
      <c r="T54" s="228"/>
      <c r="U54" s="226"/>
      <c r="V54" s="227" t="e">
        <f t="shared" si="3"/>
        <v>#N/A</v>
      </c>
      <c r="W54" s="227" t="e">
        <f t="shared" si="4"/>
        <v>#N/A</v>
      </c>
      <c r="AC54" s="216">
        <f t="shared" si="0"/>
        <v>50</v>
      </c>
      <c r="AD54" s="225" t="str">
        <f t="shared" si="5"/>
        <v>牛</v>
      </c>
      <c r="AE54" s="260" t="str">
        <f t="shared" si="6"/>
        <v>iunn</v>
      </c>
      <c r="AF54" s="260">
        <f t="shared" si="7"/>
        <v>34</v>
      </c>
      <c r="AG54" s="260">
        <f t="shared" si="8"/>
        <v>36</v>
      </c>
    </row>
    <row r="55" spans="2:33">
      <c r="B55" s="66"/>
      <c r="C55" s="58"/>
      <c r="D55" s="58"/>
      <c r="E55" s="58"/>
      <c r="F55" s="58"/>
      <c r="G55" s="58"/>
      <c r="H55" s="59"/>
      <c r="I55" s="59"/>
      <c r="J55" s="60"/>
      <c r="K55" s="60"/>
      <c r="L55" s="60"/>
      <c r="M55" s="60"/>
      <c r="O55" s="58"/>
      <c r="T55" s="56"/>
      <c r="U55" s="56"/>
      <c r="V55" s="56"/>
      <c r="W55" s="56"/>
      <c r="AC55" s="66"/>
      <c r="AD55" s="263"/>
      <c r="AE55" s="58"/>
      <c r="AF55" s="266">
        <f xml:space="preserve"> COUNTIF(AF5:AF54, "無對映")</f>
        <v>13</v>
      </c>
      <c r="AG55" s="266">
        <f xml:space="preserve"> COUNTIF(AG5:AG54, "無對映")</f>
        <v>14</v>
      </c>
    </row>
    <row r="56" spans="2:33">
      <c r="B56" s="66"/>
      <c r="C56" s="269" t="s">
        <v>2060</v>
      </c>
      <c r="D56" s="58"/>
      <c r="E56" s="58"/>
      <c r="F56" s="58"/>
      <c r="G56" s="58"/>
      <c r="H56" s="59"/>
      <c r="I56" s="59"/>
      <c r="J56" s="60"/>
      <c r="K56" s="60"/>
      <c r="L56" s="60"/>
      <c r="M56" s="60"/>
      <c r="O56" s="58"/>
      <c r="T56" s="56"/>
      <c r="U56" s="56"/>
      <c r="V56" s="56"/>
      <c r="W56" s="56"/>
      <c r="AC56" s="66"/>
      <c r="AD56" s="263"/>
      <c r="AE56" s="58"/>
      <c r="AF56" s="266"/>
      <c r="AG56" s="266"/>
    </row>
    <row r="57" spans="2:33">
      <c r="B57" s="66"/>
      <c r="C57" s="269" t="s">
        <v>2061</v>
      </c>
      <c r="D57" s="58"/>
      <c r="E57" s="58"/>
      <c r="F57" s="58"/>
      <c r="G57" s="58"/>
      <c r="H57" s="59"/>
      <c r="I57" s="59"/>
      <c r="J57" s="60"/>
      <c r="K57" s="60"/>
      <c r="L57" s="60"/>
      <c r="M57" s="60"/>
      <c r="O57" s="58"/>
      <c r="T57" s="56"/>
      <c r="U57" s="56"/>
      <c r="V57" s="56"/>
      <c r="W57" s="56"/>
      <c r="AC57" s="66"/>
      <c r="AD57" s="263"/>
      <c r="AE57" s="58"/>
    </row>
    <row r="58" spans="2:33">
      <c r="B58" s="67"/>
      <c r="C58" s="269" t="s">
        <v>2062</v>
      </c>
      <c r="D58" s="61"/>
      <c r="E58" s="58"/>
      <c r="F58" s="61"/>
      <c r="G58" s="61"/>
      <c r="H58" s="62"/>
      <c r="I58" s="62"/>
      <c r="J58" s="63"/>
      <c r="K58" s="63"/>
      <c r="L58" s="63"/>
      <c r="M58" s="63"/>
      <c r="N58" s="64"/>
      <c r="O58" s="61"/>
      <c r="P58" s="224"/>
      <c r="Q58" s="222"/>
      <c r="R58" s="222"/>
      <c r="S58" s="64"/>
      <c r="AC58" s="67"/>
      <c r="AD58" s="263"/>
      <c r="AE58" s="58"/>
    </row>
  </sheetData>
  <sortState xmlns:xlrd2="http://schemas.microsoft.com/office/spreadsheetml/2017/richdata2" ref="B5:M54">
    <sortCondition ref="B5:B54"/>
  </sortState>
  <phoneticPr fontId="42" type="noConversion"/>
  <conditionalFormatting sqref="B5:M54">
    <cfRule type="expression" dxfId="7" priority="11" stopIfTrue="1">
      <formula>MOD($B5, 2)=0</formula>
    </cfRule>
  </conditionalFormatting>
  <conditionalFormatting sqref="D53:D54">
    <cfRule type="expression" dxfId="6" priority="4" stopIfTrue="1">
      <formula>MOD($B53, 2)=0</formula>
    </cfRule>
  </conditionalFormatting>
  <conditionalFormatting sqref="O5:R54">
    <cfRule type="expression" dxfId="5" priority="9" stopIfTrue="1">
      <formula>$R5&lt;&gt;0</formula>
    </cfRule>
  </conditionalFormatting>
  <conditionalFormatting sqref="T5:W54">
    <cfRule type="expression" dxfId="4" priority="6" stopIfTrue="1">
      <formula>$W5&lt;&gt;0</formula>
    </cfRule>
  </conditionalFormatting>
  <conditionalFormatting sqref="AC5:AG54">
    <cfRule type="containsText" dxfId="3" priority="1" operator="containsText" text="無對映">
      <formula>NOT(ISERROR(SEARCH("無對映",AC5)))</formula>
    </cfRule>
    <cfRule type="expression" dxfId="2" priority="2" stopIfTrue="1">
      <formula>MOD($B5, 2)=0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21CA-3CEA-754A-848D-F66B7FB5A396}">
  <sheetPr codeName="工作表19">
    <tabColor rgb="FF92D050"/>
  </sheetPr>
  <dimension ref="B1:H26"/>
  <sheetViews>
    <sheetView workbookViewId="0"/>
  </sheetViews>
  <sheetFormatPr baseColWidth="10" defaultColWidth="7.796875" defaultRowHeight="27" outlineLevelRow="1" outlineLevelCol="1"/>
  <cols>
    <col min="1" max="1" width="3.19921875" style="174" customWidth="1"/>
    <col min="2" max="2" width="8.69921875" style="174" bestFit="1" customWidth="1"/>
    <col min="3" max="3" width="7.796875" style="174"/>
    <col min="4" max="4" width="7.796875" style="174" hidden="1" customWidth="1" outlineLevel="1"/>
    <col min="5" max="5" width="9.5" style="174" customWidth="1" collapsed="1"/>
    <col min="6" max="7" width="9.5" style="174" customWidth="1"/>
    <col min="8" max="8" width="7.796875" style="174" customWidth="1"/>
    <col min="9" max="16384" width="7.796875" style="174"/>
  </cols>
  <sheetData>
    <row r="1" spans="2:8" outlineLevel="1"/>
    <row r="2" spans="2:8" outlineLevel="1">
      <c r="E2" s="121">
        <v>2</v>
      </c>
      <c r="F2" s="121">
        <v>6</v>
      </c>
      <c r="G2" s="121">
        <v>4</v>
      </c>
      <c r="H2" s="121">
        <v>3</v>
      </c>
    </row>
    <row r="3" spans="2:8" outlineLevel="1">
      <c r="B3" s="179" cm="1">
        <f t="array" ref="B3" xml:space="preserve"> COLUMN() - COLUMN($A:$A)</f>
        <v>1</v>
      </c>
      <c r="C3" s="179" cm="1">
        <f t="array" ref="C3" xml:space="preserve"> COLUMN() - COLUMN($A:$A)</f>
        <v>2</v>
      </c>
      <c r="D3" s="179" cm="1">
        <f t="array" ref="D3" xml:space="preserve"> COLUMN() - COLUMN($A:$A)</f>
        <v>3</v>
      </c>
      <c r="E3" s="179" cm="1">
        <f t="array" ref="E3" xml:space="preserve"> COLUMN() - COLUMN($A:$A)</f>
        <v>4</v>
      </c>
      <c r="F3" s="179" cm="1">
        <f t="array" ref="F3" xml:space="preserve"> COLUMN() - COLUMN($A:$A)</f>
        <v>5</v>
      </c>
      <c r="G3" s="179" cm="1">
        <f t="array" ref="G3" xml:space="preserve"> COLUMN() - COLUMN($A:$A)</f>
        <v>6</v>
      </c>
      <c r="H3" s="179" cm="1">
        <f t="array" ref="H3" xml:space="preserve"> COLUMN() - COLUMN($A:$A)</f>
        <v>7</v>
      </c>
    </row>
    <row r="5" spans="2:8" s="183" customFormat="1" ht="36" customHeight="1">
      <c r="B5" s="181" t="s">
        <v>1637</v>
      </c>
      <c r="C5" s="182" t="s">
        <v>2214</v>
      </c>
      <c r="D5" s="181" t="s">
        <v>1640</v>
      </c>
      <c r="E5" s="181" t="s">
        <v>5</v>
      </c>
      <c r="F5" s="182" t="s">
        <v>2215</v>
      </c>
      <c r="G5" s="181" t="s">
        <v>2216</v>
      </c>
      <c r="H5" s="182" t="s">
        <v>2217</v>
      </c>
    </row>
    <row r="6" spans="2:8">
      <c r="B6" s="175">
        <v>1</v>
      </c>
      <c r="C6" s="195" t="s">
        <v>1595</v>
      </c>
      <c r="D6" s="175">
        <f xml:space="preserve"> IF($C6="", "", MATCH($C6, 十五音聲母清單!$I$5:$I$26,0))</f>
        <v>2</v>
      </c>
      <c r="E6" s="175" t="str" cm="1">
        <f t="array" ref="E6" xml:space="preserve"> IF($C6="", "", INDEX(十五音聲母清單!$B$5:$I$26, $D6, E$2))</f>
        <v>p</v>
      </c>
      <c r="F6" s="175" t="str" cm="1">
        <f t="array" ref="F6" xml:space="preserve"> IF($C6="", "", INDEX(十五音聲母清單!$B$5:$I$26, $D6, F$2))</f>
        <v>p</v>
      </c>
      <c r="G6" s="175" t="str" cm="1">
        <f t="array" ref="G6" xml:space="preserve"> IF($C6="", "", INDEX(十五音聲母清單!$B$5:$I$26, $D6, G$2))</f>
        <v>邊</v>
      </c>
      <c r="H6" s="175" t="str" cm="1">
        <f t="array" ref="H6" xml:space="preserve"> IF($C6="", "", INDEX(十五音聲母清單!$B$5:$I$26, $D6, H$2))</f>
        <v>p</v>
      </c>
    </row>
    <row r="7" spans="2:8">
      <c r="B7" s="175">
        <v>2</v>
      </c>
      <c r="C7" s="195" t="s">
        <v>50</v>
      </c>
      <c r="D7" s="175">
        <f xml:space="preserve"> IF($C7="", "", MATCH($C7, 十五音聲母清單!$I$5:$I$26,0))</f>
        <v>6</v>
      </c>
      <c r="E7" s="175" t="str" cm="1">
        <f t="array" ref="E7" xml:space="preserve"> IF($C7="", "", INDEX(十五音聲母清單!$B$5:$I$26, $D7, E$2))</f>
        <v>ph</v>
      </c>
      <c r="F7" s="175" t="str" cm="1">
        <f t="array" ref="F7" xml:space="preserve"> IF($C7="", "", INDEX(十五音聲母清單!$B$5:$I$26, $D7, F$2))</f>
        <v>ph</v>
      </c>
      <c r="G7" s="175" t="str" cm="1">
        <f t="array" ref="G7" xml:space="preserve"> IF($C7="", "", INDEX(十五音聲母清單!$B$5:$I$26, $D7, G$2))</f>
        <v>頗</v>
      </c>
      <c r="H7" s="175" t="str" cm="1">
        <f t="array" ref="H7" xml:space="preserve"> IF($C7="", "", INDEX(十五音聲母清單!$B$5:$I$26, $D7, H$2))</f>
        <v>pʰ</v>
      </c>
    </row>
    <row r="8" spans="2:8">
      <c r="B8" s="175">
        <v>3</v>
      </c>
      <c r="C8" s="195" t="s">
        <v>1597</v>
      </c>
      <c r="D8" s="175">
        <f xml:space="preserve"> IF($C8="", "", MATCH($C8, 十五音聲母清單!$I$5:$I$26,0))</f>
        <v>20</v>
      </c>
      <c r="E8" s="175" t="str" cm="1">
        <f t="array" ref="E8" xml:space="preserve"> IF($C8="", "", INDEX(十五音聲母清單!$B$5:$I$26, $D8, E$2))</f>
        <v>m</v>
      </c>
      <c r="F8" s="175" t="str" cm="1">
        <f t="array" ref="F8" xml:space="preserve"> IF($C8="", "", INDEX(十五音聲母清單!$B$5:$I$26, $D8, F$2))</f>
        <v>m</v>
      </c>
      <c r="G8" s="175" t="str" cm="1">
        <f t="array" ref="G8" xml:space="preserve"> IF($C8="", "", INDEX(十五音聲母清單!$B$5:$I$26, $D8, G$2))</f>
        <v>毛</v>
      </c>
      <c r="H8" s="175" t="str" cm="1">
        <f t="array" ref="H8" xml:space="preserve"> IF($C8="", "", INDEX(十五音聲母清單!$B$5:$I$26, $D8, H$2))</f>
        <v>m</v>
      </c>
    </row>
    <row r="9" spans="2:8">
      <c r="B9" s="175">
        <v>4</v>
      </c>
      <c r="C9" s="195" t="s">
        <v>96</v>
      </c>
      <c r="D9" s="175">
        <f xml:space="preserve"> IF($C9="", "", MATCH($C9, 十五音聲母清單!$I$5:$I$26,0))</f>
        <v>15</v>
      </c>
      <c r="E9" s="175" t="str" cm="1">
        <f t="array" ref="E9" xml:space="preserve"> IF($C9="", "", INDEX(十五音聲母清單!$B$5:$I$26, $D9, E$2))</f>
        <v>b</v>
      </c>
      <c r="F9" s="175" t="str" cm="1">
        <f t="array" ref="F9" xml:space="preserve"> IF($C9="", "", INDEX(十五音聲母清單!$B$5:$I$26, $D9, F$2))</f>
        <v>b</v>
      </c>
      <c r="G9" s="175" t="str" cm="1">
        <f t="array" ref="G9" xml:space="preserve"> IF($C9="", "", INDEX(十五音聲母清單!$B$5:$I$26, $D9, G$2))</f>
        <v>門</v>
      </c>
      <c r="H9" s="175" t="str" cm="1">
        <f t="array" ref="H9" xml:space="preserve"> IF($C9="", "", INDEX(十五音聲母清單!$B$5:$I$26, $D9, H$2))</f>
        <v>b</v>
      </c>
    </row>
    <row r="10" spans="2:8">
      <c r="B10" s="175">
        <v>5</v>
      </c>
      <c r="C10" s="195" t="s">
        <v>45</v>
      </c>
      <c r="D10" s="175">
        <f xml:space="preserve"> IF($C10="", "", MATCH($C10, 十五音聲母清單!$I$5:$I$26,0))</f>
        <v>5</v>
      </c>
      <c r="E10" s="175" t="str" cm="1">
        <f t="array" ref="E10" xml:space="preserve"> IF($C10="", "", INDEX(十五音聲母清單!$B$5:$I$26, $D10, E$2))</f>
        <v>t</v>
      </c>
      <c r="F10" s="175" t="str" cm="1">
        <f t="array" ref="F10" xml:space="preserve"> IF($C10="", "", INDEX(十五音聲母清單!$B$5:$I$26, $D10, F$2))</f>
        <v>t</v>
      </c>
      <c r="G10" s="175" t="str" cm="1">
        <f t="array" ref="G10" xml:space="preserve"> IF($C10="", "", INDEX(十五音聲母清單!$B$5:$I$26, $D10, G$2))</f>
        <v>地</v>
      </c>
      <c r="H10" s="175" t="str" cm="1">
        <f t="array" ref="H10" xml:space="preserve"> IF($C10="", "", INDEX(十五音聲母清單!$B$5:$I$26, $D10, H$2))</f>
        <v>t</v>
      </c>
    </row>
    <row r="11" spans="2:8">
      <c r="B11" s="175">
        <v>6</v>
      </c>
      <c r="C11" s="195" t="s">
        <v>55</v>
      </c>
      <c r="D11" s="175">
        <f xml:space="preserve"> IF($C11="", "", MATCH($C11, 十五音聲母清單!$I$5:$I$26,0))</f>
        <v>7</v>
      </c>
      <c r="E11" s="175" t="str" cm="1">
        <f t="array" ref="E11" xml:space="preserve"> IF($C11="", "", INDEX(十五音聲母清單!$B$5:$I$26, $D11, E$2))</f>
        <v>th</v>
      </c>
      <c r="F11" s="175" t="str" cm="1">
        <f t="array" ref="F11" xml:space="preserve"> IF($C11="", "", INDEX(十五音聲母清單!$B$5:$I$26, $D11, F$2))</f>
        <v>th</v>
      </c>
      <c r="G11" s="175" t="str" cm="1">
        <f t="array" ref="G11" xml:space="preserve"> IF($C11="", "", INDEX(十五音聲母清單!$B$5:$I$26, $D11, G$2))</f>
        <v>他</v>
      </c>
      <c r="H11" s="175" t="str" cm="1">
        <f t="array" ref="H11" xml:space="preserve"> IF($C11="", "", INDEX(十五音聲母清單!$B$5:$I$26, $D11, H$2))</f>
        <v>tʰ</v>
      </c>
    </row>
    <row r="12" spans="2:8">
      <c r="B12" s="175">
        <v>7</v>
      </c>
      <c r="C12" s="195" t="s">
        <v>20</v>
      </c>
      <c r="D12" s="175">
        <f xml:space="preserve"> IF($C12="", "", MATCH($C12, 十五音聲母清單!$I$5:$I$26,0))</f>
        <v>21</v>
      </c>
      <c r="E12" s="175" t="str" cm="1">
        <f t="array" ref="E12" xml:space="preserve"> IF($C12="", "", INDEX(十五音聲母清單!$B$5:$I$26, $D12, E$2))</f>
        <v>n</v>
      </c>
      <c r="F12" s="175" t="str" cm="1">
        <f t="array" ref="F12" xml:space="preserve"> IF($C12="", "", INDEX(十五音聲母清單!$B$5:$I$26, $D12, F$2))</f>
        <v>n</v>
      </c>
      <c r="G12" s="175" t="str" cm="1">
        <f t="array" ref="G12" xml:space="preserve"> IF($C12="", "", INDEX(十五音聲母清單!$B$5:$I$26, $D12, G$2))</f>
        <v>耐</v>
      </c>
      <c r="H12" s="175" t="str" cm="1">
        <f t="array" ref="H12" xml:space="preserve"> IF($C12="", "", INDEX(十五音聲母清單!$B$5:$I$26, $D12, H$2))</f>
        <v>n</v>
      </c>
    </row>
    <row r="13" spans="2:8">
      <c r="B13" s="175">
        <v>8</v>
      </c>
      <c r="C13" s="195" t="s">
        <v>15</v>
      </c>
      <c r="D13" s="175">
        <f xml:space="preserve"> IF($C13="", "", MATCH($C13, 十五音聲母清單!$I$5:$I$26,0))</f>
        <v>1</v>
      </c>
      <c r="E13" s="175" t="str" cm="1">
        <f t="array" ref="E13" xml:space="preserve"> IF($C13="", "", INDEX(十五音聲母清單!$B$5:$I$26, $D13, E$2))</f>
        <v>l</v>
      </c>
      <c r="F13" s="175" t="str" cm="1">
        <f t="array" ref="F13" xml:space="preserve"> IF($C13="", "", INDEX(十五音聲母清單!$B$5:$I$26, $D13, F$2))</f>
        <v>l</v>
      </c>
      <c r="G13" s="175" t="str" cm="1">
        <f t="array" ref="G13" xml:space="preserve"> IF($C13="", "", INDEX(十五音聲母清單!$B$5:$I$26, $D13, G$2))</f>
        <v>柳</v>
      </c>
      <c r="H13" s="175" t="str" cm="1">
        <f t="array" ref="H13" xml:space="preserve"> IF($C13="", "", INDEX(十五音聲母清單!$B$5:$I$26, $D13, H$2))</f>
        <v>l</v>
      </c>
    </row>
    <row r="14" spans="2:8">
      <c r="B14" s="175">
        <v>9</v>
      </c>
      <c r="C14" s="195" t="s">
        <v>727</v>
      </c>
      <c r="D14" s="175">
        <f xml:space="preserve"> IF($C14="", "", MATCH($C14, 十五音聲母清單!$I$5:$I$26,0))</f>
        <v>8</v>
      </c>
      <c r="E14" s="175" t="str" cm="1">
        <f t="array" ref="E14" xml:space="preserve"> IF($C14="", "", INDEX(十五音聲母清單!$B$5:$I$26, $D14, E$2))</f>
        <v>ts</v>
      </c>
      <c r="F14" s="175" t="str" cm="1">
        <f t="array" ref="F14" xml:space="preserve"> IF($C14="", "", INDEX(十五音聲母清單!$B$5:$I$26, $D14, F$2))</f>
        <v>ts</v>
      </c>
      <c r="G14" s="175" t="str" cm="1">
        <f t="array" ref="G14" xml:space="preserve"> IF($C14="", "", INDEX(十五音聲母清單!$B$5:$I$26, $D14, G$2))</f>
        <v>曾</v>
      </c>
      <c r="H14" s="175" t="str" cm="1">
        <f t="array" ref="H14" xml:space="preserve"> IF($C14="", "", INDEX(十五音聲母清單!$B$5:$I$26, $D14, H$2))</f>
        <v>ʦ</v>
      </c>
    </row>
    <row r="15" spans="2:8">
      <c r="B15" s="175">
        <v>10</v>
      </c>
      <c r="C15" s="195" t="s">
        <v>1602</v>
      </c>
      <c r="D15" s="175">
        <f xml:space="preserve"> IF($C15="", "", MATCH($C15, 十五音聲母清單!$I$5:$I$26,0))</f>
        <v>9</v>
      </c>
      <c r="E15" s="175" t="str" cm="1">
        <f t="array" ref="E15" xml:space="preserve"> IF($C15="", "", INDEX(十五音聲母清單!$B$5:$I$26, $D15, E$2))</f>
        <v>tsi</v>
      </c>
      <c r="F15" s="175" t="str" cm="1">
        <f t="array" ref="F15" xml:space="preserve"> IF($C15="", "", INDEX(十五音聲母清單!$B$5:$I$26, $D15, F$2))</f>
        <v>tsi</v>
      </c>
      <c r="G15" s="175" t="str" cm="1">
        <f t="array" ref="G15" xml:space="preserve"> IF($C15="", "", INDEX(十五音聲母清單!$B$5:$I$26, $D15, G$2))</f>
        <v>曾</v>
      </c>
      <c r="H15" s="175" t="str" cm="1">
        <f t="array" ref="H15" xml:space="preserve"> IF($C15="", "", INDEX(十五音聲母清單!$B$5:$I$26, $D15, H$2))</f>
        <v>ʨ</v>
      </c>
    </row>
    <row r="16" spans="2:8">
      <c r="B16" s="175">
        <v>11</v>
      </c>
      <c r="C16" s="195" t="s">
        <v>729</v>
      </c>
      <c r="D16" s="175">
        <f xml:space="preserve"> IF($C16="", "", MATCH($C16, 十五音聲母清單!$I$5:$I$26,0))</f>
        <v>17</v>
      </c>
      <c r="E16" s="175" t="str" cm="1">
        <f t="array" ref="E16" xml:space="preserve"> IF($C16="", "", INDEX(十五音聲母清單!$B$5:$I$26, $D16, E$2))</f>
        <v>tsh</v>
      </c>
      <c r="F16" s="175" t="str" cm="1">
        <f t="array" ref="F16" xml:space="preserve"> IF($C16="", "", INDEX(十五音聲母清單!$B$5:$I$26, $D16, F$2))</f>
        <v>tsh</v>
      </c>
      <c r="G16" s="175" t="str" cm="1">
        <f t="array" ref="G16" xml:space="preserve"> IF($C16="", "", INDEX(十五音聲母清單!$B$5:$I$26, $D16, G$2))</f>
        <v>出</v>
      </c>
      <c r="H16" s="175" t="str" cm="1">
        <f t="array" ref="H16" xml:space="preserve"> IF($C16="", "", INDEX(十五音聲母清單!$B$5:$I$26, $D16, H$2))</f>
        <v>ʦʰ</v>
      </c>
    </row>
    <row r="17" spans="2:8">
      <c r="B17" s="175">
        <v>12</v>
      </c>
      <c r="C17" s="195" t="s">
        <v>730</v>
      </c>
      <c r="D17" s="175">
        <f xml:space="preserve"> IF($C17="", "", MATCH($C17, 十五音聲母清單!$I$5:$I$26,0))</f>
        <v>18</v>
      </c>
      <c r="E17" s="175" t="str" cm="1">
        <f t="array" ref="E17" xml:space="preserve"> IF($C17="", "", INDEX(十五音聲母清單!$B$5:$I$26, $D17, E$2))</f>
        <v>tshi</v>
      </c>
      <c r="F17" s="175" t="str" cm="1">
        <f t="array" ref="F17" xml:space="preserve"> IF($C17="", "", INDEX(十五音聲母清單!$B$5:$I$26, $D17, F$2))</f>
        <v>tshi</v>
      </c>
      <c r="G17" s="175" t="str" cm="1">
        <f t="array" ref="G17" xml:space="preserve"> IF($C17="", "", INDEX(十五音聲母清單!$B$5:$I$26, $D17, G$2))</f>
        <v>出</v>
      </c>
      <c r="H17" s="175" t="str" cm="1">
        <f t="array" ref="H17" xml:space="preserve"> IF($C17="", "", INDEX(十五音聲母清單!$B$5:$I$26, $D17, H$2))</f>
        <v>ʨʰ</v>
      </c>
    </row>
    <row r="18" spans="2:8">
      <c r="B18" s="175">
        <v>13</v>
      </c>
      <c r="C18" s="195" t="s">
        <v>731</v>
      </c>
      <c r="D18" s="175">
        <f xml:space="preserve"> IF($C18="", "", MATCH($C18, 十五音聲母清單!$I$5:$I$26,0))</f>
        <v>12</v>
      </c>
      <c r="E18" s="175" t="str" cm="1">
        <f t="array" ref="E18" xml:space="preserve"> IF($C18="", "", INDEX(十五音聲母清單!$B$5:$I$26, $D18, E$2))</f>
        <v>s</v>
      </c>
      <c r="F18" s="175" t="str" cm="1">
        <f t="array" ref="F18" xml:space="preserve"> IF($C18="", "", INDEX(十五音聲母清單!$B$5:$I$26, $D18, F$2))</f>
        <v>s</v>
      </c>
      <c r="G18" s="175" t="str" cm="1">
        <f t="array" ref="G18" xml:space="preserve"> IF($C18="", "", INDEX(十五音聲母清單!$B$5:$I$26, $D18, G$2))</f>
        <v>時</v>
      </c>
      <c r="H18" s="175" t="str" cm="1">
        <f t="array" ref="H18" xml:space="preserve"> IF($C18="", "", INDEX(十五音聲母清單!$B$5:$I$26, $D18, H$2))</f>
        <v>s</v>
      </c>
    </row>
    <row r="19" spans="2:8">
      <c r="B19" s="175">
        <v>14</v>
      </c>
      <c r="C19" s="195" t="s">
        <v>732</v>
      </c>
      <c r="D19" s="175">
        <f xml:space="preserve"> IF($C19="", "", MATCH($C19, 十五音聲母清單!$I$5:$I$26,0))</f>
        <v>13</v>
      </c>
      <c r="E19" s="175" t="str" cm="1">
        <f t="array" ref="E19" xml:space="preserve"> IF($C19="", "", INDEX(十五音聲母清單!$B$5:$I$26, $D19, E$2))</f>
        <v>si</v>
      </c>
      <c r="F19" s="175" t="str" cm="1">
        <f t="array" ref="F19" xml:space="preserve"> IF($C19="", "", INDEX(十五音聲母清單!$B$5:$I$26, $D19, F$2))</f>
        <v>si</v>
      </c>
      <c r="G19" s="175" t="str" cm="1">
        <f t="array" ref="G19" xml:space="preserve"> IF($C19="", "", INDEX(十五音聲母清單!$B$5:$I$26, $D19, G$2))</f>
        <v>時</v>
      </c>
      <c r="H19" s="175" t="str" cm="1">
        <f t="array" ref="H19" xml:space="preserve"> IF($C19="", "", INDEX(十五音聲母清單!$B$5:$I$26, $D19, H$2))</f>
        <v>ɕ</v>
      </c>
    </row>
    <row r="20" spans="2:8">
      <c r="B20" s="175">
        <v>15</v>
      </c>
      <c r="C20" s="195" t="s">
        <v>733</v>
      </c>
      <c r="D20" s="175">
        <f xml:space="preserve"> IF($C20="", "", MATCH($C20, 十五音聲母清單!$I$5:$I$26,0))</f>
        <v>10</v>
      </c>
      <c r="E20" s="175" t="str" cm="1">
        <f t="array" ref="E20" xml:space="preserve"> IF($C20="", "", INDEX(十五音聲母清單!$B$5:$I$26, $D20, E$2))</f>
        <v>j</v>
      </c>
      <c r="F20" s="175" t="str" cm="1">
        <f t="array" ref="F20" xml:space="preserve"> IF($C20="", "", INDEX(十五音聲母清單!$B$5:$I$26, $D20, F$2))</f>
        <v>j</v>
      </c>
      <c r="G20" s="175" t="str" cm="1">
        <f t="array" ref="G20" xml:space="preserve"> IF($C20="", "", INDEX(十五音聲母清單!$B$5:$I$26, $D20, G$2))</f>
        <v>入</v>
      </c>
      <c r="H20" s="175" t="str" cm="1">
        <f t="array" ref="H20" xml:space="preserve"> IF($C20="", "", INDEX(十五音聲母清單!$B$5:$I$26, $D20, H$2))</f>
        <v>ʣ</v>
      </c>
    </row>
    <row r="21" spans="2:8">
      <c r="B21" s="175">
        <v>16</v>
      </c>
      <c r="C21" s="195" t="s">
        <v>734</v>
      </c>
      <c r="D21" s="175">
        <f xml:space="preserve"> IF($C21="", "", MATCH($C21, 十五音聲母清單!$I$5:$I$26,0))</f>
        <v>11</v>
      </c>
      <c r="E21" s="175" t="str" cm="1">
        <f t="array" ref="E21" xml:space="preserve"> IF($C21="", "", INDEX(十五音聲母清單!$B$5:$I$26, $D21, E$2))</f>
        <v>ji</v>
      </c>
      <c r="F21" s="175" t="str" cm="1">
        <f t="array" ref="F21" xml:space="preserve"> IF($C21="", "", INDEX(十五音聲母清單!$B$5:$I$26, $D21, F$2))</f>
        <v>ji</v>
      </c>
      <c r="G21" s="175" t="str" cm="1">
        <f t="array" ref="G21" xml:space="preserve"> IF($C21="", "", INDEX(十五音聲母清單!$B$5:$I$26, $D21, G$2))</f>
        <v>入</v>
      </c>
      <c r="H21" s="175" t="str" cm="1">
        <f t="array" ref="H21" xml:space="preserve"> IF($C21="", "", INDEX(十五音聲母清單!$B$5:$I$26, $D21, H$2))</f>
        <v>ʥ</v>
      </c>
    </row>
    <row r="22" spans="2:8">
      <c r="B22" s="175">
        <v>17</v>
      </c>
      <c r="C22" s="195" t="s">
        <v>32</v>
      </c>
      <c r="D22" s="175">
        <f xml:space="preserve"> IF($C22="", "", MATCH($C22, 十五音聲母清單!$I$5:$I$26,0))</f>
        <v>3</v>
      </c>
      <c r="E22" s="175" t="str" cm="1">
        <f t="array" ref="E22" xml:space="preserve"> IF($C22="", "", INDEX(十五音聲母清單!$B$5:$I$26, $D22, E$2))</f>
        <v>k</v>
      </c>
      <c r="F22" s="175" t="str" cm="1">
        <f t="array" ref="F22" xml:space="preserve"> IF($C22="", "", INDEX(十五音聲母清單!$B$5:$I$26, $D22, F$2))</f>
        <v>k</v>
      </c>
      <c r="G22" s="175" t="str" cm="1">
        <f t="array" ref="G22" xml:space="preserve"> IF($C22="", "", INDEX(十五音聲母清單!$B$5:$I$26, $D22, G$2))</f>
        <v>求</v>
      </c>
      <c r="H22" s="175" t="str" cm="1">
        <f t="array" ref="H22" xml:space="preserve"> IF($C22="", "", INDEX(十五音聲母清單!$B$5:$I$26, $D22, H$2))</f>
        <v>k</v>
      </c>
    </row>
    <row r="23" spans="2:8">
      <c r="B23" s="175">
        <v>18</v>
      </c>
      <c r="C23" s="195" t="s">
        <v>38</v>
      </c>
      <c r="D23" s="175">
        <f xml:space="preserve"> IF($C23="", "", MATCH($C23, 十五音聲母清單!$I$5:$I$26,0))</f>
        <v>4</v>
      </c>
      <c r="E23" s="175" t="str" cm="1">
        <f t="array" ref="E23" xml:space="preserve"> IF($C23="", "", INDEX(十五音聲母清單!$B$5:$I$26, $D23, E$2))</f>
        <v>kh</v>
      </c>
      <c r="F23" s="175" t="str" cm="1">
        <f t="array" ref="F23" xml:space="preserve"> IF($C23="", "", INDEX(十五音聲母清單!$B$5:$I$26, $D23, F$2))</f>
        <v>kh</v>
      </c>
      <c r="G23" s="175" t="str" cm="1">
        <f t="array" ref="G23" xml:space="preserve"> IF($C23="", "", INDEX(十五音聲母清單!$B$5:$I$26, $D23, G$2))</f>
        <v>去</v>
      </c>
      <c r="H23" s="175" t="str" cm="1">
        <f t="array" ref="H23" xml:space="preserve"> IF($C23="", "", INDEX(十五音聲母清單!$B$5:$I$26, $D23, H$2))</f>
        <v>kʰ</v>
      </c>
    </row>
    <row r="24" spans="2:8">
      <c r="B24" s="175">
        <v>19</v>
      </c>
      <c r="C24" s="195" t="s">
        <v>107</v>
      </c>
      <c r="D24" s="175">
        <f xml:space="preserve"> IF($C24="", "", MATCH($C24, 十五音聲母清單!$I$5:$I$26,0))</f>
        <v>22</v>
      </c>
      <c r="E24" s="175" t="str" cm="1">
        <f t="array" ref="E24" xml:space="preserve"> IF($C24="", "", INDEX(十五音聲母清單!$B$5:$I$26, $D24, E$2))</f>
        <v>ng</v>
      </c>
      <c r="F24" s="175" t="str" cm="1">
        <f t="array" ref="F24" xml:space="preserve"> IF($C24="", "", INDEX(十五音聲母清單!$B$5:$I$26, $D24, F$2))</f>
        <v>ng</v>
      </c>
      <c r="G24" s="175" t="str" cm="1">
        <f t="array" ref="G24" xml:space="preserve"> IF($C24="", "", INDEX(十五音聲母清單!$B$5:$I$26, $D24, G$2))</f>
        <v>雅</v>
      </c>
      <c r="H24" s="175" t="str" cm="1">
        <f t="array" ref="H24" xml:space="preserve"> IF($C24="", "", INDEX(十五音聲母清單!$B$5:$I$26, $D24, H$2))</f>
        <v>ŋ</v>
      </c>
    </row>
    <row r="25" spans="2:8">
      <c r="B25" s="175">
        <v>20</v>
      </c>
      <c r="C25" s="195" t="s">
        <v>102</v>
      </c>
      <c r="D25" s="175">
        <f xml:space="preserve"> IF($C25="", "", MATCH($C25, 十五音聲母清單!$I$5:$I$26,0))</f>
        <v>16</v>
      </c>
      <c r="E25" s="175" t="str" cm="1">
        <f t="array" ref="E25" xml:space="preserve"> IF($C25="", "", INDEX(十五音聲母清單!$B$5:$I$26, $D25, E$2))</f>
        <v>g</v>
      </c>
      <c r="F25" s="175" t="str" cm="1">
        <f t="array" ref="F25" xml:space="preserve"> IF($C25="", "", INDEX(十五音聲母清單!$B$5:$I$26, $D25, F$2))</f>
        <v>g</v>
      </c>
      <c r="G25" s="175" t="str" cm="1">
        <f t="array" ref="G25" xml:space="preserve"> IF($C25="", "", INDEX(十五音聲母清單!$B$5:$I$26, $D25, G$2))</f>
        <v>語</v>
      </c>
      <c r="H25" s="175" t="str" cm="1">
        <f t="array" ref="H25" xml:space="preserve"> IF($C25="", "", INDEX(十五音聲母清單!$B$5:$I$26, $D25, H$2))</f>
        <v>ɡ</v>
      </c>
    </row>
    <row r="26" spans="2:8">
      <c r="B26" s="175">
        <v>21</v>
      </c>
      <c r="C26" s="195" t="s">
        <v>121</v>
      </c>
      <c r="D26" s="175">
        <f xml:space="preserve"> IF($C26="", "", MATCH($C26, 十五音聲母清單!$I$5:$I$26,0))</f>
        <v>19</v>
      </c>
      <c r="E26" s="175" t="str" cm="1">
        <f t="array" ref="E26" xml:space="preserve"> IF($C26="", "", INDEX(十五音聲母清單!$B$5:$I$26, $D26, E$2))</f>
        <v>h</v>
      </c>
      <c r="F26" s="175" t="str" cm="1">
        <f t="array" ref="F26" xml:space="preserve"> IF($C26="", "", INDEX(十五音聲母清單!$B$5:$I$26, $D26, F$2))</f>
        <v>h</v>
      </c>
      <c r="G26" s="175" t="str" cm="1">
        <f t="array" ref="G26" xml:space="preserve"> IF($C26="", "", INDEX(十五音聲母清單!$B$5:$I$26, $D26, G$2))</f>
        <v>喜</v>
      </c>
      <c r="H26" s="175" t="str" cm="1">
        <f t="array" ref="H26" xml:space="preserve"> IF($C26="", "", INDEX(十五音聲母清單!$B$5:$I$26, $D26, H$2))</f>
        <v>h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A059-A81A-554B-97B2-DEBA939EAED4}">
  <sheetPr codeName="工作表20">
    <tabColor rgb="FF92D050"/>
  </sheetPr>
  <dimension ref="B1:J32"/>
  <sheetViews>
    <sheetView topLeftCell="A4" workbookViewId="0"/>
  </sheetViews>
  <sheetFormatPr baseColWidth="10" defaultColWidth="7.796875" defaultRowHeight="27" outlineLevelRow="1" outlineLevelCol="1"/>
  <cols>
    <col min="1" max="1" width="3.19921875" style="174" customWidth="1"/>
    <col min="2" max="2" width="8.69921875" style="174" bestFit="1" customWidth="1"/>
    <col min="3" max="3" width="7.796875" style="174"/>
    <col min="4" max="4" width="7.796875" style="174" hidden="1" customWidth="1" outlineLevel="1"/>
    <col min="5" max="5" width="9.796875" style="174" customWidth="1" collapsed="1"/>
    <col min="6" max="6" width="9.5" style="174" hidden="1" customWidth="1" outlineLevel="1"/>
    <col min="7" max="7" width="9.796875" style="174" customWidth="1" collapsed="1"/>
    <col min="8" max="8" width="9.796875" style="174" customWidth="1"/>
    <col min="9" max="9" width="9.5" style="174" hidden="1" customWidth="1" outlineLevel="1"/>
    <col min="10" max="10" width="9.796875" style="174" customWidth="1" collapsed="1"/>
    <col min="11" max="11" width="8.69921875" style="174" bestFit="1" customWidth="1"/>
    <col min="12" max="16384" width="7.796875" style="174"/>
  </cols>
  <sheetData>
    <row r="1" spans="2:10" hidden="1" outlineLevel="1"/>
    <row r="2" spans="2:10" hidden="1" outlineLevel="1">
      <c r="E2" s="121">
        <v>5</v>
      </c>
      <c r="F2" s="121">
        <v>2</v>
      </c>
      <c r="G2" s="121">
        <v>8</v>
      </c>
      <c r="H2" s="121">
        <v>3</v>
      </c>
      <c r="I2" s="121">
        <v>4</v>
      </c>
      <c r="J2" s="121">
        <v>6</v>
      </c>
    </row>
    <row r="3" spans="2:10" hidden="1" outlineLevel="1">
      <c r="B3" s="179" cm="1">
        <f t="array" ref="B3" xml:space="preserve"> COLUMN() - COLUMN($A:$A)</f>
        <v>1</v>
      </c>
      <c r="C3" s="179" cm="1">
        <f t="array" ref="C3" xml:space="preserve"> COLUMN() - COLUMN($A:$A)</f>
        <v>2</v>
      </c>
      <c r="D3" s="179" cm="1">
        <f t="array" ref="D3" xml:space="preserve"> COLUMN() - COLUMN($A:$A)</f>
        <v>3</v>
      </c>
      <c r="E3" s="179" cm="1">
        <f t="array" ref="E3" xml:space="preserve"> COLUMN() - COLUMN($A:$A)</f>
        <v>4</v>
      </c>
      <c r="F3" s="179" cm="1">
        <f t="array" ref="F3" xml:space="preserve"> COLUMN() - COLUMN($A:$A)</f>
        <v>5</v>
      </c>
      <c r="G3" s="179" cm="1">
        <f t="array" ref="G3" xml:space="preserve"> COLUMN() - COLUMN($A:$A)</f>
        <v>6</v>
      </c>
      <c r="H3" s="179" cm="1">
        <f t="array" ref="H3" xml:space="preserve"> COLUMN() - COLUMN($A:$A)</f>
        <v>7</v>
      </c>
      <c r="I3" s="179" cm="1">
        <f t="array" ref="I3" xml:space="preserve"> COLUMN() - COLUMN($A:$A)</f>
        <v>8</v>
      </c>
      <c r="J3" s="179" cm="1">
        <f t="array" ref="J3" xml:space="preserve"> COLUMN() - COLUMN($A:$A)</f>
        <v>9</v>
      </c>
    </row>
    <row r="4" spans="2:10" collapsed="1"/>
    <row r="5" spans="2:10" s="183" customFormat="1" ht="36" customHeight="1">
      <c r="B5" s="181" t="s">
        <v>1637</v>
      </c>
      <c r="C5" s="182" t="s">
        <v>1643</v>
      </c>
      <c r="D5" s="181" t="s">
        <v>1640</v>
      </c>
      <c r="E5" s="181" t="s">
        <v>1642</v>
      </c>
      <c r="F5" s="181" t="s">
        <v>1641</v>
      </c>
      <c r="G5" s="182" t="s">
        <v>2215</v>
      </c>
      <c r="H5" s="181" t="s">
        <v>135</v>
      </c>
      <c r="I5" s="181" t="s">
        <v>1644</v>
      </c>
      <c r="J5" s="182" t="s">
        <v>2217</v>
      </c>
    </row>
    <row r="6" spans="2:10">
      <c r="B6" s="175">
        <v>1</v>
      </c>
      <c r="C6" s="197" t="s">
        <v>1614</v>
      </c>
      <c r="D6" s="175">
        <f xml:space="preserve"> IFERROR( IF($C6="", "", MATCH($C6, 十五音韻母清單!$K$6:$K$105,0)), "")</f>
        <v>55</v>
      </c>
      <c r="E6" s="175" t="str" cm="1">
        <f t="array" ref="E6" xml:space="preserve"> IFERROR( IF($C6="", "", INDEX(十五音韻母清單!$B$6:$K$105, $D6, E$2)), "")</f>
        <v>a</v>
      </c>
      <c r="F6" s="175" cm="1">
        <f t="array" ref="F6" xml:space="preserve"> IFERROR( IF($C6="", "", INDEX(十五音韻母清單!$B$6:$K$105, $D6, F$2)), "")</f>
        <v>28</v>
      </c>
      <c r="G6" s="175" t="str" cm="1">
        <f t="array" ref="G6" xml:space="preserve"> IFERROR( IF($C6="", "", INDEX(十五音韻母清單!$B$6:$K$105, $D6, G$2)), "")</f>
        <v>a</v>
      </c>
      <c r="H6" s="175" t="str" cm="1">
        <f t="array" ref="H6" xml:space="preserve"> IFERROR( IF($C6="", "", INDEX(十五音韻母清單!$B$6:$K$105, $D6, H$2)), "")</f>
        <v>膠</v>
      </c>
      <c r="I6" s="175" t="str" cm="1">
        <f t="array" ref="I6" xml:space="preserve"> IFERROR( IF($C6="", "", INDEX(十五音韻母清單!$B$6:$K$105, $D6, I$2)), "")</f>
        <v>舒聲</v>
      </c>
      <c r="J6" s="175" t="str" cm="1">
        <f t="array" ref="J6" xml:space="preserve"> IFERROR( IF($C6="", "", INDEX(十五音韻母清單!$B$6:$K$105, $D6, J$2)), "")</f>
        <v>a</v>
      </c>
    </row>
    <row r="7" spans="2:10">
      <c r="B7" s="175">
        <v>2</v>
      </c>
      <c r="C7" s="175" t="s">
        <v>555</v>
      </c>
      <c r="D7" s="175">
        <f xml:space="preserve"> IFERROR( IF($C7="", "", MATCH($C7, 十五音韻母清單!$K$6:$K$105,0)), "")</f>
        <v>77</v>
      </c>
      <c r="E7" s="175" t="str" cm="1">
        <f t="array" ref="E7" xml:space="preserve"> IFERROR( IF($C7="", "", INDEX(十五音韻母清單!$B$6:$K$105, $D7, E$2)), "")</f>
        <v>e</v>
      </c>
      <c r="F7" s="175" cm="1">
        <f t="array" ref="F7" xml:space="preserve"> IFERROR( IF($C7="", "", INDEX(十五音韻母清單!$B$6:$K$105, $D7, F$2)), "")</f>
        <v>39</v>
      </c>
      <c r="G7" s="175" t="str" cm="1">
        <f t="array" ref="G7" xml:space="preserve"> IFERROR( IF($C7="", "", INDEX(十五音韻母清單!$B$6:$K$105, $D7, G$2)), "")</f>
        <v>e</v>
      </c>
      <c r="H7" s="175" t="str" cm="1">
        <f t="array" ref="H7" xml:space="preserve"> IFERROR( IF($C7="", "", INDEX(十五音韻母清單!$B$6:$K$105, $D7, H$2)), "")</f>
        <v>伽</v>
      </c>
      <c r="I7" s="175" t="str" cm="1">
        <f t="array" ref="I7" xml:space="preserve"> IFERROR( IF($C7="", "", INDEX(十五音韻母清單!$B$6:$K$105, $D7, I$2)), "")</f>
        <v>舒聲</v>
      </c>
      <c r="J7" s="175" t="str" cm="1">
        <f t="array" ref="J7" xml:space="preserve"> IFERROR( IF($C7="", "", INDEX(十五音韻母清單!$B$6:$K$105, $D7, J$2)), "")</f>
        <v>e</v>
      </c>
    </row>
    <row r="8" spans="2:10">
      <c r="B8" s="175">
        <v>3</v>
      </c>
      <c r="C8" s="175" t="s">
        <v>435</v>
      </c>
      <c r="D8" s="175">
        <f xml:space="preserve"> IFERROR( IF($C8="", "", MATCH($C8, 十五音韻母清單!$K$6:$K$105,0)), "")</f>
        <v>57</v>
      </c>
      <c r="E8" s="175" t="str" cm="1">
        <f t="array" ref="E8" xml:space="preserve"> IFERROR( IF($C8="", "", INDEX(十五音韻母清單!$B$6:$K$105, $D8, E$2)), "")</f>
        <v>i</v>
      </c>
      <c r="F8" s="175" cm="1">
        <f t="array" ref="F8" xml:space="preserve"> IFERROR( IF($C8="", "", INDEX(十五音韻母清單!$B$6:$K$105, $D8, F$2)), "")</f>
        <v>29</v>
      </c>
      <c r="G8" s="175" t="str" cm="1">
        <f t="array" ref="G8" xml:space="preserve"> IFERROR( IF($C8="", "", INDEX(十五音韻母清單!$B$6:$K$105, $D8, G$2)), "")</f>
        <v>i</v>
      </c>
      <c r="H8" s="175" t="str" cm="1">
        <f t="array" ref="H8" xml:space="preserve"> IFERROR( IF($C8="", "", INDEX(十五音韻母清單!$B$6:$K$105, $D8, H$2)), "")</f>
        <v>居</v>
      </c>
      <c r="I8" s="175" t="str" cm="1">
        <f t="array" ref="I8" xml:space="preserve"> IFERROR( IF($C8="", "", INDEX(十五音韻母清單!$B$6:$K$105, $D8, I$2)), "")</f>
        <v>舒聲</v>
      </c>
      <c r="J8" s="175" t="str" cm="1">
        <f t="array" ref="J8" xml:space="preserve"> IFERROR( IF($C8="", "", INDEX(十五音韻母清單!$B$6:$K$105, $D8, J$2)), "")</f>
        <v>i</v>
      </c>
    </row>
    <row r="9" spans="2:10">
      <c r="B9" s="175">
        <v>4</v>
      </c>
      <c r="C9" s="175" t="s">
        <v>259</v>
      </c>
      <c r="D9" s="175">
        <f xml:space="preserve"> IFERROR( IF($C9="", "", MATCH($C9, 十五音韻母清單!$K$6:$K$105,0)), "")</f>
        <v>21</v>
      </c>
      <c r="E9" s="175" t="str" cm="1">
        <f t="array" ref="E9" xml:space="preserve"> IFERROR( IF($C9="", "", INDEX(十五音韻母清單!$B$6:$K$105, $D9, E$2)), "")</f>
        <v>oo</v>
      </c>
      <c r="F9" s="175" cm="1">
        <f t="array" ref="F9" xml:space="preserve"> IFERROR( IF($C9="", "", INDEX(十五音韻母清單!$B$6:$K$105, $D9, F$2)), "")</f>
        <v>11</v>
      </c>
      <c r="G9" s="175" t="str" cm="1">
        <f t="array" ref="G9" xml:space="preserve"> IFERROR( IF($C9="", "", INDEX(十五音韻母清單!$B$6:$K$105, $D9, G$2)), "")</f>
        <v>oo</v>
      </c>
      <c r="H9" s="175" t="str" cm="1">
        <f t="array" ref="H9" xml:space="preserve"> IFERROR( IF($C9="", "", INDEX(十五音韻母清單!$B$6:$K$105, $D9, H$2)), "")</f>
        <v>沽</v>
      </c>
      <c r="I9" s="175" t="str" cm="1">
        <f t="array" ref="I9" xml:space="preserve"> IFERROR( IF($C9="", "", INDEX(十五音韻母清單!$B$6:$K$105, $D9, I$2)), "")</f>
        <v>舒聲</v>
      </c>
      <c r="J9" s="175" t="str" cm="1">
        <f t="array" ref="J9" xml:space="preserve"> IFERROR( IF($C9="", "", INDEX(十五音韻母清單!$B$6:$K$105, $D9, J$2)), "")</f>
        <v>ɔ</v>
      </c>
    </row>
    <row r="10" spans="2:10">
      <c r="B10" s="175">
        <v>5</v>
      </c>
      <c r="C10" s="184" t="s">
        <v>2218</v>
      </c>
      <c r="D10" s="184" t="str">
        <f xml:space="preserve"> IFERROR( IF($C10="", "", MATCH($C10, 十五音韻母清單!$K$6:$K$105,0)), "")</f>
        <v/>
      </c>
      <c r="E10" s="175" t="str" cm="1">
        <f t="array" ref="E10" xml:space="preserve"> IFERROR( IF($C10="", "", INDEX(十五音韻母清單!$B$6:$K$105, $D10, E$2)), "")</f>
        <v/>
      </c>
      <c r="F10" s="184" t="str" cm="1">
        <f t="array" ref="F10" xml:space="preserve"> IFERROR( IF($C10="", "", INDEX(十五音韻母清單!$B$6:$K$105, $D10, F$2)), "")</f>
        <v/>
      </c>
      <c r="G10" s="175" t="str" cm="1">
        <f t="array" ref="G10" xml:space="preserve"> IFERROR( IF($C10="", "", INDEX(十五音韻母清單!$B$6:$K$105, $D10, G$2)), "")</f>
        <v/>
      </c>
      <c r="H10" s="184" t="str" cm="1">
        <f t="array" ref="H10" xml:space="preserve"> IFERROR( IF($C10="", "", INDEX(十五音韻母清單!$B$6:$K$105, $D10, H$2)), "")</f>
        <v/>
      </c>
      <c r="I10" s="184" t="str" cm="1">
        <f t="array" ref="I10" xml:space="preserve"> IFERROR( IF($C10="", "", INDEX(十五音韻母清單!$B$6:$K$105, $D10, I$2)), "")</f>
        <v/>
      </c>
      <c r="J10" s="175" t="str" cm="1">
        <f t="array" ref="J10" xml:space="preserve"> IFERROR( IF($C10="", "", INDEX(十五音韻母清單!$B$6:$K$105, $D10, J$2)), "")</f>
        <v/>
      </c>
    </row>
    <row r="11" spans="2:10">
      <c r="B11" s="175">
        <v>6</v>
      </c>
      <c r="C11" s="175" t="s">
        <v>418</v>
      </c>
      <c r="D11" s="175">
        <f xml:space="preserve"> IFERROR( IF($C11="", "", MATCH($C11, 十五音韻母清單!$K$6:$K$105,0)), "")</f>
        <v>53</v>
      </c>
      <c r="E11" s="175" t="str" cm="1">
        <f t="array" ref="E11" xml:space="preserve"> IFERROR( IF($C11="", "", INDEX(十五音韻母清單!$B$6:$K$105, $D11, E$2)), "")</f>
        <v>u</v>
      </c>
      <c r="F11" s="175" cm="1">
        <f t="array" ref="F11" xml:space="preserve"> IFERROR( IF($C11="", "", INDEX(十五音韻母清單!$B$6:$K$105, $D11, F$2)), "")</f>
        <v>27</v>
      </c>
      <c r="G11" s="175" t="str" cm="1">
        <f t="array" ref="G11" xml:space="preserve"> IFERROR( IF($C11="", "", INDEX(十五音韻母清單!$B$6:$K$105, $D11, G$2)), "")</f>
        <v>u</v>
      </c>
      <c r="H11" s="175" t="str" cm="1">
        <f t="array" ref="H11" xml:space="preserve"> IFERROR( IF($C11="", "", INDEX(十五音韻母清單!$B$6:$K$105, $D11, H$2)), "")</f>
        <v>艍</v>
      </c>
      <c r="I11" s="175" t="str" cm="1">
        <f t="array" ref="I11" xml:space="preserve"> IFERROR( IF($C11="", "", INDEX(十五音韻母清單!$B$6:$K$105, $D11, I$2)), "")</f>
        <v>舒聲</v>
      </c>
      <c r="J11" s="175" t="str" cm="1">
        <f t="array" ref="J11" xml:space="preserve"> IFERROR( IF($C11="", "", INDEX(十五音韻母清單!$B$6:$K$105, $D11, J$2)), "")</f>
        <v>u</v>
      </c>
    </row>
    <row r="12" spans="2:10">
      <c r="B12" s="175">
        <v>7</v>
      </c>
      <c r="C12" s="184" t="s">
        <v>195</v>
      </c>
      <c r="D12" s="184">
        <f xml:space="preserve"> IFERROR( IF($C12="", "", MATCH($C12, 十五音韻母清單!$K$6:$K$105,0)), "")</f>
        <v>9</v>
      </c>
      <c r="E12" s="175" t="str" cm="1">
        <f t="array" ref="E12" xml:space="preserve"> IFERROR( IF($C12="", "", INDEX(十五音韻母清單!$B$6:$K$105, $D12, E$2)), "")</f>
        <v>ee</v>
      </c>
      <c r="F12" s="184" cm="1">
        <f t="array" ref="F12" xml:space="preserve"> IFERROR( IF($C12="", "", INDEX(十五音韻母清單!$B$6:$K$105, $D12, F$2)), "")</f>
        <v>5</v>
      </c>
      <c r="G12" s="175" t="str" cm="1">
        <f t="array" ref="G12" xml:space="preserve"> IFERROR( IF($C12="", "", INDEX(十五音韻母清單!$B$6:$K$105, $D12, G$2)), "")</f>
        <v>ee</v>
      </c>
      <c r="H12" s="184" t="str" cm="1">
        <f t="array" ref="H12" xml:space="preserve"> IFERROR( IF($C12="", "", INDEX(十五音韻母清單!$B$6:$K$105, $D12, H$2)), "")</f>
        <v>嘉</v>
      </c>
      <c r="I12" s="184" t="str" cm="1">
        <f t="array" ref="I12" xml:space="preserve"> IFERROR( IF($C12="", "", INDEX(十五音韻母清單!$B$6:$K$105, $D12, I$2)), "")</f>
        <v>舒聲</v>
      </c>
      <c r="J12" s="175" t="str" cm="1">
        <f t="array" ref="J12" xml:space="preserve"> IFERROR( IF($C12="", "", INDEX(十五音韻母清單!$B$6:$K$105, $D12, J$2)), "")</f>
        <v>ɛ</v>
      </c>
    </row>
    <row r="13" spans="2:10">
      <c r="B13" s="175">
        <v>8</v>
      </c>
      <c r="C13" s="175" t="s">
        <v>302</v>
      </c>
      <c r="D13" s="175">
        <f xml:space="preserve"> IFERROR( IF($C13="", "", MATCH($C13, 十五音韻母清單!$K$6:$K$105,0)), "")</f>
        <v>29</v>
      </c>
      <c r="E13" s="175" t="str" cm="1">
        <f t="array" ref="E13" xml:space="preserve"> IFERROR( IF($C13="", "", INDEX(十五音韻母清單!$B$6:$K$105, $D13, E$2)), "")</f>
        <v>o</v>
      </c>
      <c r="F13" s="175" cm="1">
        <f t="array" ref="F13" xml:space="preserve"> IFERROR( IF($C13="", "", INDEX(十五音韻母清單!$B$6:$K$105, $D13, F$2)), "")</f>
        <v>15</v>
      </c>
      <c r="G13" s="175" t="str" cm="1">
        <f t="array" ref="G13" xml:space="preserve"> IFERROR( IF($C13="", "", INDEX(十五音韻母清單!$B$6:$K$105, $D13, G$2)), "")</f>
        <v>o</v>
      </c>
      <c r="H13" s="175" t="str" cm="1">
        <f t="array" ref="H13" xml:space="preserve"> IFERROR( IF($C13="", "", INDEX(十五音韻母清單!$B$6:$K$105, $D13, H$2)), "")</f>
        <v>高</v>
      </c>
      <c r="I13" s="175" t="str" cm="1">
        <f t="array" ref="I13" xml:space="preserve"> IFERROR( IF($C13="", "", INDEX(十五音韻母清單!$B$6:$K$105, $D13, I$2)), "")</f>
        <v>舒聲</v>
      </c>
      <c r="J13" s="175" t="str" cm="1">
        <f t="array" ref="J13" xml:space="preserve"> IFERROR( IF($C13="", "", INDEX(十五音韻母清單!$B$6:$K$105, $D13, J$2)), "")</f>
        <v>o</v>
      </c>
    </row>
    <row r="14" spans="2:10">
      <c r="B14" s="175">
        <v>9</v>
      </c>
      <c r="C14" s="184" t="s">
        <v>2219</v>
      </c>
      <c r="D14" s="184" t="str">
        <f xml:space="preserve"> IFERROR( IF($C14="", "", MATCH($C14, 十五音韻母清單!$K$6:$K$105,0)), "")</f>
        <v/>
      </c>
      <c r="E14" s="175" t="str" cm="1">
        <f t="array" ref="E14" xml:space="preserve"> IFERROR( IF($C14="", "", INDEX(十五音韻母清單!$B$6:$K$105, $D14, E$2)), "")</f>
        <v/>
      </c>
      <c r="F14" s="184" t="str" cm="1">
        <f t="array" ref="F14" xml:space="preserve"> IFERROR( IF($C14="", "", INDEX(十五音韻母清單!$B$6:$K$105, $D14, F$2)), "")</f>
        <v/>
      </c>
      <c r="G14" s="175" t="str" cm="1">
        <f t="array" ref="G14" xml:space="preserve"> IFERROR( IF($C14="", "", INDEX(十五音韻母清單!$B$6:$K$105, $D14, G$2)), "")</f>
        <v/>
      </c>
      <c r="H14" s="184" t="str" cm="1">
        <f t="array" ref="H14" xml:space="preserve"> IFERROR( IF($C14="", "", INDEX(十五音韻母清單!$B$6:$K$105, $D14, H$2)), "")</f>
        <v/>
      </c>
      <c r="I14" s="184" t="str" cm="1">
        <f t="array" ref="I14" xml:space="preserve"> IFERROR( IF($C14="", "", INDEX(十五音韻母清單!$B$6:$K$105, $D14, I$2)), "")</f>
        <v/>
      </c>
      <c r="J14" s="175" t="str" cm="1">
        <f t="array" ref="J14" xml:space="preserve"> IFERROR( IF($C14="", "", INDEX(十五音韻母清單!$B$6:$K$105, $D14, J$2)), "")</f>
        <v/>
      </c>
    </row>
    <row r="15" spans="2:10">
      <c r="B15" s="175">
        <v>10</v>
      </c>
      <c r="C15" s="175" t="s">
        <v>312</v>
      </c>
      <c r="D15" s="175">
        <f xml:space="preserve"> IFERROR( IF($C15="", "", MATCH($C15, 十五音韻母清單!$K$6:$K$105,0)), "")</f>
        <v>31</v>
      </c>
      <c r="E15" s="175" t="str" cm="1">
        <f t="array" ref="E15" xml:space="preserve"> IFERROR( IF($C15="", "", INDEX(十五音韻母清單!$B$6:$K$105, $D15, E$2)), "")</f>
        <v>ai</v>
      </c>
      <c r="F15" s="175" cm="1">
        <f t="array" ref="F15" xml:space="preserve"> IFERROR( IF($C15="", "", INDEX(十五音韻母清單!$B$6:$K$105, $D15, F$2)), "")</f>
        <v>16</v>
      </c>
      <c r="G15" s="175" t="str" cm="1">
        <f t="array" ref="G15" xml:space="preserve"> IFERROR( IF($C15="", "", INDEX(十五音韻母清單!$B$6:$K$105, $D15, G$2)), "")</f>
        <v>ai</v>
      </c>
      <c r="H15" s="175" t="str" cm="1">
        <f t="array" ref="H15" xml:space="preserve"> IFERROR( IF($C15="", "", INDEX(十五音韻母清單!$B$6:$K$105, $D15, H$2)), "")</f>
        <v>皆</v>
      </c>
      <c r="I15" s="175" t="str" cm="1">
        <f t="array" ref="I15" xml:space="preserve"> IFERROR( IF($C15="", "", INDEX(十五音韻母清單!$B$6:$K$105, $D15, I$2)), "")</f>
        <v>舒聲</v>
      </c>
      <c r="J15" s="175" t="str" cm="1">
        <f t="array" ref="J15" xml:space="preserve"> IFERROR( IF($C15="", "", INDEX(十五音韻母清單!$B$6:$K$105, $D15, J$2)), "")</f>
        <v>ai</v>
      </c>
    </row>
    <row r="16" spans="2:10">
      <c r="B16" s="175">
        <v>11</v>
      </c>
      <c r="C16" s="175" t="s">
        <v>374</v>
      </c>
      <c r="D16" s="175">
        <f xml:space="preserve"> IFERROR( IF($C16="", "", MATCH($C16, 十五音韻母清單!$K$6:$K$105,0)), "")</f>
        <v>45</v>
      </c>
      <c r="E16" s="175" t="str" cm="1">
        <f t="array" ref="E16" xml:space="preserve"> IFERROR( IF($C16="", "", INDEX(十五音韻母清單!$B$6:$K$105, $D16, E$2)), "")</f>
        <v>au</v>
      </c>
      <c r="F16" s="175" cm="1">
        <f t="array" ref="F16" xml:space="preserve"> IFERROR( IF($C16="", "", INDEX(十五音韻母清單!$B$6:$K$105, $D16, F$2)), "")</f>
        <v>23</v>
      </c>
      <c r="G16" s="175" t="str" cm="1">
        <f t="array" ref="G16" xml:space="preserve"> IFERROR( IF($C16="", "", INDEX(十五音韻母清單!$B$6:$K$105, $D16, G$2)), "")</f>
        <v>au</v>
      </c>
      <c r="H16" s="175" t="str" cm="1">
        <f t="array" ref="H16" xml:space="preserve"> IFERROR( IF($C16="", "", INDEX(十五音韻母清單!$B$6:$K$105, $D16, H$2)), "")</f>
        <v>交</v>
      </c>
      <c r="I16" s="175" t="str" cm="1">
        <f t="array" ref="I16" xml:space="preserve"> IFERROR( IF($C16="", "", INDEX(十五音韻母清單!$B$6:$K$105, $D16, I$2)), "")</f>
        <v>舒聲</v>
      </c>
      <c r="J16" s="175" t="str" cm="1">
        <f t="array" ref="J16" xml:space="preserve"> IFERROR( IF($C16="", "", INDEX(十五音韻母清單!$B$6:$K$105, $D16, J$2)), "")</f>
        <v>aʊ</v>
      </c>
    </row>
    <row r="17" spans="2:10">
      <c r="B17" s="175">
        <v>12</v>
      </c>
      <c r="C17" s="175" t="s">
        <v>408</v>
      </c>
      <c r="D17" s="175">
        <f xml:space="preserve"> IFERROR( IF($C17="", "", MATCH($C17, 十五音韻母清單!$K$6:$K$105,0)), "")</f>
        <v>51</v>
      </c>
      <c r="E17" s="175" t="str" cm="1">
        <f t="array" ref="E17" xml:space="preserve"> IFERROR( IF($C17="", "", INDEX(十五音韻母清單!$B$6:$K$105, $D17, E$2)), "")</f>
        <v>ann</v>
      </c>
      <c r="F17" s="175" cm="1">
        <f t="array" ref="F17" xml:space="preserve"> IFERROR( IF($C17="", "", INDEX(十五音韻母清單!$B$6:$K$105, $D17, F$2)), "")</f>
        <v>26</v>
      </c>
      <c r="G17" s="175" t="str" cm="1">
        <f t="array" ref="G17" xml:space="preserve"> IFERROR( IF($C17="", "", INDEX(十五音韻母清單!$B$6:$K$105, $D17, G$2)), "")</f>
        <v>ann</v>
      </c>
      <c r="H17" s="175" t="str" cm="1">
        <f t="array" ref="H17" xml:space="preserve"> IFERROR( IF($C17="", "", INDEX(十五音韻母清單!$B$6:$K$105, $D17, H$2)), "")</f>
        <v>監</v>
      </c>
      <c r="I17" s="175" t="str" cm="1">
        <f t="array" ref="I17" xml:space="preserve"> IFERROR( IF($C17="", "", INDEX(十五音韻母清單!$B$6:$K$105, $D17, I$2)), "")</f>
        <v>舒聲</v>
      </c>
      <c r="J17" s="175" t="str" cm="1">
        <f t="array" ref="J17" xml:space="preserve"> IFERROR( IF($C17="", "", INDEX(十五音韻母清單!$B$6:$K$105, $D17, J$2)), "")</f>
        <v>ã</v>
      </c>
    </row>
    <row r="18" spans="2:10">
      <c r="B18" s="175">
        <v>13</v>
      </c>
      <c r="C18" s="175" t="s">
        <v>457</v>
      </c>
      <c r="D18" s="175">
        <f xml:space="preserve"> IFERROR( IF($C18="", "", MATCH($C18, 十五音韻母清單!$K$6:$K$105,0)), "")</f>
        <v>61</v>
      </c>
      <c r="E18" s="175" t="str" cm="1">
        <f t="array" ref="E18" xml:space="preserve"> IFERROR( IF($C18="", "", INDEX(十五音韻母清單!$B$6:$K$105, $D18, E$2)), "")</f>
        <v>enn</v>
      </c>
      <c r="F18" s="175" cm="1">
        <f t="array" ref="F18" xml:space="preserve"> IFERROR( IF($C18="", "", INDEX(十五音韻母清單!$B$6:$K$105, $D18, F$2)), "")</f>
        <v>31</v>
      </c>
      <c r="G18" s="175" t="str" cm="1">
        <f t="array" ref="G18" xml:space="preserve"> IFERROR( IF($C18="", "", INDEX(十五音韻母清單!$B$6:$K$105, $D18, G$2)), "")</f>
        <v>enn</v>
      </c>
      <c r="H18" s="175" t="str" cm="1">
        <f t="array" ref="H18" xml:space="preserve"> IFERROR( IF($C18="", "", INDEX(十五音韻母清單!$B$6:$K$105, $D18, H$2)), "")</f>
        <v>更</v>
      </c>
      <c r="I18" s="175" t="str" cm="1">
        <f t="array" ref="I18" xml:space="preserve"> IFERROR( IF($C18="", "", INDEX(十五音韻母清單!$B$6:$K$105, $D18, I$2)), "")</f>
        <v>舒聲</v>
      </c>
      <c r="J18" s="175" t="str" cm="1">
        <f t="array" ref="J18" xml:space="preserve"> IFERROR( IF($C18="", "", INDEX(十五音韻母清單!$B$6:$K$105, $D18, J$2)), "")</f>
        <v>ẽ</v>
      </c>
    </row>
    <row r="19" spans="2:10">
      <c r="B19" s="175">
        <v>14</v>
      </c>
      <c r="C19" s="175" t="s">
        <v>498</v>
      </c>
      <c r="D19" s="175">
        <f xml:space="preserve"> IFERROR( IF($C19="", "", MATCH($C19, 十五音韻母清單!$K$6:$K$105,0)), "")</f>
        <v>67</v>
      </c>
      <c r="E19" s="175" t="str" cm="1">
        <f t="array" ref="E19" xml:space="preserve"> IFERROR( IF($C19="", "", INDEX(十五音韻母清單!$B$6:$K$105, $D19, E$2)), "")</f>
        <v>inn</v>
      </c>
      <c r="F19" s="175" cm="1">
        <f t="array" ref="F19" xml:space="preserve"> IFERROR( IF($C19="", "", INDEX(十五音韻母清單!$B$6:$K$105, $D19, F$2)), "")</f>
        <v>34</v>
      </c>
      <c r="G19" s="175" t="str" cm="1">
        <f t="array" ref="G19" xml:space="preserve"> IFERROR( IF($C19="", "", INDEX(十五音韻母清單!$B$6:$K$105, $D19, G$2)), "")</f>
        <v>inn</v>
      </c>
      <c r="H19" s="175" t="str" cm="1">
        <f t="array" ref="H19" xml:space="preserve"> IFERROR( IF($C19="", "", INDEX(十五音韻母清單!$B$6:$K$105, $D19, H$2)), "")</f>
        <v>梔</v>
      </c>
      <c r="I19" s="175" t="str" cm="1">
        <f t="array" ref="I19" xml:space="preserve"> IFERROR( IF($C19="", "", INDEX(十五音韻母清單!$B$6:$K$105, $D19, I$2)), "")</f>
        <v>舒聲</v>
      </c>
      <c r="J19" s="175" t="str" cm="1">
        <f t="array" ref="J19" xml:space="preserve"> IFERROR( IF($C19="", "", INDEX(十五音韻母清單!$B$6:$K$105, $D19, J$2)), "")</f>
        <v>ĩ</v>
      </c>
    </row>
    <row r="20" spans="2:10">
      <c r="B20" s="175">
        <v>15</v>
      </c>
      <c r="C20" s="175" t="s">
        <v>583</v>
      </c>
      <c r="D20" s="175">
        <f xml:space="preserve"> IFERROR( IF($C20="", "", MATCH($C20, 十五音韻母清單!$K$6:$K$105,0)), "")</f>
        <v>81</v>
      </c>
      <c r="E20" s="175" t="str" cm="1">
        <f t="array" ref="E20" xml:space="preserve"> IFERROR( IF($C20="", "", INDEX(十五音韻母清單!$B$6:$K$105, $D20, E$2)), "")</f>
        <v>onn</v>
      </c>
      <c r="F20" s="175" cm="1">
        <f t="array" ref="F20" xml:space="preserve"> IFERROR( IF($C20="", "", INDEX(十五音韻母清單!$B$6:$K$105, $D20, F$2)), "")</f>
        <v>41</v>
      </c>
      <c r="G20" s="175" t="str" cm="1">
        <f t="array" ref="G20" xml:space="preserve"> IFERROR( IF($C20="", "", INDEX(十五音韻母清單!$B$6:$K$105, $D20, G$2)), "")</f>
        <v>onn</v>
      </c>
      <c r="H20" s="175" t="str" cm="1">
        <f t="array" ref="H20" xml:space="preserve"> IFERROR( IF($C20="", "", INDEX(十五音韻母清單!$B$6:$K$105, $D20, H$2)), "")</f>
        <v>姑</v>
      </c>
      <c r="I20" s="175" t="str" cm="1">
        <f t="array" ref="I20" xml:space="preserve"> IFERROR( IF($C20="", "", INDEX(十五音韻母清單!$B$6:$K$105, $D20, I$2)), "")</f>
        <v>舒聲</v>
      </c>
      <c r="J20" s="175" t="str" cm="1">
        <f t="array" ref="J20" xml:space="preserve"> IFERROR( IF($C20="", "", INDEX(十五音韻母清單!$B$6:$K$105, $D20, J$2)), "")</f>
        <v>ɔ̃</v>
      </c>
    </row>
    <row r="21" spans="2:10">
      <c r="B21" s="175">
        <v>16</v>
      </c>
      <c r="C21" s="184" t="s">
        <v>1632</v>
      </c>
      <c r="D21" s="184" t="str">
        <f xml:space="preserve"> IFERROR( IF($C21="", "", MATCH($C21, 十五音韻母清單!$K$6:$K$105,0)), "")</f>
        <v/>
      </c>
      <c r="E21" s="175" t="str" cm="1">
        <f t="array" ref="E21" xml:space="preserve"> IFERROR( IF($C21="", "", INDEX(十五音韻母清單!$B$6:$K$105, $D21, E$2)), "")</f>
        <v/>
      </c>
      <c r="F21" s="184" t="str" cm="1">
        <f t="array" ref="F21" xml:space="preserve"> IFERROR( IF($C21="", "", INDEX(十五音韻母清單!$B$6:$K$105, $D21, F$2)), "")</f>
        <v/>
      </c>
      <c r="G21" s="175" t="str" cm="1">
        <f t="array" ref="G21" xml:space="preserve"> IFERROR( IF($C21="", "", INDEX(十五音韻母清單!$B$6:$K$105, $D21, G$2)), "")</f>
        <v/>
      </c>
      <c r="H21" s="184" t="str" cm="1">
        <f t="array" ref="H21" xml:space="preserve"> IFERROR( IF($C21="", "", INDEX(十五音韻母清單!$B$6:$K$105, $D21, H$2)), "")</f>
        <v/>
      </c>
      <c r="I21" s="184" t="str" cm="1">
        <f t="array" ref="I21" xml:space="preserve"> IFERROR( IF($C21="", "", INDEX(十五音韻母清單!$B$6:$K$105, $D21, I$2)), "")</f>
        <v/>
      </c>
      <c r="J21" s="175" t="str" cm="1">
        <f t="array" ref="J21" xml:space="preserve"> IFERROR( IF($C21="", "", INDEX(十五音韻母清單!$B$6:$K$105, $D21, J$2)), "")</f>
        <v/>
      </c>
    </row>
    <row r="22" spans="2:10">
      <c r="B22" s="175">
        <v>17</v>
      </c>
      <c r="C22" s="175" t="s">
        <v>592</v>
      </c>
      <c r="D22" s="175">
        <f xml:space="preserve"> IFERROR( IF($C22="", "", MATCH($C22, 十五音韻母清單!$K$6:$K$105,0)), "")</f>
        <v>83</v>
      </c>
      <c r="E22" s="175" t="str" cm="1">
        <f t="array" ref="E22" xml:space="preserve"> IFERROR( IF($C22="", "", INDEX(十五音韻母清單!$B$6:$K$105, $D22, E$2)), "")</f>
        <v>m</v>
      </c>
      <c r="F22" s="175" cm="1">
        <f t="array" ref="F22" xml:space="preserve"> IFERROR( IF($C22="", "", INDEX(十五音韻母清單!$B$6:$K$105, $D22, F$2)), "")</f>
        <v>42</v>
      </c>
      <c r="G22" s="175" t="str" cm="1">
        <f t="array" ref="G22" xml:space="preserve"> IFERROR( IF($C22="", "", INDEX(十五音韻母清單!$B$6:$K$105, $D22, G$2)), "")</f>
        <v>m</v>
      </c>
      <c r="H22" s="175" t="str" cm="1">
        <f t="array" ref="H22" xml:space="preserve"> IFERROR( IF($C22="", "", INDEX(十五音韻母清單!$B$6:$K$105, $D22, H$2)), "")</f>
        <v>姆</v>
      </c>
      <c r="I22" s="175" t="str" cm="1">
        <f t="array" ref="I22" xml:space="preserve"> IFERROR( IF($C22="", "", INDEX(十五音韻母清單!$B$6:$K$105, $D22, I$2)), "")</f>
        <v>舒聲</v>
      </c>
      <c r="J22" s="175" t="str" cm="1">
        <f t="array" ref="J22" xml:space="preserve"> IFERROR( IF($C22="", "", INDEX(十五音韻母清單!$B$6:$K$105, $D22, J$2)), "")</f>
        <v>m̩</v>
      </c>
    </row>
    <row r="23" spans="2:10">
      <c r="B23" s="175">
        <v>18</v>
      </c>
      <c r="C23" s="175" t="s">
        <v>549</v>
      </c>
      <c r="D23" s="175">
        <f xml:space="preserve"> IFERROR( IF($C23="", "", MATCH($C23, 十五音韻母清單!$K$6:$K$105,0)), "")</f>
        <v>75</v>
      </c>
      <c r="E23" s="175" t="str" cm="1">
        <f t="array" ref="E23" xml:space="preserve"> IFERROR( IF($C23="", "", INDEX(十五音韻母清單!$B$6:$K$105, $D23, E$2)), "")</f>
        <v>ng</v>
      </c>
      <c r="F23" s="175" cm="1">
        <f t="array" ref="F23" xml:space="preserve"> IFERROR( IF($C23="", "", INDEX(十五音韻母清單!$B$6:$K$105, $D23, F$2)), "")</f>
        <v>38</v>
      </c>
      <c r="G23" s="175" t="str" cm="1">
        <f t="array" ref="G23" xml:space="preserve"> IFERROR( IF($C23="", "", INDEX(十五音韻母清單!$B$6:$K$105, $D23, G$2)), "")</f>
        <v>ng</v>
      </c>
      <c r="H23" s="175" t="str" cm="1">
        <f t="array" ref="H23" xml:space="preserve"> IFERROR( IF($C23="", "", INDEX(十五音韻母清單!$B$6:$K$105, $D23, H$2)), "")</f>
        <v>鋼</v>
      </c>
      <c r="I23" s="175" t="str" cm="1">
        <f t="array" ref="I23" xml:space="preserve"> IFERROR( IF($C23="", "", INDEX(十五音韻母清單!$B$6:$K$105, $D23, I$2)), "")</f>
        <v>舒聲</v>
      </c>
      <c r="J23" s="175" t="str" cm="1">
        <f t="array" ref="J23" xml:space="preserve"> IFERROR( IF($C23="", "", INDEX(十五音韻母清單!$B$6:$K$105, $D23, J$2)), "")</f>
        <v>ŋ̍</v>
      </c>
    </row>
    <row r="24" spans="2:10">
      <c r="B24" s="175">
        <v>19</v>
      </c>
      <c r="C24" s="175" t="s">
        <v>567</v>
      </c>
      <c r="D24" s="175">
        <f xml:space="preserve"> IFERROR( IF($C24="", "", MATCH($C24, 十五音韻母清單!$K$6:$K$105,0)), "")</f>
        <v>79</v>
      </c>
      <c r="E24" s="175" t="str" cm="1">
        <f t="array" ref="E24" xml:space="preserve"> IFERROR( IF($C24="", "", INDEX(十五音韻母清單!$B$6:$K$105, $D24, E$2)), "")</f>
        <v>ainn</v>
      </c>
      <c r="F24" s="175" cm="1">
        <f t="array" ref="F24" xml:space="preserve"> IFERROR( IF($C24="", "", INDEX(十五音韻母清單!$B$6:$K$105, $D24, F$2)), "")</f>
        <v>40</v>
      </c>
      <c r="G24" s="175" t="str" cm="1">
        <f t="array" ref="G24" xml:space="preserve"> IFERROR( IF($C24="", "", INDEX(十五音韻母清單!$B$6:$K$105, $D24, G$2)), "")</f>
        <v>ainn</v>
      </c>
      <c r="H24" s="175" t="str" cm="1">
        <f t="array" ref="H24" xml:space="preserve"> IFERROR( IF($C24="", "", INDEX(十五音韻母清單!$B$6:$K$105, $D24, H$2)), "")</f>
        <v>閒</v>
      </c>
      <c r="I24" s="175" t="str" cm="1">
        <f t="array" ref="I24" xml:space="preserve"> IFERROR( IF($C24="", "", INDEX(十五音韻母清單!$B$6:$K$105, $D24, I$2)), "")</f>
        <v>舒聲</v>
      </c>
      <c r="J24" s="175" t="str" cm="1">
        <f t="array" ref="J24" xml:space="preserve"> IFERROR( IF($C24="", "", INDEX(十五音韻母清單!$B$6:$K$105, $D24, J$2)), "")</f>
        <v>ãĩ</v>
      </c>
    </row>
    <row r="25" spans="2:10">
      <c r="B25" s="175">
        <v>20</v>
      </c>
      <c r="C25" s="175" t="s">
        <v>665</v>
      </c>
      <c r="D25" s="175">
        <f xml:space="preserve"> IFERROR( IF($C25="", "", MATCH($C25, 十五音韻母清單!$K$6:$K$105,0)), "")</f>
        <v>95</v>
      </c>
      <c r="E25" s="175" t="str" cm="1">
        <f t="array" ref="E25" xml:space="preserve"> IFERROR( IF($C25="", "", INDEX(十五音韻母清單!$B$6:$K$105, $D25, E$2)), "")</f>
        <v>aunn</v>
      </c>
      <c r="F25" s="175" cm="1">
        <f t="array" ref="F25" xml:space="preserve"> IFERROR( IF($C25="", "", INDEX(十五音韻母清單!$B$6:$K$105, $D25, F$2)), "")</f>
        <v>48</v>
      </c>
      <c r="G25" s="175" t="str" cm="1">
        <f t="array" ref="G25" xml:space="preserve"> IFERROR( IF($C25="", "", INDEX(十五音韻母清單!$B$6:$K$105, $D25, G$2)), "")</f>
        <v>aunn</v>
      </c>
      <c r="H25" s="175" t="str" cm="1">
        <f t="array" ref="H25" xml:space="preserve"> IFERROR( IF($C25="", "", INDEX(十五音韻母清單!$B$6:$K$105, $D25, H$2)), "")</f>
        <v>爻</v>
      </c>
      <c r="I25" s="175" t="str" cm="1">
        <f t="array" ref="I25" xml:space="preserve"> IFERROR( IF($C25="", "", INDEX(十五音韻母清單!$B$6:$K$105, $D25, I$2)), "")</f>
        <v>舒聲</v>
      </c>
      <c r="J25" s="175" t="str" cm="1">
        <f t="array" ref="J25" xml:space="preserve"> IFERROR( IF($C25="", "", INDEX(十五音韻母清單!$B$6:$K$105, $D25, J$2)), "")</f>
        <v>ãũ</v>
      </c>
    </row>
    <row r="26" spans="2:10">
      <c r="B26" s="175">
        <v>21</v>
      </c>
      <c r="C26" s="175" t="s">
        <v>336</v>
      </c>
      <c r="D26" s="175">
        <f xml:space="preserve"> IFERROR( IF($C26="", "", MATCH($C26, 十五音韻母清單!$K$6:$K$105,0)), "")</f>
        <v>37</v>
      </c>
      <c r="E26" s="175" t="str" cm="1">
        <f t="array" ref="E26" xml:space="preserve"> IFERROR( IF($C26="", "", INDEX(十五音韻母清單!$B$6:$K$105, $D26, E$2)), "")</f>
        <v>am</v>
      </c>
      <c r="F26" s="175" cm="1">
        <f t="array" ref="F26" xml:space="preserve"> IFERROR( IF($C26="", "", INDEX(十五音韻母清單!$B$6:$K$105, $D26, F$2)), "")</f>
        <v>19</v>
      </c>
      <c r="G26" s="175" t="str" cm="1">
        <f t="array" ref="G26" xml:space="preserve"> IFERROR( IF($C26="", "", INDEX(十五音韻母清單!$B$6:$K$105, $D26, G$2)), "")</f>
        <v>am</v>
      </c>
      <c r="H26" s="175" t="str" cm="1">
        <f t="array" ref="H26" xml:space="preserve"> IFERROR( IF($C26="", "", INDEX(十五音韻母清單!$B$6:$K$105, $D26, H$2)), "")</f>
        <v>甘</v>
      </c>
      <c r="I26" s="175" t="str" cm="1">
        <f t="array" ref="I26" xml:space="preserve"> IFERROR( IF($C26="", "", INDEX(十五音韻母清單!$B$6:$K$105, $D26, I$2)), "")</f>
        <v>舒聲</v>
      </c>
      <c r="J26" s="175" t="str" cm="1">
        <f t="array" ref="J26" xml:space="preserve"> IFERROR( IF($C26="", "", INDEX(十五音韻母清單!$B$6:$K$105, $D26, J$2)), "")</f>
        <v>am</v>
      </c>
    </row>
    <row r="27" spans="2:10">
      <c r="B27" s="175">
        <v>22</v>
      </c>
      <c r="C27" s="175" t="s">
        <v>207</v>
      </c>
      <c r="D27" s="175">
        <f xml:space="preserve"> IFERROR( IF($C27="", "", MATCH($C27, 十五音韻母清單!$K$6:$K$105,0)), "")</f>
        <v>11</v>
      </c>
      <c r="E27" s="175" t="str" cm="1">
        <f t="array" ref="E27" xml:space="preserve"> IFERROR( IF($C27="", "", INDEX(十五音韻母清單!$B$6:$K$105, $D27, E$2)), "")</f>
        <v>an</v>
      </c>
      <c r="F27" s="175" cm="1">
        <f t="array" ref="F27" xml:space="preserve"> IFERROR( IF($C27="", "", INDEX(十五音韻母清單!$B$6:$K$105, $D27, F$2)), "")</f>
        <v>6</v>
      </c>
      <c r="G27" s="175" t="str" cm="1">
        <f t="array" ref="G27" xml:space="preserve"> IFERROR( IF($C27="", "", INDEX(十五音韻母清單!$B$6:$K$105, $D27, G$2)), "")</f>
        <v>an</v>
      </c>
      <c r="H27" s="175" t="str" cm="1">
        <f t="array" ref="H27" xml:space="preserve"> IFERROR( IF($C27="", "", INDEX(十五音韻母清單!$B$6:$K$105, $D27, H$2)), "")</f>
        <v>干</v>
      </c>
      <c r="I27" s="175" t="str" cm="1">
        <f t="array" ref="I27" xml:space="preserve"> IFERROR( IF($C27="", "", INDEX(十五音韻母清單!$B$6:$K$105, $D27, I$2)), "")</f>
        <v>舒聲</v>
      </c>
      <c r="J27" s="175" t="str" cm="1">
        <f t="array" ref="J27" xml:space="preserve"> IFERROR( IF($C27="", "", INDEX(十五音韻母清單!$B$6:$K$105, $D27, J$2)), "")</f>
        <v>an</v>
      </c>
    </row>
    <row r="28" spans="2:10">
      <c r="B28" s="175">
        <v>23</v>
      </c>
      <c r="C28" s="175" t="s">
        <v>355</v>
      </c>
      <c r="D28" s="175">
        <f xml:space="preserve"> IFERROR( IF($C28="", "", MATCH($C28, 十五音韻母清單!$K$6:$K$105,0)), "")</f>
        <v>41</v>
      </c>
      <c r="E28" s="175" t="str" cm="1">
        <f t="array" ref="E28" xml:space="preserve"> IFERROR( IF($C28="", "", INDEX(十五音韻母清單!$B$6:$K$105, $D28, E$2)), "")</f>
        <v>ang</v>
      </c>
      <c r="F28" s="175" cm="1">
        <f t="array" ref="F28" xml:space="preserve"> IFERROR( IF($C28="", "", INDEX(十五音韻母清單!$B$6:$K$105, $D28, F$2)), "")</f>
        <v>21</v>
      </c>
      <c r="G28" s="175" t="str" cm="1">
        <f t="array" ref="G28" xml:space="preserve"> IFERROR( IF($C28="", "", INDEX(十五音韻母清單!$B$6:$K$105, $D28, G$2)), "")</f>
        <v>ang</v>
      </c>
      <c r="H28" s="175" t="str" cm="1">
        <f t="array" ref="H28" xml:space="preserve"> IFERROR( IF($C28="", "", INDEX(十五音韻母清單!$B$6:$K$105, $D28, H$2)), "")</f>
        <v>江</v>
      </c>
      <c r="I28" s="175" t="str" cm="1">
        <f t="array" ref="I28" xml:space="preserve"> IFERROR( IF($C28="", "", INDEX(十五音韻母清單!$B$6:$K$105, $D28, I$2)), "")</f>
        <v>舒聲</v>
      </c>
      <c r="J28" s="175" t="str" cm="1">
        <f t="array" ref="J28" xml:space="preserve"> IFERROR( IF($C28="", "", INDEX(十五音韻母清單!$B$6:$K$105, $D28, J$2)), "")</f>
        <v>aŋ</v>
      </c>
    </row>
    <row r="29" spans="2:10">
      <c r="B29" s="175">
        <v>24</v>
      </c>
      <c r="C29" s="175" t="s">
        <v>653</v>
      </c>
      <c r="D29" s="175">
        <f xml:space="preserve"> IFERROR( IF($C29="", "", MATCH($C29, 十五音韻母清單!$K$6:$K$105,0)), "")</f>
        <v>93</v>
      </c>
      <c r="E29" s="175" t="str" cm="1">
        <f t="array" ref="E29" xml:space="preserve"> IFERROR( IF($C29="", "", INDEX(十五音韻母清單!$B$6:$K$105, $D29, E$2)), "")</f>
        <v>om</v>
      </c>
      <c r="F29" s="175" cm="1">
        <f t="array" ref="F29" xml:space="preserve"> IFERROR( IF($C29="", "", INDEX(十五音韻母清單!$B$6:$K$105, $D29, F$2)), "")</f>
        <v>47</v>
      </c>
      <c r="G29" s="175" t="str" cm="1">
        <f t="array" ref="G29" xml:space="preserve"> IFERROR( IF($C29="", "", INDEX(十五音韻母清單!$B$6:$K$105, $D29, G$2)), "")</f>
        <v>om</v>
      </c>
      <c r="H29" s="175" t="str" cm="1">
        <f t="array" ref="H29" xml:space="preserve"> IFERROR( IF($C29="", "", INDEX(十五音韻母清單!$B$6:$K$105, $D29, H$2)), "")</f>
        <v>箴</v>
      </c>
      <c r="I29" s="175" t="str" cm="1">
        <f t="array" ref="I29" xml:space="preserve"> IFERROR( IF($C29="", "", INDEX(十五音韻母清單!$B$6:$K$105, $D29, I$2)), "")</f>
        <v>舒聲</v>
      </c>
      <c r="J29" s="175" t="str" cm="1">
        <f t="array" ref="J29" xml:space="preserve"> IFERROR( IF($C29="", "", INDEX(十五音韻母清單!$B$6:$K$105, $D29, J$2)), "")</f>
        <v>ɔm</v>
      </c>
    </row>
    <row r="30" spans="2:10">
      <c r="B30" s="175">
        <v>25</v>
      </c>
      <c r="C30" s="175" t="s">
        <v>215</v>
      </c>
      <c r="D30" s="175">
        <f xml:space="preserve"> IFERROR( IF($C30="", "", MATCH($C30, 十五音韻母清單!$K$6:$K$105,0)), "")</f>
        <v>13</v>
      </c>
      <c r="E30" s="175" t="str" cm="1">
        <f t="array" ref="E30" xml:space="preserve"> IFERROR( IF($C30="", "", INDEX(十五音韻母清單!$B$6:$K$105, $D30, E$2)), "")</f>
        <v>ong</v>
      </c>
      <c r="F30" s="175" cm="1">
        <f t="array" ref="F30" xml:space="preserve"> IFERROR( IF($C30="", "", INDEX(十五音韻母清單!$B$6:$K$105, $D30, F$2)), "")</f>
        <v>7</v>
      </c>
      <c r="G30" s="175" t="str" cm="1">
        <f t="array" ref="G30" xml:space="preserve"> IFERROR( IF($C30="", "", INDEX(十五音韻母清單!$B$6:$K$105, $D30, G$2)), "")</f>
        <v>ong</v>
      </c>
      <c r="H30" s="175" t="str" cm="1">
        <f t="array" ref="H30" xml:space="preserve"> IFERROR( IF($C30="", "", INDEX(十五音韻母清單!$B$6:$K$105, $D30, H$2)), "")</f>
        <v>公</v>
      </c>
      <c r="I30" s="175" t="str" cm="1">
        <f t="array" ref="I30" xml:space="preserve"> IFERROR( IF($C30="", "", INDEX(十五音韻母清單!$B$6:$K$105, $D30, I$2)), "")</f>
        <v>舒聲</v>
      </c>
      <c r="J30" s="175" t="str" cm="1">
        <f t="array" ref="J30" xml:space="preserve"> IFERROR( IF($C30="", "", INDEX(十五音韻母清單!$B$6:$K$105, $D30, J$2)), "")</f>
        <v>ɔŋ</v>
      </c>
    </row>
    <row r="31" spans="2:10">
      <c r="B31" s="175">
        <v>26</v>
      </c>
      <c r="C31" s="184" t="s">
        <v>2220</v>
      </c>
      <c r="D31" s="184" t="str">
        <f xml:space="preserve"> IFERROR( IF($C31="", "", MATCH($C31, 十五音韻母清單!$K$6:$K$105,0)), "")</f>
        <v/>
      </c>
      <c r="E31" s="175" t="str" cm="1">
        <f t="array" ref="E31" xml:space="preserve"> IFERROR( IF($C31="", "", INDEX(十五音韻母清單!$B$6:$K$105, $D31, E$2)), "")</f>
        <v/>
      </c>
      <c r="F31" s="184" t="str" cm="1">
        <f t="array" ref="F31" xml:space="preserve"> IFERROR( IF($C31="", "", INDEX(十五音韻母清單!$B$6:$K$105, $D31, F$2)), "")</f>
        <v/>
      </c>
      <c r="G31" s="175" t="str" cm="1">
        <f t="array" ref="G31" xml:space="preserve"> IFERROR( IF($C31="", "", INDEX(十五音韻母清單!$B$6:$K$105, $D31, G$2)), "")</f>
        <v/>
      </c>
      <c r="H31" s="184" t="str" cm="1">
        <f t="array" ref="H31" xml:space="preserve"> IFERROR( IF($C31="", "", INDEX(十五音韻母清單!$B$6:$K$105, $D31, H$2)), "")</f>
        <v/>
      </c>
      <c r="I31" s="184" t="str" cm="1">
        <f t="array" ref="I31" xml:space="preserve"> IFERROR( IF($C31="", "", INDEX(十五音韻母清單!$B$6:$K$105, $D31, I$2)), "")</f>
        <v/>
      </c>
      <c r="J31" s="175" t="str" cm="1">
        <f t="array" ref="J31" xml:space="preserve"> IFERROR( IF($C31="", "", INDEX(十五音韻母清單!$B$6:$K$105, $D31, J$2)), "")</f>
        <v/>
      </c>
    </row>
    <row r="32" spans="2:10">
      <c r="B32" s="175">
        <v>27</v>
      </c>
      <c r="C32" s="196" t="s">
        <v>1613</v>
      </c>
      <c r="D32" s="184" t="str">
        <f xml:space="preserve"> IFERROR( IF($C32="", "", MATCH($C32, 十五音韻母清單!$K$6:$K$105,0)), "")</f>
        <v/>
      </c>
      <c r="E32" s="175" t="str" cm="1">
        <f t="array" ref="E32" xml:space="preserve"> IFERROR( IF($C32="", "", INDEX(十五音韻母清單!$B$6:$K$105, $D32, E$2)), "")</f>
        <v/>
      </c>
      <c r="F32" s="184" t="str" cm="1">
        <f t="array" ref="F32" xml:space="preserve"> IFERROR( IF($C32="", "", INDEX(十五音韻母清單!$B$6:$K$105, $D32, F$2)), "")</f>
        <v/>
      </c>
      <c r="G32" s="175" t="str" cm="1">
        <f t="array" ref="G32" xml:space="preserve"> IFERROR( IF($C32="", "", INDEX(十五音韻母清單!$B$6:$K$105, $D32, G$2)), "")</f>
        <v/>
      </c>
      <c r="H32" s="184" t="str" cm="1">
        <f t="array" ref="H32" xml:space="preserve"> IFERROR( IF($C32="", "", INDEX(十五音韻母清單!$B$6:$K$105, $D32, H$2)), "")</f>
        <v/>
      </c>
      <c r="I32" s="184" t="str" cm="1">
        <f t="array" ref="I32" xml:space="preserve"> IFERROR( IF($C32="", "", INDEX(十五音韻母清單!$B$6:$K$105, $D32, I$2)), "")</f>
        <v/>
      </c>
      <c r="J32" s="175" t="str" cm="1">
        <f t="array" ref="J32" xml:space="preserve"> IFERROR( IF($C32="", "", INDEX(十五音韻母清單!$B$6:$K$105, $D32, J$2)), "")</f>
        <v/>
      </c>
    </row>
  </sheetData>
  <phoneticPr fontId="1" type="noConversion"/>
  <conditionalFormatting sqref="G6:J32">
    <cfRule type="expression" dxfId="1" priority="3">
      <formula>$I6="入聲"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BDAC2-FD38-144B-B21E-C7C4F7F8AF27}">
  <sheetPr codeName="工作表21">
    <tabColor rgb="FF92D050"/>
  </sheetPr>
  <dimension ref="B1:P96"/>
  <sheetViews>
    <sheetView workbookViewId="0"/>
  </sheetViews>
  <sheetFormatPr baseColWidth="10" defaultColWidth="7.796875" defaultRowHeight="27" outlineLevelRow="1" outlineLevelCol="1"/>
  <cols>
    <col min="1" max="1" width="3.19921875" style="174" customWidth="1"/>
    <col min="2" max="2" width="6.09765625" style="174" customWidth="1"/>
    <col min="3" max="3" width="7.796875" style="174"/>
    <col min="4" max="4" width="7.796875" style="183" hidden="1" customWidth="1" outlineLevel="1"/>
    <col min="5" max="5" width="10.3984375" style="174" hidden="1" customWidth="1" outlineLevel="1"/>
    <col min="6" max="6" width="7.796875" style="174" hidden="1" customWidth="1" outlineLevel="1"/>
    <col min="7" max="7" width="9.5" style="174" customWidth="1" collapsed="1"/>
    <col min="8" max="8" width="9.5" style="174" hidden="1" customWidth="1" outlineLevel="1"/>
    <col min="9" max="9" width="9.5" style="174" customWidth="1" collapsed="1"/>
    <col min="10" max="12" width="9.5" style="174" customWidth="1"/>
    <col min="13" max="14" width="7.796875" style="174"/>
    <col min="15" max="15" width="8.69921875" style="174" bestFit="1" customWidth="1"/>
    <col min="16" max="16384" width="7.796875" style="174"/>
  </cols>
  <sheetData>
    <row r="1" spans="2:16" outlineLevel="1"/>
    <row r="2" spans="2:16" outlineLevel="1">
      <c r="G2" s="121">
        <v>5</v>
      </c>
      <c r="H2" s="121">
        <v>2</v>
      </c>
      <c r="I2" s="121">
        <v>8</v>
      </c>
      <c r="J2" s="121">
        <v>3</v>
      </c>
      <c r="K2" s="121">
        <v>4</v>
      </c>
      <c r="L2" s="121">
        <v>6</v>
      </c>
    </row>
    <row r="3" spans="2:16" outlineLevel="1">
      <c r="B3" s="179" cm="1">
        <f t="array" ref="B3" xml:space="preserve"> COLUMN() - COLUMN($A:$A)</f>
        <v>1</v>
      </c>
      <c r="C3" s="179" cm="1">
        <f t="array" ref="C3" xml:space="preserve"> COLUMN() - COLUMN($A:$A)</f>
        <v>2</v>
      </c>
      <c r="D3" s="186" cm="1">
        <f t="array" ref="D3" xml:space="preserve"> COLUMN() - COLUMN($A:$A)</f>
        <v>3</v>
      </c>
      <c r="E3" s="179" cm="1">
        <f t="array" ref="E3" xml:space="preserve"> COLUMN() - COLUMN($A:$A)</f>
        <v>4</v>
      </c>
      <c r="F3" s="179" cm="1">
        <f t="array" ref="F3" xml:space="preserve"> COLUMN() - COLUMN($A:$A)</f>
        <v>5</v>
      </c>
      <c r="G3" s="179" cm="1">
        <f t="array" ref="G3" xml:space="preserve"> COLUMN() - COLUMN($A:$A)</f>
        <v>6</v>
      </c>
      <c r="H3" s="179" cm="1">
        <f t="array" ref="H3" xml:space="preserve"> COLUMN() - COLUMN($A:$A)</f>
        <v>7</v>
      </c>
      <c r="I3" s="179"/>
      <c r="J3" s="179" cm="1">
        <f t="array" ref="J3" xml:space="preserve"> COLUMN() - COLUMN($A:$A)</f>
        <v>9</v>
      </c>
      <c r="K3" s="179" cm="1">
        <f t="array" ref="K3" xml:space="preserve"> COLUMN() - COLUMN($A:$A)</f>
        <v>10</v>
      </c>
      <c r="L3" s="179" cm="1">
        <f t="array" ref="L3" xml:space="preserve"> COLUMN() - COLUMN($A:$A)</f>
        <v>11</v>
      </c>
    </row>
    <row r="5" spans="2:16">
      <c r="B5" s="177" t="s">
        <v>2221</v>
      </c>
    </row>
    <row r="7" spans="2:16" s="183" customFormat="1" ht="36" customHeight="1">
      <c r="B7" s="181" t="s">
        <v>1637</v>
      </c>
      <c r="C7" s="182" t="s">
        <v>1643</v>
      </c>
      <c r="D7" s="181" t="s">
        <v>2222</v>
      </c>
      <c r="E7" s="181" t="s">
        <v>1644</v>
      </c>
      <c r="F7" s="181" t="s">
        <v>1640</v>
      </c>
      <c r="G7" s="181" t="s">
        <v>1642</v>
      </c>
      <c r="H7" s="181" t="s">
        <v>1641</v>
      </c>
      <c r="I7" s="182" t="s">
        <v>2215</v>
      </c>
      <c r="J7" s="181" t="s">
        <v>135</v>
      </c>
      <c r="K7" s="181" t="s">
        <v>1644</v>
      </c>
      <c r="L7" s="182" t="s">
        <v>2217</v>
      </c>
    </row>
    <row r="8" spans="2:16">
      <c r="B8" s="175">
        <v>1</v>
      </c>
      <c r="C8" s="175" t="s">
        <v>1614</v>
      </c>
      <c r="D8" s="180" t="s">
        <v>2223</v>
      </c>
      <c r="E8" s="178" t="s">
        <v>1989</v>
      </c>
      <c r="F8" s="175">
        <f xml:space="preserve"> IFERROR( IF($C8="", "", MATCH($C8, 十五音韻母清單!$K$6:$K$105,0)), "")</f>
        <v>55</v>
      </c>
      <c r="G8" s="175" t="str" cm="1">
        <f t="array" ref="G8" xml:space="preserve"> IFERROR( IF($C8="", "", INDEX(十五音韻母清單!$B$6:$K$105, $F8, G$2)), "")</f>
        <v>a</v>
      </c>
      <c r="H8" s="175" cm="1">
        <f t="array" ref="H8" xml:space="preserve"> IFERROR( IF($C8="", "", INDEX(十五音韻母清單!$B$6:$K$105, $F8, H$2)), "")</f>
        <v>28</v>
      </c>
      <c r="I8" s="175" t="str" cm="1">
        <f t="array" ref="I8" xml:space="preserve"> IFERROR( IF($C8="", "", INDEX(十五音韻母清單!$B$6:$K$105, $F8, I$2)), "")</f>
        <v>a</v>
      </c>
      <c r="J8" s="175" t="str" cm="1">
        <f t="array" ref="J8" xml:space="preserve"> IFERROR( IF($C8="", "", INDEX(十五音韻母清單!$B$6:$K$105, $F8, J$2)), "")</f>
        <v>膠</v>
      </c>
      <c r="K8" s="175" t="str" cm="1">
        <f t="array" ref="K8" xml:space="preserve"> IFERROR( IF($C8="", "", INDEX(十五音韻母清單!$B$6:$K$105, $F8, K$2)), "")</f>
        <v>舒聲</v>
      </c>
      <c r="L8" s="175" t="str" cm="1">
        <f t="array" ref="L8" xml:space="preserve"> IFERROR( IF($C8="", "", INDEX(十五音韻母清單!$B$6:$K$105, $F8, L$2)), "")</f>
        <v>a</v>
      </c>
    </row>
    <row r="9" spans="2:16">
      <c r="B9" s="175">
        <v>2</v>
      </c>
      <c r="C9" s="175" t="s">
        <v>555</v>
      </c>
      <c r="D9" s="180" t="s">
        <v>2223</v>
      </c>
      <c r="E9" s="178" t="s">
        <v>1989</v>
      </c>
      <c r="F9" s="175">
        <f xml:space="preserve"> IFERROR( IF($C9="", "", MATCH($C9, 十五音韻母清單!$K$6:$K$105,0)), "")</f>
        <v>77</v>
      </c>
      <c r="G9" s="175" t="str" cm="1">
        <f t="array" ref="G9" xml:space="preserve"> IFERROR( IF($C9="", "", INDEX(十五音韻母清單!$B$6:$K$105, $F9, G$2)), "")</f>
        <v>e</v>
      </c>
      <c r="H9" s="175" cm="1">
        <f t="array" ref="H9" xml:space="preserve"> IFERROR( IF($C9="", "", INDEX(十五音韻母清單!$B$6:$K$105, $F9, H$2)), "")</f>
        <v>39</v>
      </c>
      <c r="I9" s="175" t="str" cm="1">
        <f t="array" ref="I9" xml:space="preserve"> IFERROR( IF($C9="", "", INDEX(十五音韻母清單!$B$6:$K$105, $F9, I$2)), "")</f>
        <v>e</v>
      </c>
      <c r="J9" s="175" t="str" cm="1">
        <f t="array" ref="J9" xml:space="preserve"> IFERROR( IF($C9="", "", INDEX(十五音韻母清單!$B$6:$K$105, $F9, J$2)), "")</f>
        <v>伽</v>
      </c>
      <c r="K9" s="175" t="str" cm="1">
        <f t="array" ref="K9" xml:space="preserve"> IFERROR( IF($C9="", "", INDEX(十五音韻母清單!$B$6:$K$105, $F9, K$2)), "")</f>
        <v>舒聲</v>
      </c>
      <c r="L9" s="175" t="str" cm="1">
        <f t="array" ref="L9" xml:space="preserve"> IFERROR( IF($C9="", "", INDEX(十五音韻母清單!$B$6:$K$105, $F9, L$2)), "")</f>
        <v>e</v>
      </c>
    </row>
    <row r="10" spans="2:16">
      <c r="B10" s="175">
        <v>3</v>
      </c>
      <c r="C10" s="175" t="s">
        <v>435</v>
      </c>
      <c r="D10" s="180" t="s">
        <v>2223</v>
      </c>
      <c r="E10" s="178" t="s">
        <v>1989</v>
      </c>
      <c r="F10" s="175">
        <f xml:space="preserve"> IFERROR( IF($C10="", "", MATCH($C10, 十五音韻母清單!$K$6:$K$105,0)), "")</f>
        <v>57</v>
      </c>
      <c r="G10" s="175" t="str" cm="1">
        <f t="array" ref="G10" xml:space="preserve"> IFERROR( IF($C10="", "", INDEX(十五音韻母清單!$B$6:$K$105, $F10, G$2)), "")</f>
        <v>i</v>
      </c>
      <c r="H10" s="175" cm="1">
        <f t="array" ref="H10" xml:space="preserve"> IFERROR( IF($C10="", "", INDEX(十五音韻母清單!$B$6:$K$105, $F10, H$2)), "")</f>
        <v>29</v>
      </c>
      <c r="I10" s="175" t="str" cm="1">
        <f t="array" ref="I10" xml:space="preserve"> IFERROR( IF($C10="", "", INDEX(十五音韻母清單!$B$6:$K$105, $F10, I$2)), "")</f>
        <v>i</v>
      </c>
      <c r="J10" s="175" t="str" cm="1">
        <f t="array" ref="J10" xml:space="preserve"> IFERROR( IF($C10="", "", INDEX(十五音韻母清單!$B$6:$K$105, $F10, J$2)), "")</f>
        <v>居</v>
      </c>
      <c r="K10" s="175" t="str" cm="1">
        <f t="array" ref="K10" xml:space="preserve"> IFERROR( IF($C10="", "", INDEX(十五音韻母清單!$B$6:$K$105, $F10, K$2)), "")</f>
        <v>舒聲</v>
      </c>
      <c r="L10" s="175" t="str" cm="1">
        <f t="array" ref="L10" xml:space="preserve"> IFERROR( IF($C10="", "", INDEX(十五音韻母清單!$B$6:$K$105, $F10, L$2)), "")</f>
        <v>i</v>
      </c>
    </row>
    <row r="11" spans="2:16">
      <c r="B11" s="175">
        <v>4</v>
      </c>
      <c r="C11" s="175" t="s">
        <v>259</v>
      </c>
      <c r="D11" s="180" t="s">
        <v>2223</v>
      </c>
      <c r="E11" s="178" t="s">
        <v>1989</v>
      </c>
      <c r="F11" s="175">
        <f xml:space="preserve"> IFERROR( IF($C11="", "", MATCH($C11, 十五音韻母清單!$K$6:$K$105,0)), "")</f>
        <v>21</v>
      </c>
      <c r="G11" s="175" t="str" cm="1">
        <f t="array" ref="G11" xml:space="preserve"> IFERROR( IF($C11="", "", INDEX(十五音韻母清單!$B$6:$K$105, $F11, G$2)), "")</f>
        <v>oo</v>
      </c>
      <c r="H11" s="175" cm="1">
        <f t="array" ref="H11" xml:space="preserve"> IFERROR( IF($C11="", "", INDEX(十五音韻母清單!$B$6:$K$105, $F11, H$2)), "")</f>
        <v>11</v>
      </c>
      <c r="I11" s="175" t="str" cm="1">
        <f t="array" ref="I11" xml:space="preserve"> IFERROR( IF($C11="", "", INDEX(十五音韻母清單!$B$6:$K$105, $F11, I$2)), "")</f>
        <v>oo</v>
      </c>
      <c r="J11" s="175" t="str" cm="1">
        <f t="array" ref="J11" xml:space="preserve"> IFERROR( IF($C11="", "", INDEX(十五音韻母清單!$B$6:$K$105, $F11, J$2)), "")</f>
        <v>沽</v>
      </c>
      <c r="K11" s="175" t="str" cm="1">
        <f t="array" ref="K11" xml:space="preserve"> IFERROR( IF($C11="", "", INDEX(十五音韻母清單!$B$6:$K$105, $F11, K$2)), "")</f>
        <v>舒聲</v>
      </c>
      <c r="L11" s="175" t="str" cm="1">
        <f t="array" ref="L11" xml:space="preserve"> IFERROR( IF($C11="", "", INDEX(十五音韻母清單!$B$6:$K$105, $F11, L$2)), "")</f>
        <v>ɔ</v>
      </c>
    </row>
    <row r="12" spans="2:16">
      <c r="B12" s="175">
        <v>5</v>
      </c>
      <c r="C12" s="184" t="s">
        <v>2218</v>
      </c>
      <c r="D12" s="187" t="s">
        <v>2223</v>
      </c>
      <c r="E12" s="185" t="s">
        <v>1989</v>
      </c>
      <c r="F12" s="175" t="str">
        <f xml:space="preserve"> IFERROR( IF($C12="", "", MATCH($C12, 十五音韻母清單!$K$6:$K$105,0)), "")</f>
        <v/>
      </c>
      <c r="G12" s="175" t="str" cm="1">
        <f t="array" ref="G12" xml:space="preserve"> IFERROR( IF($C12="", "", INDEX(十五音韻母清單!$B$6:$K$105, $F12, G$2)), "")</f>
        <v/>
      </c>
      <c r="H12" s="175" t="str" cm="1">
        <f t="array" ref="H12" xml:space="preserve"> IFERROR( IF($C12="", "", INDEX(十五音韻母清單!$B$6:$K$105, $F12, H$2)), "")</f>
        <v/>
      </c>
      <c r="I12" s="175" t="str" cm="1">
        <f t="array" ref="I12" xml:space="preserve"> IFERROR( IF($C12="", "", INDEX(十五音韻母清單!$B$6:$K$105, $F12, I$2)), "")</f>
        <v/>
      </c>
      <c r="J12" s="175" t="str" cm="1">
        <f t="array" ref="J12" xml:space="preserve"> IFERROR( IF($C12="", "", INDEX(十五音韻母清單!$B$6:$K$105, $F12, J$2)), "")</f>
        <v/>
      </c>
      <c r="K12" s="175" t="str" cm="1">
        <f t="array" ref="K12" xml:space="preserve"> IFERROR( IF($C12="", "", INDEX(十五音韻母清單!$B$6:$K$105, $F12, K$2)), "")</f>
        <v/>
      </c>
      <c r="L12" s="175" t="str" cm="1">
        <f t="array" ref="L12" xml:space="preserve"> IFERROR( IF($C12="", "", INDEX(十五音韻母清單!$B$6:$K$105, $F12, L$2)), "")</f>
        <v/>
      </c>
    </row>
    <row r="13" spans="2:16">
      <c r="B13" s="175">
        <v>6</v>
      </c>
      <c r="C13" s="175" t="s">
        <v>418</v>
      </c>
      <c r="D13" s="180" t="s">
        <v>2223</v>
      </c>
      <c r="E13" s="178" t="s">
        <v>1989</v>
      </c>
      <c r="F13" s="175">
        <f xml:space="preserve"> IFERROR( IF($C13="", "", MATCH($C13, 十五音韻母清單!$K$6:$K$105,0)), "")</f>
        <v>53</v>
      </c>
      <c r="G13" s="175" t="str" cm="1">
        <f t="array" ref="G13" xml:space="preserve"> IFERROR( IF($C13="", "", INDEX(十五音韻母清單!$B$6:$K$105, $F13, G$2)), "")</f>
        <v>u</v>
      </c>
      <c r="H13" s="175" cm="1">
        <f t="array" ref="H13" xml:space="preserve"> IFERROR( IF($C13="", "", INDEX(十五音韻母清單!$B$6:$K$105, $F13, H$2)), "")</f>
        <v>27</v>
      </c>
      <c r="I13" s="175" t="str" cm="1">
        <f t="array" ref="I13" xml:space="preserve"> IFERROR( IF($C13="", "", INDEX(十五音韻母清單!$B$6:$K$105, $F13, I$2)), "")</f>
        <v>u</v>
      </c>
      <c r="J13" s="175" t="str" cm="1">
        <f t="array" ref="J13" xml:space="preserve"> IFERROR( IF($C13="", "", INDEX(十五音韻母清單!$B$6:$K$105, $F13, J$2)), "")</f>
        <v>艍</v>
      </c>
      <c r="K13" s="175" t="str" cm="1">
        <f t="array" ref="K13" xml:space="preserve"> IFERROR( IF($C13="", "", INDEX(十五音韻母清單!$B$6:$K$105, $F13, K$2)), "")</f>
        <v>舒聲</v>
      </c>
      <c r="L13" s="175" t="str" cm="1">
        <f t="array" ref="L13" xml:space="preserve"> IFERROR( IF($C13="", "", INDEX(十五音韻母清單!$B$6:$K$105, $F13, L$2)), "")</f>
        <v>u</v>
      </c>
    </row>
    <row r="14" spans="2:16">
      <c r="B14" s="175">
        <v>7</v>
      </c>
      <c r="C14" s="184" t="s">
        <v>195</v>
      </c>
      <c r="D14" s="187" t="s">
        <v>2223</v>
      </c>
      <c r="E14" s="185" t="s">
        <v>1989</v>
      </c>
      <c r="F14" s="175">
        <f xml:space="preserve"> IFERROR( IF($C14="", "", MATCH($C14, 十五音韻母清單!$K$6:$K$105,0)), "")</f>
        <v>9</v>
      </c>
      <c r="G14" s="175" t="str" cm="1">
        <f t="array" ref="G14" xml:space="preserve"> IFERROR( IF($C14="", "", INDEX(十五音韻母清單!$B$6:$K$105, $F14, G$2)), "")</f>
        <v>ee</v>
      </c>
      <c r="H14" s="175" cm="1">
        <f t="array" ref="H14" xml:space="preserve"> IFERROR( IF($C14="", "", INDEX(十五音韻母清單!$B$6:$K$105, $F14, H$2)), "")</f>
        <v>5</v>
      </c>
      <c r="I14" s="175" t="str" cm="1">
        <f t="array" ref="I14" xml:space="preserve"> IFERROR( IF($C14="", "", INDEX(十五音韻母清單!$B$6:$K$105, $F14, I$2)), "")</f>
        <v>ee</v>
      </c>
      <c r="J14" s="175" t="str" cm="1">
        <f t="array" ref="J14" xml:space="preserve"> IFERROR( IF($C14="", "", INDEX(十五音韻母清單!$B$6:$K$105, $F14, J$2)), "")</f>
        <v>嘉</v>
      </c>
      <c r="K14" s="175" t="str" cm="1">
        <f t="array" ref="K14" xml:space="preserve"> IFERROR( IF($C14="", "", INDEX(十五音韻母清單!$B$6:$K$105, $F14, K$2)), "")</f>
        <v>舒聲</v>
      </c>
      <c r="L14" s="175" t="str" cm="1">
        <f t="array" ref="L14" xml:space="preserve"> IFERROR( IF($C14="", "", INDEX(十五音韻母清單!$B$6:$K$105, $F14, L$2)), "")</f>
        <v>ɛ</v>
      </c>
    </row>
    <row r="15" spans="2:16">
      <c r="B15" s="175">
        <v>8</v>
      </c>
      <c r="C15" s="175" t="s">
        <v>302</v>
      </c>
      <c r="D15" s="180" t="s">
        <v>2223</v>
      </c>
      <c r="E15" s="178" t="s">
        <v>1989</v>
      </c>
      <c r="F15" s="175">
        <f xml:space="preserve"> IFERROR( IF($C15="", "", MATCH($C15, 十五音韻母清單!$K$6:$K$105,0)), "")</f>
        <v>29</v>
      </c>
      <c r="G15" s="175" t="str" cm="1">
        <f t="array" ref="G15" xml:space="preserve"> IFERROR( IF($C15="", "", INDEX(十五音韻母清單!$B$6:$K$105, $F15, G$2)), "")</f>
        <v>o</v>
      </c>
      <c r="H15" s="175" cm="1">
        <f t="array" ref="H15" xml:space="preserve"> IFERROR( IF($C15="", "", INDEX(十五音韻母清單!$B$6:$K$105, $F15, H$2)), "")</f>
        <v>15</v>
      </c>
      <c r="I15" s="175" t="str" cm="1">
        <f t="array" ref="I15" xml:space="preserve"> IFERROR( IF($C15="", "", INDEX(十五音韻母清單!$B$6:$K$105, $F15, I$2)), "")</f>
        <v>o</v>
      </c>
      <c r="J15" s="175" t="str" cm="1">
        <f t="array" ref="J15" xml:space="preserve"> IFERROR( IF($C15="", "", INDEX(十五音韻母清單!$B$6:$K$105, $F15, J$2)), "")</f>
        <v>高</v>
      </c>
      <c r="K15" s="175" t="str" cm="1">
        <f t="array" ref="K15" xml:space="preserve"> IFERROR( IF($C15="", "", INDEX(十五音韻母清單!$B$6:$K$105, $F15, K$2)), "")</f>
        <v>舒聲</v>
      </c>
      <c r="L15" s="175" t="str" cm="1">
        <f t="array" ref="L15" xml:space="preserve"> IFERROR( IF($C15="", "", INDEX(十五音韻母清單!$B$6:$K$105, $F15, L$2)), "")</f>
        <v>o</v>
      </c>
    </row>
    <row r="16" spans="2:16">
      <c r="B16" s="175">
        <v>9</v>
      </c>
      <c r="C16" s="184" t="s">
        <v>2219</v>
      </c>
      <c r="D16" s="187" t="s">
        <v>2223</v>
      </c>
      <c r="E16" s="185" t="s">
        <v>1989</v>
      </c>
      <c r="F16" s="175" t="str">
        <f xml:space="preserve"> IFERROR( IF($C16="", "", MATCH($C16, 十五音韻母清單!$K$6:$K$105,0)), "")</f>
        <v/>
      </c>
      <c r="G16" s="175" t="str" cm="1">
        <f t="array" ref="G16" xml:space="preserve"> IFERROR( IF($C16="", "", INDEX(十五音韻母清單!$B$6:$K$105, $F16, G$2)), "")</f>
        <v/>
      </c>
      <c r="H16" s="175" t="str" cm="1">
        <f t="array" ref="H16" xml:space="preserve"> IFERROR( IF($C16="", "", INDEX(十五音韻母清單!$B$6:$K$105, $F16, H$2)), "")</f>
        <v/>
      </c>
      <c r="I16" s="175" t="str" cm="1">
        <f t="array" ref="I16" xml:space="preserve"> IFERROR( IF($C16="", "", INDEX(十五音韻母清單!$B$6:$K$105, $F16, I$2)), "")</f>
        <v/>
      </c>
      <c r="J16" s="175" t="str" cm="1">
        <f t="array" ref="J16" xml:space="preserve"> IFERROR( IF($C16="", "", INDEX(十五音韻母清單!$B$6:$K$105, $F16, J$2)), "")</f>
        <v/>
      </c>
      <c r="K16" s="175" t="str" cm="1">
        <f t="array" ref="K16" xml:space="preserve"> IFERROR( IF($C16="", "", INDEX(十五音韻母清單!$B$6:$K$105, $F16, K$2)), "")</f>
        <v/>
      </c>
      <c r="L16" s="175" t="str" cm="1">
        <f t="array" ref="L16" xml:space="preserve"> IFERROR( IF($C16="", "", INDEX(十五音韻母清單!$B$6:$K$105, $F16, L$2)), "")</f>
        <v/>
      </c>
      <c r="N16" s="174" t="s">
        <v>2224</v>
      </c>
      <c r="O16" s="194"/>
      <c r="P16" s="193" t="s">
        <v>2225</v>
      </c>
    </row>
    <row r="17" spans="2:15">
      <c r="B17" s="175">
        <v>10</v>
      </c>
      <c r="C17" s="175" t="s">
        <v>312</v>
      </c>
      <c r="D17" s="180" t="s">
        <v>2223</v>
      </c>
      <c r="E17" s="178" t="s">
        <v>1989</v>
      </c>
      <c r="F17" s="175">
        <f xml:space="preserve"> IFERROR( IF($C17="", "", MATCH($C17, 十五音韻母清單!$K$6:$K$105,0)), "")</f>
        <v>31</v>
      </c>
      <c r="G17" s="175" t="str" cm="1">
        <f t="array" ref="G17" xml:space="preserve"> IFERROR( IF($C17="", "", INDEX(十五音韻母清單!$B$6:$K$105, $F17, G$2)), "")</f>
        <v>ai</v>
      </c>
      <c r="H17" s="175" cm="1">
        <f t="array" ref="H17" xml:space="preserve"> IFERROR( IF($C17="", "", INDEX(十五音韻母清單!$B$6:$K$105, $F17, H$2)), "")</f>
        <v>16</v>
      </c>
      <c r="I17" s="175" t="str" cm="1">
        <f t="array" ref="I17" xml:space="preserve"> IFERROR( IF($C17="", "", INDEX(十五音韻母清單!$B$6:$K$105, $F17, I$2)), "")</f>
        <v>ai</v>
      </c>
      <c r="J17" s="175" t="str" cm="1">
        <f t="array" ref="J17" xml:space="preserve"> IFERROR( IF($C17="", "", INDEX(十五音韻母清單!$B$6:$K$105, $F17, J$2)), "")</f>
        <v>皆</v>
      </c>
      <c r="K17" s="175" t="str" cm="1">
        <f t="array" ref="K17" xml:space="preserve"> IFERROR( IF($C17="", "", INDEX(十五音韻母清單!$B$6:$K$105, $F17, K$2)), "")</f>
        <v>舒聲</v>
      </c>
      <c r="L17" s="175" t="str" cm="1">
        <f t="array" ref="L17" xml:space="preserve"> IFERROR( IF($C17="", "", INDEX(十五音韻母清單!$B$6:$K$105, $F17, L$2)), "")</f>
        <v>ai</v>
      </c>
    </row>
    <row r="18" spans="2:15">
      <c r="B18" s="175">
        <v>11</v>
      </c>
      <c r="C18" s="175" t="s">
        <v>374</v>
      </c>
      <c r="D18" s="180" t="s">
        <v>2223</v>
      </c>
      <c r="E18" s="178" t="s">
        <v>1989</v>
      </c>
      <c r="F18" s="175">
        <f xml:space="preserve"> IFERROR( IF($C18="", "", MATCH($C18, 十五音韻母清單!$K$6:$K$105,0)), "")</f>
        <v>45</v>
      </c>
      <c r="G18" s="175" t="str" cm="1">
        <f t="array" ref="G18" xml:space="preserve"> IFERROR( IF($C18="", "", INDEX(十五音韻母清單!$B$6:$K$105, $F18, G$2)), "")</f>
        <v>au</v>
      </c>
      <c r="H18" s="175" cm="1">
        <f t="array" ref="H18" xml:space="preserve"> IFERROR( IF($C18="", "", INDEX(十五音韻母清單!$B$6:$K$105, $F18, H$2)), "")</f>
        <v>23</v>
      </c>
      <c r="I18" s="175" t="str" cm="1">
        <f t="array" ref="I18" xml:space="preserve"> IFERROR( IF($C18="", "", INDEX(十五音韻母清單!$B$6:$K$105, $F18, I$2)), "")</f>
        <v>au</v>
      </c>
      <c r="J18" s="175" t="str" cm="1">
        <f t="array" ref="J18" xml:space="preserve"> IFERROR( IF($C18="", "", INDEX(十五音韻母清單!$B$6:$K$105, $F18, J$2)), "")</f>
        <v>交</v>
      </c>
      <c r="K18" s="175" t="str" cm="1">
        <f t="array" ref="K18" xml:space="preserve"> IFERROR( IF($C18="", "", INDEX(十五音韻母清單!$B$6:$K$105, $F18, K$2)), "")</f>
        <v>舒聲</v>
      </c>
      <c r="L18" s="175" t="str" cm="1">
        <f t="array" ref="L18" xml:space="preserve"> IFERROR( IF($C18="", "", INDEX(十五音韻母清單!$B$6:$K$105, $F18, L$2)), "")</f>
        <v>aʊ</v>
      </c>
    </row>
    <row r="19" spans="2:15">
      <c r="B19" s="175">
        <v>12</v>
      </c>
      <c r="C19" s="175" t="s">
        <v>408</v>
      </c>
      <c r="D19" s="180" t="s">
        <v>2223</v>
      </c>
      <c r="E19" s="178" t="s">
        <v>1989</v>
      </c>
      <c r="F19" s="175">
        <f xml:space="preserve"> IFERROR( IF($C19="", "", MATCH($C19, 十五音韻母清單!$K$6:$K$105,0)), "")</f>
        <v>51</v>
      </c>
      <c r="G19" s="175" t="str" cm="1">
        <f t="array" ref="G19" xml:space="preserve"> IFERROR( IF($C19="", "", INDEX(十五音韻母清單!$B$6:$K$105, $F19, G$2)), "")</f>
        <v>ann</v>
      </c>
      <c r="H19" s="175" cm="1">
        <f t="array" ref="H19" xml:space="preserve"> IFERROR( IF($C19="", "", INDEX(十五音韻母清單!$B$6:$K$105, $F19, H$2)), "")</f>
        <v>26</v>
      </c>
      <c r="I19" s="175" t="str" cm="1">
        <f t="array" ref="I19" xml:space="preserve"> IFERROR( IF($C19="", "", INDEX(十五音韻母清單!$B$6:$K$105, $F19, I$2)), "")</f>
        <v>ann</v>
      </c>
      <c r="J19" s="175" t="str" cm="1">
        <f t="array" ref="J19" xml:space="preserve"> IFERROR( IF($C19="", "", INDEX(十五音韻母清單!$B$6:$K$105, $F19, J$2)), "")</f>
        <v>監</v>
      </c>
      <c r="K19" s="175" t="str" cm="1">
        <f t="array" ref="K19" xml:space="preserve"> IFERROR( IF($C19="", "", INDEX(十五音韻母清單!$B$6:$K$105, $F19, K$2)), "")</f>
        <v>舒聲</v>
      </c>
      <c r="L19" s="175" t="str" cm="1">
        <f t="array" ref="L19" xml:space="preserve"> IFERROR( IF($C19="", "", INDEX(十五音韻母清單!$B$6:$K$105, $F19, L$2)), "")</f>
        <v>ã</v>
      </c>
    </row>
    <row r="20" spans="2:15">
      <c r="B20" s="175">
        <v>13</v>
      </c>
      <c r="C20" s="175" t="s">
        <v>457</v>
      </c>
      <c r="D20" s="180" t="s">
        <v>2223</v>
      </c>
      <c r="E20" s="178" t="s">
        <v>1989</v>
      </c>
      <c r="F20" s="175">
        <f xml:space="preserve"> IFERROR( IF($C20="", "", MATCH($C20, 十五音韻母清單!$K$6:$K$105,0)), "")</f>
        <v>61</v>
      </c>
      <c r="G20" s="175" t="str" cm="1">
        <f t="array" ref="G20" xml:space="preserve"> IFERROR( IF($C20="", "", INDEX(十五音韻母清單!$B$6:$K$105, $F20, G$2)), "")</f>
        <v>enn</v>
      </c>
      <c r="H20" s="175" cm="1">
        <f t="array" ref="H20" xml:space="preserve"> IFERROR( IF($C20="", "", INDEX(十五音韻母清單!$B$6:$K$105, $F20, H$2)), "")</f>
        <v>31</v>
      </c>
      <c r="I20" s="175" t="str" cm="1">
        <f t="array" ref="I20" xml:space="preserve"> IFERROR( IF($C20="", "", INDEX(十五音韻母清單!$B$6:$K$105, $F20, I$2)), "")</f>
        <v>enn</v>
      </c>
      <c r="J20" s="175" t="str" cm="1">
        <f t="array" ref="J20" xml:space="preserve"> IFERROR( IF($C20="", "", INDEX(十五音韻母清單!$B$6:$K$105, $F20, J$2)), "")</f>
        <v>更</v>
      </c>
      <c r="K20" s="175" t="str" cm="1">
        <f t="array" ref="K20" xml:space="preserve"> IFERROR( IF($C20="", "", INDEX(十五音韻母清單!$B$6:$K$105, $F20, K$2)), "")</f>
        <v>舒聲</v>
      </c>
      <c r="L20" s="175" t="str" cm="1">
        <f t="array" ref="L20" xml:space="preserve"> IFERROR( IF($C20="", "", INDEX(十五音韻母清單!$B$6:$K$105, $F20, L$2)), "")</f>
        <v>ẽ</v>
      </c>
    </row>
    <row r="21" spans="2:15">
      <c r="B21" s="175">
        <v>14</v>
      </c>
      <c r="C21" s="175" t="s">
        <v>498</v>
      </c>
      <c r="D21" s="180" t="s">
        <v>2223</v>
      </c>
      <c r="E21" s="178" t="s">
        <v>1989</v>
      </c>
      <c r="F21" s="175">
        <f xml:space="preserve"> IFERROR( IF($C21="", "", MATCH($C21, 十五音韻母清單!$K$6:$K$105,0)), "")</f>
        <v>67</v>
      </c>
      <c r="G21" s="175" t="str" cm="1">
        <f t="array" ref="G21" xml:space="preserve"> IFERROR( IF($C21="", "", INDEX(十五音韻母清單!$B$6:$K$105, $F21, G$2)), "")</f>
        <v>inn</v>
      </c>
      <c r="H21" s="175" cm="1">
        <f t="array" ref="H21" xml:space="preserve"> IFERROR( IF($C21="", "", INDEX(十五音韻母清單!$B$6:$K$105, $F21, H$2)), "")</f>
        <v>34</v>
      </c>
      <c r="I21" s="175" t="str" cm="1">
        <f t="array" ref="I21" xml:space="preserve"> IFERROR( IF($C21="", "", INDEX(十五音韻母清單!$B$6:$K$105, $F21, I$2)), "")</f>
        <v>inn</v>
      </c>
      <c r="J21" s="175" t="str" cm="1">
        <f t="array" ref="J21" xml:space="preserve"> IFERROR( IF($C21="", "", INDEX(十五音韻母清單!$B$6:$K$105, $F21, J$2)), "")</f>
        <v>梔</v>
      </c>
      <c r="K21" s="175" t="str" cm="1">
        <f t="array" ref="K21" xml:space="preserve"> IFERROR( IF($C21="", "", INDEX(十五音韻母清單!$B$6:$K$105, $F21, K$2)), "")</f>
        <v>舒聲</v>
      </c>
      <c r="L21" s="175" t="str" cm="1">
        <f t="array" ref="L21" xml:space="preserve"> IFERROR( IF($C21="", "", INDEX(十五音韻母清單!$B$6:$K$105, $F21, L$2)), "")</f>
        <v>ĩ</v>
      </c>
    </row>
    <row r="22" spans="2:15">
      <c r="B22" s="175">
        <v>15</v>
      </c>
      <c r="C22" s="175" t="s">
        <v>583</v>
      </c>
      <c r="D22" s="180" t="s">
        <v>2223</v>
      </c>
      <c r="E22" s="178" t="s">
        <v>1989</v>
      </c>
      <c r="F22" s="175">
        <f xml:space="preserve"> IFERROR( IF($C22="", "", MATCH($C22, 十五音韻母清單!$K$6:$K$105,0)), "")</f>
        <v>81</v>
      </c>
      <c r="G22" s="175" t="str" cm="1">
        <f t="array" ref="G22" xml:space="preserve"> IFERROR( IF($C22="", "", INDEX(十五音韻母清單!$B$6:$K$105, $F22, G$2)), "")</f>
        <v>onn</v>
      </c>
      <c r="H22" s="175" cm="1">
        <f t="array" ref="H22" xml:space="preserve"> IFERROR( IF($C22="", "", INDEX(十五音韻母清單!$B$6:$K$105, $F22, H$2)), "")</f>
        <v>41</v>
      </c>
      <c r="I22" s="175" t="str" cm="1">
        <f t="array" ref="I22" xml:space="preserve"> IFERROR( IF($C22="", "", INDEX(十五音韻母清單!$B$6:$K$105, $F22, I$2)), "")</f>
        <v>onn</v>
      </c>
      <c r="J22" s="175" t="str" cm="1">
        <f t="array" ref="J22" xml:space="preserve"> IFERROR( IF($C22="", "", INDEX(十五音韻母清單!$B$6:$K$105, $F22, J$2)), "")</f>
        <v>姑</v>
      </c>
      <c r="K22" s="175" t="str" cm="1">
        <f t="array" ref="K22" xml:space="preserve"> IFERROR( IF($C22="", "", INDEX(十五音韻母清單!$B$6:$K$105, $F22, K$2)), "")</f>
        <v>舒聲</v>
      </c>
      <c r="L22" s="175" t="str" cm="1">
        <f t="array" ref="L22" xml:space="preserve"> IFERROR( IF($C22="", "", INDEX(十五音韻母清單!$B$6:$K$105, $F22, L$2)), "")</f>
        <v>ɔ̃</v>
      </c>
    </row>
    <row r="23" spans="2:15">
      <c r="B23" s="175">
        <v>16</v>
      </c>
      <c r="C23" s="184" t="s">
        <v>1632</v>
      </c>
      <c r="D23" s="187" t="s">
        <v>2223</v>
      </c>
      <c r="E23" s="185" t="s">
        <v>1989</v>
      </c>
      <c r="F23" s="175" t="str">
        <f xml:space="preserve"> IFERROR( IF($C23="", "", MATCH($C23, 十五音韻母清單!$K$6:$K$105,0)), "")</f>
        <v/>
      </c>
      <c r="G23" s="175" t="str" cm="1">
        <f t="array" ref="G23" xml:space="preserve"> IFERROR( IF($C23="", "", INDEX(十五音韻母清單!$B$6:$K$105, $F23, G$2)), "")</f>
        <v/>
      </c>
      <c r="H23" s="175" t="str" cm="1">
        <f t="array" ref="H23" xml:space="preserve"> IFERROR( IF($C23="", "", INDEX(十五音韻母清單!$B$6:$K$105, $F23, H$2)), "")</f>
        <v/>
      </c>
      <c r="I23" s="175" t="str" cm="1">
        <f t="array" ref="I23" xml:space="preserve"> IFERROR( IF($C23="", "", INDEX(十五音韻母清單!$B$6:$K$105, $F23, I$2)), "")</f>
        <v/>
      </c>
      <c r="J23" s="175" t="str" cm="1">
        <f t="array" ref="J23" xml:space="preserve"> IFERROR( IF($C23="", "", INDEX(十五音韻母清單!$B$6:$K$105, $F23, J$2)), "")</f>
        <v/>
      </c>
      <c r="K23" s="175" t="str" cm="1">
        <f t="array" ref="K23" xml:space="preserve"> IFERROR( IF($C23="", "", INDEX(十五音韻母清單!$B$6:$K$105, $F23, K$2)), "")</f>
        <v/>
      </c>
      <c r="L23" s="175" t="str" cm="1">
        <f t="array" ref="L23" xml:space="preserve"> IFERROR( IF($C23="", "", INDEX(十五音韻母清單!$B$6:$K$105, $F23, L$2)), "")</f>
        <v/>
      </c>
      <c r="N23" s="174" t="s">
        <v>2226</v>
      </c>
      <c r="O23" s="174" t="s">
        <v>1634</v>
      </c>
    </row>
    <row r="24" spans="2:15">
      <c r="B24" s="175">
        <v>17</v>
      </c>
      <c r="C24" s="175" t="s">
        <v>592</v>
      </c>
      <c r="D24" s="180" t="s">
        <v>2223</v>
      </c>
      <c r="E24" s="178" t="s">
        <v>1989</v>
      </c>
      <c r="F24" s="175">
        <f xml:space="preserve"> IFERROR( IF($C24="", "", MATCH($C24, 十五音韻母清單!$K$6:$K$105,0)), "")</f>
        <v>83</v>
      </c>
      <c r="G24" s="175" t="str" cm="1">
        <f t="array" ref="G24" xml:space="preserve"> IFERROR( IF($C24="", "", INDEX(十五音韻母清單!$B$6:$K$105, $F24, G$2)), "")</f>
        <v>m</v>
      </c>
      <c r="H24" s="175" cm="1">
        <f t="array" ref="H24" xml:space="preserve"> IFERROR( IF($C24="", "", INDEX(十五音韻母清單!$B$6:$K$105, $F24, H$2)), "")</f>
        <v>42</v>
      </c>
      <c r="I24" s="175" t="str" cm="1">
        <f t="array" ref="I24" xml:space="preserve"> IFERROR( IF($C24="", "", INDEX(十五音韻母清單!$B$6:$K$105, $F24, I$2)), "")</f>
        <v>m</v>
      </c>
      <c r="J24" s="175" t="str" cm="1">
        <f t="array" ref="J24" xml:space="preserve"> IFERROR( IF($C24="", "", INDEX(十五音韻母清單!$B$6:$K$105, $F24, J$2)), "")</f>
        <v>姆</v>
      </c>
      <c r="K24" s="175" t="str" cm="1">
        <f t="array" ref="K24" xml:space="preserve"> IFERROR( IF($C24="", "", INDEX(十五音韻母清單!$B$6:$K$105, $F24, K$2)), "")</f>
        <v>舒聲</v>
      </c>
      <c r="L24" s="175" t="str" cm="1">
        <f t="array" ref="L24" xml:space="preserve"> IFERROR( IF($C24="", "", INDEX(十五音韻母清單!$B$6:$K$105, $F24, L$2)), "")</f>
        <v>m̩</v>
      </c>
    </row>
    <row r="25" spans="2:15">
      <c r="B25" s="175">
        <v>18</v>
      </c>
      <c r="C25" s="175" t="s">
        <v>549</v>
      </c>
      <c r="D25" s="180" t="s">
        <v>2223</v>
      </c>
      <c r="E25" s="178" t="s">
        <v>1989</v>
      </c>
      <c r="F25" s="175">
        <f xml:space="preserve"> IFERROR( IF($C25="", "", MATCH($C25, 十五音韻母清單!$K$6:$K$105,0)), "")</f>
        <v>75</v>
      </c>
      <c r="G25" s="175" t="str" cm="1">
        <f t="array" ref="G25" xml:space="preserve"> IFERROR( IF($C25="", "", INDEX(十五音韻母清單!$B$6:$K$105, $F25, G$2)), "")</f>
        <v>ng</v>
      </c>
      <c r="H25" s="175" cm="1">
        <f t="array" ref="H25" xml:space="preserve"> IFERROR( IF($C25="", "", INDEX(十五音韻母清單!$B$6:$K$105, $F25, H$2)), "")</f>
        <v>38</v>
      </c>
      <c r="I25" s="175" t="str" cm="1">
        <f t="array" ref="I25" xml:space="preserve"> IFERROR( IF($C25="", "", INDEX(十五音韻母清單!$B$6:$K$105, $F25, I$2)), "")</f>
        <v>ng</v>
      </c>
      <c r="J25" s="175" t="str" cm="1">
        <f t="array" ref="J25" xml:space="preserve"> IFERROR( IF($C25="", "", INDEX(十五音韻母清單!$B$6:$K$105, $F25, J$2)), "")</f>
        <v>鋼</v>
      </c>
      <c r="K25" s="175" t="str" cm="1">
        <f t="array" ref="K25" xml:space="preserve"> IFERROR( IF($C25="", "", INDEX(十五音韻母清單!$B$6:$K$105, $F25, K$2)), "")</f>
        <v>舒聲</v>
      </c>
      <c r="L25" s="175" t="str" cm="1">
        <f t="array" ref="L25" xml:space="preserve"> IFERROR( IF($C25="", "", INDEX(十五音韻母清單!$B$6:$K$105, $F25, L$2)), "")</f>
        <v>ŋ̍</v>
      </c>
    </row>
    <row r="26" spans="2:15">
      <c r="B26" s="175">
        <v>19</v>
      </c>
      <c r="C26" s="175" t="s">
        <v>567</v>
      </c>
      <c r="D26" s="180" t="s">
        <v>2223</v>
      </c>
      <c r="E26" s="178" t="s">
        <v>1989</v>
      </c>
      <c r="F26" s="175">
        <f xml:space="preserve"> IFERROR( IF($C26="", "", MATCH($C26, 十五音韻母清單!$K$6:$K$105,0)), "")</f>
        <v>79</v>
      </c>
      <c r="G26" s="175" t="str" cm="1">
        <f t="array" ref="G26" xml:space="preserve"> IFERROR( IF($C26="", "", INDEX(十五音韻母清單!$B$6:$K$105, $F26, G$2)), "")</f>
        <v>ainn</v>
      </c>
      <c r="H26" s="175" cm="1">
        <f t="array" ref="H26" xml:space="preserve"> IFERROR( IF($C26="", "", INDEX(十五音韻母清單!$B$6:$K$105, $F26, H$2)), "")</f>
        <v>40</v>
      </c>
      <c r="I26" s="175" t="str" cm="1">
        <f t="array" ref="I26" xml:space="preserve"> IFERROR( IF($C26="", "", INDEX(十五音韻母清單!$B$6:$K$105, $F26, I$2)), "")</f>
        <v>ainn</v>
      </c>
      <c r="J26" s="175" t="str" cm="1">
        <f t="array" ref="J26" xml:space="preserve"> IFERROR( IF($C26="", "", INDEX(十五音韻母清單!$B$6:$K$105, $F26, J$2)), "")</f>
        <v>閒</v>
      </c>
      <c r="K26" s="175" t="str" cm="1">
        <f t="array" ref="K26" xml:space="preserve"> IFERROR( IF($C26="", "", INDEX(十五音韻母清單!$B$6:$K$105, $F26, K$2)), "")</f>
        <v>舒聲</v>
      </c>
      <c r="L26" s="175" t="str" cm="1">
        <f t="array" ref="L26" xml:space="preserve"> IFERROR( IF($C26="", "", INDEX(十五音韻母清單!$B$6:$K$105, $F26, L$2)), "")</f>
        <v>ãĩ</v>
      </c>
    </row>
    <row r="27" spans="2:15">
      <c r="B27" s="175">
        <v>20</v>
      </c>
      <c r="C27" s="175" t="s">
        <v>665</v>
      </c>
      <c r="D27" s="180" t="s">
        <v>2223</v>
      </c>
      <c r="E27" s="178" t="s">
        <v>1989</v>
      </c>
      <c r="F27" s="175">
        <f xml:space="preserve"> IFERROR( IF($C27="", "", MATCH($C27, 十五音韻母清單!$K$6:$K$105,0)), "")</f>
        <v>95</v>
      </c>
      <c r="G27" s="175" t="str" cm="1">
        <f t="array" ref="G27" xml:space="preserve"> IFERROR( IF($C27="", "", INDEX(十五音韻母清單!$B$6:$K$105, $F27, G$2)), "")</f>
        <v>aunn</v>
      </c>
      <c r="H27" s="175" cm="1">
        <f t="array" ref="H27" xml:space="preserve"> IFERROR( IF($C27="", "", INDEX(十五音韻母清單!$B$6:$K$105, $F27, H$2)), "")</f>
        <v>48</v>
      </c>
      <c r="I27" s="175" t="str" cm="1">
        <f t="array" ref="I27" xml:space="preserve"> IFERROR( IF($C27="", "", INDEX(十五音韻母清單!$B$6:$K$105, $F27, I$2)), "")</f>
        <v>aunn</v>
      </c>
      <c r="J27" s="175" t="str" cm="1">
        <f t="array" ref="J27" xml:space="preserve"> IFERROR( IF($C27="", "", INDEX(十五音韻母清單!$B$6:$K$105, $F27, J$2)), "")</f>
        <v>爻</v>
      </c>
      <c r="K27" s="175" t="str" cm="1">
        <f t="array" ref="K27" xml:space="preserve"> IFERROR( IF($C27="", "", INDEX(十五音韻母清單!$B$6:$K$105, $F27, K$2)), "")</f>
        <v>舒聲</v>
      </c>
      <c r="L27" s="175" t="str" cm="1">
        <f t="array" ref="L27" xml:space="preserve"> IFERROR( IF($C27="", "", INDEX(十五音韻母清單!$B$6:$K$105, $F27, L$2)), "")</f>
        <v>ãũ</v>
      </c>
      <c r="O27" s="173"/>
    </row>
    <row r="28" spans="2:15">
      <c r="B28" s="175">
        <v>21</v>
      </c>
      <c r="C28" s="175" t="s">
        <v>336</v>
      </c>
      <c r="D28" s="180" t="s">
        <v>2223</v>
      </c>
      <c r="E28" s="178" t="s">
        <v>1989</v>
      </c>
      <c r="F28" s="175">
        <f xml:space="preserve"> IFERROR( IF($C28="", "", MATCH($C28, 十五音韻母清單!$K$6:$K$105,0)), "")</f>
        <v>37</v>
      </c>
      <c r="G28" s="175" t="str" cm="1">
        <f t="array" ref="G28" xml:space="preserve"> IFERROR( IF($C28="", "", INDEX(十五音韻母清單!$B$6:$K$105, $F28, G$2)), "")</f>
        <v>am</v>
      </c>
      <c r="H28" s="175" cm="1">
        <f t="array" ref="H28" xml:space="preserve"> IFERROR( IF($C28="", "", INDEX(十五音韻母清單!$B$6:$K$105, $F28, H$2)), "")</f>
        <v>19</v>
      </c>
      <c r="I28" s="175" t="str" cm="1">
        <f t="array" ref="I28" xml:space="preserve"> IFERROR( IF($C28="", "", INDEX(十五音韻母清單!$B$6:$K$105, $F28, I$2)), "")</f>
        <v>am</v>
      </c>
      <c r="J28" s="175" t="str" cm="1">
        <f t="array" ref="J28" xml:space="preserve"> IFERROR( IF($C28="", "", INDEX(十五音韻母清單!$B$6:$K$105, $F28, J$2)), "")</f>
        <v>甘</v>
      </c>
      <c r="K28" s="175" t="str" cm="1">
        <f t="array" ref="K28" xml:space="preserve"> IFERROR( IF($C28="", "", INDEX(十五音韻母清單!$B$6:$K$105, $F28, K$2)), "")</f>
        <v>舒聲</v>
      </c>
      <c r="L28" s="175" t="str" cm="1">
        <f t="array" ref="L28" xml:space="preserve"> IFERROR( IF($C28="", "", INDEX(十五音韻母清單!$B$6:$K$105, $F28, L$2)), "")</f>
        <v>am</v>
      </c>
      <c r="O28" s="173"/>
    </row>
    <row r="29" spans="2:15">
      <c r="B29" s="175">
        <v>22</v>
      </c>
      <c r="C29" s="175" t="s">
        <v>207</v>
      </c>
      <c r="D29" s="180" t="s">
        <v>2223</v>
      </c>
      <c r="E29" s="178" t="s">
        <v>1989</v>
      </c>
      <c r="F29" s="175">
        <f xml:space="preserve"> IFERROR( IF($C29="", "", MATCH($C29, 十五音韻母清單!$K$6:$K$105,0)), "")</f>
        <v>11</v>
      </c>
      <c r="G29" s="175" t="str" cm="1">
        <f t="array" ref="G29" xml:space="preserve"> IFERROR( IF($C29="", "", INDEX(十五音韻母清單!$B$6:$K$105, $F29, G$2)), "")</f>
        <v>an</v>
      </c>
      <c r="H29" s="175" cm="1">
        <f t="array" ref="H29" xml:space="preserve"> IFERROR( IF($C29="", "", INDEX(十五音韻母清單!$B$6:$K$105, $F29, H$2)), "")</f>
        <v>6</v>
      </c>
      <c r="I29" s="175" t="str" cm="1">
        <f t="array" ref="I29" xml:space="preserve"> IFERROR( IF($C29="", "", INDEX(十五音韻母清單!$B$6:$K$105, $F29, I$2)), "")</f>
        <v>an</v>
      </c>
      <c r="J29" s="175" t="str" cm="1">
        <f t="array" ref="J29" xml:space="preserve"> IFERROR( IF($C29="", "", INDEX(十五音韻母清單!$B$6:$K$105, $F29, J$2)), "")</f>
        <v>干</v>
      </c>
      <c r="K29" s="175" t="str" cm="1">
        <f t="array" ref="K29" xml:space="preserve"> IFERROR( IF($C29="", "", INDEX(十五音韻母清單!$B$6:$K$105, $F29, K$2)), "")</f>
        <v>舒聲</v>
      </c>
      <c r="L29" s="175" t="str" cm="1">
        <f t="array" ref="L29" xml:space="preserve"> IFERROR( IF($C29="", "", INDEX(十五音韻母清單!$B$6:$K$105, $F29, L$2)), "")</f>
        <v>an</v>
      </c>
    </row>
    <row r="30" spans="2:15">
      <c r="B30" s="175">
        <v>23</v>
      </c>
      <c r="C30" s="175" t="s">
        <v>355</v>
      </c>
      <c r="D30" s="180" t="s">
        <v>2223</v>
      </c>
      <c r="E30" s="178" t="s">
        <v>1989</v>
      </c>
      <c r="F30" s="175">
        <f xml:space="preserve"> IFERROR( IF($C30="", "", MATCH($C30, 十五音韻母清單!$K$6:$K$105,0)), "")</f>
        <v>41</v>
      </c>
      <c r="G30" s="175" t="str" cm="1">
        <f t="array" ref="G30" xml:space="preserve"> IFERROR( IF($C30="", "", INDEX(十五音韻母清單!$B$6:$K$105, $F30, G$2)), "")</f>
        <v>ang</v>
      </c>
      <c r="H30" s="175" cm="1">
        <f t="array" ref="H30" xml:space="preserve"> IFERROR( IF($C30="", "", INDEX(十五音韻母清單!$B$6:$K$105, $F30, H$2)), "")</f>
        <v>21</v>
      </c>
      <c r="I30" s="175" t="str" cm="1">
        <f t="array" ref="I30" xml:space="preserve"> IFERROR( IF($C30="", "", INDEX(十五音韻母清單!$B$6:$K$105, $F30, I$2)), "")</f>
        <v>ang</v>
      </c>
      <c r="J30" s="175" t="str" cm="1">
        <f t="array" ref="J30" xml:space="preserve"> IFERROR( IF($C30="", "", INDEX(十五音韻母清單!$B$6:$K$105, $F30, J$2)), "")</f>
        <v>江</v>
      </c>
      <c r="K30" s="175" t="str" cm="1">
        <f t="array" ref="K30" xml:space="preserve"> IFERROR( IF($C30="", "", INDEX(十五音韻母清單!$B$6:$K$105, $F30, K$2)), "")</f>
        <v>舒聲</v>
      </c>
      <c r="L30" s="175" t="str" cm="1">
        <f t="array" ref="L30" xml:space="preserve"> IFERROR( IF($C30="", "", INDEX(十五音韻母清單!$B$6:$K$105, $F30, L$2)), "")</f>
        <v>aŋ</v>
      </c>
    </row>
    <row r="31" spans="2:15">
      <c r="B31" s="175">
        <v>24</v>
      </c>
      <c r="C31" s="175" t="s">
        <v>653</v>
      </c>
      <c r="D31" s="180" t="s">
        <v>2223</v>
      </c>
      <c r="E31" s="178" t="s">
        <v>1989</v>
      </c>
      <c r="F31" s="175">
        <f xml:space="preserve"> IFERROR( IF($C31="", "", MATCH($C31, 十五音韻母清單!$K$6:$K$105,0)), "")</f>
        <v>93</v>
      </c>
      <c r="G31" s="175" t="str" cm="1">
        <f t="array" ref="G31" xml:space="preserve"> IFERROR( IF($C31="", "", INDEX(十五音韻母清單!$B$6:$K$105, $F31, G$2)), "")</f>
        <v>om</v>
      </c>
      <c r="H31" s="175" cm="1">
        <f t="array" ref="H31" xml:space="preserve"> IFERROR( IF($C31="", "", INDEX(十五音韻母清單!$B$6:$K$105, $F31, H$2)), "")</f>
        <v>47</v>
      </c>
      <c r="I31" s="175" t="str" cm="1">
        <f t="array" ref="I31" xml:space="preserve"> IFERROR( IF($C31="", "", INDEX(十五音韻母清單!$B$6:$K$105, $F31, I$2)), "")</f>
        <v>om</v>
      </c>
      <c r="J31" s="175" t="str" cm="1">
        <f t="array" ref="J31" xml:space="preserve"> IFERROR( IF($C31="", "", INDEX(十五音韻母清單!$B$6:$K$105, $F31, J$2)), "")</f>
        <v>箴</v>
      </c>
      <c r="K31" s="175" t="str" cm="1">
        <f t="array" ref="K31" xml:space="preserve"> IFERROR( IF($C31="", "", INDEX(十五音韻母清單!$B$6:$K$105, $F31, K$2)), "")</f>
        <v>舒聲</v>
      </c>
      <c r="L31" s="175" t="str" cm="1">
        <f t="array" ref="L31" xml:space="preserve"> IFERROR( IF($C31="", "", INDEX(十五音韻母清單!$B$6:$K$105, $F31, L$2)), "")</f>
        <v>ɔm</v>
      </c>
    </row>
    <row r="32" spans="2:15">
      <c r="B32" s="175">
        <v>25</v>
      </c>
      <c r="C32" s="175" t="s">
        <v>215</v>
      </c>
      <c r="D32" s="180" t="s">
        <v>2223</v>
      </c>
      <c r="E32" s="178" t="s">
        <v>1989</v>
      </c>
      <c r="F32" s="175">
        <f xml:space="preserve"> IFERROR( IF($C32="", "", MATCH($C32, 十五音韻母清單!$K$6:$K$105,0)), "")</f>
        <v>13</v>
      </c>
      <c r="G32" s="175" t="str" cm="1">
        <f t="array" ref="G32" xml:space="preserve"> IFERROR( IF($C32="", "", INDEX(十五音韻母清單!$B$6:$K$105, $F32, G$2)), "")</f>
        <v>ong</v>
      </c>
      <c r="H32" s="175" cm="1">
        <f t="array" ref="H32" xml:space="preserve"> IFERROR( IF($C32="", "", INDEX(十五音韻母清單!$B$6:$K$105, $F32, H$2)), "")</f>
        <v>7</v>
      </c>
      <c r="I32" s="175" t="str" cm="1">
        <f t="array" ref="I32" xml:space="preserve"> IFERROR( IF($C32="", "", INDEX(十五音韻母清單!$B$6:$K$105, $F32, I$2)), "")</f>
        <v>ong</v>
      </c>
      <c r="J32" s="175" t="str" cm="1">
        <f t="array" ref="J32" xml:space="preserve"> IFERROR( IF($C32="", "", INDEX(十五音韻母清單!$B$6:$K$105, $F32, J$2)), "")</f>
        <v>公</v>
      </c>
      <c r="K32" s="175" t="str" cm="1">
        <f t="array" ref="K32" xml:space="preserve"> IFERROR( IF($C32="", "", INDEX(十五音韻母清單!$B$6:$K$105, $F32, K$2)), "")</f>
        <v>舒聲</v>
      </c>
      <c r="L32" s="175" t="str" cm="1">
        <f t="array" ref="L32" xml:space="preserve"> IFERROR( IF($C32="", "", INDEX(十五音韻母清單!$B$6:$K$105, $F32, L$2)), "")</f>
        <v>ɔŋ</v>
      </c>
    </row>
    <row r="33" spans="2:15">
      <c r="B33" s="175">
        <v>26</v>
      </c>
      <c r="C33" s="184" t="s">
        <v>2220</v>
      </c>
      <c r="D33" s="187" t="s">
        <v>2223</v>
      </c>
      <c r="E33" s="185" t="s">
        <v>1989</v>
      </c>
      <c r="F33" s="175" t="str">
        <f xml:space="preserve"> IFERROR( IF($C33="", "", MATCH($C33, 十五音韻母清單!$K$6:$K$105,0)), "")</f>
        <v/>
      </c>
      <c r="G33" s="175" t="str" cm="1">
        <f t="array" ref="G33" xml:space="preserve"> IFERROR( IF($C33="", "", INDEX(十五音韻母清單!$B$6:$K$105, $F33, G$2)), "")</f>
        <v/>
      </c>
      <c r="H33" s="175" t="str" cm="1">
        <f t="array" ref="H33" xml:space="preserve"> IFERROR( IF($C33="", "", INDEX(十五音韻母清單!$B$6:$K$105, $F33, H$2)), "")</f>
        <v/>
      </c>
      <c r="I33" s="175" t="str" cm="1">
        <f t="array" ref="I33" xml:space="preserve"> IFERROR( IF($C33="", "", INDEX(十五音韻母清單!$B$6:$K$105, $F33, I$2)), "")</f>
        <v/>
      </c>
      <c r="J33" s="175" t="str" cm="1">
        <f t="array" ref="J33" xml:space="preserve"> IFERROR( IF($C33="", "", INDEX(十五音韻母清單!$B$6:$K$105, $F33, J$2)), "")</f>
        <v/>
      </c>
      <c r="K33" s="175" t="str" cm="1">
        <f t="array" ref="K33" xml:space="preserve"> IFERROR( IF($C33="", "", INDEX(十五音韻母清單!$B$6:$K$105, $F33, K$2)), "")</f>
        <v/>
      </c>
      <c r="L33" s="175" t="str" cm="1">
        <f t="array" ref="L33" xml:space="preserve"> IFERROR( IF($C33="", "", INDEX(十五音韻母清單!$B$6:$K$105, $F33, L$2)), "")</f>
        <v/>
      </c>
      <c r="N33" s="192" t="s">
        <v>56</v>
      </c>
      <c r="O33" s="191" t="s">
        <v>2227</v>
      </c>
    </row>
    <row r="34" spans="2:15">
      <c r="B34" s="175">
        <v>27</v>
      </c>
      <c r="C34" s="196" t="s">
        <v>1613</v>
      </c>
      <c r="D34" s="187" t="s">
        <v>2223</v>
      </c>
      <c r="E34" s="185" t="s">
        <v>1989</v>
      </c>
      <c r="F34" s="175" t="str">
        <f xml:space="preserve"> IFERROR( IF($C34="", "", MATCH($C34, 十五音韻母清單!$K$6:$K$105,0)), "")</f>
        <v/>
      </c>
      <c r="G34" s="175" t="str" cm="1">
        <f t="array" ref="G34" xml:space="preserve"> IFERROR( IF($C34="", "", INDEX(十五音韻母清單!$B$6:$K$105, $F34, G$2)), "")</f>
        <v/>
      </c>
      <c r="H34" s="175" t="str" cm="1">
        <f t="array" ref="H34" xml:space="preserve"> IFERROR( IF($C34="", "", INDEX(十五音韻母清單!$B$6:$K$105, $F34, H$2)), "")</f>
        <v/>
      </c>
      <c r="I34" s="175" t="str" cm="1">
        <f t="array" ref="I34" xml:space="preserve"> IFERROR( IF($C34="", "", INDEX(十五音韻母清單!$B$6:$K$105, $F34, I$2)), "")</f>
        <v/>
      </c>
      <c r="J34" s="175" t="str" cm="1">
        <f t="array" ref="J34" xml:space="preserve"> IFERROR( IF($C34="", "", INDEX(十五音韻母清單!$B$6:$K$105, $F34, J$2)), "")</f>
        <v/>
      </c>
      <c r="K34" s="175" t="str" cm="1">
        <f t="array" ref="K34" xml:space="preserve"> IFERROR( IF($C34="", "", INDEX(十五音韻母清單!$B$6:$K$105, $F34, K$2)), "")</f>
        <v/>
      </c>
      <c r="L34" s="175" t="str" cm="1">
        <f t="array" ref="L34" xml:space="preserve"> IFERROR( IF($C34="", "", INDEX(十五音韻母清單!$B$6:$K$105, $F34, L$2)), "")</f>
        <v/>
      </c>
      <c r="N34" s="192" t="s">
        <v>2228</v>
      </c>
      <c r="O34" s="191" t="s">
        <v>2229</v>
      </c>
    </row>
    <row r="35" spans="2:15">
      <c r="B35" s="175">
        <v>28</v>
      </c>
      <c r="C35" s="175" t="s">
        <v>382</v>
      </c>
      <c r="D35" s="188" t="s">
        <v>2230</v>
      </c>
      <c r="E35" s="178" t="s">
        <v>1989</v>
      </c>
      <c r="F35" s="175">
        <f xml:space="preserve"> IFERROR( IF($C35="", "", MATCH($C35, 十五音韻母清單!$K$6:$K$105,0)), "")</f>
        <v>47</v>
      </c>
      <c r="G35" s="175" t="str" cm="1">
        <f t="array" ref="G35" xml:space="preserve"> IFERROR( IF($C35="", "", INDEX(十五音韻母清單!$B$6:$K$105, $F35, G$2)), "")</f>
        <v>ia</v>
      </c>
      <c r="H35" s="175" cm="1">
        <f t="array" ref="H35" xml:space="preserve"> IFERROR( IF($C35="", "", INDEX(十五音韻母清單!$B$6:$K$105, $F35, H$2)), "")</f>
        <v>24</v>
      </c>
      <c r="I35" s="175" t="str" cm="1">
        <f t="array" ref="I35" xml:space="preserve"> IFERROR( IF($C35="", "", INDEX(十五音韻母清單!$B$6:$K$105, $F35, I$2)), "")</f>
        <v>ia</v>
      </c>
      <c r="J35" s="175" t="str" cm="1">
        <f t="array" ref="J35" xml:space="preserve"> IFERROR( IF($C35="", "", INDEX(十五音韻母清單!$B$6:$K$105, $F35, J$2)), "")</f>
        <v>迦</v>
      </c>
      <c r="K35" s="175" t="str" cm="1">
        <f t="array" ref="K35" xml:space="preserve"> IFERROR( IF($C35="", "", INDEX(十五音韻母清單!$B$6:$K$105, $F35, K$2)), "")</f>
        <v>舒聲</v>
      </c>
      <c r="L35" s="175" t="str" cm="1">
        <f t="array" ref="L35" xml:space="preserve"> IFERROR( IF($C35="", "", INDEX(十五音韻母清單!$B$6:$K$105, $F35, L$2)), "")</f>
        <v>ia</v>
      </c>
    </row>
    <row r="36" spans="2:15">
      <c r="B36" s="175">
        <v>29</v>
      </c>
      <c r="C36" s="175" t="s">
        <v>527</v>
      </c>
      <c r="D36" s="188" t="s">
        <v>2230</v>
      </c>
      <c r="E36" s="178" t="s">
        <v>1989</v>
      </c>
      <c r="F36" s="175">
        <f xml:space="preserve"> IFERROR( IF($C36="", "", MATCH($C36, 十五音韻母清單!$K$6:$K$105,0)), "")</f>
        <v>71</v>
      </c>
      <c r="G36" s="175" t="str" cm="1">
        <f t="array" ref="G36" xml:space="preserve"> IFERROR( IF($C36="", "", INDEX(十五音韻母清單!$B$6:$K$105, $F36, G$2)), "")</f>
        <v>iann</v>
      </c>
      <c r="H36" s="175" cm="1">
        <f t="array" ref="H36" xml:space="preserve"> IFERROR( IF($C36="", "", INDEX(十五音韻母清單!$B$6:$K$105, $F36, H$2)), "")</f>
        <v>36</v>
      </c>
      <c r="I36" s="175" t="str" cm="1">
        <f t="array" ref="I36" xml:space="preserve"> IFERROR( IF($C36="", "", INDEX(十五音韻母清單!$B$6:$K$105, $F36, I$2)), "")</f>
        <v>iann</v>
      </c>
      <c r="J36" s="175" t="str" cm="1">
        <f t="array" ref="J36" xml:space="preserve"> IFERROR( IF($C36="", "", INDEX(十五音韻母清單!$B$6:$K$105, $F36, J$2)), "")</f>
        <v>驚</v>
      </c>
      <c r="K36" s="175" t="str" cm="1">
        <f t="array" ref="K36" xml:space="preserve"> IFERROR( IF($C36="", "", INDEX(十五音韻母清單!$B$6:$K$105, $F36, K$2)), "")</f>
        <v>舒聲</v>
      </c>
      <c r="L36" s="175" t="str" cm="1">
        <f t="array" ref="L36" xml:space="preserve"> IFERROR( IF($C36="", "", INDEX(十五音韻母清單!$B$6:$K$105, $F36, L$2)), "")</f>
        <v>ĩã</v>
      </c>
    </row>
    <row r="37" spans="2:15">
      <c r="B37" s="175">
        <v>30</v>
      </c>
      <c r="C37" s="184" t="s">
        <v>2231</v>
      </c>
      <c r="D37" s="189" t="s">
        <v>2232</v>
      </c>
      <c r="E37" s="185" t="s">
        <v>1989</v>
      </c>
      <c r="F37" s="175" t="str">
        <f xml:space="preserve"> IFERROR( IF($C37="", "", MATCH($C37, 十五音韻母清單!$K$6:$K$105,0)), "")</f>
        <v/>
      </c>
      <c r="G37" s="175" t="str" cm="1">
        <f t="array" ref="G37" xml:space="preserve"> IFERROR( IF($C37="", "", INDEX(十五音韻母清單!$B$6:$K$105, $F37, G$2)), "")</f>
        <v/>
      </c>
      <c r="H37" s="175" t="str" cm="1">
        <f t="array" ref="H37" xml:space="preserve"> IFERROR( IF($C37="", "", INDEX(十五音韻母清單!$B$6:$K$105, $F37, H$2)), "")</f>
        <v/>
      </c>
      <c r="I37" s="175" t="str" cm="1">
        <f t="array" ref="I37" xml:space="preserve"> IFERROR( IF($C37="", "", INDEX(十五音韻母清單!$B$6:$K$105, $F37, I$2)), "")</f>
        <v/>
      </c>
      <c r="J37" s="175" t="str" cm="1">
        <f t="array" ref="J37" xml:space="preserve"> IFERROR( IF($C37="", "", INDEX(十五音韻母清單!$B$6:$K$105, $F37, J$2)), "")</f>
        <v/>
      </c>
      <c r="K37" s="175" t="str" cm="1">
        <f t="array" ref="K37" xml:space="preserve"> IFERROR( IF($C37="", "", INDEX(十五音韻母清單!$B$6:$K$105, $F37, K$2)), "")</f>
        <v/>
      </c>
      <c r="L37" s="175" t="str" cm="1">
        <f t="array" ref="L37" xml:space="preserve"> IFERROR( IF($C37="", "", INDEX(十五音韻母清單!$B$6:$K$105, $F37, L$2)), "")</f>
        <v/>
      </c>
    </row>
    <row r="38" spans="2:15">
      <c r="B38" s="175">
        <v>31</v>
      </c>
      <c r="C38" s="175" t="s">
        <v>512</v>
      </c>
      <c r="D38" s="188" t="s">
        <v>2230</v>
      </c>
      <c r="E38" s="178" t="s">
        <v>1989</v>
      </c>
      <c r="F38" s="175">
        <f xml:space="preserve"> IFERROR( IF($C38="", "", MATCH($C38, 十五音韻母清單!$K$6:$K$105,0)), "")</f>
        <v>69</v>
      </c>
      <c r="G38" s="175" t="str" cm="1">
        <f t="array" ref="G38" xml:space="preserve"> IFERROR( IF($C38="", "", INDEX(十五音韻母清單!$B$6:$K$105, $F38, G$2)), "")</f>
        <v>ionn</v>
      </c>
      <c r="H38" s="175" cm="1">
        <f t="array" ref="H38" xml:space="preserve"> IFERROR( IF($C38="", "", INDEX(十五音韻母清單!$B$6:$K$105, $F38, H$2)), "")</f>
        <v>35</v>
      </c>
      <c r="I38" s="175" t="str" cm="1">
        <f t="array" ref="I38" xml:space="preserve"> IFERROR( IF($C38="", "", INDEX(十五音韻母清單!$B$6:$K$105, $F38, I$2)), "")</f>
        <v>ionn</v>
      </c>
      <c r="J38" s="175" t="str" cm="1">
        <f t="array" ref="J38" xml:space="preserve"> IFERROR( IF($C38="", "", INDEX(十五音韻母清單!$B$6:$K$105, $F38, J$2)), "")</f>
        <v>薑</v>
      </c>
      <c r="K38" s="175" t="str" cm="1">
        <f t="array" ref="K38" xml:space="preserve"> IFERROR( IF($C38="", "", INDEX(十五音韻母清單!$B$6:$K$105, $F38, K$2)), "")</f>
        <v>舒聲</v>
      </c>
      <c r="L38" s="175" t="str" cm="1">
        <f t="array" ref="L38" xml:space="preserve"> IFERROR( IF($C38="", "", INDEX(十五音韻母清單!$B$6:$K$105, $F38, L$2)), "")</f>
        <v>ĩɔ̃</v>
      </c>
    </row>
    <row r="39" spans="2:15">
      <c r="B39" s="175">
        <v>32</v>
      </c>
      <c r="C39" s="175" t="s">
        <v>271</v>
      </c>
      <c r="D39" s="188" t="s">
        <v>2230</v>
      </c>
      <c r="E39" s="178" t="s">
        <v>1989</v>
      </c>
      <c r="F39" s="175">
        <f xml:space="preserve"> IFERROR( IF($C39="", "", MATCH($C39, 十五音韻母清單!$K$6:$K$105,0)), "")</f>
        <v>23</v>
      </c>
      <c r="G39" s="175" t="str" cm="1">
        <f t="array" ref="G39" xml:space="preserve"> IFERROR( IF($C39="", "", INDEX(十五音韻母清單!$B$6:$K$105, $F39, G$2)), "")</f>
        <v>iau</v>
      </c>
      <c r="H39" s="175" cm="1">
        <f t="array" ref="H39" xml:space="preserve"> IFERROR( IF($C39="", "", INDEX(十五音韻母清單!$B$6:$K$105, $F39, H$2)), "")</f>
        <v>12</v>
      </c>
      <c r="I39" s="175" t="str" cm="1">
        <f t="array" ref="I39" xml:space="preserve"> IFERROR( IF($C39="", "", INDEX(十五音韻母清單!$B$6:$K$105, $F39, I$2)), "")</f>
        <v>iau</v>
      </c>
      <c r="J39" s="175" t="str" cm="1">
        <f t="array" ref="J39" xml:space="preserve"> IFERROR( IF($C39="", "", INDEX(十五音韻母清單!$B$6:$K$105, $F39, J$2)), "")</f>
        <v>嬌</v>
      </c>
      <c r="K39" s="175" t="str" cm="1">
        <f t="array" ref="K39" xml:space="preserve"> IFERROR( IF($C39="", "", INDEX(十五音韻母清單!$B$6:$K$105, $F39, K$2)), "")</f>
        <v>舒聲</v>
      </c>
      <c r="L39" s="175" t="str" cm="1">
        <f t="array" ref="L39" xml:space="preserve"> IFERROR( IF($C39="", "", INDEX(十五音韻母清單!$B$6:$K$105, $F39, L$2)), "")</f>
        <v>iaʊ</v>
      </c>
    </row>
    <row r="40" spans="2:15">
      <c r="B40" s="175">
        <v>33</v>
      </c>
      <c r="C40" s="175" t="s">
        <v>645</v>
      </c>
      <c r="D40" s="188" t="s">
        <v>2230</v>
      </c>
      <c r="E40" s="178" t="s">
        <v>1989</v>
      </c>
      <c r="F40" s="175">
        <f xml:space="preserve"> IFERROR( IF($C40="", "", MATCH($C40, 十五音韻母清單!$K$6:$K$105,0)), "")</f>
        <v>91</v>
      </c>
      <c r="G40" s="175" t="str" cm="1">
        <f t="array" ref="G40" xml:space="preserve"> IFERROR( IF($C40="", "", INDEX(十五音韻母清單!$B$6:$K$105, $F40, G$2)), "")</f>
        <v>iaunn</v>
      </c>
      <c r="H40" s="175" cm="1">
        <f t="array" ref="H40" xml:space="preserve"> IFERROR( IF($C40="", "", INDEX(十五音韻母清單!$B$6:$K$105, $F40, H$2)), "")</f>
        <v>46</v>
      </c>
      <c r="I40" s="175" t="str" cm="1">
        <f t="array" ref="I40" xml:space="preserve"> IFERROR( IF($C40="", "", INDEX(十五音韻母清單!$B$6:$K$105, $F40, I$2)), "")</f>
        <v>iaunn</v>
      </c>
      <c r="J40" s="175" t="str" cm="1">
        <f t="array" ref="J40" xml:space="preserve"> IFERROR( IF($C40="", "", INDEX(十五音韻母清單!$B$6:$K$105, $F40, J$2)), "")</f>
        <v>嘄</v>
      </c>
      <c r="K40" s="175" t="str" cm="1">
        <f t="array" ref="K40" xml:space="preserve"> IFERROR( IF($C40="", "", INDEX(十五音韻母清單!$B$6:$K$105, $F40, K$2)), "")</f>
        <v>舒聲</v>
      </c>
      <c r="L40" s="175" t="str" cm="1">
        <f t="array" ref="L40" xml:space="preserve"> IFERROR( IF($C40="", "", INDEX(十五音韻母清單!$B$6:$K$105, $F40, L$2)), "")</f>
        <v>ĩãũ</v>
      </c>
    </row>
    <row r="41" spans="2:15">
      <c r="B41" s="175">
        <v>34</v>
      </c>
      <c r="C41" s="175" t="s">
        <v>362</v>
      </c>
      <c r="D41" s="188" t="s">
        <v>2230</v>
      </c>
      <c r="E41" s="178" t="s">
        <v>1989</v>
      </c>
      <c r="F41" s="175">
        <f xml:space="preserve"> IFERROR( IF($C41="", "", MATCH($C41, 十五音韻母清單!$K$6:$K$105,0)), "")</f>
        <v>43</v>
      </c>
      <c r="G41" s="175" t="str" cm="1">
        <f t="array" ref="G41" xml:space="preserve"> IFERROR( IF($C41="", "", INDEX(十五音韻母清單!$B$6:$K$105, $F41, G$2)), "")</f>
        <v>iam</v>
      </c>
      <c r="H41" s="175" cm="1">
        <f t="array" ref="H41" xml:space="preserve"> IFERROR( IF($C41="", "", INDEX(十五音韻母清單!$B$6:$K$105, $F41, H$2)), "")</f>
        <v>22</v>
      </c>
      <c r="I41" s="175" t="str" cm="1">
        <f t="array" ref="I41" xml:space="preserve"> IFERROR( IF($C41="", "", INDEX(十五音韻母清單!$B$6:$K$105, $F41, I$2)), "")</f>
        <v>iam</v>
      </c>
      <c r="J41" s="175" t="str" cm="1">
        <f t="array" ref="J41" xml:space="preserve"> IFERROR( IF($C41="", "", INDEX(十五音韻母清單!$B$6:$K$105, $F41, J$2)), "")</f>
        <v>兼</v>
      </c>
      <c r="K41" s="175" t="str" cm="1">
        <f t="array" ref="K41" xml:space="preserve"> IFERROR( IF($C41="", "", INDEX(十五音韻母清單!$B$6:$K$105, $F41, K$2)), "")</f>
        <v>舒聲</v>
      </c>
      <c r="L41" s="175" t="str" cm="1">
        <f t="array" ref="L41" xml:space="preserve"> IFERROR( IF($C41="", "", INDEX(十五音韻母清單!$B$6:$K$105, $F41, L$2)), "")</f>
        <v>iam</v>
      </c>
    </row>
    <row r="42" spans="2:15">
      <c r="B42" s="175">
        <v>35</v>
      </c>
      <c r="C42" s="175" t="s">
        <v>174</v>
      </c>
      <c r="D42" s="188" t="s">
        <v>2230</v>
      </c>
      <c r="E42" s="178" t="s">
        <v>1989</v>
      </c>
      <c r="F42" s="175">
        <f xml:space="preserve"> IFERROR( IF($C42="", "", MATCH($C42, 十五音韻母清單!$K$6:$K$105,0)), "")</f>
        <v>5</v>
      </c>
      <c r="G42" s="175" t="str" cm="1">
        <f t="array" ref="G42" xml:space="preserve"> IFERROR( IF($C42="", "", INDEX(十五音韻母清單!$B$6:$K$105, $F42, G$2)), "")</f>
        <v>im</v>
      </c>
      <c r="H42" s="175" cm="1">
        <f t="array" ref="H42" xml:space="preserve"> IFERROR( IF($C42="", "", INDEX(十五音韻母清單!$B$6:$K$105, $F42, H$2)), "")</f>
        <v>3</v>
      </c>
      <c r="I42" s="175" t="str" cm="1">
        <f t="array" ref="I42" xml:space="preserve"> IFERROR( IF($C42="", "", INDEX(十五音韻母清單!$B$6:$K$105, $F42, I$2)), "")</f>
        <v>im</v>
      </c>
      <c r="J42" s="175" t="str" cm="1">
        <f t="array" ref="J42" xml:space="preserve"> IFERROR( IF($C42="", "", INDEX(十五音韻母清單!$B$6:$K$105, $F42, J$2)), "")</f>
        <v>金</v>
      </c>
      <c r="K42" s="175" t="str" cm="1">
        <f t="array" ref="K42" xml:space="preserve"> IFERROR( IF($C42="", "", INDEX(十五音韻母清單!$B$6:$K$105, $F42, K$2)), "")</f>
        <v>舒聲</v>
      </c>
      <c r="L42" s="175" t="str" cm="1">
        <f t="array" ref="L42" xml:space="preserve"> IFERROR( IF($C42="", "", INDEX(十五音韻母清單!$B$6:$K$105, $F42, L$2)), "")</f>
        <v>im</v>
      </c>
    </row>
    <row r="43" spans="2:15">
      <c r="B43" s="175">
        <v>36</v>
      </c>
      <c r="C43" s="175" t="s">
        <v>320</v>
      </c>
      <c r="D43" s="188" t="s">
        <v>2230</v>
      </c>
      <c r="E43" s="178" t="s">
        <v>1989</v>
      </c>
      <c r="F43" s="175">
        <f xml:space="preserve"> IFERROR( IF($C43="", "", MATCH($C43, 十五音韻母清單!$K$6:$K$105,0)), "")</f>
        <v>33</v>
      </c>
      <c r="G43" s="175" t="str" cm="1">
        <f t="array" ref="G43" xml:space="preserve"> IFERROR( IF($C43="", "", INDEX(十五音韻母清單!$B$6:$K$105, $F43, G$2)), "")</f>
        <v>in</v>
      </c>
      <c r="H43" s="175" cm="1">
        <f t="array" ref="H43" xml:space="preserve"> IFERROR( IF($C43="", "", INDEX(十五音韻母清單!$B$6:$K$105, $F43, H$2)), "")</f>
        <v>17</v>
      </c>
      <c r="I43" s="175" t="str" cm="1">
        <f t="array" ref="I43" xml:space="preserve"> IFERROR( IF($C43="", "", INDEX(十五音韻母清單!$B$6:$K$105, $F43, I$2)), "")</f>
        <v>in</v>
      </c>
      <c r="J43" s="175" t="str" cm="1">
        <f t="array" ref="J43" xml:space="preserve"> IFERROR( IF($C43="", "", INDEX(十五音韻母清單!$B$6:$K$105, $F43, J$2)), "")</f>
        <v>巾</v>
      </c>
      <c r="K43" s="175" t="str" cm="1">
        <f t="array" ref="K43" xml:space="preserve"> IFERROR( IF($C43="", "", INDEX(十五音韻母清單!$B$6:$K$105, $F43, K$2)), "")</f>
        <v>舒聲</v>
      </c>
      <c r="L43" s="175" t="str" cm="1">
        <f t="array" ref="L43" xml:space="preserve"> IFERROR( IF($C43="", "", INDEX(十五音韻母清單!$B$6:$K$105, $F43, L$2)), "")</f>
        <v>in</v>
      </c>
    </row>
    <row r="44" spans="2:15">
      <c r="B44" s="175">
        <v>37</v>
      </c>
      <c r="C44" s="175" t="s">
        <v>708</v>
      </c>
      <c r="D44" s="188" t="s">
        <v>2230</v>
      </c>
      <c r="E44" s="178" t="s">
        <v>1989</v>
      </c>
      <c r="F44" s="175">
        <f xml:space="preserve"> IFERROR( IF($C44="", "", MATCH($C44, 十五音韻母清單!$K$6:$K$105,0)), "")</f>
        <v>17</v>
      </c>
      <c r="G44" s="175" t="str" cm="1">
        <f t="array" ref="G44" xml:space="preserve"> IFERROR( IF($C44="", "", INDEX(十五音韻母清單!$B$6:$K$105, $F44, G$2)), "")</f>
        <v>ing</v>
      </c>
      <c r="H44" s="175" cm="1">
        <f t="array" ref="H44" xml:space="preserve"> IFERROR( IF($C44="", "", INDEX(十五音韻母清單!$B$6:$K$105, $F44, H$2)), "")</f>
        <v>9</v>
      </c>
      <c r="I44" s="175" t="str" cm="1">
        <f t="array" ref="I44" xml:space="preserve"> IFERROR( IF($C44="", "", INDEX(十五音韻母清單!$B$6:$K$105, $F44, I$2)), "")</f>
        <v>ing</v>
      </c>
      <c r="J44" s="175" t="str" cm="1">
        <f t="array" ref="J44" xml:space="preserve"> IFERROR( IF($C44="", "", INDEX(十五音韻母清單!$B$6:$K$105, $F44, J$2)), "")</f>
        <v>經</v>
      </c>
      <c r="K44" s="175" t="str" cm="1">
        <f t="array" ref="K44" xml:space="preserve"> IFERROR( IF($C44="", "", INDEX(十五音韻母清單!$B$6:$K$105, $F44, K$2)), "")</f>
        <v>舒聲</v>
      </c>
      <c r="L44" s="175" t="str" cm="1">
        <f t="array" ref="L44" xml:space="preserve"> IFERROR( IF($C44="", "", INDEX(十五音韻母清單!$B$6:$K$105, $F44, L$2)), "")</f>
        <v>ɪŋ</v>
      </c>
    </row>
    <row r="45" spans="2:15">
      <c r="B45" s="175">
        <v>38</v>
      </c>
      <c r="C45" s="175" t="s">
        <v>165</v>
      </c>
      <c r="D45" s="188" t="s">
        <v>2230</v>
      </c>
      <c r="E45" s="178" t="s">
        <v>1989</v>
      </c>
      <c r="F45" s="175">
        <f xml:space="preserve"> IFERROR( IF($C45="", "", MATCH($C45, 十五音韻母清單!$K$6:$K$105,0)), "")</f>
        <v>3</v>
      </c>
      <c r="G45" s="175" t="str" cm="1">
        <f t="array" ref="G45" xml:space="preserve"> IFERROR( IF($C45="", "", INDEX(十五音韻母清單!$B$6:$K$105, $F45, G$2)), "")</f>
        <v>ian</v>
      </c>
      <c r="H45" s="175" cm="1">
        <f t="array" ref="H45" xml:space="preserve"> IFERROR( IF($C45="", "", INDEX(十五音韻母清單!$B$6:$K$105, $F45, H$2)), "")</f>
        <v>2</v>
      </c>
      <c r="I45" s="175" t="str" cm="1">
        <f t="array" ref="I45" xml:space="preserve"> IFERROR( IF($C45="", "", INDEX(十五音韻母清單!$B$6:$K$105, $F45, I$2)), "")</f>
        <v>ian</v>
      </c>
      <c r="J45" s="175" t="str" cm="1">
        <f t="array" ref="J45" xml:space="preserve"> IFERROR( IF($C45="", "", INDEX(十五音韻母清單!$B$6:$K$105, $F45, J$2)), "")</f>
        <v>堅</v>
      </c>
      <c r="K45" s="175" t="str" cm="1">
        <f t="array" ref="K45" xml:space="preserve"> IFERROR( IF($C45="", "", INDEX(十五音韻母清單!$B$6:$K$105, $F45, K$2)), "")</f>
        <v>舒聲</v>
      </c>
      <c r="L45" s="175" t="str" cm="1">
        <f t="array" ref="L45" xml:space="preserve"> IFERROR( IF($C45="", "", INDEX(十五音韻母清單!$B$6:$K$105, $F45, L$2)), "")</f>
        <v>ian</v>
      </c>
    </row>
    <row r="46" spans="2:15">
      <c r="B46" s="175">
        <v>39</v>
      </c>
      <c r="C46" s="175" t="s">
        <v>328</v>
      </c>
      <c r="D46" s="188" t="s">
        <v>2230</v>
      </c>
      <c r="E46" s="178" t="s">
        <v>1989</v>
      </c>
      <c r="F46" s="175">
        <f xml:space="preserve"> IFERROR( IF($C46="", "", MATCH($C46, 十五音韻母清單!$K$6:$K$105,0)), "")</f>
        <v>35</v>
      </c>
      <c r="G46" s="175" t="str" cm="1">
        <f t="array" ref="G46" xml:space="preserve"> IFERROR( IF($C46="", "", INDEX(十五音韻母清單!$B$6:$K$105, $F46, G$2)), "")</f>
        <v>iang</v>
      </c>
      <c r="H46" s="175" cm="1">
        <f t="array" ref="H46" xml:space="preserve"> IFERROR( IF($C46="", "", INDEX(十五音韻母清單!$B$6:$K$105, $F46, H$2)), "")</f>
        <v>18</v>
      </c>
      <c r="I46" s="175" t="str" cm="1">
        <f t="array" ref="I46" xml:space="preserve"> IFERROR( IF($C46="", "", INDEX(十五音韻母清單!$B$6:$K$105, $F46, I$2)), "")</f>
        <v>iang</v>
      </c>
      <c r="J46" s="175" t="str" cm="1">
        <f t="array" ref="J46" xml:space="preserve"> IFERROR( IF($C46="", "", INDEX(十五音韻母清單!$B$6:$K$105, $F46, J$2)), "")</f>
        <v>姜</v>
      </c>
      <c r="K46" s="175" t="str" cm="1">
        <f t="array" ref="K46" xml:space="preserve"> IFERROR( IF($C46="", "", INDEX(十五音韻母清單!$B$6:$K$105, $F46, K$2)), "")</f>
        <v>舒聲</v>
      </c>
      <c r="L46" s="175" t="str" cm="1">
        <f t="array" ref="L46" xml:space="preserve"> IFERROR( IF($C46="", "", INDEX(十五音韻母清單!$B$6:$K$105, $F46, L$2)), "")</f>
        <v>iaŋ</v>
      </c>
    </row>
    <row r="47" spans="2:15">
      <c r="B47" s="175">
        <v>40</v>
      </c>
      <c r="C47" s="175" t="s">
        <v>293</v>
      </c>
      <c r="D47" s="188" t="s">
        <v>2230</v>
      </c>
      <c r="E47" s="178" t="s">
        <v>1989</v>
      </c>
      <c r="F47" s="175">
        <f xml:space="preserve"> IFERROR( IF($C47="", "", MATCH($C47, 十五音韻母清單!$K$6:$K$105,0)), "")</f>
        <v>27</v>
      </c>
      <c r="G47" s="175" t="str" cm="1">
        <f t="array" ref="G47" xml:space="preserve"> IFERROR( IF($C47="", "", INDEX(十五音韻母清單!$B$6:$K$105, $F47, G$2)), "")</f>
        <v>iong</v>
      </c>
      <c r="H47" s="175" cm="1">
        <f t="array" ref="H47" xml:space="preserve"> IFERROR( IF($C47="", "", INDEX(十五音韻母清單!$B$6:$K$105, $F47, H$2)), "")</f>
        <v>14</v>
      </c>
      <c r="I47" s="175" t="str" cm="1">
        <f t="array" ref="I47" xml:space="preserve"> IFERROR( IF($C47="", "", INDEX(十五音韻母清單!$B$6:$K$105, $F47, I$2)), "")</f>
        <v>iong</v>
      </c>
      <c r="J47" s="175" t="str" cm="1">
        <f t="array" ref="J47" xml:space="preserve"> IFERROR( IF($C47="", "", INDEX(十五音韻母清單!$B$6:$K$105, $F47, J$2)), "")</f>
        <v>恭</v>
      </c>
      <c r="K47" s="175" t="str" cm="1">
        <f t="array" ref="K47" xml:space="preserve"> IFERROR( IF($C47="", "", INDEX(十五音韻母清單!$B$6:$K$105, $F47, K$2)), "")</f>
        <v>舒聲</v>
      </c>
      <c r="L47" s="175" t="str" cm="1">
        <f t="array" ref="L47" xml:space="preserve"> IFERROR( IF($C47="", "", INDEX(十五音韻母清單!$B$6:$K$105, $F47, L$2)), "")</f>
        <v>iɔŋ</v>
      </c>
    </row>
    <row r="48" spans="2:15">
      <c r="B48" s="175">
        <v>41</v>
      </c>
      <c r="C48" s="175" t="s">
        <v>443</v>
      </c>
      <c r="D48" s="188" t="s">
        <v>2230</v>
      </c>
      <c r="E48" s="178" t="s">
        <v>1989</v>
      </c>
      <c r="F48" s="175">
        <f xml:space="preserve"> IFERROR( IF($C48="", "", MATCH($C48, 十五音韻母清單!$K$6:$K$105,0)), "")</f>
        <v>59</v>
      </c>
      <c r="G48" s="175" t="str" cm="1">
        <f t="array" ref="G48" xml:space="preserve"> IFERROR( IF($C48="", "", INDEX(十五音韻母清單!$B$6:$K$105, $F48, G$2)), "")</f>
        <v>iu</v>
      </c>
      <c r="H48" s="175" cm="1">
        <f t="array" ref="H48" xml:space="preserve"> IFERROR( IF($C48="", "", INDEX(十五音韻母清單!$B$6:$K$105, $F48, H$2)), "")</f>
        <v>30</v>
      </c>
      <c r="I48" s="175" t="str" cm="1">
        <f t="array" ref="I48" xml:space="preserve"> IFERROR( IF($C48="", "", INDEX(十五音韻母清單!$B$6:$K$105, $F48, I$2)), "")</f>
        <v>iu</v>
      </c>
      <c r="J48" s="175" t="str" cm="1">
        <f t="array" ref="J48" xml:space="preserve"> IFERROR( IF($C48="", "", INDEX(十五音韻母清單!$B$6:$K$105, $F48, J$2)), "")</f>
        <v>丩</v>
      </c>
      <c r="K48" s="175" t="str" cm="1">
        <f t="array" ref="K48" xml:space="preserve"> IFERROR( IF($C48="", "", INDEX(十五音韻母清單!$B$6:$K$105, $F48, K$2)), "")</f>
        <v>舒聲</v>
      </c>
      <c r="L48" s="175" t="str" cm="1">
        <f t="array" ref="L48" xml:space="preserve"> IFERROR( IF($C48="", "", INDEX(十五音韻母清單!$B$6:$K$105, $F48, L$2)), "")</f>
        <v>iu</v>
      </c>
    </row>
    <row r="49" spans="2:12">
      <c r="B49" s="175">
        <v>42</v>
      </c>
      <c r="C49" s="175" t="s">
        <v>685</v>
      </c>
      <c r="D49" s="188" t="s">
        <v>2230</v>
      </c>
      <c r="E49" s="178" t="s">
        <v>1989</v>
      </c>
      <c r="F49" s="175">
        <f xml:space="preserve"> IFERROR( IF($C49="", "", MATCH($C49, 十五音韻母清單!$K$6:$K$105,0)), "")</f>
        <v>99</v>
      </c>
      <c r="G49" s="175" t="str" cm="1">
        <f t="array" ref="G49" xml:space="preserve"> IFERROR( IF($C49="", "", INDEX(十五音韻母清單!$B$6:$K$105, $F49, G$2)), "")</f>
        <v>iunn</v>
      </c>
      <c r="H49" s="175" cm="1">
        <f t="array" ref="H49" xml:space="preserve"> IFERROR( IF($C49="", "", INDEX(十五音韻母清單!$B$6:$K$105, $F49, H$2)), "")</f>
        <v>50</v>
      </c>
      <c r="I49" s="175" t="str" cm="1">
        <f t="array" ref="I49" xml:space="preserve"> IFERROR( IF($C49="", "", INDEX(十五音韻母清單!$B$6:$K$105, $F49, I$2)), "")</f>
        <v>iunn</v>
      </c>
      <c r="J49" s="175" t="str" cm="1">
        <f t="array" ref="J49" xml:space="preserve"> IFERROR( IF($C49="", "", INDEX(十五音韻母清單!$B$6:$K$105, $F49, J$2)), "")</f>
        <v>牛</v>
      </c>
      <c r="K49" s="175" t="str" cm="1">
        <f t="array" ref="K49" xml:space="preserve"> IFERROR( IF($C49="", "", INDEX(十五音韻母清單!$B$6:$K$105, $F49, K$2)), "")</f>
        <v>舒聲</v>
      </c>
      <c r="L49" s="175" t="str" cm="1">
        <f t="array" ref="L49" xml:space="preserve"> IFERROR( IF($C49="", "", INDEX(十五音韻母清單!$B$6:$K$105, $F49, L$2)), "")</f>
        <v>ĩũ</v>
      </c>
    </row>
    <row r="50" spans="2:12">
      <c r="B50" s="175">
        <v>43</v>
      </c>
      <c r="C50" s="184" t="s">
        <v>175</v>
      </c>
      <c r="D50" s="189" t="s">
        <v>2232</v>
      </c>
      <c r="E50" s="184" t="s">
        <v>2233</v>
      </c>
      <c r="F50" s="175">
        <f xml:space="preserve"> IFERROR( IF($C50="", "", MATCH($C50, 十五音韻母清單!$K$6:$K$105,0)), "")</f>
        <v>6</v>
      </c>
      <c r="G50" s="175" t="str" cm="1">
        <f t="array" ref="G50" xml:space="preserve"> IFERROR( IF($C50="", "", INDEX(十五音韻母清單!$B$6:$K$105, $F50, G$2)), "")</f>
        <v>ip</v>
      </c>
      <c r="H50" s="175" cm="1">
        <f t="array" ref="H50" xml:space="preserve"> IFERROR( IF($C50="", "", INDEX(十五音韻母清單!$B$6:$K$105, $F50, H$2)), "")</f>
        <v>3</v>
      </c>
      <c r="I50" s="175" t="str" cm="1">
        <f t="array" ref="I50" xml:space="preserve"> IFERROR( IF($C50="", "", INDEX(十五音韻母清單!$B$6:$K$105, $F50, I$2)), "")</f>
        <v>ip</v>
      </c>
      <c r="J50" s="175" t="str" cm="1">
        <f t="array" ref="J50" xml:space="preserve"> IFERROR( IF($C50="", "", INDEX(十五音韻母清單!$B$6:$K$105, $F50, J$2)), "")</f>
        <v>金</v>
      </c>
      <c r="K50" s="175" t="str" cm="1">
        <f t="array" ref="K50" xml:space="preserve"> IFERROR( IF($C50="", "", INDEX(十五音韻母清單!$B$6:$K$105, $F50, K$2)), "")</f>
        <v>入聲</v>
      </c>
      <c r="L50" s="175" t="str" cm="1">
        <f t="array" ref="L50" xml:space="preserve"> IFERROR( IF($C50="", "", INDEX(十五音韻母清單!$B$6:$K$105, $F50, L$2)), "")</f>
        <v>ip̚</v>
      </c>
    </row>
    <row r="51" spans="2:12">
      <c r="B51" s="175">
        <v>44</v>
      </c>
      <c r="C51" s="175" t="s">
        <v>321</v>
      </c>
      <c r="D51" s="188" t="s">
        <v>2230</v>
      </c>
      <c r="E51" s="175" t="s">
        <v>2233</v>
      </c>
      <c r="F51" s="175">
        <f xml:space="preserve"> IFERROR( IF($C51="", "", MATCH($C51, 十五音韻母清單!$K$6:$K$105,0)), "")</f>
        <v>34</v>
      </c>
      <c r="G51" s="175" t="str" cm="1">
        <f t="array" ref="G51" xml:space="preserve"> IFERROR( IF($C51="", "", INDEX(十五音韻母清單!$B$6:$K$105, $F51, G$2)), "")</f>
        <v>it</v>
      </c>
      <c r="H51" s="175" cm="1">
        <f t="array" ref="H51" xml:space="preserve"> IFERROR( IF($C51="", "", INDEX(十五音韻母清單!$B$6:$K$105, $F51, H$2)), "")</f>
        <v>17</v>
      </c>
      <c r="I51" s="175" t="str" cm="1">
        <f t="array" ref="I51" xml:space="preserve"> IFERROR( IF($C51="", "", INDEX(十五音韻母清單!$B$6:$K$105, $F51, I$2)), "")</f>
        <v>it</v>
      </c>
      <c r="J51" s="175" t="str" cm="1">
        <f t="array" ref="J51" xml:space="preserve"> IFERROR( IF($C51="", "", INDEX(十五音韻母清單!$B$6:$K$105, $F51, J$2)), "")</f>
        <v>巾</v>
      </c>
      <c r="K51" s="175" t="str" cm="1">
        <f t="array" ref="K51" xml:space="preserve"> IFERROR( IF($C51="", "", INDEX(十五音韻母清單!$B$6:$K$105, $F51, K$2)), "")</f>
        <v>入聲</v>
      </c>
      <c r="L51" s="175" t="str" cm="1">
        <f t="array" ref="L51" xml:space="preserve"> IFERROR( IF($C51="", "", INDEX(十五音韻母清單!$B$6:$K$105, $F51, L$2)), "")</f>
        <v>it̚</v>
      </c>
    </row>
    <row r="52" spans="2:12">
      <c r="B52" s="175">
        <v>45</v>
      </c>
      <c r="C52" s="175" t="s">
        <v>707</v>
      </c>
      <c r="D52" s="188" t="s">
        <v>2230</v>
      </c>
      <c r="E52" s="175" t="s">
        <v>2233</v>
      </c>
      <c r="F52" s="175">
        <f xml:space="preserve"> IFERROR( IF($C52="", "", MATCH($C52, 十五音韻母清單!$K$6:$K$105,0)), "")</f>
        <v>18</v>
      </c>
      <c r="G52" s="175" t="str" cm="1">
        <f t="array" ref="G52" xml:space="preserve"> IFERROR( IF($C52="", "", INDEX(十五音韻母清單!$B$6:$K$105, $F52, G$2)), "")</f>
        <v>ik</v>
      </c>
      <c r="H52" s="175" cm="1">
        <f t="array" ref="H52" xml:space="preserve"> IFERROR( IF($C52="", "", INDEX(十五音韻母清單!$B$6:$K$105, $F52, H$2)), "")</f>
        <v>9</v>
      </c>
      <c r="I52" s="175" t="str" cm="1">
        <f t="array" ref="I52" xml:space="preserve"> IFERROR( IF($C52="", "", INDEX(十五音韻母清單!$B$6:$K$105, $F52, I$2)), "")</f>
        <v>ik</v>
      </c>
      <c r="J52" s="175" t="str" cm="1">
        <f t="array" ref="J52" xml:space="preserve"> IFERROR( IF($C52="", "", INDEX(十五音韻母清單!$B$6:$K$105, $F52, J$2)), "")</f>
        <v>經</v>
      </c>
      <c r="K52" s="175" t="str" cm="1">
        <f t="array" ref="K52" xml:space="preserve"> IFERROR( IF($C52="", "", INDEX(十五音韻母清單!$B$6:$K$105, $F52, K$2)), "")</f>
        <v>入聲</v>
      </c>
      <c r="L52" s="175" t="str" cm="1">
        <f t="array" ref="L52" xml:space="preserve"> IFERROR( IF($C52="", "", INDEX(十五音韻母清單!$B$6:$K$105, $F52, L$2)), "")</f>
        <v>ik̚</v>
      </c>
    </row>
    <row r="53" spans="2:12">
      <c r="B53" s="175">
        <v>46</v>
      </c>
      <c r="C53" s="175" t="s">
        <v>436</v>
      </c>
      <c r="D53" s="188" t="s">
        <v>2230</v>
      </c>
      <c r="E53" s="175" t="s">
        <v>2233</v>
      </c>
      <c r="F53" s="175">
        <f xml:space="preserve"> IFERROR( IF($C53="", "", MATCH($C53, 十五音韻母清單!$K$6:$K$105,0)), "")</f>
        <v>58</v>
      </c>
      <c r="G53" s="175" t="str" cm="1">
        <f t="array" ref="G53" xml:space="preserve"> IFERROR( IF($C53="", "", INDEX(十五音韻母清單!$B$6:$K$105, $F53, G$2)), "")</f>
        <v>ih</v>
      </c>
      <c r="H53" s="175" cm="1">
        <f t="array" ref="H53" xml:space="preserve"> IFERROR( IF($C53="", "", INDEX(十五音韻母清單!$B$6:$K$105, $F53, H$2)), "")</f>
        <v>29</v>
      </c>
      <c r="I53" s="175" t="str" cm="1">
        <f t="array" ref="I53" xml:space="preserve"> IFERROR( IF($C53="", "", INDEX(十五音韻母清單!$B$6:$K$105, $F53, I$2)), "")</f>
        <v>ih</v>
      </c>
      <c r="J53" s="175" t="str" cm="1">
        <f t="array" ref="J53" xml:space="preserve"> IFERROR( IF($C53="", "", INDEX(十五音韻母清單!$B$6:$K$105, $F53, J$2)), "")</f>
        <v>居</v>
      </c>
      <c r="K53" s="175" t="str" cm="1">
        <f t="array" ref="K53" xml:space="preserve"> IFERROR( IF($C53="", "", INDEX(十五音韻母清單!$B$6:$K$105, $F53, K$2)), "")</f>
        <v>入聲</v>
      </c>
      <c r="L53" s="175" t="str" cm="1">
        <f t="array" ref="L53" xml:space="preserve"> IFERROR( IF($C53="", "", INDEX(十五音韻母清單!$B$6:$K$105, $F53, L$2)), "")</f>
        <v>i?</v>
      </c>
    </row>
    <row r="54" spans="2:12">
      <c r="B54" s="175">
        <v>47</v>
      </c>
      <c r="C54" s="175" t="s">
        <v>363</v>
      </c>
      <c r="D54" s="188" t="s">
        <v>2230</v>
      </c>
      <c r="E54" s="175" t="s">
        <v>2233</v>
      </c>
      <c r="F54" s="175">
        <f xml:space="preserve"> IFERROR( IF($C54="", "", MATCH($C54, 十五音韻母清單!$K$6:$K$105,0)), "")</f>
        <v>44</v>
      </c>
      <c r="G54" s="175" t="str" cm="1">
        <f t="array" ref="G54" xml:space="preserve"> IFERROR( IF($C54="", "", INDEX(十五音韻母清單!$B$6:$K$105, $F54, G$2)), "")</f>
        <v>iap</v>
      </c>
      <c r="H54" s="175" cm="1">
        <f t="array" ref="H54" xml:space="preserve"> IFERROR( IF($C54="", "", INDEX(十五音韻母清單!$B$6:$K$105, $F54, H$2)), "")</f>
        <v>22</v>
      </c>
      <c r="I54" s="175" t="str" cm="1">
        <f t="array" ref="I54" xml:space="preserve"> IFERROR( IF($C54="", "", INDEX(十五音韻母清單!$B$6:$K$105, $F54, I$2)), "")</f>
        <v>iap</v>
      </c>
      <c r="J54" s="175" t="str" cm="1">
        <f t="array" ref="J54" xml:space="preserve"> IFERROR( IF($C54="", "", INDEX(十五音韻母清單!$B$6:$K$105, $F54, J$2)), "")</f>
        <v>兼</v>
      </c>
      <c r="K54" s="175" t="str" cm="1">
        <f t="array" ref="K54" xml:space="preserve"> IFERROR( IF($C54="", "", INDEX(十五音韻母清單!$B$6:$K$105, $F54, K$2)), "")</f>
        <v>入聲</v>
      </c>
      <c r="L54" s="175" t="str" cm="1">
        <f t="array" ref="L54" xml:space="preserve"> IFERROR( IF($C54="", "", INDEX(十五音韻母清單!$B$6:$K$105, $F54, L$2)), "")</f>
        <v>iap̚</v>
      </c>
    </row>
    <row r="55" spans="2:12">
      <c r="B55" s="175">
        <v>48</v>
      </c>
      <c r="C55" s="175" t="s">
        <v>166</v>
      </c>
      <c r="D55" s="188" t="s">
        <v>2230</v>
      </c>
      <c r="E55" s="175" t="s">
        <v>2233</v>
      </c>
      <c r="F55" s="175">
        <f xml:space="preserve"> IFERROR( IF($C55="", "", MATCH($C55, 十五音韻母清單!$K$6:$K$105,0)), "")</f>
        <v>4</v>
      </c>
      <c r="G55" s="175" t="str" cm="1">
        <f t="array" ref="G55" xml:space="preserve"> IFERROR( IF($C55="", "", INDEX(十五音韻母清單!$B$6:$K$105, $F55, G$2)), "")</f>
        <v>iat</v>
      </c>
      <c r="H55" s="175" cm="1">
        <f t="array" ref="H55" xml:space="preserve"> IFERROR( IF($C55="", "", INDEX(十五音韻母清單!$B$6:$K$105, $F55, H$2)), "")</f>
        <v>2</v>
      </c>
      <c r="I55" s="175" t="str" cm="1">
        <f t="array" ref="I55" xml:space="preserve"> IFERROR( IF($C55="", "", INDEX(十五音韻母清單!$B$6:$K$105, $F55, I$2)), "")</f>
        <v>iat</v>
      </c>
      <c r="J55" s="175" t="str" cm="1">
        <f t="array" ref="J55" xml:space="preserve"> IFERROR( IF($C55="", "", INDEX(十五音韻母清單!$B$6:$K$105, $F55, J$2)), "")</f>
        <v>堅</v>
      </c>
      <c r="K55" s="175" t="str" cm="1">
        <f t="array" ref="K55" xml:space="preserve"> IFERROR( IF($C55="", "", INDEX(十五音韻母清單!$B$6:$K$105, $F55, K$2)), "")</f>
        <v>入聲</v>
      </c>
      <c r="L55" s="175" t="str" cm="1">
        <f t="array" ref="L55" xml:space="preserve"> IFERROR( IF($C55="", "", INDEX(十五音韻母清單!$B$6:$K$105, $F55, L$2)), "")</f>
        <v>iat̚</v>
      </c>
    </row>
    <row r="56" spans="2:12">
      <c r="B56" s="175">
        <v>49</v>
      </c>
      <c r="C56" s="175" t="s">
        <v>329</v>
      </c>
      <c r="D56" s="188" t="s">
        <v>2230</v>
      </c>
      <c r="E56" s="175" t="s">
        <v>2233</v>
      </c>
      <c r="F56" s="175">
        <f xml:space="preserve"> IFERROR( IF($C56="", "", MATCH($C56, 十五音韻母清單!$K$6:$K$105,0)), "")</f>
        <v>36</v>
      </c>
      <c r="G56" s="175" t="str" cm="1">
        <f t="array" ref="G56" xml:space="preserve"> IFERROR( IF($C56="", "", INDEX(十五音韻母清單!$B$6:$K$105, $F56, G$2)), "")</f>
        <v>iak</v>
      </c>
      <c r="H56" s="175" cm="1">
        <f t="array" ref="H56" xml:space="preserve"> IFERROR( IF($C56="", "", INDEX(十五音韻母清單!$B$6:$K$105, $F56, H$2)), "")</f>
        <v>18</v>
      </c>
      <c r="I56" s="175" t="str" cm="1">
        <f t="array" ref="I56" xml:space="preserve"> IFERROR( IF($C56="", "", INDEX(十五音韻母清單!$B$6:$K$105, $F56, I$2)), "")</f>
        <v>iak</v>
      </c>
      <c r="J56" s="175" t="str" cm="1">
        <f t="array" ref="J56" xml:space="preserve"> IFERROR( IF($C56="", "", INDEX(十五音韻母清單!$B$6:$K$105, $F56, J$2)), "")</f>
        <v>姜</v>
      </c>
      <c r="K56" s="175" t="str" cm="1">
        <f t="array" ref="K56" xml:space="preserve"> IFERROR( IF($C56="", "", INDEX(十五音韻母清單!$B$6:$K$105, $F56, K$2)), "")</f>
        <v>入聲</v>
      </c>
      <c r="L56" s="175" t="str" cm="1">
        <f t="array" ref="L56" xml:space="preserve"> IFERROR( IF($C56="", "", INDEX(十五音韻母清單!$B$6:$K$105, $F56, L$2)), "")</f>
        <v>iak̚</v>
      </c>
    </row>
    <row r="57" spans="2:12">
      <c r="B57" s="175">
        <v>50</v>
      </c>
      <c r="C57" s="175" t="s">
        <v>383</v>
      </c>
      <c r="D57" s="188" t="s">
        <v>2230</v>
      </c>
      <c r="E57" s="175" t="s">
        <v>2233</v>
      </c>
      <c r="F57" s="175">
        <f xml:space="preserve"> IFERROR( IF($C57="", "", MATCH($C57, 十五音韻母清單!$K$6:$K$105,0)), "")</f>
        <v>48</v>
      </c>
      <c r="G57" s="175" t="str" cm="1">
        <f t="array" ref="G57" xml:space="preserve"> IFERROR( IF($C57="", "", INDEX(十五音韻母清單!$B$6:$K$105, $F57, G$2)), "")</f>
        <v>iah</v>
      </c>
      <c r="H57" s="175" cm="1">
        <f t="array" ref="H57" xml:space="preserve"> IFERROR( IF($C57="", "", INDEX(十五音韻母清單!$B$6:$K$105, $F57, H$2)), "")</f>
        <v>24</v>
      </c>
      <c r="I57" s="175" t="str" cm="1">
        <f t="array" ref="I57" xml:space="preserve"> IFERROR( IF($C57="", "", INDEX(十五音韻母清單!$B$6:$K$105, $F57, I$2)), "")</f>
        <v>iah</v>
      </c>
      <c r="J57" s="175" t="str" cm="1">
        <f t="array" ref="J57" xml:space="preserve"> IFERROR( IF($C57="", "", INDEX(十五音韻母清單!$B$6:$K$105, $F57, J$2)), "")</f>
        <v>迦</v>
      </c>
      <c r="K57" s="175" t="str" cm="1">
        <f t="array" ref="K57" xml:space="preserve"> IFERROR( IF($C57="", "", INDEX(十五音韻母清單!$B$6:$K$105, $F57, K$2)), "")</f>
        <v>入聲</v>
      </c>
      <c r="L57" s="175" t="str" cm="1">
        <f t="array" ref="L57" xml:space="preserve"> IFERROR( IF($C57="", "", INDEX(十五音韻母清單!$B$6:$K$105, $F57, L$2)), "")</f>
        <v>ia?</v>
      </c>
    </row>
    <row r="58" spans="2:12">
      <c r="B58" s="175">
        <v>51</v>
      </c>
      <c r="C58" s="175" t="s">
        <v>528</v>
      </c>
      <c r="D58" s="188" t="s">
        <v>2230</v>
      </c>
      <c r="E58" s="175" t="s">
        <v>2233</v>
      </c>
      <c r="F58" s="175">
        <f xml:space="preserve"> IFERROR( IF($C58="", "", MATCH($C58, 十五音韻母清單!$K$6:$K$105,0)), "")</f>
        <v>72</v>
      </c>
      <c r="G58" s="175" t="str" cm="1">
        <f t="array" ref="G58" xml:space="preserve"> IFERROR( IF($C58="", "", INDEX(十五音韻母清單!$B$6:$K$105, $F58, G$2)), "")</f>
        <v>iannh</v>
      </c>
      <c r="H58" s="175" cm="1">
        <f t="array" ref="H58" xml:space="preserve"> IFERROR( IF($C58="", "", INDEX(十五音韻母清單!$B$6:$K$105, $F58, H$2)), "")</f>
        <v>36</v>
      </c>
      <c r="I58" s="175" t="str" cm="1">
        <f t="array" ref="I58" xml:space="preserve"> IFERROR( IF($C58="", "", INDEX(十五音韻母清單!$B$6:$K$105, $F58, I$2)), "")</f>
        <v>iannh</v>
      </c>
      <c r="J58" s="175" t="str" cm="1">
        <f t="array" ref="J58" xml:space="preserve"> IFERROR( IF($C58="", "", INDEX(十五音韻母清單!$B$6:$K$105, $F58, J$2)), "")</f>
        <v>驚</v>
      </c>
      <c r="K58" s="175" t="str" cm="1">
        <f t="array" ref="K58" xml:space="preserve"> IFERROR( IF($C58="", "", INDEX(十五音韻母清單!$B$6:$K$105, $F58, K$2)), "")</f>
        <v>入聲</v>
      </c>
      <c r="L58" s="175" t="str" cm="1">
        <f t="array" ref="L58" xml:space="preserve"> IFERROR( IF($C58="", "", INDEX(十五音韻母清單!$B$6:$K$105, $F58, L$2)), "")</f>
        <v>iãh</v>
      </c>
    </row>
    <row r="59" spans="2:12">
      <c r="B59" s="175">
        <v>52</v>
      </c>
      <c r="C59" s="175" t="s">
        <v>294</v>
      </c>
      <c r="D59" s="188" t="s">
        <v>2230</v>
      </c>
      <c r="E59" s="175" t="s">
        <v>2233</v>
      </c>
      <c r="F59" s="175">
        <f xml:space="preserve"> IFERROR( IF($C59="", "", MATCH($C59, 十五音韻母清單!$K$6:$K$105,0)), "")</f>
        <v>28</v>
      </c>
      <c r="G59" s="175" t="str" cm="1">
        <f t="array" ref="G59" xml:space="preserve"> IFERROR( IF($C59="", "", INDEX(十五音韻母清單!$B$6:$K$105, $F59, G$2)), "")</f>
        <v>iok</v>
      </c>
      <c r="H59" s="175" cm="1">
        <f t="array" ref="H59" xml:space="preserve"> IFERROR( IF($C59="", "", INDEX(十五音韻母清單!$B$6:$K$105, $F59, H$2)), "")</f>
        <v>14</v>
      </c>
      <c r="I59" s="175" t="str" cm="1">
        <f t="array" ref="I59" xml:space="preserve"> IFERROR( IF($C59="", "", INDEX(十五音韻母清單!$B$6:$K$105, $F59, I$2)), "")</f>
        <v>iok</v>
      </c>
      <c r="J59" s="175" t="str" cm="1">
        <f t="array" ref="J59" xml:space="preserve"> IFERROR( IF($C59="", "", INDEX(十五音韻母清單!$B$6:$K$105, $F59, J$2)), "")</f>
        <v>恭</v>
      </c>
      <c r="K59" s="175" t="str" cm="1">
        <f t="array" ref="K59" xml:space="preserve"> IFERROR( IF($C59="", "", INDEX(十五音韻母清單!$B$6:$K$105, $F59, K$2)), "")</f>
        <v>入聲</v>
      </c>
      <c r="L59" s="175" t="str" cm="1">
        <f t="array" ref="L59" xml:space="preserve"> IFERROR( IF($C59="", "", INDEX(十五音韻母清單!$B$6:$K$105, $F59, L$2)), "")</f>
        <v>iɔk̚</v>
      </c>
    </row>
    <row r="60" spans="2:12">
      <c r="B60" s="175">
        <v>53</v>
      </c>
      <c r="C60" s="184" t="s">
        <v>2234</v>
      </c>
      <c r="D60" s="189" t="s">
        <v>2232</v>
      </c>
      <c r="E60" s="184" t="s">
        <v>2233</v>
      </c>
      <c r="F60" s="175" t="str">
        <f xml:space="preserve"> IFERROR( IF($C60="", "", MATCH($C60, 十五音韻母清單!$K$6:$K$105,0)), "")</f>
        <v/>
      </c>
      <c r="G60" s="175" t="str" cm="1">
        <f t="array" ref="G60" xml:space="preserve"> IFERROR( IF($C60="", "", INDEX(十五音韻母清單!$B$6:$K$105, $F60, G$2)), "")</f>
        <v/>
      </c>
      <c r="H60" s="175" t="str" cm="1">
        <f t="array" ref="H60" xml:space="preserve"> IFERROR( IF($C60="", "", INDEX(十五音韻母清單!$B$6:$K$105, $F60, H$2)), "")</f>
        <v/>
      </c>
      <c r="I60" s="175" t="str" cm="1">
        <f t="array" ref="I60" xml:space="preserve"> IFERROR( IF($C60="", "", INDEX(十五音韻母清單!$B$6:$K$105, $F60, I$2)), "")</f>
        <v/>
      </c>
      <c r="J60" s="175" t="str" cm="1">
        <f t="array" ref="J60" xml:space="preserve"> IFERROR( IF($C60="", "", INDEX(十五音韻母清單!$B$6:$K$105, $F60, J$2)), "")</f>
        <v/>
      </c>
      <c r="K60" s="175" t="str" cm="1">
        <f t="array" ref="K60" xml:space="preserve"> IFERROR( IF($C60="", "", INDEX(十五音韻母清單!$B$6:$K$105, $F60, K$2)), "")</f>
        <v/>
      </c>
      <c r="L60" s="175" t="str" cm="1">
        <f t="array" ref="L60" xml:space="preserve"> IFERROR( IF($C60="", "", INDEX(十五音韻母清單!$B$6:$K$105, $F60, L$2)), "")</f>
        <v/>
      </c>
    </row>
    <row r="61" spans="2:12">
      <c r="B61" s="175">
        <v>54</v>
      </c>
      <c r="C61" s="175" t="s">
        <v>272</v>
      </c>
      <c r="D61" s="188" t="s">
        <v>2230</v>
      </c>
      <c r="E61" s="175" t="s">
        <v>2233</v>
      </c>
      <c r="F61" s="175">
        <f xml:space="preserve"> IFERROR( IF($C61="", "", MATCH($C61, 十五音韻母清單!$K$6:$K$105,0)), "")</f>
        <v>24</v>
      </c>
      <c r="G61" s="175" t="str" cm="1">
        <f t="array" ref="G61" xml:space="preserve"> IFERROR( IF($C61="", "", INDEX(十五音韻母清單!$B$6:$K$105, $F61, G$2)), "")</f>
        <v>iauh</v>
      </c>
      <c r="H61" s="175" cm="1">
        <f t="array" ref="H61" xml:space="preserve"> IFERROR( IF($C61="", "", INDEX(十五音韻母清單!$B$6:$K$105, $F61, H$2)), "")</f>
        <v>12</v>
      </c>
      <c r="I61" s="175" t="str" cm="1">
        <f t="array" ref="I61" xml:space="preserve"> IFERROR( IF($C61="", "", INDEX(十五音韻母清單!$B$6:$K$105, $F61, I$2)), "")</f>
        <v>iauh</v>
      </c>
      <c r="J61" s="175" t="str" cm="1">
        <f t="array" ref="J61" xml:space="preserve"> IFERROR( IF($C61="", "", INDEX(十五音韻母清單!$B$6:$K$105, $F61, J$2)), "")</f>
        <v>嬌</v>
      </c>
      <c r="K61" s="175" t="str" cm="1">
        <f t="array" ref="K61" xml:space="preserve"> IFERROR( IF($C61="", "", INDEX(十五音韻母清單!$B$6:$K$105, $F61, K$2)), "")</f>
        <v>入聲</v>
      </c>
      <c r="L61" s="175" t="str" cm="1">
        <f t="array" ref="L61" xml:space="preserve"> IFERROR( IF($C61="", "", INDEX(十五音韻母清單!$B$6:$K$105, $F61, L$2)), "")</f>
        <v>iau?</v>
      </c>
    </row>
    <row r="62" spans="2:12">
      <c r="B62" s="175">
        <v>55</v>
      </c>
      <c r="C62" s="175" t="s">
        <v>646</v>
      </c>
      <c r="D62" s="188" t="s">
        <v>2230</v>
      </c>
      <c r="E62" s="175" t="s">
        <v>2233</v>
      </c>
      <c r="F62" s="175">
        <f xml:space="preserve"> IFERROR( IF($C62="", "", MATCH($C62, 十五音韻母清單!$K$6:$K$105,0)), "")</f>
        <v>92</v>
      </c>
      <c r="G62" s="175" t="str" cm="1">
        <f t="array" ref="G62" xml:space="preserve"> IFERROR( IF($C62="", "", INDEX(十五音韻母清單!$B$6:$K$105, $F62, G$2)), "")</f>
        <v>iaunnh</v>
      </c>
      <c r="H62" s="175" cm="1">
        <f t="array" ref="H62" xml:space="preserve"> IFERROR( IF($C62="", "", INDEX(十五音韻母清單!$B$6:$K$105, $F62, H$2)), "")</f>
        <v>46</v>
      </c>
      <c r="I62" s="175" t="str" cm="1">
        <f t="array" ref="I62" xml:space="preserve"> IFERROR( IF($C62="", "", INDEX(十五音韻母清單!$B$6:$K$105, $F62, I$2)), "")</f>
        <v>iaunnh</v>
      </c>
      <c r="J62" s="175" t="str" cm="1">
        <f t="array" ref="J62" xml:space="preserve"> IFERROR( IF($C62="", "", INDEX(十五音韻母清單!$B$6:$K$105, $F62, J$2)), "")</f>
        <v>嘄</v>
      </c>
      <c r="K62" s="175" t="str" cm="1">
        <f t="array" ref="K62" xml:space="preserve"> IFERROR( IF($C62="", "", INDEX(十五音韻母清單!$B$6:$K$105, $F62, K$2)), "")</f>
        <v>入聲</v>
      </c>
      <c r="L62" s="175" t="str" cm="1">
        <f t="array" ref="L62" xml:space="preserve"> IFERROR( IF($C62="", "", INDEX(十五音韻母清單!$B$6:$K$105, $F62, L$2)), "")</f>
        <v>ĩãũ?</v>
      </c>
    </row>
    <row r="63" spans="2:12">
      <c r="B63" s="175">
        <v>56</v>
      </c>
      <c r="C63" s="184" t="s">
        <v>444</v>
      </c>
      <c r="D63" s="189" t="s">
        <v>2232</v>
      </c>
      <c r="E63" s="184" t="s">
        <v>2233</v>
      </c>
      <c r="F63" s="175">
        <f xml:space="preserve"> IFERROR( IF($C63="", "", MATCH($C63, 十五音韻母清單!$K$6:$K$105,0)), "")</f>
        <v>60</v>
      </c>
      <c r="G63" s="175" t="str" cm="1">
        <f t="array" ref="G63" xml:space="preserve"> IFERROR( IF($C63="", "", INDEX(十五音韻母清單!$B$6:$K$105, $F63, G$2)), "")</f>
        <v>iuh</v>
      </c>
      <c r="H63" s="175" cm="1">
        <f t="array" ref="H63" xml:space="preserve"> IFERROR( IF($C63="", "", INDEX(十五音韻母清單!$B$6:$K$105, $F63, H$2)), "")</f>
        <v>30</v>
      </c>
      <c r="I63" s="175" t="str" cm="1">
        <f t="array" ref="I63" xml:space="preserve"> IFERROR( IF($C63="", "", INDEX(十五音韻母清單!$B$6:$K$105, $F63, I$2)), "")</f>
        <v>iuh</v>
      </c>
      <c r="J63" s="175" t="str" cm="1">
        <f t="array" ref="J63" xml:space="preserve"> IFERROR( IF($C63="", "", INDEX(十五音韻母清單!$B$6:$K$105, $F63, J$2)), "")</f>
        <v>丩</v>
      </c>
      <c r="K63" s="175" t="str" cm="1">
        <f t="array" ref="K63" xml:space="preserve"> IFERROR( IF($C63="", "", INDEX(十五音韻母清單!$B$6:$K$105, $F63, K$2)), "")</f>
        <v>入聲</v>
      </c>
      <c r="L63" s="175" t="str" cm="1">
        <f t="array" ref="L63" xml:space="preserve"> IFERROR( IF($C63="", "", INDEX(十五音韻母清單!$B$6:$K$105, $F63, L$2)), "")</f>
        <v>iu?</v>
      </c>
    </row>
    <row r="64" spans="2:12">
      <c r="B64" s="175">
        <v>57</v>
      </c>
      <c r="C64" s="175" t="s">
        <v>686</v>
      </c>
      <c r="D64" s="188" t="s">
        <v>2230</v>
      </c>
      <c r="E64" s="175" t="s">
        <v>2233</v>
      </c>
      <c r="F64" s="175">
        <f xml:space="preserve"> IFERROR( IF($C64="", "", MATCH($C64, 十五音韻母清單!$K$6:$K$105,0)), "")</f>
        <v>100</v>
      </c>
      <c r="G64" s="175" t="str" cm="1">
        <f t="array" ref="G64" xml:space="preserve"> IFERROR( IF($C64="", "", INDEX(十五音韻母清單!$B$6:$K$105, $F64, G$2)), "")</f>
        <v>iunnh</v>
      </c>
      <c r="H64" s="175" cm="1">
        <f t="array" ref="H64" xml:space="preserve"> IFERROR( IF($C64="", "", INDEX(十五音韻母清單!$B$6:$K$105, $F64, H$2)), "")</f>
        <v>50</v>
      </c>
      <c r="I64" s="175" t="str" cm="1">
        <f t="array" ref="I64" xml:space="preserve"> IFERROR( IF($C64="", "", INDEX(十五音韻母清單!$B$6:$K$105, $F64, I$2)), "")</f>
        <v>iunnh</v>
      </c>
      <c r="J64" s="175" t="str" cm="1">
        <f t="array" ref="J64" xml:space="preserve"> IFERROR( IF($C64="", "", INDEX(十五音韻母清單!$B$6:$K$105, $F64, J$2)), "")</f>
        <v>牛</v>
      </c>
      <c r="K64" s="175" t="str" cm="1">
        <f t="array" ref="K64" xml:space="preserve"> IFERROR( IF($C64="", "", INDEX(十五音韻母清單!$B$6:$K$105, $F64, K$2)), "")</f>
        <v>入聲</v>
      </c>
      <c r="L64" s="175" t="str" cm="1">
        <f t="array" ref="L64" xml:space="preserve"> IFERROR( IF($C64="", "", INDEX(十五音韻母清單!$B$6:$K$105, $F64, L$2)), "")</f>
        <v>iũh</v>
      </c>
    </row>
    <row r="65" spans="2:12">
      <c r="B65" s="175">
        <v>58</v>
      </c>
      <c r="C65" s="175" t="s">
        <v>2235</v>
      </c>
      <c r="D65" s="188" t="s">
        <v>2230</v>
      </c>
      <c r="E65" s="175" t="s">
        <v>2233</v>
      </c>
      <c r="F65" s="175" t="str">
        <f xml:space="preserve"> IFERROR( IF($C65="", "", MATCH($C65, 十五音韻母清單!$K$6:$K$105,0)), "")</f>
        <v/>
      </c>
      <c r="G65" s="175" t="str" cm="1">
        <f t="array" ref="G65" xml:space="preserve"> IFERROR( IF($C65="", "", INDEX(十五音韻母清單!$B$6:$K$105, $F65, G$2)), "")</f>
        <v/>
      </c>
      <c r="H65" s="175" t="str" cm="1">
        <f t="array" ref="H65" xml:space="preserve"> IFERROR( IF($C65="", "", INDEX(十五音韻母清單!$B$6:$K$105, $F65, H$2)), "")</f>
        <v/>
      </c>
      <c r="I65" s="175" t="str" cm="1">
        <f t="array" ref="I65" xml:space="preserve"> IFERROR( IF($C65="", "", INDEX(十五音韻母清單!$B$6:$K$105, $F65, I$2)), "")</f>
        <v/>
      </c>
      <c r="J65" s="175" t="str" cm="1">
        <f t="array" ref="J65" xml:space="preserve"> IFERROR( IF($C65="", "", INDEX(十五音韻母清單!$B$6:$K$105, $F65, J$2)), "")</f>
        <v/>
      </c>
      <c r="K65" s="175" t="str" cm="1">
        <f t="array" ref="K65" xml:space="preserve"> IFERROR( IF($C65="", "", INDEX(十五音韻母清單!$B$6:$K$105, $F65, K$2)), "")</f>
        <v/>
      </c>
      <c r="L65" s="175" t="str" cm="1">
        <f t="array" ref="L65" xml:space="preserve"> IFERROR( IF($C65="", "", INDEX(十五音韻母清單!$B$6:$K$105, $F65, L$2)), "")</f>
        <v/>
      </c>
    </row>
    <row r="66" spans="2:12">
      <c r="B66" s="175">
        <v>59</v>
      </c>
      <c r="C66" s="176" t="s">
        <v>345</v>
      </c>
      <c r="D66" s="190" t="s">
        <v>2236</v>
      </c>
      <c r="E66" s="178" t="s">
        <v>1989</v>
      </c>
      <c r="F66" s="175">
        <f xml:space="preserve"> IFERROR( IF($C66="", "", MATCH($C66, 十五音韻母清單!$K$6:$K$105,0)), "")</f>
        <v>39</v>
      </c>
      <c r="G66" s="175" t="str" cm="1">
        <f t="array" ref="G66" xml:space="preserve"> IFERROR( IF($C66="", "", INDEX(十五音韻母清單!$B$6:$K$105, $F66, G$2)), "")</f>
        <v>ua</v>
      </c>
      <c r="H66" s="175" cm="1">
        <f t="array" ref="H66" xml:space="preserve"> IFERROR( IF($C66="", "", INDEX(十五音韻母清單!$B$6:$K$105, $F66, H$2)), "")</f>
        <v>20</v>
      </c>
      <c r="I66" s="175" t="str" cm="1">
        <f t="array" ref="I66" xml:space="preserve"> IFERROR( IF($C66="", "", INDEX(十五音韻母清單!$B$6:$K$105, $F66, I$2)), "")</f>
        <v>ua</v>
      </c>
      <c r="J66" s="175" t="str" cm="1">
        <f t="array" ref="J66" xml:space="preserve"> IFERROR( IF($C66="", "", INDEX(十五音韻母清單!$B$6:$K$105, $F66, J$2)), "")</f>
        <v>瓜</v>
      </c>
      <c r="K66" s="175" t="str" cm="1">
        <f t="array" ref="K66" xml:space="preserve"> IFERROR( IF($C66="", "", INDEX(十五音韻母清單!$B$6:$K$105, $F66, K$2)), "")</f>
        <v>舒聲</v>
      </c>
      <c r="L66" s="175" t="str" cm="1">
        <f t="array" ref="L66" xml:space="preserve"> IFERROR( IF($C66="", "", INDEX(十五音韻母清單!$B$6:$K$105, $F66, L$2)), "")</f>
        <v>ua</v>
      </c>
    </row>
    <row r="67" spans="2:12">
      <c r="B67" s="175">
        <v>60</v>
      </c>
      <c r="C67" s="176" t="s">
        <v>540</v>
      </c>
      <c r="D67" s="190" t="s">
        <v>2236</v>
      </c>
      <c r="E67" s="178" t="s">
        <v>1989</v>
      </c>
      <c r="F67" s="175">
        <f xml:space="preserve"> IFERROR( IF($C67="", "", MATCH($C67, 十五音韻母清單!$K$6:$K$105,0)), "")</f>
        <v>73</v>
      </c>
      <c r="G67" s="175" t="str" cm="1">
        <f t="array" ref="G67" xml:space="preserve"> IFERROR( IF($C67="", "", INDEX(十五音韻母清單!$B$6:$K$105, $F67, G$2)), "")</f>
        <v>uann</v>
      </c>
      <c r="H67" s="175" cm="1">
        <f t="array" ref="H67" xml:space="preserve"> IFERROR( IF($C67="", "", INDEX(十五音韻母清單!$B$6:$K$105, $F67, H$2)), "")</f>
        <v>37</v>
      </c>
      <c r="I67" s="175" t="str" cm="1">
        <f t="array" ref="I67" xml:space="preserve"> IFERROR( IF($C67="", "", INDEX(十五音韻母清單!$B$6:$K$105, $F67, I$2)), "")</f>
        <v>uann</v>
      </c>
      <c r="J67" s="175" t="str" cm="1">
        <f t="array" ref="J67" xml:space="preserve"> IFERROR( IF($C67="", "", INDEX(十五音韻母清單!$B$6:$K$105, $F67, J$2)), "")</f>
        <v>官</v>
      </c>
      <c r="K67" s="175" t="str" cm="1">
        <f t="array" ref="K67" xml:space="preserve"> IFERROR( IF($C67="", "", INDEX(十五音韻母清單!$B$6:$K$105, $F67, K$2)), "")</f>
        <v>舒聲</v>
      </c>
      <c r="L67" s="175" t="str" cm="1">
        <f t="array" ref="L67" xml:space="preserve"> IFERROR( IF($C67="", "", INDEX(十五音韻母清單!$B$6:$K$105, $F67, L$2)), "")</f>
        <v>ũã</v>
      </c>
    </row>
    <row r="68" spans="2:12">
      <c r="B68" s="175">
        <v>61</v>
      </c>
      <c r="C68" s="184" t="s">
        <v>2237</v>
      </c>
      <c r="D68" s="189" t="s">
        <v>2236</v>
      </c>
      <c r="E68" s="184" t="s">
        <v>2238</v>
      </c>
      <c r="F68" s="175" t="str">
        <f xml:space="preserve"> IFERROR( IF($C68="", "", MATCH($C68, 十五音韻母清單!$K$6:$K$105,0)), "")</f>
        <v/>
      </c>
      <c r="G68" s="175" t="str" cm="1">
        <f t="array" ref="G68" xml:space="preserve"> IFERROR( IF($C68="", "", INDEX(十五音韻母清單!$B$6:$K$105, $F68, G$2)), "")</f>
        <v/>
      </c>
      <c r="H68" s="175" t="str" cm="1">
        <f t="array" ref="H68" xml:space="preserve"> IFERROR( IF($C68="", "", INDEX(十五音韻母清單!$B$6:$K$105, $F68, H$2)), "")</f>
        <v/>
      </c>
      <c r="I68" s="175" t="str" cm="1">
        <f t="array" ref="I68" xml:space="preserve"> IFERROR( IF($C68="", "", INDEX(十五音韻母清單!$B$6:$K$105, $F68, I$2)), "")</f>
        <v/>
      </c>
      <c r="J68" s="175" t="str" cm="1">
        <f t="array" ref="J68" xml:space="preserve"> IFERROR( IF($C68="", "", INDEX(十五音韻母清單!$B$6:$K$105, $F68, J$2)), "")</f>
        <v/>
      </c>
      <c r="K68" s="175" t="str" cm="1">
        <f t="array" ref="K68" xml:space="preserve"> IFERROR( IF($C68="", "", INDEX(十五音韻母清單!$B$6:$K$105, $F68, K$2)), "")</f>
        <v/>
      </c>
      <c r="L68" s="175" t="str" cm="1">
        <f t="array" ref="L68" xml:space="preserve"> IFERROR( IF($C68="", "", INDEX(十五音韻母清單!$B$6:$K$105, $F68, L$2)), "")</f>
        <v/>
      </c>
    </row>
    <row r="69" spans="2:12">
      <c r="B69" s="175">
        <v>62</v>
      </c>
      <c r="C69" s="176" t="s">
        <v>717</v>
      </c>
      <c r="D69" s="190" t="s">
        <v>2236</v>
      </c>
      <c r="E69" s="178" t="s">
        <v>1989</v>
      </c>
      <c r="F69" s="175">
        <f xml:space="preserve"> IFERROR( IF($C69="", "", MATCH($C69, 十五音韻母清單!$K$6:$K$105,0)), "")</f>
        <v>49</v>
      </c>
      <c r="G69" s="175" t="str" cm="1">
        <f t="array" ref="G69" xml:space="preserve"> IFERROR( IF($C69="", "", INDEX(十五音韻母清單!$B$6:$K$105, $F69, G$2)), "")</f>
        <v>ue</v>
      </c>
      <c r="H69" s="175" cm="1">
        <f t="array" ref="H69" xml:space="preserve"> IFERROR( IF($C69="", "", INDEX(十五音韻母清單!$B$6:$K$105, $F69, H$2)), "")</f>
        <v>25</v>
      </c>
      <c r="I69" s="175" t="str" cm="1">
        <f t="array" ref="I69" xml:space="preserve"> IFERROR( IF($C69="", "", INDEX(十五音韻母清單!$B$6:$K$105, $F69, I$2)), "")</f>
        <v>ue</v>
      </c>
      <c r="J69" s="175" t="str" cm="1">
        <f t="array" ref="J69" xml:space="preserve"> IFERROR( IF($C69="", "", INDEX(十五音韻母清單!$B$6:$K$105, $F69, J$2)), "")</f>
        <v>檜</v>
      </c>
      <c r="K69" s="175" t="str" cm="1">
        <f t="array" ref="K69" xml:space="preserve"> IFERROR( IF($C69="", "", INDEX(十五音韻母清單!$B$6:$K$105, $F69, K$2)), "")</f>
        <v>舒聲</v>
      </c>
      <c r="L69" s="175" t="str" cm="1">
        <f t="array" ref="L69" xml:space="preserve"> IFERROR( IF($C69="", "", INDEX(十五音韻母清單!$B$6:$K$105, $F69, L$2)), "")</f>
        <v>ue</v>
      </c>
    </row>
    <row r="70" spans="2:12">
      <c r="B70" s="175">
        <v>63</v>
      </c>
      <c r="C70" s="176" t="s">
        <v>632</v>
      </c>
      <c r="D70" s="190" t="s">
        <v>2236</v>
      </c>
      <c r="E70" s="178" t="s">
        <v>1989</v>
      </c>
      <c r="F70" s="175">
        <f xml:space="preserve"> IFERROR( IF($C70="", "", MATCH($C70, 十五音韻母清單!$K$6:$K$105,0)), "")</f>
        <v>89</v>
      </c>
      <c r="G70" s="175" t="str" cm="1">
        <f t="array" ref="G70" xml:space="preserve"> IFERROR( IF($C70="", "", INDEX(十五音韻母清單!$B$6:$K$105, $F70, G$2)), "")</f>
        <v>uenn</v>
      </c>
      <c r="H70" s="175" cm="1">
        <f t="array" ref="H70" xml:space="preserve"> IFERROR( IF($C70="", "", INDEX(十五音韻母清單!$B$6:$K$105, $F70, H$2)), "")</f>
        <v>45</v>
      </c>
      <c r="I70" s="175" t="str" cm="1">
        <f t="array" ref="I70" xml:space="preserve"> IFERROR( IF($C70="", "", INDEX(十五音韻母清單!$B$6:$K$105, $F70, I$2)), "")</f>
        <v>uenn</v>
      </c>
      <c r="J70" s="175" t="str" cm="1">
        <f t="array" ref="J70" xml:space="preserve"> IFERROR( IF($C70="", "", INDEX(十五音韻母清單!$B$6:$K$105, $F70, J$2)), "")</f>
        <v>糜</v>
      </c>
      <c r="K70" s="175" t="str" cm="1">
        <f t="array" ref="K70" xml:space="preserve"> IFERROR( IF($C70="", "", INDEX(十五音韻母清單!$B$6:$K$105, $F70, K$2)), "")</f>
        <v>舒聲</v>
      </c>
      <c r="L70" s="175" t="str" cm="1">
        <f t="array" ref="L70" xml:space="preserve"> IFERROR( IF($C70="", "", INDEX(十五音韻母清單!$B$6:$K$105, $F70, L$2)), "")</f>
        <v>ũẽ</v>
      </c>
    </row>
    <row r="71" spans="2:12">
      <c r="B71" s="175">
        <v>64</v>
      </c>
      <c r="C71" s="176" t="s">
        <v>716</v>
      </c>
      <c r="D71" s="190" t="s">
        <v>2236</v>
      </c>
      <c r="E71" s="178" t="s">
        <v>1989</v>
      </c>
      <c r="F71" s="175">
        <f xml:space="preserve"> IFERROR( IF($C71="", "", MATCH($C71, 十五音韻母清單!$K$6:$K$105,0)), "")</f>
        <v>15</v>
      </c>
      <c r="G71" s="175" t="str" cm="1">
        <f t="array" ref="G71" xml:space="preserve"> IFERROR( IF($C71="", "", INDEX(十五音韻母清單!$B$6:$K$105, $F71, G$2)), "")</f>
        <v>uai</v>
      </c>
      <c r="H71" s="175" cm="1">
        <f t="array" ref="H71" xml:space="preserve"> IFERROR( IF($C71="", "", INDEX(十五音韻母清單!$B$6:$K$105, $F71, H$2)), "")</f>
        <v>8</v>
      </c>
      <c r="I71" s="175" t="str" cm="1">
        <f t="array" ref="I71" xml:space="preserve"> IFERROR( IF($C71="", "", INDEX(十五音韻母清單!$B$6:$K$105, $F71, I$2)), "")</f>
        <v>uai</v>
      </c>
      <c r="J71" s="175" t="str" cm="1">
        <f t="array" ref="J71" xml:space="preserve"> IFERROR( IF($C71="", "", INDEX(十五音韻母清單!$B$6:$K$105, $F71, J$2)), "")</f>
        <v>乖</v>
      </c>
      <c r="K71" s="175" t="str" cm="1">
        <f t="array" ref="K71" xml:space="preserve"> IFERROR( IF($C71="", "", INDEX(十五音韻母清單!$B$6:$K$105, $F71, K$2)), "")</f>
        <v>舒聲</v>
      </c>
      <c r="L71" s="175" t="str" cm="1">
        <f t="array" ref="L71" xml:space="preserve"> IFERROR( IF($C71="", "", INDEX(十五音韻母清單!$B$6:$K$105, $F71, L$2)), "")</f>
        <v>uai</v>
      </c>
    </row>
    <row r="72" spans="2:12">
      <c r="B72" s="175">
        <v>65</v>
      </c>
      <c r="C72" s="176" t="s">
        <v>618</v>
      </c>
      <c r="D72" s="190" t="s">
        <v>2236</v>
      </c>
      <c r="E72" s="178" t="s">
        <v>1989</v>
      </c>
      <c r="F72" s="175">
        <f xml:space="preserve"> IFERROR( IF($C72="", "", MATCH($C72, 十五音韻母清單!$K$6:$K$105,0)), "")</f>
        <v>87</v>
      </c>
      <c r="G72" s="175" t="str" cm="1">
        <f t="array" ref="G72" xml:space="preserve"> IFERROR( IF($C72="", "", INDEX(十五音韻母清單!$B$6:$K$105, $F72, G$2)), "")</f>
        <v>uainn</v>
      </c>
      <c r="H72" s="175" cm="1">
        <f t="array" ref="H72" xml:space="preserve"> IFERROR( IF($C72="", "", INDEX(十五音韻母清單!$B$6:$K$105, $F72, H$2)), "")</f>
        <v>44</v>
      </c>
      <c r="I72" s="175" t="str" cm="1">
        <f t="array" ref="I72" xml:space="preserve"> IFERROR( IF($C72="", "", INDEX(十五音韻母清單!$B$6:$K$105, $F72, I$2)), "")</f>
        <v>uainn</v>
      </c>
      <c r="J72" s="175" t="str" cm="1">
        <f t="array" ref="J72" xml:space="preserve"> IFERROR( IF($C72="", "", INDEX(十五音韻母清單!$B$6:$K$105, $F72, J$2)), "")</f>
        <v>閂</v>
      </c>
      <c r="K72" s="175" t="str" cm="1">
        <f t="array" ref="K72" xml:space="preserve"> IFERROR( IF($C72="", "", INDEX(十五音韻母清單!$B$6:$K$105, $F72, K$2)), "")</f>
        <v>舒聲</v>
      </c>
      <c r="L72" s="175" t="str" cm="1">
        <f t="array" ref="L72" xml:space="preserve"> IFERROR( IF($C72="", "", INDEX(十五音韻母清單!$B$6:$K$105, $F72, L$2)), "")</f>
        <v>ũãĩ</v>
      </c>
    </row>
    <row r="73" spans="2:12">
      <c r="B73" s="175">
        <v>66</v>
      </c>
      <c r="C73" s="176" t="s">
        <v>246</v>
      </c>
      <c r="D73" s="190" t="s">
        <v>2236</v>
      </c>
      <c r="E73" s="178" t="s">
        <v>1989</v>
      </c>
      <c r="F73" s="175">
        <f xml:space="preserve"> IFERROR( IF($C73="", "", MATCH($C73, 十五音韻母清單!$K$6:$K$105,0)), "")</f>
        <v>19</v>
      </c>
      <c r="G73" s="175" t="str" cm="1">
        <f t="array" ref="G73" xml:space="preserve"> IFERROR( IF($C73="", "", INDEX(十五音韻母清單!$B$6:$K$105, $F73, G$2)), "")</f>
        <v>uan</v>
      </c>
      <c r="H73" s="175" cm="1">
        <f t="array" ref="H73" xml:space="preserve"> IFERROR( IF($C73="", "", INDEX(十五音韻母清單!$B$6:$K$105, $F73, H$2)), "")</f>
        <v>10</v>
      </c>
      <c r="I73" s="175" t="str" cm="1">
        <f t="array" ref="I73" xml:space="preserve"> IFERROR( IF($C73="", "", INDEX(十五音韻母清單!$B$6:$K$105, $F73, I$2)), "")</f>
        <v>uan</v>
      </c>
      <c r="J73" s="175" t="str" cm="1">
        <f t="array" ref="J73" xml:space="preserve"> IFERROR( IF($C73="", "", INDEX(十五音韻母清單!$B$6:$K$105, $F73, J$2)), "")</f>
        <v>觀</v>
      </c>
      <c r="K73" s="175" t="str" cm="1">
        <f t="array" ref="K73" xml:space="preserve"> IFERROR( IF($C73="", "", INDEX(十五音韻母清單!$B$6:$K$105, $F73, K$2)), "")</f>
        <v>舒聲</v>
      </c>
      <c r="L73" s="175" t="str" cm="1">
        <f t="array" ref="L73" xml:space="preserve"> IFERROR( IF($C73="", "", INDEX(十五音韻母清單!$B$6:$K$105, $F73, L$2)), "")</f>
        <v>uan</v>
      </c>
    </row>
    <row r="74" spans="2:12">
      <c r="B74" s="175">
        <v>67</v>
      </c>
      <c r="C74" s="176" t="s">
        <v>156</v>
      </c>
      <c r="D74" s="190" t="s">
        <v>2236</v>
      </c>
      <c r="E74" s="178" t="s">
        <v>1989</v>
      </c>
      <c r="F74" s="175">
        <f xml:space="preserve"> IFERROR( IF($C74="", "", MATCH($C74, 十五音韻母清單!$K$6:$K$105,0)), "")</f>
        <v>1</v>
      </c>
      <c r="G74" s="175" t="str" cm="1">
        <f t="array" ref="G74" xml:space="preserve"> IFERROR( IF($C74="", "", INDEX(十五音韻母清單!$B$6:$K$105, $F74, G$2)), "")</f>
        <v>un</v>
      </c>
      <c r="H74" s="175" cm="1">
        <f t="array" ref="H74" xml:space="preserve"> IFERROR( IF($C74="", "", INDEX(十五音韻母清單!$B$6:$K$105, $F74, H$2)), "")</f>
        <v>1</v>
      </c>
      <c r="I74" s="175" t="str" cm="1">
        <f t="array" ref="I74" xml:space="preserve"> IFERROR( IF($C74="", "", INDEX(十五音韻母清單!$B$6:$K$105, $F74, I$2)), "")</f>
        <v>un</v>
      </c>
      <c r="J74" s="175" t="str" cm="1">
        <f t="array" ref="J74" xml:space="preserve"> IFERROR( IF($C74="", "", INDEX(十五音韻母清單!$B$6:$K$105, $F74, J$2)), "")</f>
        <v>君</v>
      </c>
      <c r="K74" s="175" t="str" cm="1">
        <f t="array" ref="K74" xml:space="preserve"> IFERROR( IF($C74="", "", INDEX(十五音韻母清單!$B$6:$K$105, $F74, K$2)), "")</f>
        <v>舒聲</v>
      </c>
      <c r="L74" s="175" t="str" cm="1">
        <f t="array" ref="L74" xml:space="preserve"> IFERROR( IF($C74="", "", INDEX(十五音韻母清單!$B$6:$K$105, $F74, L$2)), "")</f>
        <v>un</v>
      </c>
    </row>
    <row r="75" spans="2:12">
      <c r="B75" s="175">
        <v>68</v>
      </c>
      <c r="C75" s="176" t="s">
        <v>604</v>
      </c>
      <c r="D75" s="190" t="s">
        <v>2236</v>
      </c>
      <c r="E75" s="178" t="s">
        <v>1989</v>
      </c>
      <c r="F75" s="175">
        <f xml:space="preserve"> IFERROR( IF($C75="", "", MATCH($C75, 十五音韻母清單!$K$6:$K$105,0)), "")</f>
        <v>85</v>
      </c>
      <c r="G75" s="175" t="str" cm="1">
        <f t="array" ref="G75" xml:space="preserve"> IFERROR( IF($C75="", "", INDEX(十五音韻母清單!$B$6:$K$105, $F75, G$2)), "")</f>
        <v>uang</v>
      </c>
      <c r="H75" s="175" cm="1">
        <f t="array" ref="H75" xml:space="preserve"> IFERROR( IF($C75="", "", INDEX(十五音韻母清單!$B$6:$K$105, $F75, H$2)), "")</f>
        <v>43</v>
      </c>
      <c r="I75" s="175" t="str" cm="1">
        <f t="array" ref="I75" xml:space="preserve"> IFERROR( IF($C75="", "", INDEX(十五音韻母清單!$B$6:$K$105, $F75, I$2)), "")</f>
        <v>uang</v>
      </c>
      <c r="J75" s="175" t="str" cm="1">
        <f t="array" ref="J75" xml:space="preserve"> IFERROR( IF($C75="", "", INDEX(十五音韻母清單!$B$6:$K$105, $F75, J$2)), "")</f>
        <v>光</v>
      </c>
      <c r="K75" s="175" t="str" cm="1">
        <f t="array" ref="K75" xml:space="preserve"> IFERROR( IF($C75="", "", INDEX(十五音韻母清單!$B$6:$K$105, $F75, K$2)), "")</f>
        <v>舒聲</v>
      </c>
      <c r="L75" s="175" t="str" cm="1">
        <f t="array" ref="L75" xml:space="preserve"> IFERROR( IF($C75="", "", INDEX(十五音韻母清單!$B$6:$K$105, $F75, L$2)), "")</f>
        <v>uaŋ</v>
      </c>
    </row>
    <row r="76" spans="2:12">
      <c r="B76" s="175">
        <v>69</v>
      </c>
      <c r="C76" s="176" t="s">
        <v>183</v>
      </c>
      <c r="D76" s="190" t="s">
        <v>2236</v>
      </c>
      <c r="E76" s="178" t="s">
        <v>1989</v>
      </c>
      <c r="F76" s="175">
        <f xml:space="preserve"> IFERROR( IF($C76="", "", MATCH($C76, 十五音韻母清單!$K$6:$K$105,0)), "")</f>
        <v>7</v>
      </c>
      <c r="G76" s="175" t="str" cm="1">
        <f t="array" ref="G76" xml:space="preserve"> IFERROR( IF($C76="", "", INDEX(十五音韻母清單!$B$6:$K$105, $F76, G$2)), "")</f>
        <v>ui</v>
      </c>
      <c r="H76" s="175" cm="1">
        <f t="array" ref="H76" xml:space="preserve"> IFERROR( IF($C76="", "", INDEX(十五音韻母清單!$B$6:$K$105, $F76, H$2)), "")</f>
        <v>4</v>
      </c>
      <c r="I76" s="175" t="str" cm="1">
        <f t="array" ref="I76" xml:space="preserve"> IFERROR( IF($C76="", "", INDEX(十五音韻母清單!$B$6:$K$105, $F76, I$2)), "")</f>
        <v>ui</v>
      </c>
      <c r="J76" s="175" t="str" cm="1">
        <f t="array" ref="J76" xml:space="preserve"> IFERROR( IF($C76="", "", INDEX(十五音韻母清單!$B$6:$K$105, $F76, J$2)), "")</f>
        <v>規</v>
      </c>
      <c r="K76" s="175" t="str" cm="1">
        <f t="array" ref="K76" xml:space="preserve"> IFERROR( IF($C76="", "", INDEX(十五音韻母清單!$B$6:$K$105, $F76, K$2)), "")</f>
        <v>舒聲</v>
      </c>
      <c r="L76" s="175" t="str" cm="1">
        <f t="array" ref="L76" xml:space="preserve"> IFERROR( IF($C76="", "", INDEX(十五音韻母清單!$B$6:$K$105, $F76, L$2)), "")</f>
        <v>ui</v>
      </c>
    </row>
    <row r="77" spans="2:12">
      <c r="B77" s="175">
        <v>70</v>
      </c>
      <c r="C77" s="176" t="s">
        <v>473</v>
      </c>
      <c r="D77" s="190" t="s">
        <v>2236</v>
      </c>
      <c r="E77" s="178" t="s">
        <v>1989</v>
      </c>
      <c r="F77" s="175">
        <f xml:space="preserve"> IFERROR( IF($C77="", "", MATCH($C77, 十五音韻母清單!$K$6:$K$105,0)), "")</f>
        <v>63</v>
      </c>
      <c r="G77" s="175" t="str" cm="1">
        <f t="array" ref="G77" xml:space="preserve"> IFERROR( IF($C77="", "", INDEX(十五音韻母清單!$B$6:$K$105, $F77, G$2)), "")</f>
        <v>uinn</v>
      </c>
      <c r="H77" s="175" cm="1">
        <f t="array" ref="H77" xml:space="preserve"> IFERROR( IF($C77="", "", INDEX(十五音韻母清單!$B$6:$K$105, $F77, H$2)), "")</f>
        <v>32</v>
      </c>
      <c r="I77" s="175" t="str" cm="1">
        <f t="array" ref="I77" xml:space="preserve"> IFERROR( IF($C77="", "", INDEX(十五音韻母清單!$B$6:$K$105, $F77, I$2)), "")</f>
        <v>uinn</v>
      </c>
      <c r="J77" s="175" t="str" cm="1">
        <f t="array" ref="J77" xml:space="preserve"> IFERROR( IF($C77="", "", INDEX(十五音韻母清單!$B$6:$K$105, $F77, J$2)), "")</f>
        <v>褌</v>
      </c>
      <c r="K77" s="175" t="str" cm="1">
        <f t="array" ref="K77" xml:space="preserve"> IFERROR( IF($C77="", "", INDEX(十五音韻母清單!$B$6:$K$105, $F77, K$2)), "")</f>
        <v>舒聲</v>
      </c>
      <c r="L77" s="175" t="str" cm="1">
        <f t="array" ref="L77" xml:space="preserve"> IFERROR( IF($C77="", "", INDEX(十五音韻母清單!$B$6:$K$105, $F77, L$2)), "")</f>
        <v>ũĩ</v>
      </c>
    </row>
    <row r="78" spans="2:12">
      <c r="B78" s="175">
        <v>71</v>
      </c>
      <c r="C78" s="184" t="s">
        <v>2239</v>
      </c>
      <c r="D78" s="189" t="s">
        <v>2236</v>
      </c>
      <c r="E78" s="184" t="s">
        <v>2238</v>
      </c>
      <c r="F78" s="175" t="str">
        <f xml:space="preserve"> IFERROR( IF($C78="", "", MATCH($C78, 十五音韻母清單!$K$6:$K$105,0)), "")</f>
        <v/>
      </c>
      <c r="G78" s="175" t="str" cm="1">
        <f t="array" ref="G78" xml:space="preserve"> IFERROR( IF($C78="", "", INDEX(十五音韻母清單!$B$6:$K$105, $F78, G$2)), "")</f>
        <v/>
      </c>
      <c r="H78" s="175" t="str" cm="1">
        <f t="array" ref="H78" xml:space="preserve"> IFERROR( IF($C78="", "", INDEX(十五音韻母清單!$B$6:$K$105, $F78, H$2)), "")</f>
        <v/>
      </c>
      <c r="I78" s="175" t="str" cm="1">
        <f t="array" ref="I78" xml:space="preserve"> IFERROR( IF($C78="", "", INDEX(十五音韻母清單!$B$6:$K$105, $F78, I$2)), "")</f>
        <v/>
      </c>
      <c r="J78" s="175" t="str" cm="1">
        <f t="array" ref="J78" xml:space="preserve"> IFERROR( IF($C78="", "", INDEX(十五音韻母清單!$B$6:$K$105, $F78, J$2)), "")</f>
        <v/>
      </c>
      <c r="K78" s="175" t="str" cm="1">
        <f t="array" ref="K78" xml:space="preserve"> IFERROR( IF($C78="", "", INDEX(十五音韻母清單!$B$6:$K$105, $F78, K$2)), "")</f>
        <v/>
      </c>
      <c r="L78" s="175" t="str" cm="1">
        <f t="array" ref="L78" xml:space="preserve"> IFERROR( IF($C78="", "", INDEX(十五音韻母清單!$B$6:$K$105, $F78, L$2)), "")</f>
        <v/>
      </c>
    </row>
    <row r="79" spans="2:12">
      <c r="B79" s="175">
        <v>72</v>
      </c>
      <c r="C79" s="184" t="s">
        <v>2240</v>
      </c>
      <c r="D79" s="189" t="s">
        <v>2236</v>
      </c>
      <c r="E79" s="184" t="s">
        <v>2238</v>
      </c>
      <c r="F79" s="175" t="str">
        <f xml:space="preserve"> IFERROR( IF($C79="", "", MATCH($C79, 十五音韻母清單!$K$6:$K$105,0)), "")</f>
        <v/>
      </c>
      <c r="G79" s="175" t="str" cm="1">
        <f t="array" ref="G79" xml:space="preserve"> IFERROR( IF($C79="", "", INDEX(十五音韻母清單!$B$6:$K$105, $F79, G$2)), "")</f>
        <v/>
      </c>
      <c r="H79" s="175" t="str" cm="1">
        <f t="array" ref="H79" xml:space="preserve"> IFERROR( IF($C79="", "", INDEX(十五音韻母清單!$B$6:$K$105, $F79, H$2)), "")</f>
        <v/>
      </c>
      <c r="I79" s="175" t="str" cm="1">
        <f t="array" ref="I79" xml:space="preserve"> IFERROR( IF($C79="", "", INDEX(十五音韻母清單!$B$6:$K$105, $F79, I$2)), "")</f>
        <v/>
      </c>
      <c r="J79" s="175" t="str" cm="1">
        <f t="array" ref="J79" xml:space="preserve"> IFERROR( IF($C79="", "", INDEX(十五音韻母清單!$B$6:$K$105, $F79, J$2)), "")</f>
        <v/>
      </c>
      <c r="K79" s="175" t="str" cm="1">
        <f t="array" ref="K79" xml:space="preserve"> IFERROR( IF($C79="", "", INDEX(十五音韻母清單!$B$6:$K$105, $F79, K$2)), "")</f>
        <v/>
      </c>
      <c r="L79" s="175" t="str" cm="1">
        <f t="array" ref="L79" xml:space="preserve"> IFERROR( IF($C79="", "", INDEX(十五音韻母清單!$B$6:$K$105, $F79, L$2)), "")</f>
        <v/>
      </c>
    </row>
    <row r="80" spans="2:12">
      <c r="B80" s="175">
        <v>73</v>
      </c>
      <c r="C80" s="176" t="s">
        <v>2241</v>
      </c>
      <c r="D80" s="190" t="s">
        <v>2236</v>
      </c>
      <c r="E80" s="178" t="s">
        <v>1989</v>
      </c>
      <c r="F80" s="175" t="str">
        <f xml:space="preserve"> IFERROR( IF($C80="", "", MATCH($C80, 十五音韻母清單!$K$6:$K$105,0)), "")</f>
        <v/>
      </c>
      <c r="G80" s="175" t="str" cm="1">
        <f t="array" ref="G80" xml:space="preserve"> IFERROR( IF($C80="", "", INDEX(十五音韻母清單!$B$6:$K$105, $F80, G$2)), "")</f>
        <v/>
      </c>
      <c r="H80" s="175" t="str" cm="1">
        <f t="array" ref="H80" xml:space="preserve"> IFERROR( IF($C80="", "", INDEX(十五音韻母清單!$B$6:$K$105, $F80, H$2)), "")</f>
        <v/>
      </c>
      <c r="I80" s="175" t="str" cm="1">
        <f t="array" ref="I80" xml:space="preserve"> IFERROR( IF($C80="", "", INDEX(十五音韻母清單!$B$6:$K$105, $F80, I$2)), "")</f>
        <v/>
      </c>
      <c r="J80" s="175" t="str" cm="1">
        <f t="array" ref="J80" xml:space="preserve"> IFERROR( IF($C80="", "", INDEX(十五音韻母清單!$B$6:$K$105, $F80, J$2)), "")</f>
        <v/>
      </c>
      <c r="K80" s="175" t="str" cm="1">
        <f t="array" ref="K80" xml:space="preserve"> IFERROR( IF($C80="", "", INDEX(十五音韻母清單!$B$6:$K$105, $F80, K$2)), "")</f>
        <v/>
      </c>
      <c r="L80" s="175" t="str" cm="1">
        <f t="array" ref="L80" xml:space="preserve"> IFERROR( IF($C80="", "", INDEX(十五音韻母清單!$B$6:$K$105, $F80, L$2)), "")</f>
        <v/>
      </c>
    </row>
    <row r="81" spans="2:12">
      <c r="B81" s="175">
        <v>74</v>
      </c>
      <c r="C81" s="176" t="s">
        <v>2242</v>
      </c>
      <c r="D81" s="190" t="s">
        <v>2236</v>
      </c>
      <c r="E81" s="178" t="s">
        <v>1989</v>
      </c>
      <c r="F81" s="175" t="str">
        <f xml:space="preserve"> IFERROR( IF($C81="", "", MATCH($C81, 十五音韻母清單!$K$6:$K$105,0)), "")</f>
        <v/>
      </c>
      <c r="G81" s="175" t="str" cm="1">
        <f t="array" ref="G81" xml:space="preserve"> IFERROR( IF($C81="", "", INDEX(十五音韻母清單!$B$6:$K$105, $F81, G$2)), "")</f>
        <v/>
      </c>
      <c r="H81" s="175" t="str" cm="1">
        <f t="array" ref="H81" xml:space="preserve"> IFERROR( IF($C81="", "", INDEX(十五音韻母清單!$B$6:$K$105, $F81, H$2)), "")</f>
        <v/>
      </c>
      <c r="I81" s="175" t="str" cm="1">
        <f t="array" ref="I81" xml:space="preserve"> IFERROR( IF($C81="", "", INDEX(十五音韻母清單!$B$6:$K$105, $F81, I$2)), "")</f>
        <v/>
      </c>
      <c r="J81" s="175" t="str" cm="1">
        <f t="array" ref="J81" xml:space="preserve"> IFERROR( IF($C81="", "", INDEX(十五音韻母清單!$B$6:$K$105, $F81, J$2)), "")</f>
        <v/>
      </c>
      <c r="K81" s="175" t="str" cm="1">
        <f t="array" ref="K81" xml:space="preserve"> IFERROR( IF($C81="", "", INDEX(十五音韻母清單!$B$6:$K$105, $F81, K$2)), "")</f>
        <v/>
      </c>
      <c r="L81" s="175" t="str" cm="1">
        <f t="array" ref="L81" xml:space="preserve"> IFERROR( IF($C81="", "", INDEX(十五音韻母清單!$B$6:$K$105, $F81, L$2)), "")</f>
        <v/>
      </c>
    </row>
    <row r="82" spans="2:12">
      <c r="B82" s="175">
        <v>75</v>
      </c>
      <c r="C82" s="176" t="s">
        <v>157</v>
      </c>
      <c r="D82" s="190" t="s">
        <v>2236</v>
      </c>
      <c r="E82" s="175" t="s">
        <v>2233</v>
      </c>
      <c r="F82" s="175">
        <f xml:space="preserve"> IFERROR( IF($C82="", "", MATCH($C82, 十五音韻母清單!$K$6:$K$105,0)), "")</f>
        <v>2</v>
      </c>
      <c r="G82" s="175" t="str" cm="1">
        <f t="array" ref="G82" xml:space="preserve"> IFERROR( IF($C82="", "", INDEX(十五音韻母清單!$B$6:$K$105, $F82, G$2)), "")</f>
        <v>ut</v>
      </c>
      <c r="H82" s="175" cm="1">
        <f t="array" ref="H82" xml:space="preserve"> IFERROR( IF($C82="", "", INDEX(十五音韻母清單!$B$6:$K$105, $F82, H$2)), "")</f>
        <v>1</v>
      </c>
      <c r="I82" s="175" t="str" cm="1">
        <f t="array" ref="I82" xml:space="preserve"> IFERROR( IF($C82="", "", INDEX(十五音韻母清單!$B$6:$K$105, $F82, I$2)), "")</f>
        <v>ut</v>
      </c>
      <c r="J82" s="175" t="str" cm="1">
        <f t="array" ref="J82" xml:space="preserve"> IFERROR( IF($C82="", "", INDEX(十五音韻母清單!$B$6:$K$105, $F82, J$2)), "")</f>
        <v>君</v>
      </c>
      <c r="K82" s="175" t="str" cm="1">
        <f t="array" ref="K82" xml:space="preserve"> IFERROR( IF($C82="", "", INDEX(十五音韻母清單!$B$6:$K$105, $F82, K$2)), "")</f>
        <v>入聲</v>
      </c>
      <c r="L82" s="175" t="str" cm="1">
        <f t="array" ref="L82" xml:space="preserve"> IFERROR( IF($C82="", "", INDEX(十五音韻母清單!$B$6:$K$105, $F82, L$2)), "")</f>
        <v>ut̚</v>
      </c>
    </row>
    <row r="83" spans="2:12">
      <c r="B83" s="175">
        <v>76</v>
      </c>
      <c r="C83" s="176" t="s">
        <v>419</v>
      </c>
      <c r="D83" s="190" t="s">
        <v>2236</v>
      </c>
      <c r="E83" s="175" t="s">
        <v>2233</v>
      </c>
      <c r="F83" s="175">
        <f xml:space="preserve"> IFERROR( IF($C83="", "", MATCH($C83, 十五音韻母清單!$K$6:$K$105,0)), "")</f>
        <v>54</v>
      </c>
      <c r="G83" s="175" t="str" cm="1">
        <f t="array" ref="G83" xml:space="preserve"> IFERROR( IF($C83="", "", INDEX(十五音韻母清單!$B$6:$K$105, $F83, G$2)), "")</f>
        <v>uh</v>
      </c>
      <c r="H83" s="175" cm="1">
        <f t="array" ref="H83" xml:space="preserve"> IFERROR( IF($C83="", "", INDEX(十五音韻母清單!$B$6:$K$105, $F83, H$2)), "")</f>
        <v>27</v>
      </c>
      <c r="I83" s="175" t="str" cm="1">
        <f t="array" ref="I83" xml:space="preserve"> IFERROR( IF($C83="", "", INDEX(十五音韻母清單!$B$6:$K$105, $F83, I$2)), "")</f>
        <v>uh</v>
      </c>
      <c r="J83" s="175" t="str" cm="1">
        <f t="array" ref="J83" xml:space="preserve"> IFERROR( IF($C83="", "", INDEX(十五音韻母清單!$B$6:$K$105, $F83, J$2)), "")</f>
        <v>艍</v>
      </c>
      <c r="K83" s="175" t="str" cm="1">
        <f t="array" ref="K83" xml:space="preserve"> IFERROR( IF($C83="", "", INDEX(十五音韻母清單!$B$6:$K$105, $F83, K$2)), "")</f>
        <v>入聲</v>
      </c>
      <c r="L83" s="175" t="str" cm="1">
        <f t="array" ref="L83" xml:space="preserve"> IFERROR( IF($C83="", "", INDEX(十五音韻母清單!$B$6:$K$105, $F83, L$2)), "")</f>
        <v>u?</v>
      </c>
    </row>
    <row r="84" spans="2:12">
      <c r="B84" s="175">
        <v>77</v>
      </c>
      <c r="C84" s="176" t="s">
        <v>247</v>
      </c>
      <c r="D84" s="190" t="s">
        <v>2236</v>
      </c>
      <c r="E84" s="175" t="s">
        <v>2233</v>
      </c>
      <c r="F84" s="175">
        <f xml:space="preserve"> IFERROR( IF($C84="", "", MATCH($C84, 十五音韻母清單!$K$6:$K$105,0)), "")</f>
        <v>20</v>
      </c>
      <c r="G84" s="175" t="str" cm="1">
        <f t="array" ref="G84" xml:space="preserve"> IFERROR( IF($C84="", "", INDEX(十五音韻母清單!$B$6:$K$105, $F84, G$2)), "")</f>
        <v>uat</v>
      </c>
      <c r="H84" s="175" cm="1">
        <f t="array" ref="H84" xml:space="preserve"> IFERROR( IF($C84="", "", INDEX(十五音韻母清單!$B$6:$K$105, $F84, H$2)), "")</f>
        <v>10</v>
      </c>
      <c r="I84" s="175" t="str" cm="1">
        <f t="array" ref="I84" xml:space="preserve"> IFERROR( IF($C84="", "", INDEX(十五音韻母清單!$B$6:$K$105, $F84, I$2)), "")</f>
        <v>uat</v>
      </c>
      <c r="J84" s="175" t="str" cm="1">
        <f t="array" ref="J84" xml:space="preserve"> IFERROR( IF($C84="", "", INDEX(十五音韻母清單!$B$6:$K$105, $F84, J$2)), "")</f>
        <v>觀</v>
      </c>
      <c r="K84" s="175" t="str" cm="1">
        <f t="array" ref="K84" xml:space="preserve"> IFERROR( IF($C84="", "", INDEX(十五音韻母清單!$B$6:$K$105, $F84, K$2)), "")</f>
        <v>入聲</v>
      </c>
      <c r="L84" s="175" t="str" cm="1">
        <f t="array" ref="L84" xml:space="preserve"> IFERROR( IF($C84="", "", INDEX(十五音韻母清單!$B$6:$K$105, $F84, L$2)), "")</f>
        <v>uat̚</v>
      </c>
    </row>
    <row r="85" spans="2:12">
      <c r="B85" s="175">
        <v>78</v>
      </c>
      <c r="C85" s="176" t="s">
        <v>605</v>
      </c>
      <c r="D85" s="190" t="s">
        <v>2236</v>
      </c>
      <c r="E85" s="175" t="s">
        <v>2233</v>
      </c>
      <c r="F85" s="175">
        <f xml:space="preserve"> IFERROR( IF($C85="", "", MATCH($C85, 十五音韻母清單!$K$6:$K$105,0)), "")</f>
        <v>86</v>
      </c>
      <c r="G85" s="175" t="str" cm="1">
        <f t="array" ref="G85" xml:space="preserve"> IFERROR( IF($C85="", "", INDEX(十五音韻母清單!$B$6:$K$105, $F85, G$2)), "")</f>
        <v>uak</v>
      </c>
      <c r="H85" s="175" cm="1">
        <f t="array" ref="H85" xml:space="preserve"> IFERROR( IF($C85="", "", INDEX(十五音韻母清單!$B$6:$K$105, $F85, H$2)), "")</f>
        <v>43</v>
      </c>
      <c r="I85" s="175" t="str" cm="1">
        <f t="array" ref="I85" xml:space="preserve"> IFERROR( IF($C85="", "", INDEX(十五音韻母清單!$B$6:$K$105, $F85, I$2)), "")</f>
        <v>uak</v>
      </c>
      <c r="J85" s="175" t="str" cm="1">
        <f t="array" ref="J85" xml:space="preserve"> IFERROR( IF($C85="", "", INDEX(十五音韻母清單!$B$6:$K$105, $F85, J$2)), "")</f>
        <v>光</v>
      </c>
      <c r="K85" s="175" t="str" cm="1">
        <f t="array" ref="K85" xml:space="preserve"> IFERROR( IF($C85="", "", INDEX(十五音韻母清單!$B$6:$K$105, $F85, K$2)), "")</f>
        <v>入聲</v>
      </c>
      <c r="L85" s="175" t="str" cm="1">
        <f t="array" ref="L85" xml:space="preserve"> IFERROR( IF($C85="", "", INDEX(十五音韻母清單!$B$6:$K$105, $F85, L$2)), "")</f>
        <v>uak̚</v>
      </c>
    </row>
    <row r="86" spans="2:12">
      <c r="B86" s="175">
        <v>79</v>
      </c>
      <c r="C86" s="176" t="s">
        <v>346</v>
      </c>
      <c r="D86" s="190" t="s">
        <v>2236</v>
      </c>
      <c r="E86" s="175" t="s">
        <v>2233</v>
      </c>
      <c r="F86" s="175">
        <f xml:space="preserve"> IFERROR( IF($C86="", "", MATCH($C86, 十五音韻母清單!$K$6:$K$105,0)), "")</f>
        <v>40</v>
      </c>
      <c r="G86" s="175" t="str" cm="1">
        <f t="array" ref="G86" xml:space="preserve"> IFERROR( IF($C86="", "", INDEX(十五音韻母清單!$B$6:$K$105, $F86, G$2)), "")</f>
        <v>uah</v>
      </c>
      <c r="H86" s="175" cm="1">
        <f t="array" ref="H86" xml:space="preserve"> IFERROR( IF($C86="", "", INDEX(十五音韻母清單!$B$6:$K$105, $F86, H$2)), "")</f>
        <v>20</v>
      </c>
      <c r="I86" s="175" t="str" cm="1">
        <f t="array" ref="I86" xml:space="preserve"> IFERROR( IF($C86="", "", INDEX(十五音韻母清單!$B$6:$K$105, $F86, I$2)), "")</f>
        <v>uah</v>
      </c>
      <c r="J86" s="175" t="str" cm="1">
        <f t="array" ref="J86" xml:space="preserve"> IFERROR( IF($C86="", "", INDEX(十五音韻母清單!$B$6:$K$105, $F86, J$2)), "")</f>
        <v>瓜</v>
      </c>
      <c r="K86" s="175" t="str" cm="1">
        <f t="array" ref="K86" xml:space="preserve"> IFERROR( IF($C86="", "", INDEX(十五音韻母清單!$B$6:$K$105, $F86, K$2)), "")</f>
        <v>入聲</v>
      </c>
      <c r="L86" s="175" t="str" cm="1">
        <f t="array" ref="L86" xml:space="preserve"> IFERROR( IF($C86="", "", INDEX(十五音韻母清單!$B$6:$K$105, $F86, L$2)), "")</f>
        <v>ua?</v>
      </c>
    </row>
    <row r="87" spans="2:12">
      <c r="B87" s="175">
        <v>80</v>
      </c>
      <c r="C87" s="176" t="s">
        <v>718</v>
      </c>
      <c r="D87" s="190" t="s">
        <v>2236</v>
      </c>
      <c r="E87" s="175" t="s">
        <v>2233</v>
      </c>
      <c r="F87" s="175">
        <f xml:space="preserve"> IFERROR( IF($C87="", "", MATCH($C87, 十五音韻母清單!$K$6:$K$105,0)), "")</f>
        <v>50</v>
      </c>
      <c r="G87" s="175" t="str" cm="1">
        <f t="array" ref="G87" xml:space="preserve"> IFERROR( IF($C87="", "", INDEX(十五音韻母清單!$B$6:$K$105, $F87, G$2)), "")</f>
        <v>ueh</v>
      </c>
      <c r="H87" s="175" cm="1">
        <f t="array" ref="H87" xml:space="preserve"> IFERROR( IF($C87="", "", INDEX(十五音韻母清單!$B$6:$K$105, $F87, H$2)), "")</f>
        <v>25</v>
      </c>
      <c r="I87" s="175" t="str" cm="1">
        <f t="array" ref="I87" xml:space="preserve"> IFERROR( IF($C87="", "", INDEX(十五音韻母清單!$B$6:$K$105, $F87, I$2)), "")</f>
        <v>ueh</v>
      </c>
      <c r="J87" s="175" t="str" cm="1">
        <f t="array" ref="J87" xml:space="preserve"> IFERROR( IF($C87="", "", INDEX(十五音韻母清單!$B$6:$K$105, $F87, J$2)), "")</f>
        <v>檜</v>
      </c>
      <c r="K87" s="175" t="str" cm="1">
        <f t="array" ref="K87" xml:space="preserve"> IFERROR( IF($C87="", "", INDEX(十五音韻母清單!$B$6:$K$105, $F87, K$2)), "")</f>
        <v>入聲</v>
      </c>
      <c r="L87" s="175" t="str" cm="1">
        <f t="array" ref="L87" xml:space="preserve"> IFERROR( IF($C87="", "", INDEX(十五音韻母清單!$B$6:$K$105, $F87, L$2)), "")</f>
        <v>ue?</v>
      </c>
    </row>
    <row r="88" spans="2:12">
      <c r="B88" s="175">
        <v>81</v>
      </c>
      <c r="C88" s="184" t="s">
        <v>633</v>
      </c>
      <c r="D88" s="189" t="s">
        <v>2236</v>
      </c>
      <c r="E88" s="184" t="s">
        <v>2233</v>
      </c>
      <c r="F88" s="175">
        <f xml:space="preserve"> IFERROR( IF($C88="", "", MATCH($C88, 十五音韻母清單!$K$6:$K$105,0)), "")</f>
        <v>90</v>
      </c>
      <c r="G88" s="175" t="str" cm="1">
        <f t="array" ref="G88" xml:space="preserve"> IFERROR( IF($C88="", "", INDEX(十五音韻母清單!$B$6:$K$105, $F88, G$2)), "")</f>
        <v>uennh</v>
      </c>
      <c r="H88" s="175" cm="1">
        <f t="array" ref="H88" xml:space="preserve"> IFERROR( IF($C88="", "", INDEX(十五音韻母清單!$B$6:$K$105, $F88, H$2)), "")</f>
        <v>45</v>
      </c>
      <c r="I88" s="175" t="str" cm="1">
        <f t="array" ref="I88" xml:space="preserve"> IFERROR( IF($C88="", "", INDEX(十五音韻母清單!$B$6:$K$105, $F88, I$2)), "")</f>
        <v>uennh</v>
      </c>
      <c r="J88" s="175" t="str" cm="1">
        <f t="array" ref="J88" xml:space="preserve"> IFERROR( IF($C88="", "", INDEX(十五音韻母清單!$B$6:$K$105, $F88, J$2)), "")</f>
        <v>糜</v>
      </c>
      <c r="K88" s="175" t="str" cm="1">
        <f t="array" ref="K88" xml:space="preserve"> IFERROR( IF($C88="", "", INDEX(十五音韻母清單!$B$6:$K$105, $F88, K$2)), "")</f>
        <v>入聲</v>
      </c>
      <c r="L88" s="175" t="str" cm="1">
        <f t="array" ref="L88" xml:space="preserve"> IFERROR( IF($C88="", "", INDEX(十五音韻母清單!$B$6:$K$105, $F88, L$2)), "")</f>
        <v>ũẽ?</v>
      </c>
    </row>
    <row r="89" spans="2:12">
      <c r="B89" s="175">
        <v>82</v>
      </c>
      <c r="C89" s="176" t="s">
        <v>226</v>
      </c>
      <c r="D89" s="190" t="s">
        <v>2236</v>
      </c>
      <c r="E89" s="175" t="s">
        <v>2233</v>
      </c>
      <c r="F89" s="175">
        <f xml:space="preserve"> IFERROR( IF($C89="", "", MATCH($C89, 十五音韻母清單!$K$6:$K$105,0)), "")</f>
        <v>16</v>
      </c>
      <c r="G89" s="175" t="str" cm="1">
        <f t="array" ref="G89" xml:space="preserve"> IFERROR( IF($C89="", "", INDEX(十五音韻母清單!$B$6:$K$105, $F89, G$2)), "")</f>
        <v>uaih</v>
      </c>
      <c r="H89" s="175" cm="1">
        <f t="array" ref="H89" xml:space="preserve"> IFERROR( IF($C89="", "", INDEX(十五音韻母清單!$B$6:$K$105, $F89, H$2)), "")</f>
        <v>8</v>
      </c>
      <c r="I89" s="175" t="str" cm="1">
        <f t="array" ref="I89" xml:space="preserve"> IFERROR( IF($C89="", "", INDEX(十五音韻母清單!$B$6:$K$105, $F89, I$2)), "")</f>
        <v>uaih</v>
      </c>
      <c r="J89" s="175" t="str" cm="1">
        <f t="array" ref="J89" xml:space="preserve"> IFERROR( IF($C89="", "", INDEX(十五音韻母清單!$B$6:$K$105, $F89, J$2)), "")</f>
        <v>乖</v>
      </c>
      <c r="K89" s="175" t="str" cm="1">
        <f t="array" ref="K89" xml:space="preserve"> IFERROR( IF($C89="", "", INDEX(十五音韻母清單!$B$6:$K$105, $F89, K$2)), "")</f>
        <v>入聲</v>
      </c>
      <c r="L89" s="175" t="str" cm="1">
        <f t="array" ref="L89" xml:space="preserve"> IFERROR( IF($C89="", "", INDEX(十五音韻母清單!$B$6:$K$105, $F89, L$2)), "")</f>
        <v>uai?</v>
      </c>
    </row>
    <row r="90" spans="2:12">
      <c r="B90" s="175">
        <v>83</v>
      </c>
      <c r="C90" s="176" t="s">
        <v>619</v>
      </c>
      <c r="D90" s="190" t="s">
        <v>2236</v>
      </c>
      <c r="E90" s="175" t="s">
        <v>2233</v>
      </c>
      <c r="F90" s="175">
        <f xml:space="preserve"> IFERROR( IF($C90="", "", MATCH($C90, 十五音韻母清單!$K$6:$K$105,0)), "")</f>
        <v>88</v>
      </c>
      <c r="G90" s="175" t="str" cm="1">
        <f t="array" ref="G90" xml:space="preserve"> IFERROR( IF($C90="", "", INDEX(十五音韻母清單!$B$6:$K$105, $F90, G$2)), "")</f>
        <v>uainnh</v>
      </c>
      <c r="H90" s="175" cm="1">
        <f t="array" ref="H90" xml:space="preserve"> IFERROR( IF($C90="", "", INDEX(十五音韻母清單!$B$6:$K$105, $F90, H$2)), "")</f>
        <v>44</v>
      </c>
      <c r="I90" s="175" t="str" cm="1">
        <f t="array" ref="I90" xml:space="preserve"> IFERROR( IF($C90="", "", INDEX(十五音韻母清單!$B$6:$K$105, $F90, I$2)), "")</f>
        <v>uainnh</v>
      </c>
      <c r="J90" s="175" t="str" cm="1">
        <f t="array" ref="J90" xml:space="preserve"> IFERROR( IF($C90="", "", INDEX(十五音韻母清單!$B$6:$K$105, $F90, J$2)), "")</f>
        <v>閂</v>
      </c>
      <c r="K90" s="175" t="str" cm="1">
        <f t="array" ref="K90" xml:space="preserve"> IFERROR( IF($C90="", "", INDEX(十五音韻母清單!$B$6:$K$105, $F90, K$2)), "")</f>
        <v>入聲</v>
      </c>
      <c r="L90" s="175" t="str" cm="1">
        <f t="array" ref="L90" xml:space="preserve"> IFERROR( IF($C90="", "", INDEX(十五音韻母清單!$B$6:$K$105, $F90, L$2)), "")</f>
        <v>uãĩ?</v>
      </c>
    </row>
    <row r="91" spans="2:12">
      <c r="B91" s="175">
        <v>84</v>
      </c>
      <c r="C91" s="196" t="s">
        <v>2243</v>
      </c>
      <c r="D91" s="189" t="s">
        <v>2236</v>
      </c>
      <c r="E91" s="184" t="s">
        <v>2233</v>
      </c>
      <c r="F91" s="175">
        <f xml:space="preserve"> IFERROR( IF($C91="", "", MATCH($C91, 十五音韻母清單!$K$6:$K$105,0)), "")</f>
        <v>8</v>
      </c>
      <c r="G91" s="175" t="str" cm="1">
        <f t="array" ref="G91" xml:space="preserve"> IFERROR( IF($C91="", "", INDEX(十五音韻母清單!$B$6:$K$105, $F91, G$2)), "")</f>
        <v>uih</v>
      </c>
      <c r="H91" s="175" cm="1">
        <f t="array" ref="H91" xml:space="preserve"> IFERROR( IF($C91="", "", INDEX(十五音韻母清單!$B$6:$K$105, $F91, H$2)), "")</f>
        <v>4</v>
      </c>
      <c r="I91" s="175" t="str" cm="1">
        <f t="array" ref="I91" xml:space="preserve"> IFERROR( IF($C91="", "", INDEX(十五音韻母清單!$B$6:$K$105, $F91, I$2)), "")</f>
        <v>uih</v>
      </c>
      <c r="J91" s="175" t="str" cm="1">
        <f t="array" ref="J91" xml:space="preserve"> IFERROR( IF($C91="", "", INDEX(十五音韻母清單!$B$6:$K$105, $F91, J$2)), "")</f>
        <v>規</v>
      </c>
      <c r="K91" s="175" t="str" cm="1">
        <f t="array" ref="K91" xml:space="preserve"> IFERROR( IF($C91="", "", INDEX(十五音韻母清單!$B$6:$K$105, $F91, K$2)), "")</f>
        <v>入聲</v>
      </c>
      <c r="L91" s="175" t="str" cm="1">
        <f t="array" ref="L91" xml:space="preserve"> IFERROR( IF($C91="", "", INDEX(十五音韻母清單!$B$6:$K$105, $F91, L$2)), "")</f>
        <v>ui?</v>
      </c>
    </row>
    <row r="92" spans="2:12">
      <c r="B92" s="175">
        <v>85</v>
      </c>
      <c r="C92" s="196" t="s">
        <v>2244</v>
      </c>
      <c r="D92" s="189" t="s">
        <v>2236</v>
      </c>
      <c r="E92" s="184" t="s">
        <v>2233</v>
      </c>
      <c r="F92" s="175">
        <f xml:space="preserve"> IFERROR( IF($C92="", "", MATCH($C92, 十五音韻母清單!$K$6:$K$105,0)), "")</f>
        <v>64</v>
      </c>
      <c r="G92" s="175" t="str" cm="1">
        <f t="array" ref="G92" xml:space="preserve"> IFERROR( IF($C92="", "", INDEX(十五音韻母清單!$B$6:$K$105, $F92, G$2)), "")</f>
        <v>uinnh</v>
      </c>
      <c r="H92" s="175" cm="1">
        <f t="array" ref="H92" xml:space="preserve"> IFERROR( IF($C92="", "", INDEX(十五音韻母清單!$B$6:$K$105, $F92, H$2)), "")</f>
        <v>32</v>
      </c>
      <c r="I92" s="175" t="str" cm="1">
        <f t="array" ref="I92" xml:space="preserve"> IFERROR( IF($C92="", "", INDEX(十五音韻母清單!$B$6:$K$105, $F92, I$2)), "")</f>
        <v>uinnh</v>
      </c>
      <c r="J92" s="175" t="str" cm="1">
        <f t="array" ref="J92" xml:space="preserve"> IFERROR( IF($C92="", "", INDEX(十五音韻母清單!$B$6:$K$105, $F92, J$2)), "")</f>
        <v>褌</v>
      </c>
      <c r="K92" s="175" t="str" cm="1">
        <f t="array" ref="K92" xml:space="preserve"> IFERROR( IF($C92="", "", INDEX(十五音韻母清單!$B$6:$K$105, $F92, K$2)), "")</f>
        <v>入聲</v>
      </c>
      <c r="L92" s="175" t="str" cm="1">
        <f t="array" ref="L92" xml:space="preserve"> IFERROR( IF($C92="", "", INDEX(十五音韻母清單!$B$6:$K$105, $F92, L$2)), "")</f>
        <v>ũĩ?</v>
      </c>
    </row>
    <row r="93" spans="2:12">
      <c r="B93" s="175">
        <v>86</v>
      </c>
      <c r="C93" s="184" t="s">
        <v>2245</v>
      </c>
      <c r="D93" s="189" t="s">
        <v>2236</v>
      </c>
      <c r="E93" s="184" t="s">
        <v>2233</v>
      </c>
      <c r="F93" s="175" t="str">
        <f xml:space="preserve"> IFERROR( IF($C93="", "", MATCH($C93, 十五音韻母清單!$K$6:$K$105,0)), "")</f>
        <v/>
      </c>
      <c r="G93" s="175" t="str" cm="1">
        <f t="array" ref="G93" xml:space="preserve"> IFERROR( IF($C93="", "", INDEX(十五音韻母清單!$B$6:$K$105, $F93, G$2)), "")</f>
        <v/>
      </c>
      <c r="H93" s="175" t="str" cm="1">
        <f t="array" ref="H93" xml:space="preserve"> IFERROR( IF($C93="", "", INDEX(十五音韻母清單!$B$6:$K$105, $F93, H$2)), "")</f>
        <v/>
      </c>
      <c r="I93" s="175" t="str" cm="1">
        <f t="array" ref="I93" xml:space="preserve"> IFERROR( IF($C93="", "", INDEX(十五音韻母清單!$B$6:$K$105, $F93, I$2)), "")</f>
        <v/>
      </c>
      <c r="J93" s="175" t="str" cm="1">
        <f t="array" ref="J93" xml:space="preserve"> IFERROR( IF($C93="", "", INDEX(十五音韻母清單!$B$6:$K$105, $F93, J$2)), "")</f>
        <v/>
      </c>
      <c r="K93" s="175" t="str" cm="1">
        <f t="array" ref="K93" xml:space="preserve"> IFERROR( IF($C93="", "", INDEX(十五音韻母清單!$B$6:$K$105, $F93, K$2)), "")</f>
        <v/>
      </c>
      <c r="L93" s="175" t="str" cm="1">
        <f t="array" ref="L93" xml:space="preserve"> IFERROR( IF($C93="", "", INDEX(十五音韻母清單!$B$6:$K$105, $F93, L$2)), "")</f>
        <v/>
      </c>
    </row>
    <row r="94" spans="2:12">
      <c r="B94" s="175">
        <v>87</v>
      </c>
      <c r="C94" s="184" t="s">
        <v>2246</v>
      </c>
      <c r="D94" s="189" t="s">
        <v>2236</v>
      </c>
      <c r="E94" s="184" t="s">
        <v>2233</v>
      </c>
      <c r="F94" s="175" t="str">
        <f xml:space="preserve"> IFERROR( IF($C94="", "", MATCH($C94, 十五音韻母清單!$K$6:$K$105,0)), "")</f>
        <v/>
      </c>
      <c r="G94" s="175" t="str" cm="1">
        <f t="array" ref="G94" xml:space="preserve"> IFERROR( IF($C94="", "", INDEX(十五音韻母清單!$B$6:$K$105, $F94, G$2)), "")</f>
        <v/>
      </c>
      <c r="H94" s="175" t="str" cm="1">
        <f t="array" ref="H94" xml:space="preserve"> IFERROR( IF($C94="", "", INDEX(十五音韻母清單!$B$6:$K$105, $F94, H$2)), "")</f>
        <v/>
      </c>
      <c r="I94" s="175" t="str" cm="1">
        <f t="array" ref="I94" xml:space="preserve"> IFERROR( IF($C94="", "", INDEX(十五音韻母清單!$B$6:$K$105, $F94, I$2)), "")</f>
        <v/>
      </c>
      <c r="J94" s="175" t="str" cm="1">
        <f t="array" ref="J94" xml:space="preserve"> IFERROR( IF($C94="", "", INDEX(十五音韻母清單!$B$6:$K$105, $F94, J$2)), "")</f>
        <v/>
      </c>
      <c r="K94" s="175" t="str" cm="1">
        <f t="array" ref="K94" xml:space="preserve"> IFERROR( IF($C94="", "", INDEX(十五音韻母清單!$B$6:$K$105, $F94, K$2)), "")</f>
        <v/>
      </c>
      <c r="L94" s="175" t="str" cm="1">
        <f t="array" ref="L94" xml:space="preserve"> IFERROR( IF($C94="", "", INDEX(十五音韻母清單!$B$6:$K$105, $F94, L$2)), "")</f>
        <v/>
      </c>
    </row>
    <row r="95" spans="2:12">
      <c r="B95" s="175">
        <v>88</v>
      </c>
      <c r="C95" s="184" t="s">
        <v>2247</v>
      </c>
      <c r="D95" s="189" t="s">
        <v>2236</v>
      </c>
      <c r="E95" s="184" t="s">
        <v>2233</v>
      </c>
      <c r="F95" s="175" t="str">
        <f xml:space="preserve"> IFERROR( IF($C95="", "", MATCH($C95, 十五音韻母清單!$K$6:$K$105,0)), "")</f>
        <v/>
      </c>
      <c r="G95" s="175" t="str" cm="1">
        <f t="array" ref="G95" xml:space="preserve"> IFERROR( IF($C95="", "", INDEX(十五音韻母清單!$B$6:$K$105, $F95, G$2)), "")</f>
        <v/>
      </c>
      <c r="H95" s="175" t="str" cm="1">
        <f t="array" ref="H95" xml:space="preserve"> IFERROR( IF($C95="", "", INDEX(十五音韻母清單!$B$6:$K$105, $F95, H$2)), "")</f>
        <v/>
      </c>
      <c r="I95" s="175" t="str" cm="1">
        <f t="array" ref="I95" xml:space="preserve"> IFERROR( IF($C95="", "", INDEX(十五音韻母清單!$B$6:$K$105, $F95, I$2)), "")</f>
        <v/>
      </c>
      <c r="J95" s="175" t="str" cm="1">
        <f t="array" ref="J95" xml:space="preserve"> IFERROR( IF($C95="", "", INDEX(十五音韻母清單!$B$6:$K$105, $F95, J$2)), "")</f>
        <v/>
      </c>
      <c r="K95" s="175" t="str" cm="1">
        <f t="array" ref="K95" xml:space="preserve"> IFERROR( IF($C95="", "", INDEX(十五音韻母清單!$B$6:$K$105, $F95, K$2)), "")</f>
        <v/>
      </c>
      <c r="L95" s="175" t="str" cm="1">
        <f t="array" ref="L95" xml:space="preserve"> IFERROR( IF($C95="", "", INDEX(十五音韻母清單!$B$6:$K$105, $F95, L$2)), "")</f>
        <v/>
      </c>
    </row>
    <row r="96" spans="2:12">
      <c r="B96" s="175">
        <v>89</v>
      </c>
      <c r="C96" s="184" t="s">
        <v>2248</v>
      </c>
      <c r="D96" s="189" t="s">
        <v>2236</v>
      </c>
      <c r="E96" s="184" t="s">
        <v>2233</v>
      </c>
      <c r="F96" s="175" t="str">
        <f xml:space="preserve"> IFERROR( IF($C96="", "", MATCH($C96, 十五音韻母清單!$K$6:$K$105,0)), "")</f>
        <v/>
      </c>
      <c r="G96" s="175" t="str" cm="1">
        <f t="array" ref="G96" xml:space="preserve"> IFERROR( IF($C96="", "", INDEX(十五音韻母清單!$B$6:$K$105, $F96, G$2)), "")</f>
        <v/>
      </c>
      <c r="H96" s="175" t="str" cm="1">
        <f t="array" ref="H96" xml:space="preserve"> IFERROR( IF($C96="", "", INDEX(十五音韻母清單!$B$6:$K$105, $F96, H$2)), "")</f>
        <v/>
      </c>
      <c r="I96" s="175" t="str" cm="1">
        <f t="array" ref="I96" xml:space="preserve"> IFERROR( IF($C96="", "", INDEX(十五音韻母清單!$B$6:$K$105, $F96, I$2)), "")</f>
        <v/>
      </c>
      <c r="J96" s="175" t="str" cm="1">
        <f t="array" ref="J96" xml:space="preserve"> IFERROR( IF($C96="", "", INDEX(十五音韻母清單!$B$6:$K$105, $F96, J$2)), "")</f>
        <v/>
      </c>
      <c r="K96" s="175" t="str" cm="1">
        <f t="array" ref="K96" xml:space="preserve"> IFERROR( IF($C96="", "", INDEX(十五音韻母清單!$B$6:$K$105, $F96, K$2)), "")</f>
        <v/>
      </c>
      <c r="L96" s="175" t="str" cm="1">
        <f t="array" ref="L96" xml:space="preserve"> IFERROR( IF($C96="", "", INDEX(十五音韻母清單!$B$6:$K$105, $F96, L$2)), "")</f>
        <v/>
      </c>
    </row>
  </sheetData>
  <phoneticPr fontId="1" type="noConversion"/>
  <conditionalFormatting sqref="F8:L96">
    <cfRule type="expression" dxfId="0" priority="1">
      <formula>$F8="入聲"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6AE3-A11A-4145-9588-621B85B13529}">
  <sheetPr codeName="工作表22">
    <tabColor rgb="FF92D050"/>
  </sheetPr>
  <dimension ref="B2:F31"/>
  <sheetViews>
    <sheetView workbookViewId="0"/>
  </sheetViews>
  <sheetFormatPr baseColWidth="10" defaultColWidth="10.8984375" defaultRowHeight="22"/>
  <cols>
    <col min="1" max="1" width="2.19921875" customWidth="1"/>
  </cols>
  <sheetData>
    <row r="2" spans="2:6" ht="23">
      <c r="B2" s="109" t="s">
        <v>2249</v>
      </c>
      <c r="E2" s="109" t="s">
        <v>2250</v>
      </c>
    </row>
    <row r="4" spans="2:6">
      <c r="B4" s="106" t="s">
        <v>693</v>
      </c>
      <c r="C4" s="110" t="s">
        <v>2251</v>
      </c>
      <c r="E4" s="106" t="s">
        <v>693</v>
      </c>
      <c r="F4" s="110" t="s">
        <v>2251</v>
      </c>
    </row>
    <row r="5" spans="2:6" ht="42">
      <c r="B5" s="107">
        <v>1</v>
      </c>
      <c r="C5" s="108" t="s">
        <v>26</v>
      </c>
      <c r="E5" s="107">
        <v>1</v>
      </c>
      <c r="F5" s="108" t="s">
        <v>427</v>
      </c>
    </row>
    <row r="6" spans="2:6" ht="42">
      <c r="B6" s="107">
        <v>2</v>
      </c>
      <c r="C6" s="108" t="s">
        <v>50</v>
      </c>
      <c r="E6" s="107">
        <v>2</v>
      </c>
      <c r="F6" s="108" t="s">
        <v>555</v>
      </c>
    </row>
    <row r="7" spans="2:6" ht="42">
      <c r="B7" s="107">
        <v>3</v>
      </c>
      <c r="C7" s="108" t="s">
        <v>91</v>
      </c>
      <c r="E7" s="107">
        <v>3</v>
      </c>
      <c r="F7" s="108" t="s">
        <v>435</v>
      </c>
    </row>
    <row r="8" spans="2:6" ht="42">
      <c r="B8" s="107">
        <v>4</v>
      </c>
      <c r="C8" s="108" t="s">
        <v>1921</v>
      </c>
      <c r="E8" s="107">
        <v>4</v>
      </c>
      <c r="F8" s="108" t="s">
        <v>2252</v>
      </c>
    </row>
    <row r="9" spans="2:6" ht="42">
      <c r="B9" s="107">
        <v>5</v>
      </c>
      <c r="C9" s="108" t="s">
        <v>45</v>
      </c>
      <c r="E9" s="107">
        <v>5</v>
      </c>
      <c r="F9" s="108" t="s">
        <v>2218</v>
      </c>
    </row>
    <row r="10" spans="2:6" ht="42">
      <c r="B10" s="107">
        <v>6</v>
      </c>
      <c r="C10" s="108" t="s">
        <v>55</v>
      </c>
      <c r="E10" s="107">
        <v>6</v>
      </c>
      <c r="F10" s="108" t="s">
        <v>418</v>
      </c>
    </row>
    <row r="11" spans="2:6" ht="42">
      <c r="B11" s="107">
        <v>7</v>
      </c>
      <c r="C11" s="108" t="s">
        <v>20</v>
      </c>
      <c r="E11" s="107">
        <v>7</v>
      </c>
      <c r="F11" s="108" t="s">
        <v>195</v>
      </c>
    </row>
    <row r="12" spans="2:6" ht="42">
      <c r="B12" s="107">
        <v>8</v>
      </c>
      <c r="C12" s="108" t="s">
        <v>15</v>
      </c>
      <c r="E12" s="107">
        <v>8</v>
      </c>
      <c r="F12" s="108" t="s">
        <v>302</v>
      </c>
    </row>
    <row r="13" spans="2:6" ht="42">
      <c r="B13" s="107">
        <v>9</v>
      </c>
      <c r="C13" s="108" t="s">
        <v>727</v>
      </c>
      <c r="E13" s="107">
        <v>9</v>
      </c>
      <c r="F13" s="108" t="s">
        <v>2219</v>
      </c>
    </row>
    <row r="14" spans="2:6" ht="42">
      <c r="B14" s="107">
        <v>10</v>
      </c>
      <c r="C14" s="108" t="s">
        <v>728</v>
      </c>
      <c r="E14" s="107">
        <v>10</v>
      </c>
      <c r="F14" s="108" t="s">
        <v>312</v>
      </c>
    </row>
    <row r="15" spans="2:6" ht="42">
      <c r="B15" s="107">
        <v>11</v>
      </c>
      <c r="C15" s="108" t="s">
        <v>729</v>
      </c>
      <c r="E15" s="107">
        <v>11</v>
      </c>
      <c r="F15" s="108" t="s">
        <v>374</v>
      </c>
    </row>
    <row r="16" spans="2:6" ht="42">
      <c r="B16" s="107">
        <v>12</v>
      </c>
      <c r="C16" s="108" t="s">
        <v>730</v>
      </c>
      <c r="E16" s="107">
        <v>12</v>
      </c>
      <c r="F16" s="108" t="s">
        <v>408</v>
      </c>
    </row>
    <row r="17" spans="2:6" ht="42">
      <c r="B17" s="107">
        <v>13</v>
      </c>
      <c r="C17" s="108" t="s">
        <v>731</v>
      </c>
      <c r="E17" s="107">
        <v>13</v>
      </c>
      <c r="F17" s="108" t="s">
        <v>457</v>
      </c>
    </row>
    <row r="18" spans="2:6" ht="42">
      <c r="B18" s="107">
        <v>14</v>
      </c>
      <c r="C18" s="108" t="s">
        <v>732</v>
      </c>
      <c r="E18" s="107">
        <v>14</v>
      </c>
      <c r="F18" s="108" t="s">
        <v>2253</v>
      </c>
    </row>
    <row r="19" spans="2:6" ht="42">
      <c r="B19" s="107">
        <v>15</v>
      </c>
      <c r="C19" s="108" t="s">
        <v>1910</v>
      </c>
      <c r="E19" s="107">
        <v>15</v>
      </c>
      <c r="F19" s="108" t="s">
        <v>583</v>
      </c>
    </row>
    <row r="20" spans="2:6" ht="42">
      <c r="B20" s="107">
        <v>16</v>
      </c>
      <c r="C20" s="108" t="s">
        <v>734</v>
      </c>
      <c r="E20" s="107">
        <v>16</v>
      </c>
      <c r="F20" s="108" t="s">
        <v>1632</v>
      </c>
    </row>
    <row r="21" spans="2:6" ht="42">
      <c r="B21" s="107">
        <v>17</v>
      </c>
      <c r="C21" s="108" t="s">
        <v>32</v>
      </c>
      <c r="E21" s="107">
        <v>17</v>
      </c>
      <c r="F21" s="108" t="s">
        <v>592</v>
      </c>
    </row>
    <row r="22" spans="2:6" ht="42">
      <c r="B22" s="107">
        <v>18</v>
      </c>
      <c r="C22" s="108" t="s">
        <v>38</v>
      </c>
      <c r="E22" s="107">
        <v>18</v>
      </c>
      <c r="F22" s="108" t="s">
        <v>549</v>
      </c>
    </row>
    <row r="23" spans="2:6" ht="42">
      <c r="B23" s="107">
        <v>19</v>
      </c>
      <c r="C23" s="108" t="s">
        <v>107</v>
      </c>
      <c r="E23" s="107">
        <v>19</v>
      </c>
      <c r="F23" s="108" t="s">
        <v>2254</v>
      </c>
    </row>
    <row r="24" spans="2:6" ht="42">
      <c r="B24" s="107">
        <v>20</v>
      </c>
      <c r="C24" s="108" t="s">
        <v>1925</v>
      </c>
      <c r="E24" s="107">
        <v>20</v>
      </c>
      <c r="F24" s="108" t="s">
        <v>665</v>
      </c>
    </row>
    <row r="25" spans="2:6" ht="42">
      <c r="B25" s="107">
        <v>21</v>
      </c>
      <c r="C25" s="108" t="s">
        <v>121</v>
      </c>
      <c r="E25" s="107">
        <v>21</v>
      </c>
      <c r="F25" s="108" t="s">
        <v>336</v>
      </c>
    </row>
    <row r="26" spans="2:6" ht="42">
      <c r="E26" s="107">
        <v>22</v>
      </c>
      <c r="F26" s="108" t="s">
        <v>207</v>
      </c>
    </row>
    <row r="27" spans="2:6" ht="42">
      <c r="E27" s="107">
        <v>23</v>
      </c>
      <c r="F27" s="108" t="s">
        <v>355</v>
      </c>
    </row>
    <row r="28" spans="2:6" ht="42">
      <c r="E28" s="107">
        <v>24</v>
      </c>
      <c r="F28" s="108" t="s">
        <v>653</v>
      </c>
    </row>
    <row r="29" spans="2:6" ht="42">
      <c r="E29" s="107">
        <v>25</v>
      </c>
      <c r="F29" s="108" t="s">
        <v>215</v>
      </c>
    </row>
    <row r="30" spans="2:6" ht="42">
      <c r="E30" s="107">
        <v>26</v>
      </c>
      <c r="F30" s="108" t="s">
        <v>2220</v>
      </c>
    </row>
    <row r="31" spans="2:6" ht="42">
      <c r="E31" s="107">
        <v>27</v>
      </c>
      <c r="F31" s="108" t="s">
        <v>2255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BAB9-C2FB-1948-A62C-5793BEDDBE2F}">
  <sheetPr codeName="工作表23">
    <tabColor rgb="FF92D050"/>
  </sheetPr>
  <dimension ref="B1:H46"/>
  <sheetViews>
    <sheetView topLeftCell="A4" workbookViewId="0"/>
  </sheetViews>
  <sheetFormatPr baseColWidth="10" defaultColWidth="7.796875" defaultRowHeight="27" outlineLevelRow="1"/>
  <cols>
    <col min="1" max="1" width="3.19921875" style="174" customWidth="1"/>
    <col min="2" max="2" width="8.69921875" style="174" bestFit="1" customWidth="1"/>
    <col min="3" max="16384" width="7.796875" style="174"/>
  </cols>
  <sheetData>
    <row r="1" spans="2:8" hidden="1" outlineLevel="1"/>
    <row r="2" spans="2:8" hidden="1" outlineLevel="1"/>
    <row r="3" spans="2:8" hidden="1" outlineLevel="1"/>
    <row r="4" spans="2:8" collapsed="1"/>
    <row r="6" spans="2:8">
      <c r="B6" s="175">
        <v>1</v>
      </c>
      <c r="C6" s="195" t="s">
        <v>1595</v>
      </c>
      <c r="D6" s="198" t="str">
        <f xml:space="preserve"> IF(C6="", ("'" &amp; B6 &amp; "' : " &amp; B6), ("'" &amp; B6 &amp; "' : " &amp; C6))</f>
        <v>'1' : ㄅ</v>
      </c>
      <c r="F6" s="175" t="s">
        <v>2256</v>
      </c>
      <c r="G6" s="195" t="s">
        <v>1976</v>
      </c>
      <c r="H6" s="198" t="str">
        <f xml:space="preserve"> IF(G6="", ("'" &amp; F6 &amp; "' : " &amp; F6), ("'" &amp; F6 &amp; "' : " &amp; G6))</f>
        <v>'!' : ㆠ</v>
      </c>
    </row>
    <row r="7" spans="2:8">
      <c r="B7" s="175" t="s">
        <v>83</v>
      </c>
      <c r="C7" s="195" t="s">
        <v>50</v>
      </c>
      <c r="D7" s="198" t="str">
        <f t="shared" ref="D7:D45" si="0" xml:space="preserve"> IF(C7="", ("'" &amp; B7 &amp; "' : " &amp; B7), ("'" &amp; B7 &amp; "' : " &amp; C7))</f>
        <v>'q' : ㄆ</v>
      </c>
      <c r="F7" s="175" t="s">
        <v>2257</v>
      </c>
      <c r="G7" s="195"/>
      <c r="H7" s="198" t="str">
        <f t="shared" ref="H7:H45" si="1" xml:space="preserve"> IF(G7="", ("'" &amp; F7 &amp; "' : " &amp; F7), ("'" &amp; F7 &amp; "' : " &amp; G7))</f>
        <v>'Q' : Q</v>
      </c>
    </row>
    <row r="8" spans="2:8">
      <c r="B8" s="175" t="s">
        <v>1615</v>
      </c>
      <c r="C8" s="195" t="s">
        <v>1597</v>
      </c>
      <c r="D8" s="198" t="str">
        <f t="shared" si="0"/>
        <v>'a' : ㄇ</v>
      </c>
      <c r="F8" s="175" t="s">
        <v>2258</v>
      </c>
      <c r="G8" s="195"/>
      <c r="H8" s="198" t="str">
        <f t="shared" si="1"/>
        <v>'A' : A</v>
      </c>
    </row>
    <row r="9" spans="2:8">
      <c r="B9" s="175" t="s">
        <v>2259</v>
      </c>
      <c r="C9" s="195" t="s">
        <v>2260</v>
      </c>
      <c r="D9" s="198" t="str">
        <f t="shared" si="0"/>
        <v>'z' : ㆷ</v>
      </c>
      <c r="F9" s="175" t="s">
        <v>2261</v>
      </c>
      <c r="G9" s="195"/>
      <c r="H9" s="198" t="str">
        <f t="shared" si="1"/>
        <v>'Z' : Z</v>
      </c>
    </row>
    <row r="10" spans="2:8">
      <c r="B10" s="175">
        <v>2</v>
      </c>
      <c r="C10" s="195" t="s">
        <v>45</v>
      </c>
      <c r="D10" s="198" t="str">
        <f t="shared" si="0"/>
        <v>'2' : ㄉ</v>
      </c>
      <c r="F10" s="175" t="s">
        <v>2262</v>
      </c>
      <c r="G10" s="195"/>
      <c r="H10" s="198" t="str">
        <f t="shared" si="1"/>
        <v>'@' : @</v>
      </c>
    </row>
    <row r="11" spans="2:8">
      <c r="B11" s="175" t="s">
        <v>2263</v>
      </c>
      <c r="C11" s="195" t="s">
        <v>55</v>
      </c>
      <c r="D11" s="198" t="str">
        <f t="shared" si="0"/>
        <v>'w' : ㄊ</v>
      </c>
      <c r="F11" s="175" t="s">
        <v>2264</v>
      </c>
      <c r="G11" s="195"/>
      <c r="H11" s="198" t="str">
        <f t="shared" si="1"/>
        <v>'W' : W</v>
      </c>
    </row>
    <row r="12" spans="2:8">
      <c r="B12" s="175" t="s">
        <v>117</v>
      </c>
      <c r="C12" s="195" t="s">
        <v>20</v>
      </c>
      <c r="D12" s="198" t="str">
        <f t="shared" si="0"/>
        <v>'s' : ㄋ</v>
      </c>
      <c r="F12" s="175" t="s">
        <v>2265</v>
      </c>
      <c r="G12" s="195"/>
      <c r="H12" s="198" t="str">
        <f t="shared" si="1"/>
        <v>'S' : S</v>
      </c>
    </row>
    <row r="13" spans="2:8">
      <c r="B13" s="175" t="s">
        <v>2266</v>
      </c>
      <c r="C13" s="195" t="s">
        <v>15</v>
      </c>
      <c r="D13" s="198" t="str">
        <f t="shared" si="0"/>
        <v>'x' : ㄌ</v>
      </c>
      <c r="F13" s="175" t="s">
        <v>2267</v>
      </c>
      <c r="G13" s="195"/>
      <c r="H13" s="198" t="str">
        <f t="shared" si="1"/>
        <v>'X' : X</v>
      </c>
    </row>
    <row r="14" spans="2:8">
      <c r="B14" s="175">
        <v>3</v>
      </c>
      <c r="C14" s="195" t="s">
        <v>2268</v>
      </c>
      <c r="D14" s="198" t="str">
        <f t="shared" si="0"/>
        <v>'3' : ˪</v>
      </c>
      <c r="F14" s="175" t="s">
        <v>2269</v>
      </c>
      <c r="G14" s="195"/>
      <c r="H14" s="198" t="str">
        <f t="shared" si="1"/>
        <v>'#' : #</v>
      </c>
    </row>
    <row r="15" spans="2:8">
      <c r="B15" s="175" t="s">
        <v>193</v>
      </c>
      <c r="C15" s="195" t="s">
        <v>32</v>
      </c>
      <c r="D15" s="198" t="str">
        <f t="shared" si="0"/>
        <v>'e' : ㄍ</v>
      </c>
      <c r="F15" s="175" t="s">
        <v>2270</v>
      </c>
      <c r="G15" s="195" t="s">
        <v>102</v>
      </c>
      <c r="H15" s="198" t="str">
        <f t="shared" si="1"/>
        <v>'E' : ㆣ</v>
      </c>
    </row>
    <row r="16" spans="2:8">
      <c r="B16" s="175" t="s">
        <v>2271</v>
      </c>
      <c r="C16" s="195" t="s">
        <v>38</v>
      </c>
      <c r="D16" s="198" t="str">
        <f t="shared" si="0"/>
        <v>'d' : ㄎ</v>
      </c>
      <c r="F16" s="175" t="s">
        <v>2272</v>
      </c>
      <c r="G16" s="195"/>
      <c r="H16" s="198" t="str">
        <f t="shared" si="1"/>
        <v>'D' : D</v>
      </c>
    </row>
    <row r="17" spans="2:8">
      <c r="B17" s="175" t="s">
        <v>2273</v>
      </c>
      <c r="C17" s="195" t="s">
        <v>121</v>
      </c>
      <c r="D17" s="198" t="str">
        <f t="shared" si="0"/>
        <v>'c' : ㄏ</v>
      </c>
      <c r="F17" s="175" t="s">
        <v>2274</v>
      </c>
      <c r="G17" s="195"/>
      <c r="H17" s="198" t="str">
        <f t="shared" si="1"/>
        <v>'C' : C</v>
      </c>
    </row>
    <row r="18" spans="2:8">
      <c r="B18" s="175">
        <v>4</v>
      </c>
      <c r="C18" s="175" t="s">
        <v>1730</v>
      </c>
      <c r="D18" s="198" t="str">
        <f t="shared" si="0"/>
        <v>'4' : ˋ</v>
      </c>
      <c r="F18" s="175" t="s">
        <v>2275</v>
      </c>
      <c r="G18" s="175"/>
      <c r="H18" s="198" t="str">
        <f t="shared" si="1"/>
        <v>'$' : $</v>
      </c>
    </row>
    <row r="19" spans="2:8">
      <c r="B19" s="175" t="s">
        <v>2276</v>
      </c>
      <c r="C19" s="195" t="s">
        <v>1602</v>
      </c>
      <c r="D19" s="198" t="str">
        <f t="shared" si="0"/>
        <v>'r' : ㄐ</v>
      </c>
      <c r="F19" s="175" t="s">
        <v>2277</v>
      </c>
      <c r="G19" s="195" t="s">
        <v>1609</v>
      </c>
      <c r="H19" s="198" t="str">
        <f t="shared" si="1"/>
        <v>'R' : ㆢ</v>
      </c>
    </row>
    <row r="20" spans="2:8">
      <c r="B20" s="175" t="s">
        <v>2278</v>
      </c>
      <c r="C20" s="195" t="s">
        <v>730</v>
      </c>
      <c r="D20" s="198" t="str">
        <f t="shared" si="0"/>
        <v>'f' : ㄑ</v>
      </c>
      <c r="F20" s="175" t="s">
        <v>2279</v>
      </c>
      <c r="G20" s="195"/>
      <c r="H20" s="198" t="str">
        <f t="shared" si="1"/>
        <v>'F' : F</v>
      </c>
    </row>
    <row r="21" spans="2:8">
      <c r="B21" s="175" t="s">
        <v>2280</v>
      </c>
      <c r="C21" s="195" t="s">
        <v>732</v>
      </c>
      <c r="D21" s="198" t="str">
        <f t="shared" si="0"/>
        <v>'v' : ㄒ</v>
      </c>
      <c r="F21" s="175" t="s">
        <v>2281</v>
      </c>
      <c r="G21" s="195"/>
      <c r="H21" s="198" t="str">
        <f t="shared" si="1"/>
        <v>'V' : V</v>
      </c>
    </row>
    <row r="22" spans="2:8">
      <c r="B22" s="175">
        <v>5</v>
      </c>
      <c r="C22" s="175" t="s">
        <v>1825</v>
      </c>
      <c r="D22" s="198" t="str">
        <f t="shared" si="0"/>
        <v>'5' : ˫</v>
      </c>
      <c r="F22" s="175" t="s">
        <v>2282</v>
      </c>
      <c r="G22" s="175"/>
      <c r="H22" s="198" t="str">
        <f t="shared" si="1"/>
        <v>'%' : %</v>
      </c>
    </row>
    <row r="23" spans="2:8">
      <c r="B23" s="175" t="s">
        <v>46</v>
      </c>
      <c r="C23" s="195" t="s">
        <v>2283</v>
      </c>
      <c r="D23" s="198" t="str">
        <f t="shared" si="0"/>
        <v>'t' : ㆵ</v>
      </c>
      <c r="F23" s="175" t="s">
        <v>2284</v>
      </c>
      <c r="G23" s="195"/>
      <c r="H23" s="198" t="str">
        <f t="shared" si="1"/>
        <v>'T' : T</v>
      </c>
    </row>
    <row r="24" spans="2:8">
      <c r="B24" s="175" t="s">
        <v>86</v>
      </c>
      <c r="C24" s="195" t="s">
        <v>2285</v>
      </c>
      <c r="D24" s="198" t="str">
        <f t="shared" si="0"/>
        <v>'g' : ㆻ</v>
      </c>
      <c r="F24" s="175" t="s">
        <v>2286</v>
      </c>
      <c r="G24" s="195"/>
      <c r="H24" s="198" t="str">
        <f t="shared" si="1"/>
        <v>'G' : G</v>
      </c>
    </row>
    <row r="25" spans="2:8">
      <c r="B25" s="175" t="s">
        <v>34</v>
      </c>
      <c r="C25" s="195" t="s">
        <v>2287</v>
      </c>
      <c r="D25" s="198" t="str">
        <f t="shared" si="0"/>
        <v>'b' : ㆴ</v>
      </c>
      <c r="E25" s="173"/>
      <c r="F25" s="175" t="s">
        <v>2288</v>
      </c>
      <c r="G25" s="195"/>
      <c r="H25" s="198" t="str">
        <f t="shared" si="1"/>
        <v>'B' : B</v>
      </c>
    </row>
    <row r="26" spans="2:8">
      <c r="B26" s="195">
        <v>6</v>
      </c>
      <c r="C26" s="175" t="s">
        <v>1794</v>
      </c>
      <c r="D26" s="198" t="str">
        <f t="shared" si="0"/>
        <v>'6' : ˊ</v>
      </c>
      <c r="E26" s="173"/>
      <c r="F26" s="195" t="s">
        <v>2289</v>
      </c>
      <c r="G26" s="175"/>
      <c r="H26" s="198" t="str">
        <f t="shared" si="1"/>
        <v>'^' : ^</v>
      </c>
    </row>
    <row r="27" spans="2:8">
      <c r="B27" s="195" t="s">
        <v>84</v>
      </c>
      <c r="C27" s="195" t="s">
        <v>727</v>
      </c>
      <c r="D27" s="198" t="str">
        <f t="shared" si="0"/>
        <v>'y' : ㄗ</v>
      </c>
      <c r="F27" s="195" t="s">
        <v>2290</v>
      </c>
      <c r="G27" s="195" t="s">
        <v>733</v>
      </c>
      <c r="H27" s="198" t="str">
        <f t="shared" si="1"/>
        <v>'Y' : ㆡ</v>
      </c>
    </row>
    <row r="28" spans="2:8">
      <c r="B28" s="195" t="s">
        <v>97</v>
      </c>
      <c r="C28" s="195" t="s">
        <v>729</v>
      </c>
      <c r="D28" s="198" t="str">
        <f t="shared" si="0"/>
        <v>'h' : ㄘ</v>
      </c>
      <c r="F28" s="195" t="s">
        <v>2291</v>
      </c>
      <c r="G28" s="195"/>
      <c r="H28" s="198" t="str">
        <f t="shared" si="1"/>
        <v>'H' : H</v>
      </c>
    </row>
    <row r="29" spans="2:8">
      <c r="B29" s="195" t="s">
        <v>56</v>
      </c>
      <c r="C29" s="195" t="s">
        <v>731</v>
      </c>
      <c r="D29" s="198" t="str">
        <f t="shared" si="0"/>
        <v>'n' : ㄙ</v>
      </c>
      <c r="F29" s="195" t="s">
        <v>2292</v>
      </c>
      <c r="G29" s="195"/>
      <c r="H29" s="198" t="str">
        <f t="shared" si="1"/>
        <v>'N' : N</v>
      </c>
    </row>
    <row r="30" spans="2:8">
      <c r="B30" s="175">
        <v>7</v>
      </c>
      <c r="C30" s="175" t="s">
        <v>2293</v>
      </c>
      <c r="D30" s="198" t="str">
        <f t="shared" si="0"/>
        <v>'7' : ．</v>
      </c>
      <c r="F30" s="175" t="s">
        <v>2294</v>
      </c>
      <c r="G30" s="175"/>
      <c r="H30" s="198" t="str">
        <f t="shared" si="1"/>
        <v>'&amp;' : &amp;</v>
      </c>
    </row>
    <row r="31" spans="2:8">
      <c r="B31" s="175" t="s">
        <v>1619</v>
      </c>
      <c r="C31" s="175" t="s">
        <v>435</v>
      </c>
      <c r="D31" s="198" t="str">
        <f t="shared" si="0"/>
        <v>'u' : ㄧ</v>
      </c>
      <c r="F31" s="175" t="s">
        <v>2295</v>
      </c>
      <c r="G31" s="175" t="s">
        <v>498</v>
      </c>
      <c r="H31" s="198" t="str">
        <f t="shared" si="1"/>
        <v>'U' : ㆪ</v>
      </c>
    </row>
    <row r="32" spans="2:8">
      <c r="B32" s="175" t="s">
        <v>122</v>
      </c>
      <c r="C32" s="175" t="s">
        <v>418</v>
      </c>
      <c r="D32" s="198" t="str">
        <f t="shared" si="0"/>
        <v>'j' : ㄨ</v>
      </c>
      <c r="F32" s="175" t="s">
        <v>2296</v>
      </c>
      <c r="G32" s="175" t="s">
        <v>1632</v>
      </c>
      <c r="H32" s="198" t="str">
        <f t="shared" si="1"/>
        <v>'J' : ㆫ</v>
      </c>
    </row>
    <row r="33" spans="2:8">
      <c r="B33" s="175" t="s">
        <v>40</v>
      </c>
      <c r="C33" s="175" t="s">
        <v>592</v>
      </c>
      <c r="D33" s="198" t="str">
        <f t="shared" si="0"/>
        <v>'m' : ㆬ</v>
      </c>
      <c r="F33" s="175" t="s">
        <v>2297</v>
      </c>
      <c r="G33" s="175"/>
      <c r="H33" s="198" t="str">
        <f t="shared" si="1"/>
        <v>'M' : M</v>
      </c>
    </row>
    <row r="34" spans="2:8">
      <c r="B34" s="175">
        <v>8</v>
      </c>
      <c r="C34" s="197" t="s">
        <v>1614</v>
      </c>
      <c r="D34" s="198" t="str">
        <f t="shared" si="0"/>
        <v>'8' : ㄚ</v>
      </c>
      <c r="F34" s="175" t="s">
        <v>2298</v>
      </c>
      <c r="G34" s="197" t="s">
        <v>2299</v>
      </c>
      <c r="H34" s="198" t="str">
        <f t="shared" si="1"/>
        <v>'*' : ㆩ</v>
      </c>
    </row>
    <row r="35" spans="2:8">
      <c r="B35" s="175" t="s">
        <v>1617</v>
      </c>
      <c r="C35" s="175" t="s">
        <v>259</v>
      </c>
      <c r="D35" s="198" t="str">
        <f t="shared" si="0"/>
        <v>'i' : ㆦ</v>
      </c>
      <c r="F35" s="175" t="s">
        <v>2300</v>
      </c>
      <c r="G35" s="175" t="s">
        <v>583</v>
      </c>
      <c r="H35" s="198" t="str">
        <f t="shared" si="1"/>
        <v>'I' : ㆧ</v>
      </c>
    </row>
    <row r="36" spans="2:8">
      <c r="B36" s="175" t="s">
        <v>72</v>
      </c>
      <c r="C36" s="175" t="s">
        <v>302</v>
      </c>
      <c r="D36" s="198" t="str">
        <f t="shared" si="0"/>
        <v>'k' : ㄜ</v>
      </c>
      <c r="F36" s="175" t="s">
        <v>2301</v>
      </c>
      <c r="G36" s="175"/>
      <c r="H36" s="198" t="str">
        <f t="shared" si="1"/>
        <v>'K' : K</v>
      </c>
    </row>
    <row r="37" spans="2:8">
      <c r="B37" s="175" t="s">
        <v>2302</v>
      </c>
      <c r="C37" s="175" t="s">
        <v>336</v>
      </c>
      <c r="D37" s="198" t="str">
        <f t="shared" si="0"/>
        <v>',' : ㆰ</v>
      </c>
      <c r="F37" s="175" t="s">
        <v>2303</v>
      </c>
      <c r="G37" s="175" t="s">
        <v>653</v>
      </c>
      <c r="H37" s="198" t="str">
        <f t="shared" si="1"/>
        <v>'&lt;' : ㆱ</v>
      </c>
    </row>
    <row r="38" spans="2:8">
      <c r="B38" s="175">
        <v>9</v>
      </c>
      <c r="C38" s="175" t="s">
        <v>312</v>
      </c>
      <c r="D38" s="198" t="str">
        <f t="shared" si="0"/>
        <v>'9' : ㄞ</v>
      </c>
      <c r="F38" s="175" t="s">
        <v>2304</v>
      </c>
      <c r="G38" s="175" t="s">
        <v>567</v>
      </c>
      <c r="H38" s="198" t="str">
        <f t="shared" si="1"/>
        <v>'(' : ㆮ</v>
      </c>
    </row>
    <row r="39" spans="2:8">
      <c r="B39" s="175" t="s">
        <v>1625</v>
      </c>
      <c r="C39" s="175" t="s">
        <v>1620</v>
      </c>
      <c r="D39" s="198" t="str">
        <f t="shared" si="0"/>
        <v>'o' : ㆤ</v>
      </c>
      <c r="F39" s="175" t="s">
        <v>2305</v>
      </c>
      <c r="G39" s="175" t="s">
        <v>2306</v>
      </c>
      <c r="H39" s="198" t="str">
        <f t="shared" si="1"/>
        <v>'O' : ㆥ</v>
      </c>
    </row>
    <row r="40" spans="2:8">
      <c r="B40" s="175" t="s">
        <v>65</v>
      </c>
      <c r="C40" s="175" t="s">
        <v>374</v>
      </c>
      <c r="D40" s="198" t="str">
        <f t="shared" si="0"/>
        <v>'l' : ㄠ</v>
      </c>
      <c r="F40" s="175" t="s">
        <v>2307</v>
      </c>
      <c r="G40" s="175" t="s">
        <v>665</v>
      </c>
      <c r="H40" s="198" t="str">
        <f t="shared" si="1"/>
        <v>'L' : ㆯ</v>
      </c>
    </row>
    <row r="41" spans="2:8">
      <c r="B41" s="175" t="s">
        <v>2308</v>
      </c>
      <c r="C41" s="175"/>
      <c r="D41" s="198" t="str">
        <f t="shared" si="0"/>
        <v>'.' : .</v>
      </c>
      <c r="F41" s="175" t="s">
        <v>2309</v>
      </c>
      <c r="G41" s="175"/>
      <c r="H41" s="198" t="str">
        <f t="shared" si="1"/>
        <v>'&gt;' : &gt;</v>
      </c>
    </row>
    <row r="42" spans="2:8">
      <c r="B42" s="175">
        <v>0</v>
      </c>
      <c r="C42" s="175" t="s">
        <v>2310</v>
      </c>
      <c r="D42" s="198" t="str">
        <f t="shared" si="0"/>
        <v>'0' : ㄢ</v>
      </c>
      <c r="F42" s="175" t="s">
        <v>2311</v>
      </c>
      <c r="G42" s="175"/>
      <c r="H42" s="198" t="str">
        <f t="shared" si="1"/>
        <v>')' : )</v>
      </c>
    </row>
    <row r="43" spans="2:8">
      <c r="B43" s="175" t="s">
        <v>22</v>
      </c>
      <c r="C43" s="184" t="s">
        <v>2220</v>
      </c>
      <c r="D43" s="198" t="str">
        <f t="shared" si="0"/>
        <v>'p' : ㄣ</v>
      </c>
      <c r="F43" s="175" t="s">
        <v>2312</v>
      </c>
      <c r="G43" s="184"/>
      <c r="H43" s="198" t="str">
        <f t="shared" si="1"/>
        <v>'P' : P</v>
      </c>
    </row>
    <row r="44" spans="2:8">
      <c r="B44" s="175" t="s">
        <v>2313</v>
      </c>
      <c r="C44" s="175" t="s">
        <v>355</v>
      </c>
      <c r="D44" s="198" t="str">
        <f t="shared" si="0"/>
        <v>';' : ㄤ</v>
      </c>
      <c r="F44" s="175" t="s">
        <v>2314</v>
      </c>
      <c r="G44" s="175" t="s">
        <v>215</v>
      </c>
      <c r="H44" s="198" t="str">
        <f t="shared" si="1"/>
        <v>':' : ㆲ</v>
      </c>
    </row>
    <row r="45" spans="2:8">
      <c r="B45" s="175" t="s">
        <v>2315</v>
      </c>
      <c r="C45" s="196" t="s">
        <v>1613</v>
      </c>
      <c r="D45" s="198" t="str">
        <f t="shared" si="0"/>
        <v>'/' : ㄥ</v>
      </c>
      <c r="F45" s="175" t="s">
        <v>2316</v>
      </c>
      <c r="G45" s="196"/>
      <c r="H45" s="198" t="str">
        <f t="shared" si="1"/>
        <v>'?' : ?</v>
      </c>
    </row>
    <row r="46" spans="2:8">
      <c r="B46" s="175" t="s">
        <v>2317</v>
      </c>
      <c r="C46" s="175" t="s">
        <v>549</v>
      </c>
      <c r="D46" s="198" t="str">
        <f xml:space="preserve"> IF(C46="", "", "'" &amp; B46 &amp; "' : " &amp; C46)</f>
        <v>'-' : ㆭ</v>
      </c>
      <c r="F46" s="175"/>
      <c r="G46" s="175"/>
      <c r="H46" s="198" t="str">
        <f xml:space="preserve"> IF(G46="", "", "'" &amp; F46 &amp; "' : " &amp; G46)</f>
        <v/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E789-A582-AF46-AEFD-A34A49C64CFA}">
  <sheetPr codeName="工作表26"/>
  <dimension ref="B2:H24"/>
  <sheetViews>
    <sheetView workbookViewId="0"/>
  </sheetViews>
  <sheetFormatPr baseColWidth="10" defaultColWidth="10.8984375" defaultRowHeight="35"/>
  <cols>
    <col min="1" max="1" width="1.5" customWidth="1"/>
    <col min="2" max="2" width="6.796875" customWidth="1"/>
    <col min="4" max="4" width="10.69921875" style="9"/>
  </cols>
  <sheetData>
    <row r="2" spans="2:8" s="10" customFormat="1" ht="28">
      <c r="B2" s="1" t="s">
        <v>0</v>
      </c>
      <c r="C2" s="1" t="s">
        <v>2382</v>
      </c>
      <c r="D2" s="1" t="s">
        <v>6</v>
      </c>
      <c r="E2" s="1" t="s">
        <v>1948</v>
      </c>
      <c r="F2" s="1" t="s">
        <v>2383</v>
      </c>
      <c r="G2" s="1" t="s">
        <v>3</v>
      </c>
      <c r="H2" s="1" t="s">
        <v>133</v>
      </c>
    </row>
    <row r="3" spans="2:8" ht="56" customHeight="1">
      <c r="B3" s="2">
        <v>1</v>
      </c>
      <c r="C3" s="8" t="s">
        <v>12</v>
      </c>
      <c r="D3" s="11" t="s">
        <v>13</v>
      </c>
      <c r="E3" s="11" t="s">
        <v>13</v>
      </c>
      <c r="F3" s="11" t="s">
        <v>13</v>
      </c>
      <c r="G3" s="11" t="s">
        <v>13</v>
      </c>
      <c r="H3" s="5" t="s">
        <v>15</v>
      </c>
    </row>
    <row r="4" spans="2:8" ht="56" customHeight="1">
      <c r="B4" s="2">
        <v>2</v>
      </c>
      <c r="C4" s="8" t="s">
        <v>23</v>
      </c>
      <c r="D4" s="12" t="s">
        <v>24</v>
      </c>
      <c r="E4" s="11" t="s">
        <v>21</v>
      </c>
      <c r="F4" s="11" t="s">
        <v>24</v>
      </c>
      <c r="G4" s="11" t="s">
        <v>24</v>
      </c>
      <c r="H4" s="5" t="s">
        <v>26</v>
      </c>
    </row>
    <row r="5" spans="2:8" ht="56" customHeight="1">
      <c r="B5" s="2">
        <v>3</v>
      </c>
      <c r="C5" s="8" t="s">
        <v>29</v>
      </c>
      <c r="D5" s="12" t="s">
        <v>30</v>
      </c>
      <c r="E5" s="11" t="s">
        <v>27</v>
      </c>
      <c r="F5" s="11" t="s">
        <v>30</v>
      </c>
      <c r="G5" s="11" t="s">
        <v>30</v>
      </c>
      <c r="H5" s="5" t="s">
        <v>32</v>
      </c>
    </row>
    <row r="6" spans="2:8" ht="56" customHeight="1">
      <c r="B6" s="2">
        <v>4</v>
      </c>
      <c r="C6" s="8" t="s">
        <v>35</v>
      </c>
      <c r="D6" s="12" t="s">
        <v>749</v>
      </c>
      <c r="E6" s="11" t="s">
        <v>30</v>
      </c>
      <c r="F6" s="11" t="s">
        <v>36</v>
      </c>
      <c r="G6" s="11" t="s">
        <v>36</v>
      </c>
      <c r="H6" s="5" t="s">
        <v>38</v>
      </c>
    </row>
    <row r="7" spans="2:8" ht="56" customHeight="1">
      <c r="B7" s="2">
        <v>5</v>
      </c>
      <c r="C7" s="8" t="s">
        <v>41</v>
      </c>
      <c r="D7" s="11" t="s">
        <v>42</v>
      </c>
      <c r="E7" s="11" t="s">
        <v>44</v>
      </c>
      <c r="F7" s="11" t="s">
        <v>42</v>
      </c>
      <c r="G7" s="11" t="s">
        <v>42</v>
      </c>
      <c r="H7" s="5" t="s">
        <v>45</v>
      </c>
    </row>
    <row r="8" spans="2:8" ht="56" customHeight="1">
      <c r="B8" s="2">
        <v>6</v>
      </c>
      <c r="C8" s="8" t="s">
        <v>47</v>
      </c>
      <c r="D8" s="11" t="s">
        <v>743</v>
      </c>
      <c r="E8" s="11" t="s">
        <v>24</v>
      </c>
      <c r="F8" s="11" t="s">
        <v>48</v>
      </c>
      <c r="G8" s="11" t="s">
        <v>48</v>
      </c>
      <c r="H8" s="5" t="s">
        <v>50</v>
      </c>
    </row>
    <row r="9" spans="2:8" ht="56" customHeight="1">
      <c r="B9" s="2">
        <v>7</v>
      </c>
      <c r="C9" s="8" t="s">
        <v>52</v>
      </c>
      <c r="D9" s="11" t="s">
        <v>744</v>
      </c>
      <c r="E9" s="11" t="s">
        <v>42</v>
      </c>
      <c r="F9" s="11" t="s">
        <v>53</v>
      </c>
      <c r="G9" s="11" t="s">
        <v>53</v>
      </c>
      <c r="H9" s="5" t="s">
        <v>55</v>
      </c>
    </row>
    <row r="10" spans="2:8" ht="56" customHeight="1">
      <c r="B10" s="2">
        <v>8</v>
      </c>
      <c r="C10" s="8" t="s">
        <v>57</v>
      </c>
      <c r="D10" s="11" t="s">
        <v>1902</v>
      </c>
      <c r="E10" s="11" t="s">
        <v>62</v>
      </c>
      <c r="F10" s="11" t="s">
        <v>1598</v>
      </c>
      <c r="G10" s="11" t="s">
        <v>59</v>
      </c>
      <c r="H10" s="5" t="s">
        <v>727</v>
      </c>
    </row>
    <row r="11" spans="2:8" ht="56" customHeight="1">
      <c r="B11" s="2">
        <v>8</v>
      </c>
      <c r="C11" s="8" t="s">
        <v>57</v>
      </c>
      <c r="D11" s="11" t="s">
        <v>1905</v>
      </c>
      <c r="E11" s="11" t="s">
        <v>2384</v>
      </c>
      <c r="F11" s="11" t="s">
        <v>2385</v>
      </c>
      <c r="G11" s="11" t="s">
        <v>2386</v>
      </c>
      <c r="H11" s="5" t="s">
        <v>728</v>
      </c>
    </row>
    <row r="12" spans="2:8" ht="56" customHeight="1">
      <c r="B12" s="2">
        <v>9</v>
      </c>
      <c r="C12" s="8" t="s">
        <v>66</v>
      </c>
      <c r="D12" s="11" t="s">
        <v>1909</v>
      </c>
      <c r="E12" s="11" t="s">
        <v>70</v>
      </c>
      <c r="F12" s="11" t="s">
        <v>39</v>
      </c>
      <c r="G12" s="11" t="s">
        <v>39</v>
      </c>
      <c r="H12" s="5" t="s">
        <v>733</v>
      </c>
    </row>
    <row r="13" spans="2:8" ht="56" customHeight="1">
      <c r="B13" s="2">
        <v>9</v>
      </c>
      <c r="C13" s="13" t="s">
        <v>66</v>
      </c>
      <c r="D13" s="14" t="s">
        <v>1912</v>
      </c>
      <c r="E13" s="14" t="s">
        <v>2387</v>
      </c>
      <c r="F13" s="14" t="s">
        <v>2388</v>
      </c>
      <c r="G13" s="14" t="s">
        <v>2388</v>
      </c>
      <c r="H13" s="15" t="s">
        <v>734</v>
      </c>
    </row>
    <row r="14" spans="2:8" ht="56" customHeight="1">
      <c r="B14" s="2">
        <v>10</v>
      </c>
      <c r="C14" s="8" t="s">
        <v>74</v>
      </c>
      <c r="D14" s="11" t="s">
        <v>76</v>
      </c>
      <c r="E14" s="11" t="s">
        <v>76</v>
      </c>
      <c r="F14" s="11" t="s">
        <v>76</v>
      </c>
      <c r="G14" s="11" t="s">
        <v>76</v>
      </c>
      <c r="H14" s="5" t="s">
        <v>731</v>
      </c>
    </row>
    <row r="15" spans="2:8" ht="56" customHeight="1">
      <c r="B15" s="2">
        <v>10</v>
      </c>
      <c r="C15" s="13" t="s">
        <v>74</v>
      </c>
      <c r="D15" s="14" t="s">
        <v>1917</v>
      </c>
      <c r="E15" s="14" t="s">
        <v>2389</v>
      </c>
      <c r="F15" s="14" t="s">
        <v>2389</v>
      </c>
      <c r="G15" s="14" t="s">
        <v>2389</v>
      </c>
      <c r="H15" s="15" t="s">
        <v>732</v>
      </c>
    </row>
    <row r="16" spans="2:8" ht="56" customHeight="1">
      <c r="B16" s="2">
        <v>11</v>
      </c>
      <c r="C16" s="8" t="s">
        <v>82</v>
      </c>
      <c r="D16" s="105" t="s">
        <v>1891</v>
      </c>
      <c r="E16" s="12"/>
      <c r="F16" s="12"/>
      <c r="G16" s="12"/>
      <c r="H16" s="7"/>
    </row>
    <row r="17" spans="2:8" ht="56" customHeight="1">
      <c r="B17" s="2">
        <v>12</v>
      </c>
      <c r="C17" s="8" t="s">
        <v>88</v>
      </c>
      <c r="D17" s="11" t="s">
        <v>21</v>
      </c>
      <c r="E17" s="11" t="s">
        <v>95</v>
      </c>
      <c r="F17" s="11" t="s">
        <v>21</v>
      </c>
      <c r="G17" s="11" t="s">
        <v>21</v>
      </c>
      <c r="H17" s="5" t="s">
        <v>96</v>
      </c>
    </row>
    <row r="18" spans="2:8" ht="56" customHeight="1">
      <c r="B18" s="2">
        <v>13</v>
      </c>
      <c r="C18" s="8" t="s">
        <v>99</v>
      </c>
      <c r="D18" s="11" t="s">
        <v>1923</v>
      </c>
      <c r="E18" s="11" t="s">
        <v>101</v>
      </c>
      <c r="F18" s="11" t="s">
        <v>27</v>
      </c>
      <c r="G18" s="11" t="s">
        <v>27</v>
      </c>
      <c r="H18" s="5" t="s">
        <v>102</v>
      </c>
    </row>
    <row r="19" spans="2:8" ht="56" customHeight="1">
      <c r="B19" s="2">
        <v>14</v>
      </c>
      <c r="C19" s="8" t="s">
        <v>110</v>
      </c>
      <c r="D19" s="11" t="s">
        <v>1927</v>
      </c>
      <c r="E19" s="11" t="s">
        <v>115</v>
      </c>
      <c r="F19" s="11" t="s">
        <v>1600</v>
      </c>
      <c r="G19" s="11" t="s">
        <v>112</v>
      </c>
      <c r="H19" s="5" t="s">
        <v>729</v>
      </c>
    </row>
    <row r="20" spans="2:8" ht="56" customHeight="1">
      <c r="B20" s="2">
        <v>14</v>
      </c>
      <c r="C20" s="13" t="s">
        <v>110</v>
      </c>
      <c r="D20" s="14" t="s">
        <v>1930</v>
      </c>
      <c r="E20" s="14" t="s">
        <v>2390</v>
      </c>
      <c r="F20" s="14" t="s">
        <v>2391</v>
      </c>
      <c r="G20" s="14" t="s">
        <v>2392</v>
      </c>
      <c r="H20" s="15" t="s">
        <v>730</v>
      </c>
    </row>
    <row r="21" spans="2:8" ht="56" customHeight="1">
      <c r="B21" s="2">
        <v>15</v>
      </c>
      <c r="C21" s="8" t="s">
        <v>119</v>
      </c>
      <c r="D21" s="105" t="s">
        <v>33</v>
      </c>
      <c r="E21" s="11" t="s">
        <v>33</v>
      </c>
      <c r="F21" s="11" t="s">
        <v>33</v>
      </c>
      <c r="G21" s="11" t="s">
        <v>33</v>
      </c>
      <c r="H21" s="5" t="s">
        <v>121</v>
      </c>
    </row>
    <row r="22" spans="2:8" ht="56" customHeight="1">
      <c r="B22" s="2">
        <v>16</v>
      </c>
      <c r="C22" s="16" t="s">
        <v>2393</v>
      </c>
      <c r="D22" s="17" t="s">
        <v>64</v>
      </c>
      <c r="E22" s="17" t="s">
        <v>90</v>
      </c>
      <c r="F22" s="17" t="s">
        <v>64</v>
      </c>
      <c r="G22" s="17" t="s">
        <v>64</v>
      </c>
      <c r="H22" s="18" t="s">
        <v>91</v>
      </c>
    </row>
    <row r="23" spans="2:8" ht="56" customHeight="1">
      <c r="B23" s="2">
        <v>17</v>
      </c>
      <c r="C23" s="16" t="s">
        <v>2394</v>
      </c>
      <c r="D23" s="17" t="s">
        <v>17</v>
      </c>
      <c r="E23" s="17" t="s">
        <v>19</v>
      </c>
      <c r="F23" s="17" t="s">
        <v>17</v>
      </c>
      <c r="G23" s="17" t="s">
        <v>17</v>
      </c>
      <c r="H23" s="18" t="s">
        <v>20</v>
      </c>
    </row>
    <row r="24" spans="2:8" ht="56" customHeight="1">
      <c r="B24" s="2">
        <v>18</v>
      </c>
      <c r="C24" s="16" t="s">
        <v>2395</v>
      </c>
      <c r="D24" s="17" t="s">
        <v>750</v>
      </c>
      <c r="E24" s="17" t="s">
        <v>106</v>
      </c>
      <c r="F24" s="17" t="s">
        <v>79</v>
      </c>
      <c r="G24" s="17" t="s">
        <v>79</v>
      </c>
      <c r="H24" s="18" t="s">
        <v>107</v>
      </c>
    </row>
  </sheetData>
  <sortState xmlns:xlrd2="http://schemas.microsoft.com/office/spreadsheetml/2017/richdata2" ref="B3:H24">
    <sortCondition ref="B19:B24"/>
  </sortState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CDBEE-C4C8-F04E-ABE8-E1092F52AD08}">
  <sheetPr codeName="工作表27"/>
  <dimension ref="B1:I104"/>
  <sheetViews>
    <sheetView workbookViewId="0"/>
  </sheetViews>
  <sheetFormatPr baseColWidth="10" defaultColWidth="10.8984375" defaultRowHeight="22"/>
  <cols>
    <col min="1" max="1" width="3.796875" customWidth="1"/>
    <col min="2" max="2" width="7.09765625" customWidth="1"/>
    <col min="4" max="4" width="11.09765625" style="6" bestFit="1" customWidth="1"/>
    <col min="5" max="5" width="10.296875" style="6" customWidth="1"/>
    <col min="6" max="8" width="10.296875" customWidth="1"/>
  </cols>
  <sheetData>
    <row r="1" spans="2:9">
      <c r="B1" s="102" cm="1">
        <f t="array" ref="B1">COLUMN()-COLUMN(($A:$A))</f>
        <v>1</v>
      </c>
      <c r="C1" s="102" cm="1">
        <f t="array" ref="C1">COLUMN()-COLUMN(($A:$A))</f>
        <v>2</v>
      </c>
      <c r="D1" s="102" cm="1">
        <f t="array" ref="D1">COLUMN()-COLUMN(($A:$A))</f>
        <v>3</v>
      </c>
      <c r="E1" s="102" cm="1">
        <f t="array" ref="E1">COLUMN()-COLUMN(($A:$A))</f>
        <v>4</v>
      </c>
      <c r="F1" s="102" cm="1">
        <f t="array" ref="F1">COLUMN()-COLUMN(($A:$A))</f>
        <v>5</v>
      </c>
      <c r="G1" s="102" cm="1">
        <f t="array" ref="G1">COLUMN()-COLUMN(($A:$A))</f>
        <v>6</v>
      </c>
      <c r="H1" s="102" cm="1">
        <f t="array" ref="H1">COLUMN()-COLUMN(($A:$A))</f>
        <v>7</v>
      </c>
      <c r="I1" s="102" cm="1">
        <f t="array" ref="I1">COLUMN()-COLUMN(($A:$A))</f>
        <v>8</v>
      </c>
    </row>
    <row r="2" spans="2:9" s="52" customFormat="1" ht="23">
      <c r="E2" s="103">
        <v>3</v>
      </c>
      <c r="F2" s="103">
        <f>E2+2</f>
        <v>5</v>
      </c>
      <c r="G2" s="103">
        <f>F2+2</f>
        <v>7</v>
      </c>
      <c r="H2" s="103">
        <f>G2+2</f>
        <v>9</v>
      </c>
      <c r="I2" s="103">
        <f>H2+2</f>
        <v>11</v>
      </c>
    </row>
    <row r="4" spans="2:9">
      <c r="B4" s="48" t="s">
        <v>0</v>
      </c>
      <c r="C4" s="48" t="s">
        <v>2396</v>
      </c>
      <c r="D4" s="48" t="s">
        <v>2</v>
      </c>
      <c r="E4" s="48" t="s">
        <v>1642</v>
      </c>
      <c r="F4" s="48" t="s">
        <v>2217</v>
      </c>
      <c r="G4" s="48" t="s">
        <v>2397</v>
      </c>
      <c r="H4" s="48" t="s">
        <v>2398</v>
      </c>
      <c r="I4" s="48" t="s">
        <v>2399</v>
      </c>
    </row>
    <row r="5" spans="2:9" ht="54">
      <c r="B5" s="47">
        <v>1</v>
      </c>
      <c r="C5" s="50">
        <f xml:space="preserve"> ROUND(B5/2,0)</f>
        <v>1</v>
      </c>
      <c r="D5" s="8" t="str" cm="1">
        <f t="array" ref="D5" xml:space="preserve"> INDEX(十五音韻母對照表,$B5,2)</f>
        <v>君</v>
      </c>
      <c r="E5" s="8" t="str" cm="1">
        <f t="array" ref="E5" xml:space="preserve"> IF( MOD($C$5,2)&lt;&gt;0,  INDEX(十五音韻母對照表,$B5,E$2),  INDEX(十五音韻母對照表,$B5,E$2+1))</f>
        <v>un</v>
      </c>
      <c r="F5" s="8" t="str" cm="1">
        <f t="array" ref="F5" xml:space="preserve"> IF( MOD($C$5,2)&lt;&gt;0,  INDEX(十五音韻母對照表,$B5,F$2),  INDEX(十五音韻母對照表,$B5,F$2+1))</f>
        <v>un</v>
      </c>
      <c r="G5" s="8" t="str" cm="1">
        <f t="array" ref="G5" xml:space="preserve"> IF( MOD($C$5,2)&lt;&gt;0,  INDEX(十五音韻母對照表,$B5,G$2),  INDEX(十五音韻母對照表,$B5,G$2+1))</f>
        <v>un</v>
      </c>
      <c r="H5" s="8" t="str" cm="1">
        <f t="array" ref="H5" xml:space="preserve"> IF( MOD($C$5,2)&lt;&gt;0,  INDEX(十五音韻母對照表,$B5,H$2),  INDEX(十五音韻母對照表,$B5,H$2+1))</f>
        <v>un</v>
      </c>
      <c r="I5" s="8" t="str" cm="1">
        <f t="array" ref="I5" xml:space="preserve"> IF( MOD($C$5,2)&lt;&gt;0,  INDEX(十五音韻母對照表,$B5,I$2),  INDEX(十五音韻母對照表,$B5,I$2+1))</f>
        <v>un</v>
      </c>
    </row>
    <row r="6" spans="2:9" ht="54">
      <c r="B6" s="47">
        <v>2</v>
      </c>
      <c r="C6" s="50">
        <f t="shared" ref="C6:C54" si="0" xml:space="preserve"> ROUND(B6/2,0)</f>
        <v>1</v>
      </c>
      <c r="D6" s="8" t="str" cm="1">
        <f t="array" ref="D6" xml:space="preserve"> INDEX(十五音韻母對照表,$B6,2)</f>
        <v>堅</v>
      </c>
      <c r="E6" s="8" t="str" cm="1">
        <f t="array" ref="E6" xml:space="preserve"> IF( MOD($C$5,2)&lt;&gt;0,  INDEX(十五音韻母對照表,$B6,E$2),  INDEX(十五音韻母對照表,$B6,E$2+1))</f>
        <v>ian</v>
      </c>
      <c r="F6" s="8" t="str" cm="1">
        <f t="array" ref="F6" xml:space="preserve"> IF( MOD($C$5,2)&lt;&gt;0,  INDEX(十五音韻母對照表,$B6,F$2),  INDEX(十五音韻母對照表,$B6,F$2+1))</f>
        <v>ian</v>
      </c>
      <c r="G6" s="8" t="str" cm="1">
        <f t="array" ref="G6" xml:space="preserve"> IF( MOD($C$5,2)&lt;&gt;0,  INDEX(十五音韻母對照表,$B6,G$2),  INDEX(十五音韻母對照表,$B6,G$2+1))</f>
        <v>ian</v>
      </c>
      <c r="H6" s="8" t="str" cm="1">
        <f t="array" ref="H6" xml:space="preserve"> IF( MOD($C$5,2)&lt;&gt;0,  INDEX(十五音韻母對照表,$B6,H$2),  INDEX(十五音韻母對照表,$B6,H$2+1))</f>
        <v>ian</v>
      </c>
      <c r="I6" s="8" t="str" cm="1">
        <f t="array" ref="I6" xml:space="preserve"> IF( MOD($C$5,2)&lt;&gt;0,  INDEX(十五音韻母對照表,$B6,I$2),  INDEX(十五音韻母對照表,$B6,I$2+1))</f>
        <v>ian</v>
      </c>
    </row>
    <row r="7" spans="2:9" ht="54">
      <c r="B7" s="47">
        <v>3</v>
      </c>
      <c r="C7" s="50">
        <f t="shared" si="0"/>
        <v>2</v>
      </c>
      <c r="D7" s="8" t="str" cm="1">
        <f t="array" ref="D7" xml:space="preserve"> INDEX(十五音韻母對照表,$B7,2)</f>
        <v>金</v>
      </c>
      <c r="E7" s="8" t="str" cm="1">
        <f t="array" ref="E7" xml:space="preserve"> IF( MOD($C$5,2)&lt;&gt;0,  INDEX(十五音韻母對照表,$B7,E$2),  INDEX(十五音韻母對照表,$B7,E$2+1))</f>
        <v>im</v>
      </c>
      <c r="F7" s="8" t="str" cm="1">
        <f t="array" ref="F7" xml:space="preserve"> IF( MOD($C$5,2)&lt;&gt;0,  INDEX(十五音韻母對照表,$B7,F$2),  INDEX(十五音韻母對照表,$B7,F$2+1))</f>
        <v>im</v>
      </c>
      <c r="G7" s="8" t="str" cm="1">
        <f t="array" ref="G7" xml:space="preserve"> IF( MOD($C$5,2)&lt;&gt;0,  INDEX(十五音韻母對照表,$B7,G$2),  INDEX(十五音韻母對照表,$B7,G$2+1))</f>
        <v>im</v>
      </c>
      <c r="H7" s="8" t="str" cm="1">
        <f t="array" ref="H7" xml:space="preserve"> IF( MOD($C$5,2)&lt;&gt;0,  INDEX(十五音韻母對照表,$B7,H$2),  INDEX(十五音韻母對照表,$B7,H$2+1))</f>
        <v>im</v>
      </c>
      <c r="I7" s="8" t="str" cm="1">
        <f t="array" ref="I7" xml:space="preserve"> IF( MOD($C$5,2)&lt;&gt;0,  INDEX(十五音韻母對照表,$B7,I$2),  INDEX(十五音韻母對照表,$B7,I$2+1))</f>
        <v>im</v>
      </c>
    </row>
    <row r="8" spans="2:9" ht="54">
      <c r="B8" s="47">
        <v>4</v>
      </c>
      <c r="C8" s="50">
        <f t="shared" si="0"/>
        <v>2</v>
      </c>
      <c r="D8" s="8" t="str" cm="1">
        <f t="array" ref="D8" xml:space="preserve"> INDEX(十五音韻母對照表,$B8,2)</f>
        <v>規</v>
      </c>
      <c r="E8" s="8" t="str" cm="1">
        <f t="array" ref="E8" xml:space="preserve"> IF( MOD($C$5,2)&lt;&gt;0,  INDEX(十五音韻母對照表,$B8,E$2),  INDEX(十五音韻母對照表,$B8,E$2+1))</f>
        <v>ui</v>
      </c>
      <c r="F8" s="8" t="str" cm="1">
        <f t="array" ref="F8" xml:space="preserve"> IF( MOD($C$5,2)&lt;&gt;0,  INDEX(十五音韻母對照表,$B8,F$2),  INDEX(十五音韻母對照表,$B8,F$2+1))</f>
        <v>ui</v>
      </c>
      <c r="G8" s="8" t="str" cm="1">
        <f t="array" ref="G8" xml:space="preserve"> IF( MOD($C$5,2)&lt;&gt;0,  INDEX(十五音韻母對照表,$B8,G$2),  INDEX(十五音韻母對照表,$B8,G$2+1))</f>
        <v>ui</v>
      </c>
      <c r="H8" s="8" t="str" cm="1">
        <f t="array" ref="H8" xml:space="preserve"> IF( MOD($C$5,2)&lt;&gt;0,  INDEX(十五音韻母對照表,$B8,H$2),  INDEX(十五音韻母對照表,$B8,H$2+1))</f>
        <v>ui</v>
      </c>
      <c r="I8" s="8" t="str" cm="1">
        <f t="array" ref="I8" xml:space="preserve"> IF( MOD($C$5,2)&lt;&gt;0,  INDEX(十五音韻母對照表,$B8,I$2),  INDEX(十五音韻母對照表,$B8,I$2+1))</f>
        <v>ui</v>
      </c>
    </row>
    <row r="9" spans="2:9" ht="54">
      <c r="B9" s="47">
        <v>5</v>
      </c>
      <c r="C9" s="50">
        <f t="shared" si="0"/>
        <v>3</v>
      </c>
      <c r="D9" s="8" t="str" cm="1">
        <f t="array" ref="D9" xml:space="preserve"> INDEX(十五音韻母對照表,$B9,2)</f>
        <v>嘉</v>
      </c>
      <c r="E9" s="8" t="str" cm="1">
        <f t="array" ref="E9" xml:space="preserve"> IF( MOD($C$5,2)&lt;&gt;0,  INDEX(十五音韻母對照表,$B9,E$2),  INDEX(十五音韻母對照表,$B9,E$2+1))</f>
        <v>ee</v>
      </c>
      <c r="F9" s="8" t="str" cm="1">
        <f t="array" ref="F9" xml:space="preserve"> IF( MOD($C$5,2)&lt;&gt;0,  INDEX(十五音韻母對照表,$B9,F$2),  INDEX(十五音韻母對照表,$B9,F$2+1))</f>
        <v>ɛ</v>
      </c>
      <c r="G9" s="8" t="str" cm="1">
        <f t="array" ref="G9" xml:space="preserve"> IF( MOD($C$5,2)&lt;&gt;0,  INDEX(十五音韻母對照表,$B9,G$2),  INDEX(十五音韻母對照表,$B9,G$2+1))</f>
        <v>ee</v>
      </c>
      <c r="H9" s="8" t="str" cm="1">
        <f t="array" ref="H9" xml:space="preserve"> IF( MOD($C$5,2)&lt;&gt;0,  INDEX(十五音韻母對照表,$B9,H$2),  INDEX(十五音韻母對照表,$B9,H$2+1))</f>
        <v>ee</v>
      </c>
      <c r="I9" s="8" t="str" cm="1">
        <f t="array" ref="I9" xml:space="preserve"> IF( MOD($C$5,2)&lt;&gt;0,  INDEX(十五音韻母對照表,$B9,I$2),  INDEX(十五音韻母對照表,$B9,I$2+1))</f>
        <v>e</v>
      </c>
    </row>
    <row r="10" spans="2:9" ht="54">
      <c r="B10" s="47">
        <v>6</v>
      </c>
      <c r="C10" s="50">
        <f t="shared" si="0"/>
        <v>3</v>
      </c>
      <c r="D10" s="8" t="str" cm="1">
        <f t="array" ref="D10" xml:space="preserve"> INDEX(十五音韻母對照表,$B10,2)</f>
        <v>干</v>
      </c>
      <c r="E10" s="8" t="str" cm="1">
        <f t="array" ref="E10" xml:space="preserve"> IF( MOD($C$5,2)&lt;&gt;0,  INDEX(十五音韻母對照表,$B10,E$2),  INDEX(十五音韻母對照表,$B10,E$2+1))</f>
        <v>an</v>
      </c>
      <c r="F10" s="8" t="str" cm="1">
        <f t="array" ref="F10" xml:space="preserve"> IF( MOD($C$5,2)&lt;&gt;0,  INDEX(十五音韻母對照表,$B10,F$2),  INDEX(十五音韻母對照表,$B10,F$2+1))</f>
        <v>an</v>
      </c>
      <c r="G10" s="8" t="str" cm="1">
        <f t="array" ref="G10" xml:space="preserve"> IF( MOD($C$5,2)&lt;&gt;0,  INDEX(十五音韻母對照表,$B10,G$2),  INDEX(十五音韻母對照表,$B10,G$2+1))</f>
        <v>an</v>
      </c>
      <c r="H10" s="8" t="str" cm="1">
        <f t="array" ref="H10" xml:space="preserve"> IF( MOD($C$5,2)&lt;&gt;0,  INDEX(十五音韻母對照表,$B10,H$2),  INDEX(十五音韻母對照表,$B10,H$2+1))</f>
        <v>an</v>
      </c>
      <c r="I10" s="8" t="str" cm="1">
        <f t="array" ref="I10" xml:space="preserve"> IF( MOD($C$5,2)&lt;&gt;0,  INDEX(十五音韻母對照表,$B10,I$2),  INDEX(十五音韻母對照表,$B10,I$2+1))</f>
        <v>an</v>
      </c>
    </row>
    <row r="11" spans="2:9" ht="54">
      <c r="B11" s="47">
        <v>7</v>
      </c>
      <c r="C11" s="50">
        <f t="shared" si="0"/>
        <v>4</v>
      </c>
      <c r="D11" s="8" t="str" cm="1">
        <f t="array" ref="D11" xml:space="preserve"> INDEX(十五音韻母對照表,$B11,2)</f>
        <v>公</v>
      </c>
      <c r="E11" s="8" t="str" cm="1">
        <f t="array" ref="E11" xml:space="preserve"> IF( MOD($C$5,2)&lt;&gt;0,  INDEX(十五音韻母對照表,$B11,E$2),  INDEX(十五音韻母對照表,$B11,E$2+1))</f>
        <v>ong</v>
      </c>
      <c r="F11" s="8" t="str" cm="1">
        <f t="array" ref="F11" xml:space="preserve"> IF( MOD($C$5,2)&lt;&gt;0,  INDEX(十五音韻母對照表,$B11,F$2),  INDEX(十五音韻母對照表,$B11,F$2+1))</f>
        <v>ɔŋ</v>
      </c>
      <c r="G11" s="8" t="str" cm="1">
        <f t="array" ref="G11" xml:space="preserve"> IF( MOD($C$5,2)&lt;&gt;0,  INDEX(十五音韻母對照表,$B11,G$2),  INDEX(十五音韻母對照表,$B11,G$2+1))</f>
        <v>ong</v>
      </c>
      <c r="H11" s="8" t="str" cm="1">
        <f t="array" ref="H11" xml:space="preserve"> IF( MOD($C$5,2)&lt;&gt;0,  INDEX(十五音韻母對照表,$B11,H$2),  INDEX(十五音韻母對照表,$B11,H$2+1))</f>
        <v>ong</v>
      </c>
      <c r="I11" s="8" t="str" cm="1">
        <f t="array" ref="I11" xml:space="preserve"> IF( MOD($C$5,2)&lt;&gt;0,  INDEX(十五音韻母對照表,$B11,I$2),  INDEX(十五音韻母對照表,$B11,I$2+1))</f>
        <v>ong</v>
      </c>
    </row>
    <row r="12" spans="2:9" ht="54">
      <c r="B12" s="47">
        <v>8</v>
      </c>
      <c r="C12" s="50">
        <f t="shared" si="0"/>
        <v>4</v>
      </c>
      <c r="D12" s="8" t="str" cm="1">
        <f t="array" ref="D12" xml:space="preserve"> INDEX(十五音韻母對照表,$B12,2)</f>
        <v>乖</v>
      </c>
      <c r="E12" s="8" t="str" cm="1">
        <f t="array" ref="E12" xml:space="preserve"> IF( MOD($C$5,2)&lt;&gt;0,  INDEX(十五音韻母對照表,$B12,E$2),  INDEX(十五音韻母對照表,$B12,E$2+1))</f>
        <v>uai</v>
      </c>
      <c r="F12" s="8" t="str" cm="1">
        <f t="array" ref="F12" xml:space="preserve"> IF( MOD($C$5,2)&lt;&gt;0,  INDEX(十五音韻母對照表,$B12,F$2),  INDEX(十五音韻母對照表,$B12,F$2+1))</f>
        <v>uai</v>
      </c>
      <c r="G12" s="8" t="str" cm="1">
        <f t="array" ref="G12" xml:space="preserve"> IF( MOD($C$5,2)&lt;&gt;0,  INDEX(十五音韻母對照表,$B12,G$2),  INDEX(十五音韻母對照表,$B12,G$2+1))</f>
        <v>oai</v>
      </c>
      <c r="H12" s="8" t="str" cm="1">
        <f t="array" ref="H12" xml:space="preserve"> IF( MOD($C$5,2)&lt;&gt;0,  INDEX(十五音韻母對照表,$B12,H$2),  INDEX(十五音韻母對照表,$B12,H$2+1))</f>
        <v>uai</v>
      </c>
      <c r="I12" s="8" t="str" cm="1">
        <f t="array" ref="I12" xml:space="preserve"> IF( MOD($C$5,2)&lt;&gt;0,  INDEX(十五音韻母對照表,$B12,I$2),  INDEX(十五音韻母對照表,$B12,I$2+1))</f>
        <v>uai</v>
      </c>
    </row>
    <row r="13" spans="2:9" ht="54">
      <c r="B13" s="47">
        <v>9</v>
      </c>
      <c r="C13" s="50">
        <f t="shared" si="0"/>
        <v>5</v>
      </c>
      <c r="D13" s="8" t="str" cm="1">
        <f t="array" ref="D13" xml:space="preserve"> INDEX(十五音韻母對照表,$B13,2)</f>
        <v>經</v>
      </c>
      <c r="E13" s="8" t="str" cm="1">
        <f t="array" ref="E13" xml:space="preserve"> IF( MOD($C$5,2)&lt;&gt;0,  INDEX(十五音韻母對照表,$B13,E$2),  INDEX(十五音韻母對照表,$B13,E$2+1))</f>
        <v>ing</v>
      </c>
      <c r="F13" s="8" t="str" cm="1">
        <f t="array" ref="F13" xml:space="preserve"> IF( MOD($C$5,2)&lt;&gt;0,  INDEX(十五音韻母對照表,$B13,F$2),  INDEX(十五音韻母對照表,$B13,F$2+1))</f>
        <v>ɪŋ</v>
      </c>
      <c r="G13" s="8" t="str" cm="1">
        <f t="array" ref="G13" xml:space="preserve"> IF( MOD($C$5,2)&lt;&gt;0,  INDEX(十五音韻母對照表,$B13,G$2),  INDEX(十五音韻母對照表,$B13,G$2+1))</f>
        <v>eng</v>
      </c>
      <c r="H13" s="8" t="str" cm="1">
        <f t="array" ref="H13" xml:space="preserve"> IF( MOD($C$5,2)&lt;&gt;0,  INDEX(十五音韻母對照表,$B13,H$2),  INDEX(十五音韻母對照表,$B13,H$2+1))</f>
        <v>ing</v>
      </c>
      <c r="I13" s="8" t="str" cm="1">
        <f t="array" ref="I13" xml:space="preserve"> IF( MOD($C$5,2)&lt;&gt;0,  INDEX(十五音韻母對照表,$B13,I$2),  INDEX(十五音韻母對照表,$B13,I$2+1))</f>
        <v>ing</v>
      </c>
    </row>
    <row r="14" spans="2:9" ht="54">
      <c r="B14" s="47">
        <v>10</v>
      </c>
      <c r="C14" s="50">
        <f t="shared" si="0"/>
        <v>5</v>
      </c>
      <c r="D14" s="8" t="str" cm="1">
        <f t="array" ref="D14" xml:space="preserve"> INDEX(十五音韻母對照表,$B14,2)</f>
        <v>觀</v>
      </c>
      <c r="E14" s="8" t="str" cm="1">
        <f t="array" ref="E14" xml:space="preserve"> IF( MOD($C$5,2)&lt;&gt;0,  INDEX(十五音韻母對照表,$B14,E$2),  INDEX(十五音韻母對照表,$B14,E$2+1))</f>
        <v>uan</v>
      </c>
      <c r="F14" s="8" t="str" cm="1">
        <f t="array" ref="F14" xml:space="preserve"> IF( MOD($C$5,2)&lt;&gt;0,  INDEX(十五音韻母對照表,$B14,F$2),  INDEX(十五音韻母對照表,$B14,F$2+1))</f>
        <v>uan</v>
      </c>
      <c r="G14" s="8" t="str" cm="1">
        <f t="array" ref="G14" xml:space="preserve"> IF( MOD($C$5,2)&lt;&gt;0,  INDEX(十五音韻母對照表,$B14,G$2),  INDEX(十五音韻母對照表,$B14,G$2+1))</f>
        <v>oan</v>
      </c>
      <c r="H14" s="8" t="str" cm="1">
        <f t="array" ref="H14" xml:space="preserve"> IF( MOD($C$5,2)&lt;&gt;0,  INDEX(十五音韻母對照表,$B14,H$2),  INDEX(十五音韻母對照表,$B14,H$2+1))</f>
        <v>uan</v>
      </c>
      <c r="I14" s="8" t="str" cm="1">
        <f t="array" ref="I14" xml:space="preserve"> IF( MOD($C$5,2)&lt;&gt;0,  INDEX(十五音韻母對照表,$B14,I$2),  INDEX(十五音韻母對照表,$B14,I$2+1))</f>
        <v>uan</v>
      </c>
    </row>
    <row r="15" spans="2:9" ht="54">
      <c r="B15" s="47">
        <v>11</v>
      </c>
      <c r="C15" s="50">
        <f t="shared" si="0"/>
        <v>6</v>
      </c>
      <c r="D15" s="8" t="str" cm="1">
        <f t="array" ref="D15" xml:space="preserve"> INDEX(十五音韻母對照表,$B15,2)</f>
        <v>沽</v>
      </c>
      <c r="E15" s="8" t="str" cm="1">
        <f t="array" ref="E15" xml:space="preserve"> IF( MOD($C$5,2)&lt;&gt;0,  INDEX(十五音韻母對照表,$B15,E$2),  INDEX(十五音韻母對照表,$B15,E$2+1))</f>
        <v>oo</v>
      </c>
      <c r="F15" s="8" t="str" cm="1">
        <f t="array" ref="F15" xml:space="preserve"> IF( MOD($C$5,2)&lt;&gt;0,  INDEX(十五音韻母對照表,$B15,F$2),  INDEX(十五音韻母對照表,$B15,F$2+1))</f>
        <v>ɔ</v>
      </c>
      <c r="G15" s="8" t="str" cm="1">
        <f t="array" ref="G15" xml:space="preserve"> IF( MOD($C$5,2)&lt;&gt;0,  INDEX(十五音韻母對照表,$B15,G$2),  INDEX(十五音韻母對照表,$B15,G$2+1))</f>
        <v>o͘</v>
      </c>
      <c r="H15" s="8" t="str" cm="1">
        <f t="array" ref="H15" xml:space="preserve"> IF( MOD($C$5,2)&lt;&gt;0,  INDEX(十五音韻母對照表,$B15,H$2),  INDEX(十五音韻母對照表,$B15,H$2+1))</f>
        <v>oo</v>
      </c>
      <c r="I15" s="8" t="str" cm="1">
        <f t="array" ref="I15" xml:space="preserve"> IF( MOD($C$5,2)&lt;&gt;0,  INDEX(十五音韻母對照表,$B15,I$2),  INDEX(十五音韻母對照表,$B15,I$2+1))</f>
        <v>oo</v>
      </c>
    </row>
    <row r="16" spans="2:9" ht="54">
      <c r="B16" s="47">
        <v>12</v>
      </c>
      <c r="C16" s="50">
        <f t="shared" si="0"/>
        <v>6</v>
      </c>
      <c r="D16" s="8" t="str" cm="1">
        <f t="array" ref="D16" xml:space="preserve"> INDEX(十五音韻母對照表,$B16,2)</f>
        <v>嬌</v>
      </c>
      <c r="E16" s="8" t="str" cm="1">
        <f t="array" ref="E16" xml:space="preserve"> IF( MOD($C$5,2)&lt;&gt;0,  INDEX(十五音韻母對照表,$B16,E$2),  INDEX(十五音韻母對照表,$B16,E$2+1))</f>
        <v>iau</v>
      </c>
      <c r="F16" s="8" t="str" cm="1">
        <f t="array" ref="F16" xml:space="preserve"> IF( MOD($C$5,2)&lt;&gt;0,  INDEX(十五音韻母對照表,$B16,F$2),  INDEX(十五音韻母對照表,$B16,F$2+1))</f>
        <v>iaʊ</v>
      </c>
      <c r="G16" s="8" t="str" cm="1">
        <f t="array" ref="G16" xml:space="preserve"> IF( MOD($C$5,2)&lt;&gt;0,  INDEX(十五音韻母對照表,$B16,G$2),  INDEX(十五音韻母對照表,$B16,G$2+1))</f>
        <v>iau</v>
      </c>
      <c r="H16" s="8" t="str" cm="1">
        <f t="array" ref="H16" xml:space="preserve"> IF( MOD($C$5,2)&lt;&gt;0,  INDEX(十五音韻母對照表,$B16,H$2),  INDEX(十五音韻母對照表,$B16,H$2+1))</f>
        <v>iau</v>
      </c>
      <c r="I16" s="8" t="str" cm="1">
        <f t="array" ref="I16" xml:space="preserve"> IF( MOD($C$5,2)&lt;&gt;0,  INDEX(十五音韻母對照表,$B16,I$2),  INDEX(十五音韻母對照表,$B16,I$2+1))</f>
        <v>iao</v>
      </c>
    </row>
    <row r="17" spans="2:9" ht="54">
      <c r="B17" s="47">
        <v>13</v>
      </c>
      <c r="C17" s="50">
        <f t="shared" si="0"/>
        <v>7</v>
      </c>
      <c r="D17" s="8" t="str" cm="1">
        <f t="array" ref="D17" xml:space="preserve"> INDEX(十五音韻母對照表,$B17,2)</f>
        <v>稽</v>
      </c>
      <c r="E17" s="8" t="str" cm="1">
        <f t="array" ref="E17" xml:space="preserve"> IF( MOD($C$5,2)&lt;&gt;0,  INDEX(十五音韻母對照表,$B17,E$2),  INDEX(十五音韻母對照表,$B17,E$2+1))</f>
        <v>ei</v>
      </c>
      <c r="F17" s="8" t="str" cm="1">
        <f t="array" ref="F17" xml:space="preserve"> IF( MOD($C$5,2)&lt;&gt;0,  INDEX(十五音韻母對照表,$B17,F$2),  INDEX(十五音韻母對照表,$B17,F$2+1))</f>
        <v>ei</v>
      </c>
      <c r="G17" s="8" t="str" cm="1">
        <f t="array" ref="G17" xml:space="preserve"> IF( MOD($C$5,2)&lt;&gt;0,  INDEX(十五音韻母對照表,$B17,G$2),  INDEX(十五音韻母對照表,$B17,G$2+1))</f>
        <v>ei</v>
      </c>
      <c r="H17" s="8" t="str" cm="1">
        <f t="array" ref="H17" xml:space="preserve"> IF( MOD($C$5,2)&lt;&gt;0,  INDEX(十五音韻母對照表,$B17,H$2),  INDEX(十五音韻母對照表,$B17,H$2+1))</f>
        <v>e</v>
      </c>
      <c r="I17" s="8" t="str" cm="1">
        <f t="array" ref="I17" xml:space="preserve"> IF( MOD($C$5,2)&lt;&gt;0,  INDEX(十五音韻母對照表,$B17,I$2),  INDEX(十五音韻母對照表,$B17,I$2+1))</f>
        <v>e</v>
      </c>
    </row>
    <row r="18" spans="2:9" ht="54">
      <c r="B18" s="47">
        <v>14</v>
      </c>
      <c r="C18" s="50">
        <f t="shared" si="0"/>
        <v>7</v>
      </c>
      <c r="D18" s="8" t="str" cm="1">
        <f t="array" ref="D18" xml:space="preserve"> INDEX(十五音韻母對照表,$B18,2)</f>
        <v>恭</v>
      </c>
      <c r="E18" s="8" t="str" cm="1">
        <f t="array" ref="E18" xml:space="preserve"> IF( MOD($C$5,2)&lt;&gt;0,  INDEX(十五音韻母對照表,$B18,E$2),  INDEX(十五音韻母對照表,$B18,E$2+1))</f>
        <v>iong</v>
      </c>
      <c r="F18" s="8" t="str" cm="1">
        <f t="array" ref="F18" xml:space="preserve"> IF( MOD($C$5,2)&lt;&gt;0,  INDEX(十五音韻母對照表,$B18,F$2),  INDEX(十五音韻母對照表,$B18,F$2+1))</f>
        <v>iɔŋ</v>
      </c>
      <c r="G18" s="8" t="str" cm="1">
        <f t="array" ref="G18" xml:space="preserve"> IF( MOD($C$5,2)&lt;&gt;0,  INDEX(十五音韻母對照表,$B18,G$2),  INDEX(十五音韻母對照表,$B18,G$2+1))</f>
        <v>iong</v>
      </c>
      <c r="H18" s="8" t="str" cm="1">
        <f t="array" ref="H18" xml:space="preserve"> IF( MOD($C$5,2)&lt;&gt;0,  INDEX(十五音韻母對照表,$B18,H$2),  INDEX(十五音韻母對照表,$B18,H$2+1))</f>
        <v>iong</v>
      </c>
      <c r="I18" s="8" t="str" cm="1">
        <f t="array" ref="I18" xml:space="preserve"> IF( MOD($C$5,2)&lt;&gt;0,  INDEX(十五音韻母對照表,$B18,I$2),  INDEX(十五音韻母對照表,$B18,I$2+1))</f>
        <v>iong</v>
      </c>
    </row>
    <row r="19" spans="2:9" ht="54">
      <c r="B19" s="47">
        <v>15</v>
      </c>
      <c r="C19" s="50">
        <f t="shared" si="0"/>
        <v>8</v>
      </c>
      <c r="D19" s="8" t="str" cm="1">
        <f t="array" ref="D19" xml:space="preserve"> INDEX(十五音韻母對照表,$B19,2)</f>
        <v>高</v>
      </c>
      <c r="E19" s="8" t="str" cm="1">
        <f t="array" ref="E19" xml:space="preserve"> IF( MOD($C$5,2)&lt;&gt;0,  INDEX(十五音韻母對照表,$B19,E$2),  INDEX(十五音韻母對照表,$B19,E$2+1))</f>
        <v>o</v>
      </c>
      <c r="F19" s="8" t="str" cm="1">
        <f t="array" ref="F19" xml:space="preserve"> IF( MOD($C$5,2)&lt;&gt;0,  INDEX(十五音韻母對照表,$B19,F$2),  INDEX(十五音韻母對照表,$B19,F$2+1))</f>
        <v>o</v>
      </c>
      <c r="G19" s="8" t="str" cm="1">
        <f t="array" ref="G19" xml:space="preserve"> IF( MOD($C$5,2)&lt;&gt;0,  INDEX(十五音韻母對照表,$B19,G$2),  INDEX(十五音韻母對照表,$B19,G$2+1))</f>
        <v>o</v>
      </c>
      <c r="H19" s="8" t="str" cm="1">
        <f t="array" ref="H19" xml:space="preserve"> IF( MOD($C$5,2)&lt;&gt;0,  INDEX(十五音韻母對照表,$B19,H$2),  INDEX(十五音韻母對照表,$B19,H$2+1))</f>
        <v>o</v>
      </c>
      <c r="I19" s="8" t="str" cm="1">
        <f t="array" ref="I19" xml:space="preserve"> IF( MOD($C$5,2)&lt;&gt;0,  INDEX(十五音韻母對照表,$B19,I$2),  INDEX(十五音韻母對照表,$B19,I$2+1))</f>
        <v>o</v>
      </c>
    </row>
    <row r="20" spans="2:9" ht="54">
      <c r="B20" s="47">
        <v>16</v>
      </c>
      <c r="C20" s="50">
        <f t="shared" si="0"/>
        <v>8</v>
      </c>
      <c r="D20" s="8" t="str" cm="1">
        <f t="array" ref="D20" xml:space="preserve"> INDEX(十五音韻母對照表,$B20,2)</f>
        <v>皆</v>
      </c>
      <c r="E20" s="8" t="str" cm="1">
        <f t="array" ref="E20" xml:space="preserve"> IF( MOD($C$5,2)&lt;&gt;0,  INDEX(十五音韻母對照表,$B20,E$2),  INDEX(十五音韻母對照表,$B20,E$2+1))</f>
        <v>ai</v>
      </c>
      <c r="F20" s="8" t="str" cm="1">
        <f t="array" ref="F20" xml:space="preserve"> IF( MOD($C$5,2)&lt;&gt;0,  INDEX(十五音韻母對照表,$B20,F$2),  INDEX(十五音韻母對照表,$B20,F$2+1))</f>
        <v>ai</v>
      </c>
      <c r="G20" s="8" t="str" cm="1">
        <f t="array" ref="G20" xml:space="preserve"> IF( MOD($C$5,2)&lt;&gt;0,  INDEX(十五音韻母對照表,$B20,G$2),  INDEX(十五音韻母對照表,$B20,G$2+1))</f>
        <v>ai</v>
      </c>
      <c r="H20" s="8" t="str" cm="1">
        <f t="array" ref="H20" xml:space="preserve"> IF( MOD($C$5,2)&lt;&gt;0,  INDEX(十五音韻母對照表,$B20,H$2),  INDEX(十五音韻母對照表,$B20,H$2+1))</f>
        <v>ai</v>
      </c>
      <c r="I20" s="8" t="str" cm="1">
        <f t="array" ref="I20" xml:space="preserve"> IF( MOD($C$5,2)&lt;&gt;0,  INDEX(十五音韻母對照表,$B20,I$2),  INDEX(十五音韻母對照表,$B20,I$2+1))</f>
        <v>ai</v>
      </c>
    </row>
    <row r="21" spans="2:9" ht="54">
      <c r="B21" s="47">
        <v>17</v>
      </c>
      <c r="C21" s="50">
        <f t="shared" si="0"/>
        <v>9</v>
      </c>
      <c r="D21" s="8" t="str" cm="1">
        <f t="array" ref="D21" xml:space="preserve"> INDEX(十五音韻母對照表,$B21,2)</f>
        <v>巾</v>
      </c>
      <c r="E21" s="8" t="str" cm="1">
        <f t="array" ref="E21" xml:space="preserve"> IF( MOD($C$5,2)&lt;&gt;0,  INDEX(十五音韻母對照表,$B21,E$2),  INDEX(十五音韻母對照表,$B21,E$2+1))</f>
        <v>in</v>
      </c>
      <c r="F21" s="8" t="str" cm="1">
        <f t="array" ref="F21" xml:space="preserve"> IF( MOD($C$5,2)&lt;&gt;0,  INDEX(十五音韻母對照表,$B21,F$2),  INDEX(十五音韻母對照表,$B21,F$2+1))</f>
        <v>in</v>
      </c>
      <c r="G21" s="8" t="str" cm="1">
        <f t="array" ref="G21" xml:space="preserve"> IF( MOD($C$5,2)&lt;&gt;0,  INDEX(十五音韻母對照表,$B21,G$2),  INDEX(十五音韻母對照表,$B21,G$2+1))</f>
        <v>in</v>
      </c>
      <c r="H21" s="8" t="str" cm="1">
        <f t="array" ref="H21" xml:space="preserve"> IF( MOD($C$5,2)&lt;&gt;0,  INDEX(十五音韻母對照表,$B21,H$2),  INDEX(十五音韻母對照表,$B21,H$2+1))</f>
        <v>in</v>
      </c>
      <c r="I21" s="8" t="str" cm="1">
        <f t="array" ref="I21" xml:space="preserve"> IF( MOD($C$5,2)&lt;&gt;0,  INDEX(十五音韻母對照表,$B21,I$2),  INDEX(十五音韻母對照表,$B21,I$2+1))</f>
        <v>in</v>
      </c>
    </row>
    <row r="22" spans="2:9" ht="54">
      <c r="B22" s="47">
        <v>18</v>
      </c>
      <c r="C22" s="50">
        <f t="shared" si="0"/>
        <v>9</v>
      </c>
      <c r="D22" s="8" t="str" cm="1">
        <f t="array" ref="D22" xml:space="preserve"> INDEX(十五音韻母對照表,$B22,2)</f>
        <v>姜</v>
      </c>
      <c r="E22" s="8" t="str" cm="1">
        <f t="array" ref="E22" xml:space="preserve"> IF( MOD($C$5,2)&lt;&gt;0,  INDEX(十五音韻母對照表,$B22,E$2),  INDEX(十五音韻母對照表,$B22,E$2+1))</f>
        <v>iang</v>
      </c>
      <c r="F22" s="8" t="str" cm="1">
        <f t="array" ref="F22" xml:space="preserve"> IF( MOD($C$5,2)&lt;&gt;0,  INDEX(十五音韻母對照表,$B22,F$2),  INDEX(十五音韻母對照表,$B22,F$2+1))</f>
        <v>iaŋ</v>
      </c>
      <c r="G22" s="8" t="str" cm="1">
        <f t="array" ref="G22" xml:space="preserve"> IF( MOD($C$5,2)&lt;&gt;0,  INDEX(十五音韻母對照表,$B22,G$2),  INDEX(十五音韻母對照表,$B22,G$2+1))</f>
        <v>iang</v>
      </c>
      <c r="H22" s="8" t="str" cm="1">
        <f t="array" ref="H22" xml:space="preserve"> IF( MOD($C$5,2)&lt;&gt;0,  INDEX(十五音韻母對照表,$B22,H$2),  INDEX(十五音韻母對照表,$B22,H$2+1))</f>
        <v>iang</v>
      </c>
      <c r="I22" s="8" t="str" cm="1">
        <f t="array" ref="I22" xml:space="preserve"> IF( MOD($C$5,2)&lt;&gt;0,  INDEX(十五音韻母對照表,$B22,I$2),  INDEX(十五音韻母對照表,$B22,I$2+1))</f>
        <v>iang</v>
      </c>
    </row>
    <row r="23" spans="2:9" ht="54">
      <c r="B23" s="47">
        <v>19</v>
      </c>
      <c r="C23" s="50">
        <f t="shared" si="0"/>
        <v>10</v>
      </c>
      <c r="D23" s="8" t="str" cm="1">
        <f t="array" ref="D23" xml:space="preserve"> INDEX(十五音韻母對照表,$B23,2)</f>
        <v>甘</v>
      </c>
      <c r="E23" s="8" t="str" cm="1">
        <f t="array" ref="E23" xml:space="preserve"> IF( MOD($C$5,2)&lt;&gt;0,  INDEX(十五音韻母對照表,$B23,E$2),  INDEX(十五音韻母對照表,$B23,E$2+1))</f>
        <v>am</v>
      </c>
      <c r="F23" s="8" t="str" cm="1">
        <f t="array" ref="F23" xml:space="preserve"> IF( MOD($C$5,2)&lt;&gt;0,  INDEX(十五音韻母對照表,$B23,F$2),  INDEX(十五音韻母對照表,$B23,F$2+1))</f>
        <v>am</v>
      </c>
      <c r="G23" s="8" t="str" cm="1">
        <f t="array" ref="G23" xml:space="preserve"> IF( MOD($C$5,2)&lt;&gt;0,  INDEX(十五音韻母對照表,$B23,G$2),  INDEX(十五音韻母對照表,$B23,G$2+1))</f>
        <v>am</v>
      </c>
      <c r="H23" s="8" t="str" cm="1">
        <f t="array" ref="H23" xml:space="preserve"> IF( MOD($C$5,2)&lt;&gt;0,  INDEX(十五音韻母對照表,$B23,H$2),  INDEX(十五音韻母對照表,$B23,H$2+1))</f>
        <v>am</v>
      </c>
      <c r="I23" s="8" t="str" cm="1">
        <f t="array" ref="I23" xml:space="preserve"> IF( MOD($C$5,2)&lt;&gt;0,  INDEX(十五音韻母對照表,$B23,I$2),  INDEX(十五音韻母對照表,$B23,I$2+1))</f>
        <v>am</v>
      </c>
    </row>
    <row r="24" spans="2:9" ht="54">
      <c r="B24" s="47">
        <v>20</v>
      </c>
      <c r="C24" s="50">
        <f t="shared" si="0"/>
        <v>10</v>
      </c>
      <c r="D24" s="8" t="str" cm="1">
        <f t="array" ref="D24" xml:space="preserve"> INDEX(十五音韻母對照表,$B24,2)</f>
        <v>瓜</v>
      </c>
      <c r="E24" s="8" t="str" cm="1">
        <f t="array" ref="E24" xml:space="preserve"> IF( MOD($C$5,2)&lt;&gt;0,  INDEX(十五音韻母對照表,$B24,E$2),  INDEX(十五音韻母對照表,$B24,E$2+1))</f>
        <v>ua</v>
      </c>
      <c r="F24" s="8" t="str" cm="1">
        <f t="array" ref="F24" xml:space="preserve"> IF( MOD($C$5,2)&lt;&gt;0,  INDEX(十五音韻母對照表,$B24,F$2),  INDEX(十五音韻母對照表,$B24,F$2+1))</f>
        <v>ua</v>
      </c>
      <c r="G24" s="8" t="str" cm="1">
        <f t="array" ref="G24" xml:space="preserve"> IF( MOD($C$5,2)&lt;&gt;0,  INDEX(十五音韻母對照表,$B24,G$2),  INDEX(十五音韻母對照表,$B24,G$2+1))</f>
        <v>oa</v>
      </c>
      <c r="H24" s="8" t="str" cm="1">
        <f t="array" ref="H24" xml:space="preserve"> IF( MOD($C$5,2)&lt;&gt;0,  INDEX(十五音韻母對照表,$B24,H$2),  INDEX(十五音韻母對照表,$B24,H$2+1))</f>
        <v>ua</v>
      </c>
      <c r="I24" s="8" t="str" cm="1">
        <f t="array" ref="I24" xml:space="preserve"> IF( MOD($C$5,2)&lt;&gt;0,  INDEX(十五音韻母對照表,$B24,I$2),  INDEX(十五音韻母對照表,$B24,I$2+1))</f>
        <v>ua</v>
      </c>
    </row>
    <row r="25" spans="2:9" ht="54">
      <c r="B25" s="47">
        <v>21</v>
      </c>
      <c r="C25" s="50">
        <f t="shared" si="0"/>
        <v>11</v>
      </c>
      <c r="D25" s="8" t="str" cm="1">
        <f t="array" ref="D25" xml:space="preserve"> INDEX(十五音韻母對照表,$B25,2)</f>
        <v>江</v>
      </c>
      <c r="E25" s="8" t="str" cm="1">
        <f t="array" ref="E25" xml:space="preserve"> IF( MOD($C$5,2)&lt;&gt;0,  INDEX(十五音韻母對照表,$B25,E$2),  INDEX(十五音韻母對照表,$B25,E$2+1))</f>
        <v>ang</v>
      </c>
      <c r="F25" s="8" t="str" cm="1">
        <f t="array" ref="F25" xml:space="preserve"> IF( MOD($C$5,2)&lt;&gt;0,  INDEX(十五音韻母對照表,$B25,F$2),  INDEX(十五音韻母對照表,$B25,F$2+1))</f>
        <v>aŋ</v>
      </c>
      <c r="G25" s="8" t="str" cm="1">
        <f t="array" ref="G25" xml:space="preserve"> IF( MOD($C$5,2)&lt;&gt;0,  INDEX(十五音韻母對照表,$B25,G$2),  INDEX(十五音韻母對照表,$B25,G$2+1))</f>
        <v>ang</v>
      </c>
      <c r="H25" s="8" t="str" cm="1">
        <f t="array" ref="H25" xml:space="preserve"> IF( MOD($C$5,2)&lt;&gt;0,  INDEX(十五音韻母對照表,$B25,H$2),  INDEX(十五音韻母對照表,$B25,H$2+1))</f>
        <v>ang</v>
      </c>
      <c r="I25" s="8" t="str" cm="1">
        <f t="array" ref="I25" xml:space="preserve"> IF( MOD($C$5,2)&lt;&gt;0,  INDEX(十五音韻母對照表,$B25,I$2),  INDEX(十五音韻母對照表,$B25,I$2+1))</f>
        <v>ang</v>
      </c>
    </row>
    <row r="26" spans="2:9" ht="54">
      <c r="B26" s="47">
        <v>22</v>
      </c>
      <c r="C26" s="50">
        <f t="shared" si="0"/>
        <v>11</v>
      </c>
      <c r="D26" s="8" t="str" cm="1">
        <f t="array" ref="D26" xml:space="preserve"> INDEX(十五音韻母對照表,$B26,2)</f>
        <v>兼</v>
      </c>
      <c r="E26" s="8" t="str" cm="1">
        <f t="array" ref="E26" xml:space="preserve"> IF( MOD($C$5,2)&lt;&gt;0,  INDEX(十五音韻母對照表,$B26,E$2),  INDEX(十五音韻母對照表,$B26,E$2+1))</f>
        <v>iam</v>
      </c>
      <c r="F26" s="8" t="str" cm="1">
        <f t="array" ref="F26" xml:space="preserve"> IF( MOD($C$5,2)&lt;&gt;0,  INDEX(十五音韻母對照表,$B26,F$2),  INDEX(十五音韻母對照表,$B26,F$2+1))</f>
        <v>iam</v>
      </c>
      <c r="G26" s="8" t="str" cm="1">
        <f t="array" ref="G26" xml:space="preserve"> IF( MOD($C$5,2)&lt;&gt;0,  INDEX(十五音韻母對照表,$B26,G$2),  INDEX(十五音韻母對照表,$B26,G$2+1))</f>
        <v>iam</v>
      </c>
      <c r="H26" s="8" t="str" cm="1">
        <f t="array" ref="H26" xml:space="preserve"> IF( MOD($C$5,2)&lt;&gt;0,  INDEX(十五音韻母對照表,$B26,H$2),  INDEX(十五音韻母對照表,$B26,H$2+1))</f>
        <v>iam</v>
      </c>
      <c r="I26" s="8" t="str" cm="1">
        <f t="array" ref="I26" xml:space="preserve"> IF( MOD($C$5,2)&lt;&gt;0,  INDEX(十五音韻母對照表,$B26,I$2),  INDEX(十五音韻母對照表,$B26,I$2+1))</f>
        <v>iam</v>
      </c>
    </row>
    <row r="27" spans="2:9" ht="54">
      <c r="B27" s="47">
        <v>23</v>
      </c>
      <c r="C27" s="50">
        <f t="shared" si="0"/>
        <v>12</v>
      </c>
      <c r="D27" s="8" t="str" cm="1">
        <f t="array" ref="D27" xml:space="preserve"> INDEX(十五音韻母對照表,$B27,2)</f>
        <v>交</v>
      </c>
      <c r="E27" s="8" t="str" cm="1">
        <f t="array" ref="E27" xml:space="preserve"> IF( MOD($C$5,2)&lt;&gt;0,  INDEX(十五音韻母對照表,$B27,E$2),  INDEX(十五音韻母對照表,$B27,E$2+1))</f>
        <v>au</v>
      </c>
      <c r="F27" s="8" t="str" cm="1">
        <f t="array" ref="F27" xml:space="preserve"> IF( MOD($C$5,2)&lt;&gt;0,  INDEX(十五音韻母對照表,$B27,F$2),  INDEX(十五音韻母對照表,$B27,F$2+1))</f>
        <v>aʊ</v>
      </c>
      <c r="G27" s="8" t="str" cm="1">
        <f t="array" ref="G27" xml:space="preserve"> IF( MOD($C$5,2)&lt;&gt;0,  INDEX(十五音韻母對照表,$B27,G$2),  INDEX(十五音韻母對照表,$B27,G$2+1))</f>
        <v>au</v>
      </c>
      <c r="H27" s="8" t="str" cm="1">
        <f t="array" ref="H27" xml:space="preserve"> IF( MOD($C$5,2)&lt;&gt;0,  INDEX(十五音韻母對照表,$B27,H$2),  INDEX(十五音韻母對照表,$B27,H$2+1))</f>
        <v>au</v>
      </c>
      <c r="I27" s="8" t="str" cm="1">
        <f t="array" ref="I27" xml:space="preserve"> IF( MOD($C$5,2)&lt;&gt;0,  INDEX(十五音韻母對照表,$B27,I$2),  INDEX(十五音韻母對照表,$B27,I$2+1))</f>
        <v>ao</v>
      </c>
    </row>
    <row r="28" spans="2:9" ht="54">
      <c r="B28" s="47">
        <v>24</v>
      </c>
      <c r="C28" s="50">
        <f t="shared" si="0"/>
        <v>12</v>
      </c>
      <c r="D28" s="8" t="str" cm="1">
        <f t="array" ref="D28" xml:space="preserve"> INDEX(十五音韻母對照表,$B28,2)</f>
        <v>迦</v>
      </c>
      <c r="E28" s="8" t="str" cm="1">
        <f t="array" ref="E28" xml:space="preserve"> IF( MOD($C$5,2)&lt;&gt;0,  INDEX(十五音韻母對照表,$B28,E$2),  INDEX(十五音韻母對照表,$B28,E$2+1))</f>
        <v>ia</v>
      </c>
      <c r="F28" s="8" t="str" cm="1">
        <f t="array" ref="F28" xml:space="preserve"> IF( MOD($C$5,2)&lt;&gt;0,  INDEX(十五音韻母對照表,$B28,F$2),  INDEX(十五音韻母對照表,$B28,F$2+1))</f>
        <v>ia</v>
      </c>
      <c r="G28" s="8" t="str" cm="1">
        <f t="array" ref="G28" xml:space="preserve"> IF( MOD($C$5,2)&lt;&gt;0,  INDEX(十五音韻母對照表,$B28,G$2),  INDEX(十五音韻母對照表,$B28,G$2+1))</f>
        <v>ia</v>
      </c>
      <c r="H28" s="8" t="str" cm="1">
        <f t="array" ref="H28" xml:space="preserve"> IF( MOD($C$5,2)&lt;&gt;0,  INDEX(十五音韻母對照表,$B28,H$2),  INDEX(十五音韻母對照表,$B28,H$2+1))</f>
        <v>ia</v>
      </c>
      <c r="I28" s="8" t="str" cm="1">
        <f t="array" ref="I28" xml:space="preserve"> IF( MOD($C$5,2)&lt;&gt;0,  INDEX(十五音韻母對照表,$B28,I$2),  INDEX(十五音韻母對照表,$B28,I$2+1))</f>
        <v>ia</v>
      </c>
    </row>
    <row r="29" spans="2:9" ht="54">
      <c r="B29" s="47">
        <v>25</v>
      </c>
      <c r="C29" s="50">
        <f t="shared" si="0"/>
        <v>13</v>
      </c>
      <c r="D29" s="8" t="str" cm="1">
        <f t="array" ref="D29" xml:space="preserve"> INDEX(十五音韻母對照表,$B29,2)</f>
        <v>檜</v>
      </c>
      <c r="E29" s="8" t="str" cm="1">
        <f t="array" ref="E29" xml:space="preserve"> IF( MOD($C$5,2)&lt;&gt;0,  INDEX(十五音韻母對照表,$B29,E$2),  INDEX(十五音韻母對照表,$B29,E$2+1))</f>
        <v>ue</v>
      </c>
      <c r="F29" s="8" t="str" cm="1">
        <f t="array" ref="F29" xml:space="preserve"> IF( MOD($C$5,2)&lt;&gt;0,  INDEX(十五音韻母對照表,$B29,F$2),  INDEX(十五音韻母對照表,$B29,F$2+1))</f>
        <v>ue</v>
      </c>
      <c r="G29" s="8" t="str" cm="1">
        <f t="array" ref="G29" xml:space="preserve"> IF( MOD($C$5,2)&lt;&gt;0,  INDEX(十五音韻母對照表,$B29,G$2),  INDEX(十五音韻母對照表,$B29,G$2+1))</f>
        <v>oe</v>
      </c>
      <c r="H29" s="8" t="str" cm="1">
        <f t="array" ref="H29" xml:space="preserve"> IF( MOD($C$5,2)&lt;&gt;0,  INDEX(十五音韻母對照表,$B29,H$2),  INDEX(十五音韻母對照表,$B29,H$2+1))</f>
        <v>ue</v>
      </c>
      <c r="I29" s="8" t="str" cm="1">
        <f t="array" ref="I29" xml:space="preserve"> IF( MOD($C$5,2)&lt;&gt;0,  INDEX(十五音韻母對照表,$B29,I$2),  INDEX(十五音韻母對照表,$B29,I$2+1))</f>
        <v>ue</v>
      </c>
    </row>
    <row r="30" spans="2:9" ht="54">
      <c r="B30" s="47">
        <v>26</v>
      </c>
      <c r="C30" s="50">
        <f t="shared" si="0"/>
        <v>13</v>
      </c>
      <c r="D30" s="8" t="str" cm="1">
        <f t="array" ref="D30" xml:space="preserve"> INDEX(十五音韻母對照表,$B30,2)</f>
        <v>監</v>
      </c>
      <c r="E30" s="8" t="str" cm="1">
        <f t="array" ref="E30" xml:space="preserve"> IF( MOD($C$5,2)&lt;&gt;0,  INDEX(十五音韻母對照表,$B30,E$2),  INDEX(十五音韻母對照表,$B30,E$2+1))</f>
        <v>ann</v>
      </c>
      <c r="F30" s="8" t="str" cm="1">
        <f t="array" ref="F30" xml:space="preserve"> IF( MOD($C$5,2)&lt;&gt;0,  INDEX(十五音韻母對照表,$B30,F$2),  INDEX(十五音韻母對照表,$B30,F$2+1))</f>
        <v>ã</v>
      </c>
      <c r="G30" s="8" t="str" cm="1">
        <f t="array" ref="G30" xml:space="preserve"> IF( MOD($C$5,2)&lt;&gt;0,  INDEX(十五音韻母對照表,$B30,G$2),  INDEX(十五音韻母對照表,$B30,G$2+1))</f>
        <v>aⁿ</v>
      </c>
      <c r="H30" s="8" t="str" cm="1">
        <f t="array" ref="H30" xml:space="preserve"> IF( MOD($C$5,2)&lt;&gt;0,  INDEX(十五音韻母對照表,$B30,H$2),  INDEX(十五音韻母對照表,$B30,H$2+1))</f>
        <v>ann</v>
      </c>
      <c r="I30" s="8" t="str" cm="1">
        <f t="array" ref="I30" xml:space="preserve"> IF( MOD($C$5,2)&lt;&gt;0,  INDEX(十五音韻母對照表,$B30,I$2),  INDEX(十五音韻母對照表,$B30,I$2+1))</f>
        <v>na</v>
      </c>
    </row>
    <row r="31" spans="2:9" ht="54">
      <c r="B31" s="47">
        <v>27</v>
      </c>
      <c r="C31" s="50">
        <f t="shared" si="0"/>
        <v>14</v>
      </c>
      <c r="D31" s="8" t="str" cm="1">
        <f t="array" ref="D31" xml:space="preserve"> INDEX(十五音韻母對照表,$B31,2)</f>
        <v>艍</v>
      </c>
      <c r="E31" s="8" t="str" cm="1">
        <f t="array" ref="E31" xml:space="preserve"> IF( MOD($C$5,2)&lt;&gt;0,  INDEX(十五音韻母對照表,$B31,E$2),  INDEX(十五音韻母對照表,$B31,E$2+1))</f>
        <v>u</v>
      </c>
      <c r="F31" s="8" t="str" cm="1">
        <f t="array" ref="F31" xml:space="preserve"> IF( MOD($C$5,2)&lt;&gt;0,  INDEX(十五音韻母對照表,$B31,F$2),  INDEX(十五音韻母對照表,$B31,F$2+1))</f>
        <v>u</v>
      </c>
      <c r="G31" s="8" t="str" cm="1">
        <f t="array" ref="G31" xml:space="preserve"> IF( MOD($C$5,2)&lt;&gt;0,  INDEX(十五音韻母對照表,$B31,G$2),  INDEX(十五音韻母對照表,$B31,G$2+1))</f>
        <v>u</v>
      </c>
      <c r="H31" s="8" t="str" cm="1">
        <f t="array" ref="H31" xml:space="preserve"> IF( MOD($C$5,2)&lt;&gt;0,  INDEX(十五音韻母對照表,$B31,H$2),  INDEX(十五音韻母對照表,$B31,H$2+1))</f>
        <v>u</v>
      </c>
      <c r="I31" s="8" t="str" cm="1">
        <f t="array" ref="I31" xml:space="preserve"> IF( MOD($C$5,2)&lt;&gt;0,  INDEX(十五音韻母對照表,$B31,I$2),  INDEX(十五音韻母對照表,$B31,I$2+1))</f>
        <v>u</v>
      </c>
    </row>
    <row r="32" spans="2:9" ht="54">
      <c r="B32" s="47">
        <v>28</v>
      </c>
      <c r="C32" s="50">
        <f t="shared" si="0"/>
        <v>14</v>
      </c>
      <c r="D32" s="8" t="str" cm="1">
        <f t="array" ref="D32" xml:space="preserve"> INDEX(十五音韻母對照表,$B32,2)</f>
        <v>膠</v>
      </c>
      <c r="E32" s="8" t="str" cm="1">
        <f t="array" ref="E32" xml:space="preserve"> IF( MOD($C$5,2)&lt;&gt;0,  INDEX(十五音韻母對照表,$B32,E$2),  INDEX(十五音韻母對照表,$B32,E$2+1))</f>
        <v>a</v>
      </c>
      <c r="F32" s="8" t="str" cm="1">
        <f t="array" ref="F32" xml:space="preserve"> IF( MOD($C$5,2)&lt;&gt;0,  INDEX(十五音韻母對照表,$B32,F$2),  INDEX(十五音韻母對照表,$B32,F$2+1))</f>
        <v>a</v>
      </c>
      <c r="G32" s="8" t="str" cm="1">
        <f t="array" ref="G32" xml:space="preserve"> IF( MOD($C$5,2)&lt;&gt;0,  INDEX(十五音韻母對照表,$B32,G$2),  INDEX(十五音韻母對照表,$B32,G$2+1))</f>
        <v>a</v>
      </c>
      <c r="H32" s="8" t="str" cm="1">
        <f t="array" ref="H32" xml:space="preserve"> IF( MOD($C$5,2)&lt;&gt;0,  INDEX(十五音韻母對照表,$B32,H$2),  INDEX(十五音韻母對照表,$B32,H$2+1))</f>
        <v>a</v>
      </c>
      <c r="I32" s="8" t="str" cm="1">
        <f t="array" ref="I32" xml:space="preserve"> IF( MOD($C$5,2)&lt;&gt;0,  INDEX(十五音韻母對照表,$B32,I$2),  INDEX(十五音韻母對照表,$B32,I$2+1))</f>
        <v>a</v>
      </c>
    </row>
    <row r="33" spans="2:9" ht="54">
      <c r="B33" s="47">
        <v>29</v>
      </c>
      <c r="C33" s="50">
        <f t="shared" si="0"/>
        <v>15</v>
      </c>
      <c r="D33" s="8" t="str" cm="1">
        <f t="array" ref="D33" xml:space="preserve"> INDEX(十五音韻母對照表,$B33,2)</f>
        <v>居</v>
      </c>
      <c r="E33" s="8" t="str" cm="1">
        <f t="array" ref="E33" xml:space="preserve"> IF( MOD($C$5,2)&lt;&gt;0,  INDEX(十五音韻母對照表,$B33,E$2),  INDEX(十五音韻母對照表,$B33,E$2+1))</f>
        <v>i</v>
      </c>
      <c r="F33" s="8" t="str" cm="1">
        <f t="array" ref="F33" xml:space="preserve"> IF( MOD($C$5,2)&lt;&gt;0,  INDEX(十五音韻母對照表,$B33,F$2),  INDEX(十五音韻母對照表,$B33,F$2+1))</f>
        <v>i</v>
      </c>
      <c r="G33" s="8" t="str" cm="1">
        <f t="array" ref="G33" xml:space="preserve"> IF( MOD($C$5,2)&lt;&gt;0,  INDEX(十五音韻母對照表,$B33,G$2),  INDEX(十五音韻母對照表,$B33,G$2+1))</f>
        <v>i</v>
      </c>
      <c r="H33" s="8" t="str" cm="1">
        <f t="array" ref="H33" xml:space="preserve"> IF( MOD($C$5,2)&lt;&gt;0,  INDEX(十五音韻母對照表,$B33,H$2),  INDEX(十五音韻母對照表,$B33,H$2+1))</f>
        <v>i</v>
      </c>
      <c r="I33" s="8" t="str" cm="1">
        <f t="array" ref="I33" xml:space="preserve"> IF( MOD($C$5,2)&lt;&gt;0,  INDEX(十五音韻母對照表,$B33,I$2),  INDEX(十五音韻母對照表,$B33,I$2+1))</f>
        <v>i</v>
      </c>
    </row>
    <row r="34" spans="2:9" ht="54">
      <c r="B34" s="47">
        <v>30</v>
      </c>
      <c r="C34" s="50">
        <f t="shared" si="0"/>
        <v>15</v>
      </c>
      <c r="D34" s="8" t="str" cm="1">
        <f t="array" ref="D34" xml:space="preserve"> INDEX(十五音韻母對照表,$B34,2)</f>
        <v>丩</v>
      </c>
      <c r="E34" s="8" t="str" cm="1">
        <f t="array" ref="E34" xml:space="preserve"> IF( MOD($C$5,2)&lt;&gt;0,  INDEX(十五音韻母對照表,$B34,E$2),  INDEX(十五音韻母對照表,$B34,E$2+1))</f>
        <v>iu</v>
      </c>
      <c r="F34" s="8" t="str" cm="1">
        <f t="array" ref="F34" xml:space="preserve"> IF( MOD($C$5,2)&lt;&gt;0,  INDEX(十五音韻母對照表,$B34,F$2),  INDEX(十五音韻母對照表,$B34,F$2+1))</f>
        <v>iu</v>
      </c>
      <c r="G34" s="8" t="str" cm="1">
        <f t="array" ref="G34" xml:space="preserve"> IF( MOD($C$5,2)&lt;&gt;0,  INDEX(十五音韻母對照表,$B34,G$2),  INDEX(十五音韻母對照表,$B34,G$2+1))</f>
        <v>iu</v>
      </c>
      <c r="H34" s="8" t="str" cm="1">
        <f t="array" ref="H34" xml:space="preserve"> IF( MOD($C$5,2)&lt;&gt;0,  INDEX(十五音韻母對照表,$B34,H$2),  INDEX(十五音韻母對照表,$B34,H$2+1))</f>
        <v>iu</v>
      </c>
      <c r="I34" s="8" t="str" cm="1">
        <f t="array" ref="I34" xml:space="preserve"> IF( MOD($C$5,2)&lt;&gt;0,  INDEX(十五音韻母對照表,$B34,I$2),  INDEX(十五音韻母對照表,$B34,I$2+1))</f>
        <v>iu</v>
      </c>
    </row>
    <row r="35" spans="2:9" ht="54">
      <c r="B35" s="47">
        <v>31</v>
      </c>
      <c r="C35" s="50">
        <f t="shared" si="0"/>
        <v>16</v>
      </c>
      <c r="D35" s="8" t="str" cm="1">
        <f t="array" ref="D35" xml:space="preserve"> INDEX(十五音韻母對照表,$B35,2)</f>
        <v>更</v>
      </c>
      <c r="E35" s="8" t="str" cm="1">
        <f t="array" ref="E35" xml:space="preserve"> IF( MOD($C$5,2)&lt;&gt;0,  INDEX(十五音韻母對照表,$B35,E$2),  INDEX(十五音韻母對照表,$B35,E$2+1))</f>
        <v>enn</v>
      </c>
      <c r="F35" s="8" t="str" cm="1">
        <f t="array" ref="F35" xml:space="preserve"> IF( MOD($C$5,2)&lt;&gt;0,  INDEX(十五音韻母對照表,$B35,F$2),  INDEX(十五音韻母對照表,$B35,F$2+1))</f>
        <v>ẽ</v>
      </c>
      <c r="G35" s="8" t="str" cm="1">
        <f t="array" ref="G35" xml:space="preserve"> IF( MOD($C$5,2)&lt;&gt;0,  INDEX(十五音韻母對照表,$B35,G$2),  INDEX(十五音韻母對照表,$B35,G$2+1))</f>
        <v>eⁿ</v>
      </c>
      <c r="H35" s="8" t="str" cm="1">
        <f t="array" ref="H35" xml:space="preserve"> IF( MOD($C$5,2)&lt;&gt;0,  INDEX(十五音韻母對照表,$B35,H$2),  INDEX(十五音韻母對照表,$B35,H$2+1))</f>
        <v>enn</v>
      </c>
      <c r="I35" s="8" t="str" cm="1">
        <f t="array" ref="I35" xml:space="preserve"> IF( MOD($C$5,2)&lt;&gt;0,  INDEX(十五音韻母對照表,$B35,I$2),  INDEX(十五音韻母對照表,$B35,I$2+1))</f>
        <v>ne</v>
      </c>
    </row>
    <row r="36" spans="2:9" ht="54">
      <c r="B36" s="47">
        <v>32</v>
      </c>
      <c r="C36" s="50">
        <f t="shared" si="0"/>
        <v>16</v>
      </c>
      <c r="D36" s="8" t="str" cm="1">
        <f t="array" ref="D36" xml:space="preserve"> INDEX(十五音韻母對照表,$B36,2)</f>
        <v>褌</v>
      </c>
      <c r="E36" s="8" t="str" cm="1">
        <f t="array" ref="E36" xml:space="preserve"> IF( MOD($C$5,2)&lt;&gt;0,  INDEX(十五音韻母對照表,$B36,E$2),  INDEX(十五音韻母對照表,$B36,E$2+1))</f>
        <v>uinn</v>
      </c>
      <c r="F36" s="8" t="str" cm="1">
        <f t="array" ref="F36" xml:space="preserve"> IF( MOD($C$5,2)&lt;&gt;0,  INDEX(十五音韻母對照表,$B36,F$2),  INDEX(十五音韻母對照表,$B36,F$2+1))</f>
        <v>ũĩ</v>
      </c>
      <c r="G36" s="8" t="str" cm="1">
        <f t="array" ref="G36" xml:space="preserve"> IF( MOD($C$5,2)&lt;&gt;0,  INDEX(十五音韻母對照表,$B36,G$2),  INDEX(十五音韻母對照表,$B36,G$2+1))</f>
        <v>uiⁿ</v>
      </c>
      <c r="H36" s="8" t="str" cm="1">
        <f t="array" ref="H36" xml:space="preserve"> IF( MOD($C$5,2)&lt;&gt;0,  INDEX(十五音韻母對照表,$B36,H$2),  INDEX(十五音韻母對照表,$B36,H$2+1))</f>
        <v>uinn</v>
      </c>
      <c r="I36" s="8" t="str" cm="1">
        <f t="array" ref="I36" xml:space="preserve"> IF( MOD($C$5,2)&lt;&gt;0,  INDEX(十五音韻母對照表,$B36,I$2),  INDEX(十五音韻母對照表,$B36,I$2+1))</f>
        <v>nui</v>
      </c>
    </row>
    <row r="37" spans="2:9" ht="54">
      <c r="B37" s="47">
        <v>33</v>
      </c>
      <c r="C37" s="50">
        <f t="shared" si="0"/>
        <v>17</v>
      </c>
      <c r="D37" s="8" t="str" cm="1">
        <f t="array" ref="D37" xml:space="preserve"> INDEX(十五音韻母對照表,$B37,2)</f>
        <v>茄</v>
      </c>
      <c r="E37" s="8" t="str" cm="1">
        <f t="array" ref="E37" xml:space="preserve"> IF( MOD($C$5,2)&lt;&gt;0,  INDEX(十五音韻母對照表,$B37,E$2),  INDEX(十五音韻母對照表,$B37,E$2+1))</f>
        <v>io</v>
      </c>
      <c r="F37" s="8" t="str" cm="1">
        <f t="array" ref="F37" xml:space="preserve"> IF( MOD($C$5,2)&lt;&gt;0,  INDEX(十五音韻母對照表,$B37,F$2),  INDEX(十五音韻母對照表,$B37,F$2+1))</f>
        <v>io</v>
      </c>
      <c r="G37" s="8" t="str" cm="1">
        <f t="array" ref="G37" xml:space="preserve"> IF( MOD($C$5,2)&lt;&gt;0,  INDEX(十五音韻母對照表,$B37,G$2),  INDEX(十五音韻母對照表,$B37,G$2+1))</f>
        <v>io</v>
      </c>
      <c r="H37" s="8" t="str" cm="1">
        <f t="array" ref="H37" xml:space="preserve"> IF( MOD($C$5,2)&lt;&gt;0,  INDEX(十五音韻母對照表,$B37,H$2),  INDEX(十五音韻母對照表,$B37,H$2+1))</f>
        <v>io</v>
      </c>
      <c r="I37" s="8" t="str" cm="1">
        <f t="array" ref="I37" xml:space="preserve"> IF( MOD($C$5,2)&lt;&gt;0,  INDEX(十五音韻母對照表,$B37,I$2),  INDEX(十五音韻母對照表,$B37,I$2+1))</f>
        <v>io</v>
      </c>
    </row>
    <row r="38" spans="2:9" ht="54">
      <c r="B38" s="47">
        <v>34</v>
      </c>
      <c r="C38" s="50">
        <f t="shared" si="0"/>
        <v>17</v>
      </c>
      <c r="D38" s="8" t="str" cm="1">
        <f t="array" ref="D38" xml:space="preserve"> INDEX(十五音韻母對照表,$B38,2)</f>
        <v>梔</v>
      </c>
      <c r="E38" s="8" t="str" cm="1">
        <f t="array" ref="E38" xml:space="preserve"> IF( MOD($C$5,2)&lt;&gt;0,  INDEX(十五音韻母對照表,$B38,E$2),  INDEX(十五音韻母對照表,$B38,E$2+1))</f>
        <v>inn</v>
      </c>
      <c r="F38" s="8" t="str" cm="1">
        <f t="array" ref="F38" xml:space="preserve"> IF( MOD($C$5,2)&lt;&gt;0,  INDEX(十五音韻母對照表,$B38,F$2),  INDEX(十五音韻母對照表,$B38,F$2+1))</f>
        <v>ĩ</v>
      </c>
      <c r="G38" s="8" t="str" cm="1">
        <f t="array" ref="G38" xml:space="preserve"> IF( MOD($C$5,2)&lt;&gt;0,  INDEX(十五音韻母對照表,$B38,G$2),  INDEX(十五音韻母對照表,$B38,G$2+1))</f>
        <v>iⁿ</v>
      </c>
      <c r="H38" s="8" t="str" cm="1">
        <f t="array" ref="H38" xml:space="preserve"> IF( MOD($C$5,2)&lt;&gt;0,  INDEX(十五音韻母對照表,$B38,H$2),  INDEX(十五音韻母對照表,$B38,H$2+1))</f>
        <v>inn</v>
      </c>
      <c r="I38" s="8" t="str" cm="1">
        <f t="array" ref="I38" xml:space="preserve"> IF( MOD($C$5,2)&lt;&gt;0,  INDEX(十五音韻母對照表,$B38,I$2),  INDEX(十五音韻母對照表,$B38,I$2+1))</f>
        <v>ni</v>
      </c>
    </row>
    <row r="39" spans="2:9" ht="54">
      <c r="B39" s="47">
        <v>35</v>
      </c>
      <c r="C39" s="50">
        <f t="shared" si="0"/>
        <v>18</v>
      </c>
      <c r="D39" s="8" t="str" cm="1">
        <f t="array" ref="D39" xml:space="preserve"> INDEX(十五音韻母對照表,$B39,2)</f>
        <v>薑</v>
      </c>
      <c r="E39" s="8" t="str" cm="1">
        <f t="array" ref="E39" xml:space="preserve"> IF( MOD($C$5,2)&lt;&gt;0,  INDEX(十五音韻母對照表,$B39,E$2),  INDEX(十五音韻母對照表,$B39,E$2+1))</f>
        <v>ionn</v>
      </c>
      <c r="F39" s="8" t="str" cm="1">
        <f t="array" ref="F39" xml:space="preserve"> IF( MOD($C$5,2)&lt;&gt;0,  INDEX(十五音韻母對照表,$B39,F$2),  INDEX(十五音韻母對照表,$B39,F$2+1))</f>
        <v>ĩɔ̃</v>
      </c>
      <c r="G39" s="8" t="str" cm="1">
        <f t="array" ref="G39" xml:space="preserve"> IF( MOD($C$5,2)&lt;&gt;0,  INDEX(十五音韻母對照表,$B39,G$2),  INDEX(十五音韻母對照表,$B39,G$2+1))</f>
        <v>ioⁿ</v>
      </c>
      <c r="H39" s="8" t="str" cm="1">
        <f t="array" ref="H39" xml:space="preserve"> IF( MOD($C$5,2)&lt;&gt;0,  INDEX(十五音韻母對照表,$B39,H$2),  INDEX(十五音韻母對照表,$B39,H$2+1))</f>
        <v>ionn</v>
      </c>
      <c r="I39" s="8" t="str" cm="1">
        <f t="array" ref="I39" xml:space="preserve"> IF( MOD($C$5,2)&lt;&gt;0,  INDEX(十五音韻母對照表,$B39,I$2),  INDEX(十五音韻母對照表,$B39,I$2+1))</f>
        <v>nioo</v>
      </c>
    </row>
    <row r="40" spans="2:9" ht="54">
      <c r="B40" s="47">
        <v>36</v>
      </c>
      <c r="C40" s="50">
        <f t="shared" si="0"/>
        <v>18</v>
      </c>
      <c r="D40" s="8" t="str" cm="1">
        <f t="array" ref="D40" xml:space="preserve"> INDEX(十五音韻母對照表,$B40,2)</f>
        <v>驚</v>
      </c>
      <c r="E40" s="8" t="str" cm="1">
        <f t="array" ref="E40" xml:space="preserve"> IF( MOD($C$5,2)&lt;&gt;0,  INDEX(十五音韻母對照表,$B40,E$2),  INDEX(十五音韻母對照表,$B40,E$2+1))</f>
        <v>iann</v>
      </c>
      <c r="F40" s="8" t="str" cm="1">
        <f t="array" ref="F40" xml:space="preserve"> IF( MOD($C$5,2)&lt;&gt;0,  INDEX(十五音韻母對照表,$B40,F$2),  INDEX(十五音韻母對照表,$B40,F$2+1))</f>
        <v>ĩã</v>
      </c>
      <c r="G40" s="8" t="str" cm="1">
        <f t="array" ref="G40" xml:space="preserve"> IF( MOD($C$5,2)&lt;&gt;0,  INDEX(十五音韻母對照表,$B40,G$2),  INDEX(十五音韻母對照表,$B40,G$2+1))</f>
        <v>iaⁿ</v>
      </c>
      <c r="H40" s="8" t="str" cm="1">
        <f t="array" ref="H40" xml:space="preserve"> IF( MOD($C$5,2)&lt;&gt;0,  INDEX(十五音韻母對照表,$B40,H$2),  INDEX(十五音韻母對照表,$B40,H$2+1))</f>
        <v>iann</v>
      </c>
      <c r="I40" s="8" t="str" cm="1">
        <f t="array" ref="I40" xml:space="preserve"> IF( MOD($C$5,2)&lt;&gt;0,  INDEX(十五音韻母對照表,$B40,I$2),  INDEX(十五音韻母對照表,$B40,I$2+1))</f>
        <v>nia</v>
      </c>
    </row>
    <row r="41" spans="2:9" ht="54">
      <c r="B41" s="47">
        <v>37</v>
      </c>
      <c r="C41" s="50">
        <f t="shared" si="0"/>
        <v>19</v>
      </c>
      <c r="D41" s="8" t="str" cm="1">
        <f t="array" ref="D41" xml:space="preserve"> INDEX(十五音韻母對照表,$B41,2)</f>
        <v>官</v>
      </c>
      <c r="E41" s="8" t="str" cm="1">
        <f t="array" ref="E41" xml:space="preserve"> IF( MOD($C$5,2)&lt;&gt;0,  INDEX(十五音韻母對照表,$B41,E$2),  INDEX(十五音韻母對照表,$B41,E$2+1))</f>
        <v>uann</v>
      </c>
      <c r="F41" s="8" t="str" cm="1">
        <f t="array" ref="F41" xml:space="preserve"> IF( MOD($C$5,2)&lt;&gt;0,  INDEX(十五音韻母對照表,$B41,F$2),  INDEX(十五音韻母對照表,$B41,F$2+1))</f>
        <v>ũã</v>
      </c>
      <c r="G41" s="8" t="str" cm="1">
        <f t="array" ref="G41" xml:space="preserve"> IF( MOD($C$5,2)&lt;&gt;0,  INDEX(十五音韻母對照表,$B41,G$2),  INDEX(十五音韻母對照表,$B41,G$2+1))</f>
        <v>oaⁿ</v>
      </c>
      <c r="H41" s="8" t="str" cm="1">
        <f t="array" ref="H41" xml:space="preserve"> IF( MOD($C$5,2)&lt;&gt;0,  INDEX(十五音韻母對照表,$B41,H$2),  INDEX(十五音韻母對照表,$B41,H$2+1))</f>
        <v>uann</v>
      </c>
      <c r="I41" s="8" t="str" cm="1">
        <f t="array" ref="I41" xml:space="preserve"> IF( MOD($C$5,2)&lt;&gt;0,  INDEX(十五音韻母對照表,$B41,I$2),  INDEX(十五音韻母對照表,$B41,I$2+1))</f>
        <v>nua</v>
      </c>
    </row>
    <row r="42" spans="2:9" ht="54">
      <c r="B42" s="47">
        <v>38</v>
      </c>
      <c r="C42" s="50">
        <f t="shared" si="0"/>
        <v>19</v>
      </c>
      <c r="D42" s="8" t="str" cm="1">
        <f t="array" ref="D42" xml:space="preserve"> INDEX(十五音韻母對照表,$B42,2)</f>
        <v>鋼</v>
      </c>
      <c r="E42" s="8" t="str" cm="1">
        <f t="array" ref="E42" xml:space="preserve"> IF( MOD($C$5,2)&lt;&gt;0,  INDEX(十五音韻母對照表,$B42,E$2),  INDEX(十五音韻母對照表,$B42,E$2+1))</f>
        <v>ng</v>
      </c>
      <c r="F42" s="8" t="str" cm="1">
        <f t="array" ref="F42" xml:space="preserve"> IF( MOD($C$5,2)&lt;&gt;0,  INDEX(十五音韻母對照表,$B42,F$2),  INDEX(十五音韻母對照表,$B42,F$2+1))</f>
        <v>ŋ̍</v>
      </c>
      <c r="G42" s="8" t="str" cm="1">
        <f t="array" ref="G42" xml:space="preserve"> IF( MOD($C$5,2)&lt;&gt;0,  INDEX(十五音韻母對照表,$B42,G$2),  INDEX(十五音韻母對照表,$B42,G$2+1))</f>
        <v>ng</v>
      </c>
      <c r="H42" s="8" t="str" cm="1">
        <f t="array" ref="H42" xml:space="preserve"> IF( MOD($C$5,2)&lt;&gt;0,  INDEX(十五音韻母對照表,$B42,H$2),  INDEX(十五音韻母對照表,$B42,H$2+1))</f>
        <v>ng</v>
      </c>
      <c r="I42" s="8" t="str" cm="1">
        <f t="array" ref="I42" xml:space="preserve"> IF( MOD($C$5,2)&lt;&gt;0,  INDEX(十五音韻母對照表,$B42,I$2),  INDEX(十五音韻母對照表,$B42,I$2+1))</f>
        <v>ng</v>
      </c>
    </row>
    <row r="43" spans="2:9" ht="54">
      <c r="B43" s="47">
        <v>39</v>
      </c>
      <c r="C43" s="50">
        <f t="shared" si="0"/>
        <v>20</v>
      </c>
      <c r="D43" s="8" t="str" cm="1">
        <f t="array" ref="D43" xml:space="preserve"> INDEX(十五音韻母對照表,$B43,2)</f>
        <v>伽</v>
      </c>
      <c r="E43" s="8" t="str" cm="1">
        <f t="array" ref="E43" xml:space="preserve"> IF( MOD($C$5,2)&lt;&gt;0,  INDEX(十五音韻母對照表,$B43,E$2),  INDEX(十五音韻母對照表,$B43,E$2+1))</f>
        <v>e</v>
      </c>
      <c r="F43" s="8" t="str" cm="1">
        <f t="array" ref="F43" xml:space="preserve"> IF( MOD($C$5,2)&lt;&gt;0,  INDEX(十五音韻母對照表,$B43,F$2),  INDEX(十五音韻母對照表,$B43,F$2+1))</f>
        <v>e</v>
      </c>
      <c r="G43" s="8" t="str" cm="1">
        <f t="array" ref="G43" xml:space="preserve"> IF( MOD($C$5,2)&lt;&gt;0,  INDEX(十五音韻母對照表,$B43,G$2),  INDEX(十五音韻母對照表,$B43,G$2+1))</f>
        <v>e</v>
      </c>
      <c r="H43" s="8" t="str" cm="1">
        <f t="array" ref="H43" xml:space="preserve"> IF( MOD($C$5,2)&lt;&gt;0,  INDEX(十五音韻母對照表,$B43,H$2),  INDEX(十五音韻母對照表,$B43,H$2+1))</f>
        <v>e</v>
      </c>
      <c r="I43" s="8" t="str" cm="1">
        <f t="array" ref="I43" xml:space="preserve"> IF( MOD($C$5,2)&lt;&gt;0,  INDEX(十五音韻母對照表,$B43,I$2),  INDEX(十五音韻母對照表,$B43,I$2+1))</f>
        <v>e</v>
      </c>
    </row>
    <row r="44" spans="2:9" ht="54">
      <c r="B44" s="47">
        <v>40</v>
      </c>
      <c r="C44" s="50">
        <f t="shared" si="0"/>
        <v>20</v>
      </c>
      <c r="D44" s="8" t="str" cm="1">
        <f t="array" ref="D44" xml:space="preserve"> INDEX(十五音韻母對照表,$B44,2)</f>
        <v>閒</v>
      </c>
      <c r="E44" s="8" t="str" cm="1">
        <f t="array" ref="E44" xml:space="preserve"> IF( MOD($C$5,2)&lt;&gt;0,  INDEX(十五音韻母對照表,$B44,E$2),  INDEX(十五音韻母對照表,$B44,E$2+1))</f>
        <v>ainn</v>
      </c>
      <c r="F44" s="8" t="str" cm="1">
        <f t="array" ref="F44" xml:space="preserve"> IF( MOD($C$5,2)&lt;&gt;0,  INDEX(十五音韻母對照表,$B44,F$2),  INDEX(十五音韻母對照表,$B44,F$2+1))</f>
        <v>ãĩ</v>
      </c>
      <c r="G44" s="8" t="str" cm="1">
        <f t="array" ref="G44" xml:space="preserve"> IF( MOD($C$5,2)&lt;&gt;0,  INDEX(十五音韻母對照表,$B44,G$2),  INDEX(十五音韻母對照表,$B44,G$2+1))</f>
        <v>aiⁿ</v>
      </c>
      <c r="H44" s="8" t="str" cm="1">
        <f t="array" ref="H44" xml:space="preserve"> IF( MOD($C$5,2)&lt;&gt;0,  INDEX(十五音韻母對照表,$B44,H$2),  INDEX(十五音韻母對照表,$B44,H$2+1))</f>
        <v>ainn</v>
      </c>
      <c r="I44" s="8" t="str" cm="1">
        <f t="array" ref="I44" xml:space="preserve"> IF( MOD($C$5,2)&lt;&gt;0,  INDEX(十五音韻母對照表,$B44,I$2),  INDEX(十五音韻母對照表,$B44,I$2+1))</f>
        <v>nai</v>
      </c>
    </row>
    <row r="45" spans="2:9" ht="54">
      <c r="B45" s="47">
        <v>41</v>
      </c>
      <c r="C45" s="50">
        <f t="shared" si="0"/>
        <v>21</v>
      </c>
      <c r="D45" s="8" t="str" cm="1">
        <f t="array" ref="D45" xml:space="preserve"> INDEX(十五音韻母對照表,$B45,2)</f>
        <v>姑</v>
      </c>
      <c r="E45" s="8" t="str" cm="1">
        <f t="array" ref="E45" xml:space="preserve"> IF( MOD($C$5,2)&lt;&gt;0,  INDEX(十五音韻母對照表,$B45,E$2),  INDEX(十五音韻母對照表,$B45,E$2+1))</f>
        <v>onn</v>
      </c>
      <c r="F45" s="8" t="str" cm="1">
        <f t="array" ref="F45" xml:space="preserve"> IF( MOD($C$5,2)&lt;&gt;0,  INDEX(十五音韻母對照表,$B45,F$2),  INDEX(十五音韻母對照表,$B45,F$2+1))</f>
        <v>ɔ̃</v>
      </c>
      <c r="G45" s="8" t="str" cm="1">
        <f t="array" ref="G45" xml:space="preserve"> IF( MOD($C$5,2)&lt;&gt;0,  INDEX(十五音韻母對照表,$B45,G$2),  INDEX(十五音韻母對照表,$B45,G$2+1))</f>
        <v>oⁿ</v>
      </c>
      <c r="H45" s="8" t="str" cm="1">
        <f t="array" ref="H45" xml:space="preserve"> IF( MOD($C$5,2)&lt;&gt;0,  INDEX(十五音韻母對照表,$B45,H$2),  INDEX(十五音韻母對照表,$B45,H$2+1))</f>
        <v>onn</v>
      </c>
      <c r="I45" s="8" t="str" cm="1">
        <f t="array" ref="I45" xml:space="preserve"> IF( MOD($C$5,2)&lt;&gt;0,  INDEX(十五音韻母對照表,$B45,I$2),  INDEX(十五音韻母對照表,$B45,I$2+1))</f>
        <v>noo</v>
      </c>
    </row>
    <row r="46" spans="2:9" ht="54">
      <c r="B46" s="47">
        <v>42</v>
      </c>
      <c r="C46" s="50">
        <f t="shared" si="0"/>
        <v>21</v>
      </c>
      <c r="D46" s="8" t="str" cm="1">
        <f t="array" ref="D46" xml:space="preserve"> INDEX(十五音韻母對照表,$B46,2)</f>
        <v>姆</v>
      </c>
      <c r="E46" s="8" t="str" cm="1">
        <f t="array" ref="E46" xml:space="preserve"> IF( MOD($C$5,2)&lt;&gt;0,  INDEX(十五音韻母對照表,$B46,E$2),  INDEX(十五音韻母對照表,$B46,E$2+1))</f>
        <v>m</v>
      </c>
      <c r="F46" s="8" t="str" cm="1">
        <f t="array" ref="F46" xml:space="preserve"> IF( MOD($C$5,2)&lt;&gt;0,  INDEX(十五音韻母對照表,$B46,F$2),  INDEX(十五音韻母對照表,$B46,F$2+1))</f>
        <v>m̩</v>
      </c>
      <c r="G46" s="8" t="str" cm="1">
        <f t="array" ref="G46" xml:space="preserve"> IF( MOD($C$5,2)&lt;&gt;0,  INDEX(十五音韻母對照表,$B46,G$2),  INDEX(十五音韻母對照表,$B46,G$2+1))</f>
        <v>m</v>
      </c>
      <c r="H46" s="8" t="str" cm="1">
        <f t="array" ref="H46" xml:space="preserve"> IF( MOD($C$5,2)&lt;&gt;0,  INDEX(十五音韻母對照表,$B46,H$2),  INDEX(十五音韻母對照表,$B46,H$2+1))</f>
        <v>m</v>
      </c>
      <c r="I46" s="8" t="str" cm="1">
        <f t="array" ref="I46" xml:space="preserve"> IF( MOD($C$5,2)&lt;&gt;0,  INDEX(十五音韻母對照表,$B46,I$2),  INDEX(十五音韻母對照表,$B46,I$2+1))</f>
        <v>m</v>
      </c>
    </row>
    <row r="47" spans="2:9" ht="54">
      <c r="B47" s="47">
        <v>43</v>
      </c>
      <c r="C47" s="50">
        <f t="shared" si="0"/>
        <v>22</v>
      </c>
      <c r="D47" s="8" t="str" cm="1">
        <f t="array" ref="D47" xml:space="preserve"> INDEX(十五音韻母對照表,$B47,2)</f>
        <v>光</v>
      </c>
      <c r="E47" s="8" t="str" cm="1">
        <f t="array" ref="E47" xml:space="preserve"> IF( MOD($C$5,2)&lt;&gt;0,  INDEX(十五音韻母對照表,$B47,E$2),  INDEX(十五音韻母對照表,$B47,E$2+1))</f>
        <v>uang</v>
      </c>
      <c r="F47" s="8" t="str" cm="1">
        <f t="array" ref="F47" xml:space="preserve"> IF( MOD($C$5,2)&lt;&gt;0,  INDEX(十五音韻母對照表,$B47,F$2),  INDEX(十五音韻母對照表,$B47,F$2+1))</f>
        <v>uaŋ</v>
      </c>
      <c r="G47" s="8" t="str" cm="1">
        <f t="array" ref="G47" xml:space="preserve"> IF( MOD($C$5,2)&lt;&gt;0,  INDEX(十五音韻母對照表,$B47,G$2),  INDEX(十五音韻母對照表,$B47,G$2+1))</f>
        <v>oang</v>
      </c>
      <c r="H47" s="8" t="str" cm="1">
        <f t="array" ref="H47" xml:space="preserve"> IF( MOD($C$5,2)&lt;&gt;0,  INDEX(十五音韻母對照表,$B47,H$2),  INDEX(十五音韻母對照表,$B47,H$2+1))</f>
        <v>uang</v>
      </c>
      <c r="I47" s="8" t="str" cm="1">
        <f t="array" ref="I47" xml:space="preserve"> IF( MOD($C$5,2)&lt;&gt;0,  INDEX(十五音韻母對照表,$B47,I$2),  INDEX(十五音韻母對照表,$B47,I$2+1))</f>
        <v>uang</v>
      </c>
    </row>
    <row r="48" spans="2:9" ht="54">
      <c r="B48" s="47">
        <v>44</v>
      </c>
      <c r="C48" s="50">
        <f t="shared" si="0"/>
        <v>22</v>
      </c>
      <c r="D48" s="8" t="str" cm="1">
        <f t="array" ref="D48" xml:space="preserve"> INDEX(十五音韻母對照表,$B48,2)</f>
        <v>閂</v>
      </c>
      <c r="E48" s="8" t="str" cm="1">
        <f t="array" ref="E48" xml:space="preserve"> IF( MOD($C$5,2)&lt;&gt;0,  INDEX(十五音韻母對照表,$B48,E$2),  INDEX(十五音韻母對照表,$B48,E$2+1))</f>
        <v>uainn</v>
      </c>
      <c r="F48" s="8" t="str" cm="1">
        <f t="array" ref="F48" xml:space="preserve"> IF( MOD($C$5,2)&lt;&gt;0,  INDEX(十五音韻母對照表,$B48,F$2),  INDEX(十五音韻母對照表,$B48,F$2+1))</f>
        <v>ũãĩ</v>
      </c>
      <c r="G48" s="8" t="str" cm="1">
        <f t="array" ref="G48" xml:space="preserve"> IF( MOD($C$5,2)&lt;&gt;0,  INDEX(十五音韻母對照表,$B48,G$2),  INDEX(十五音韻母對照表,$B48,G$2+1))</f>
        <v>oaiⁿ</v>
      </c>
      <c r="H48" s="8" t="str" cm="1">
        <f t="array" ref="H48" xml:space="preserve"> IF( MOD($C$5,2)&lt;&gt;0,  INDEX(十五音韻母對照表,$B48,H$2),  INDEX(十五音韻母對照表,$B48,H$2+1))</f>
        <v>uainn</v>
      </c>
      <c r="I48" s="8" t="str" cm="1">
        <f t="array" ref="I48" xml:space="preserve"> IF( MOD($C$5,2)&lt;&gt;0,  INDEX(十五音韻母對照表,$B48,I$2),  INDEX(十五音韻母對照表,$B48,I$2+1))</f>
        <v>nuai</v>
      </c>
    </row>
    <row r="49" spans="2:9" ht="54">
      <c r="B49" s="47">
        <v>45</v>
      </c>
      <c r="C49" s="50">
        <f t="shared" si="0"/>
        <v>23</v>
      </c>
      <c r="D49" s="8" t="str" cm="1">
        <f t="array" ref="D49" xml:space="preserve"> INDEX(十五音韻母對照表,$B49,2)</f>
        <v>糜</v>
      </c>
      <c r="E49" s="8" t="str" cm="1">
        <f t="array" ref="E49" xml:space="preserve"> IF( MOD($C$5,2)&lt;&gt;0,  INDEX(十五音韻母對照表,$B49,E$2),  INDEX(十五音韻母對照表,$B49,E$2+1))</f>
        <v>uenn</v>
      </c>
      <c r="F49" s="8" t="str" cm="1">
        <f t="array" ref="F49" xml:space="preserve"> IF( MOD($C$5,2)&lt;&gt;0,  INDEX(十五音韻母對照表,$B49,F$2),  INDEX(十五音韻母對照表,$B49,F$2+1))</f>
        <v>ũẽ</v>
      </c>
      <c r="G49" s="8" t="str" cm="1">
        <f t="array" ref="G49" xml:space="preserve"> IF( MOD($C$5,2)&lt;&gt;0,  INDEX(十五音韻母對照表,$B49,G$2),  INDEX(十五音韻母對照表,$B49,G$2+1))</f>
        <v>oeⁿ</v>
      </c>
      <c r="H49" s="8" t="str" cm="1">
        <f t="array" ref="H49" xml:space="preserve"> IF( MOD($C$5,2)&lt;&gt;0,  INDEX(十五音韻母對照表,$B49,H$2),  INDEX(十五音韻母對照表,$B49,H$2+1))</f>
        <v>uenn</v>
      </c>
      <c r="I49" s="8" t="str" cm="1">
        <f t="array" ref="I49" xml:space="preserve"> IF( MOD($C$5,2)&lt;&gt;0,  INDEX(十五音韻母對照表,$B49,I$2),  INDEX(十五音韻母對照表,$B49,I$2+1))</f>
        <v>nue</v>
      </c>
    </row>
    <row r="50" spans="2:9" ht="54">
      <c r="B50" s="47">
        <v>46</v>
      </c>
      <c r="C50" s="50">
        <f t="shared" si="0"/>
        <v>23</v>
      </c>
      <c r="D50" s="8" t="str" cm="1">
        <f t="array" ref="D50" xml:space="preserve"> INDEX(十五音韻母對照表,$B50,2)</f>
        <v>嘄</v>
      </c>
      <c r="E50" s="8" t="str" cm="1">
        <f t="array" ref="E50" xml:space="preserve"> IF( MOD($C$5,2)&lt;&gt;0,  INDEX(十五音韻母對照表,$B50,E$2),  INDEX(十五音韻母對照表,$B50,E$2+1))</f>
        <v>iaunn</v>
      </c>
      <c r="F50" s="8" t="str" cm="1">
        <f t="array" ref="F50" xml:space="preserve"> IF( MOD($C$5,2)&lt;&gt;0,  INDEX(十五音韻母對照表,$B50,F$2),  INDEX(十五音韻母對照表,$B50,F$2+1))</f>
        <v>ĩãũ</v>
      </c>
      <c r="G50" s="8" t="str" cm="1">
        <f t="array" ref="G50" xml:space="preserve"> IF( MOD($C$5,2)&lt;&gt;0,  INDEX(十五音韻母對照表,$B50,G$2),  INDEX(十五音韻母對照表,$B50,G$2+1))</f>
        <v>iauⁿ</v>
      </c>
      <c r="H50" s="8" t="str" cm="1">
        <f t="array" ref="H50" xml:space="preserve"> IF( MOD($C$5,2)&lt;&gt;0,  INDEX(十五音韻母對照表,$B50,H$2),  INDEX(十五音韻母對照表,$B50,H$2+1))</f>
        <v>iaunn</v>
      </c>
      <c r="I50" s="8" t="str" cm="1">
        <f t="array" ref="I50" xml:space="preserve"> IF( MOD($C$5,2)&lt;&gt;0,  INDEX(十五音韻母對照表,$B50,I$2),  INDEX(十五音韻母對照表,$B50,I$2+1))</f>
        <v>niao</v>
      </c>
    </row>
    <row r="51" spans="2:9" ht="54">
      <c r="B51" s="47">
        <v>47</v>
      </c>
      <c r="C51" s="50">
        <f t="shared" si="0"/>
        <v>24</v>
      </c>
      <c r="D51" s="8" t="str" cm="1">
        <f t="array" ref="D51" xml:space="preserve"> INDEX(十五音韻母對照表,$B51,2)</f>
        <v>箴</v>
      </c>
      <c r="E51" s="8" t="str" cm="1">
        <f t="array" ref="E51" xml:space="preserve"> IF( MOD($C$5,2)&lt;&gt;0,  INDEX(十五音韻母對照表,$B51,E$2),  INDEX(十五音韻母對照表,$B51,E$2+1))</f>
        <v>om</v>
      </c>
      <c r="F51" s="8" t="str" cm="1">
        <f t="array" ref="F51" xml:space="preserve"> IF( MOD($C$5,2)&lt;&gt;0,  INDEX(十五音韻母對照表,$B51,F$2),  INDEX(十五音韻母對照表,$B51,F$2+1))</f>
        <v>ɔm</v>
      </c>
      <c r="G51" s="8" t="str" cm="1">
        <f t="array" ref="G51" xml:space="preserve"> IF( MOD($C$5,2)&lt;&gt;0,  INDEX(十五音韻母對照表,$B51,G$2),  INDEX(十五音韻母對照表,$B51,G$2+1))</f>
        <v>om</v>
      </c>
      <c r="H51" s="8" t="str" cm="1">
        <f t="array" ref="H51" xml:space="preserve"> IF( MOD($C$5,2)&lt;&gt;0,  INDEX(十五音韻母對照表,$B51,H$2),  INDEX(十五音韻母對照表,$B51,H$2+1))</f>
        <v>om</v>
      </c>
      <c r="I51" s="8" t="str" cm="1">
        <f t="array" ref="I51" xml:space="preserve"> IF( MOD($C$5,2)&lt;&gt;0,  INDEX(十五音韻母對照表,$B51,I$2),  INDEX(十五音韻母對照表,$B51,I$2+1))</f>
        <v>om</v>
      </c>
    </row>
    <row r="52" spans="2:9" ht="54">
      <c r="B52" s="47">
        <v>48</v>
      </c>
      <c r="C52" s="50">
        <f t="shared" si="0"/>
        <v>24</v>
      </c>
      <c r="D52" s="8" t="str" cm="1">
        <f t="array" ref="D52" xml:space="preserve"> INDEX(十五音韻母對照表,$B52,2)</f>
        <v>爻</v>
      </c>
      <c r="E52" s="8" t="str" cm="1">
        <f t="array" ref="E52" xml:space="preserve"> IF( MOD($C$5,2)&lt;&gt;0,  INDEX(十五音韻母對照表,$B52,E$2),  INDEX(十五音韻母對照表,$B52,E$2+1))</f>
        <v>aunn</v>
      </c>
      <c r="F52" s="8" t="str" cm="1">
        <f t="array" ref="F52" xml:space="preserve"> IF( MOD($C$5,2)&lt;&gt;0,  INDEX(十五音韻母對照表,$B52,F$2),  INDEX(十五音韻母對照表,$B52,F$2+1))</f>
        <v>ãũ</v>
      </c>
      <c r="G52" s="8" t="str" cm="1">
        <f t="array" ref="G52" xml:space="preserve"> IF( MOD($C$5,2)&lt;&gt;0,  INDEX(十五音韻母對照表,$B52,G$2),  INDEX(十五音韻母對照表,$B52,G$2+1))</f>
        <v>auⁿ</v>
      </c>
      <c r="H52" s="8" t="str" cm="1">
        <f t="array" ref="H52" xml:space="preserve"> IF( MOD($C$5,2)&lt;&gt;0,  INDEX(十五音韻母對照表,$B52,H$2),  INDEX(十五音韻母對照表,$B52,H$2+1))</f>
        <v>aunn</v>
      </c>
      <c r="I52" s="8" t="str" cm="1">
        <f t="array" ref="I52" xml:space="preserve"> IF( MOD($C$5,2)&lt;&gt;0,  INDEX(十五音韻母對照表,$B52,I$2),  INDEX(十五音韻母對照表,$B52,I$2+1))</f>
        <v>nao</v>
      </c>
    </row>
    <row r="53" spans="2:9" ht="54">
      <c r="B53" s="47">
        <v>49</v>
      </c>
      <c r="C53" s="50">
        <f t="shared" si="0"/>
        <v>25</v>
      </c>
      <c r="D53" s="8" t="str" cm="1">
        <f t="array" ref="D53" xml:space="preserve"> INDEX(十五音韻母對照表,$B53,2)</f>
        <v>扛</v>
      </c>
      <c r="E53" s="8" t="str" cm="1">
        <f t="array" ref="E53" xml:space="preserve"> IF( MOD($C$5,2)&lt;&gt;0,  INDEX(十五音韻母對照表,$B53,E$2),  INDEX(十五音韻母對照表,$B53,E$2+1))</f>
        <v>oonn</v>
      </c>
      <c r="F53" s="8" t="str" cm="1">
        <f t="array" ref="F53" xml:space="preserve"> IF( MOD($C$5,2)&lt;&gt;0,  INDEX(十五音韻母對照表,$B53,F$2),  INDEX(十五音韻母對照表,$B53,F$2+1))</f>
        <v>õ</v>
      </c>
      <c r="G53" s="8" t="str" cm="1">
        <f t="array" ref="G53" xml:space="preserve"> IF( MOD($C$5,2)&lt;&gt;0,  INDEX(十五音韻母對照表,$B53,G$2),  INDEX(十五音韻母對照表,$B53,G$2+1))</f>
        <v>oⁿ</v>
      </c>
      <c r="H53" s="8" t="str" cm="1">
        <f t="array" ref="H53" xml:space="preserve"> IF( MOD($C$5,2)&lt;&gt;0,  INDEX(十五音韻母對照表,$B53,H$2),  INDEX(十五音韻母對照表,$B53,H$2+1))</f>
        <v>onn</v>
      </c>
      <c r="I53" s="8" t="str" cm="1">
        <f t="array" ref="I53" xml:space="preserve"> IF( MOD($C$5,2)&lt;&gt;0,  INDEX(十五音韻母對照表,$B53,I$2),  INDEX(十五音韻母對照表,$B53,I$2+1))</f>
        <v>no</v>
      </c>
    </row>
    <row r="54" spans="2:9" ht="54">
      <c r="B54" s="47">
        <v>50</v>
      </c>
      <c r="C54" s="50">
        <f t="shared" si="0"/>
        <v>25</v>
      </c>
      <c r="D54" s="8" t="str" cm="1">
        <f t="array" ref="D54" xml:space="preserve"> INDEX(十五音韻母對照表,$B54,2)</f>
        <v>牛</v>
      </c>
      <c r="E54" s="8" t="str" cm="1">
        <f t="array" ref="E54" xml:space="preserve"> IF( MOD($C$5,2)&lt;&gt;0,  INDEX(十五音韻母對照表,$B54,E$2),  INDEX(十五音韻母對照表,$B54,E$2+1))</f>
        <v>iunn</v>
      </c>
      <c r="F54" s="8" t="str" cm="1">
        <f t="array" ref="F54" xml:space="preserve"> IF( MOD($C$5,2)&lt;&gt;0,  INDEX(十五音韻母對照表,$B54,F$2),  INDEX(十五音韻母對照表,$B54,F$2+1))</f>
        <v>ĩũ</v>
      </c>
      <c r="G54" s="8" t="str" cm="1">
        <f t="array" ref="G54" xml:space="preserve"> IF( MOD($C$5,2)&lt;&gt;0,  INDEX(十五音韻母對照表,$B54,G$2),  INDEX(十五音韻母對照表,$B54,G$2+1))</f>
        <v>iuⁿ</v>
      </c>
      <c r="H54" s="8" t="str" cm="1">
        <f t="array" ref="H54" xml:space="preserve"> IF( MOD($C$5,2)&lt;&gt;0,  INDEX(十五音韻母對照表,$B54,H$2),  INDEX(十五音韻母對照表,$B54,H$2+1))</f>
        <v>iunn</v>
      </c>
      <c r="I54" s="8" t="str" cm="1">
        <f t="array" ref="I54" xml:space="preserve"> IF( MOD($C$5,2)&lt;&gt;0,  INDEX(十五音韻母對照表,$B54,I$2),  INDEX(十五音韻母對照表,$B54,I$2+1))</f>
        <v>niu</v>
      </c>
    </row>
    <row r="55" spans="2:9">
      <c r="B55" s="47">
        <v>51</v>
      </c>
    </row>
    <row r="56" spans="2:9">
      <c r="B56" s="47">
        <v>52</v>
      </c>
    </row>
    <row r="57" spans="2:9">
      <c r="B57" s="47">
        <v>53</v>
      </c>
    </row>
    <row r="58" spans="2:9">
      <c r="B58" s="47">
        <v>54</v>
      </c>
    </row>
    <row r="59" spans="2:9">
      <c r="B59" s="47">
        <v>55</v>
      </c>
    </row>
    <row r="60" spans="2:9">
      <c r="B60" s="47">
        <v>56</v>
      </c>
    </row>
    <row r="61" spans="2:9">
      <c r="B61" s="47">
        <v>57</v>
      </c>
    </row>
    <row r="62" spans="2:9">
      <c r="B62" s="47">
        <v>58</v>
      </c>
    </row>
    <row r="63" spans="2:9">
      <c r="B63" s="47">
        <v>59</v>
      </c>
    </row>
    <row r="64" spans="2:9">
      <c r="B64" s="47">
        <v>60</v>
      </c>
    </row>
    <row r="65" spans="2:2">
      <c r="B65" s="47">
        <v>61</v>
      </c>
    </row>
    <row r="66" spans="2:2">
      <c r="B66" s="47">
        <v>62</v>
      </c>
    </row>
    <row r="67" spans="2:2">
      <c r="B67" s="47">
        <v>63</v>
      </c>
    </row>
    <row r="68" spans="2:2">
      <c r="B68" s="47">
        <v>64</v>
      </c>
    </row>
    <row r="69" spans="2:2">
      <c r="B69" s="47">
        <v>65</v>
      </c>
    </row>
    <row r="70" spans="2:2">
      <c r="B70" s="47">
        <v>66</v>
      </c>
    </row>
    <row r="71" spans="2:2">
      <c r="B71" s="47">
        <v>67</v>
      </c>
    </row>
    <row r="72" spans="2:2">
      <c r="B72" s="47">
        <v>68</v>
      </c>
    </row>
    <row r="73" spans="2:2">
      <c r="B73" s="47">
        <v>69</v>
      </c>
    </row>
    <row r="74" spans="2:2">
      <c r="B74" s="47">
        <v>70</v>
      </c>
    </row>
    <row r="75" spans="2:2">
      <c r="B75" s="47">
        <v>71</v>
      </c>
    </row>
    <row r="76" spans="2:2">
      <c r="B76" s="47">
        <v>72</v>
      </c>
    </row>
    <row r="77" spans="2:2">
      <c r="B77" s="47">
        <v>73</v>
      </c>
    </row>
    <row r="78" spans="2:2">
      <c r="B78" s="47">
        <v>74</v>
      </c>
    </row>
    <row r="79" spans="2:2">
      <c r="B79" s="47">
        <v>75</v>
      </c>
    </row>
    <row r="80" spans="2:2">
      <c r="B80" s="47">
        <v>76</v>
      </c>
    </row>
    <row r="81" spans="2:2">
      <c r="B81" s="47">
        <v>77</v>
      </c>
    </row>
    <row r="82" spans="2:2">
      <c r="B82" s="47">
        <v>78</v>
      </c>
    </row>
    <row r="83" spans="2:2">
      <c r="B83" s="47">
        <v>79</v>
      </c>
    </row>
    <row r="84" spans="2:2">
      <c r="B84" s="47">
        <v>80</v>
      </c>
    </row>
    <row r="85" spans="2:2">
      <c r="B85" s="47">
        <v>81</v>
      </c>
    </row>
    <row r="86" spans="2:2">
      <c r="B86" s="47">
        <v>82</v>
      </c>
    </row>
    <row r="87" spans="2:2">
      <c r="B87" s="47">
        <v>83</v>
      </c>
    </row>
    <row r="88" spans="2:2">
      <c r="B88" s="47">
        <v>84</v>
      </c>
    </row>
    <row r="89" spans="2:2">
      <c r="B89" s="47">
        <v>85</v>
      </c>
    </row>
    <row r="90" spans="2:2">
      <c r="B90" s="47">
        <v>86</v>
      </c>
    </row>
    <row r="91" spans="2:2">
      <c r="B91" s="47">
        <v>87</v>
      </c>
    </row>
    <row r="92" spans="2:2">
      <c r="B92" s="47">
        <v>88</v>
      </c>
    </row>
    <row r="93" spans="2:2">
      <c r="B93" s="47">
        <v>89</v>
      </c>
    </row>
    <row r="94" spans="2:2">
      <c r="B94" s="47">
        <v>90</v>
      </c>
    </row>
    <row r="95" spans="2:2">
      <c r="B95" s="47">
        <v>91</v>
      </c>
    </row>
    <row r="96" spans="2:2">
      <c r="B96" s="47">
        <v>92</v>
      </c>
    </row>
    <row r="97" spans="2:2">
      <c r="B97" s="47">
        <v>93</v>
      </c>
    </row>
    <row r="98" spans="2:2">
      <c r="B98" s="47">
        <v>94</v>
      </c>
    </row>
    <row r="99" spans="2:2">
      <c r="B99" s="47">
        <v>95</v>
      </c>
    </row>
    <row r="100" spans="2:2">
      <c r="B100" s="47">
        <v>96</v>
      </c>
    </row>
    <row r="101" spans="2:2">
      <c r="B101" s="47">
        <v>97</v>
      </c>
    </row>
    <row r="102" spans="2:2">
      <c r="B102" s="47">
        <v>98</v>
      </c>
    </row>
    <row r="103" spans="2:2">
      <c r="B103" s="47">
        <v>99</v>
      </c>
    </row>
    <row r="104" spans="2:2">
      <c r="B104" s="47">
        <v>100</v>
      </c>
    </row>
  </sheetData>
  <sortState xmlns:xlrd2="http://schemas.microsoft.com/office/spreadsheetml/2017/richdata2" ref="B5:H54">
    <sortCondition ref="G5:G54" customList="a,ap,at,ak,ah,ann,oo,ok,onn,er,or,o,ee,ek,eeh,eng,e,eh,enn,i,ian,ing,ik,iat,inn,ai,ainn,au,am,om,m,ong,ng,ere,u,ua,ue,uai,uan,ir,(i)unn"/>
  </sortState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145A-EDC1-BA4F-A990-E7A9D20A1804}">
  <sheetPr codeName="工作表30">
    <tabColor theme="9" tint="0.59999389629810485"/>
  </sheetPr>
  <dimension ref="B4:V80"/>
  <sheetViews>
    <sheetView workbookViewId="0"/>
  </sheetViews>
  <sheetFormatPr baseColWidth="10" defaultColWidth="10.8984375" defaultRowHeight="24"/>
  <cols>
    <col min="1" max="1" width="3.19921875" customWidth="1"/>
    <col min="2" max="2" width="3.19921875" style="142" customWidth="1"/>
    <col min="3" max="22" width="6.296875" style="137" customWidth="1"/>
  </cols>
  <sheetData>
    <row r="4" spans="2:22">
      <c r="C4" s="138"/>
      <c r="D4" s="138" t="s">
        <v>742</v>
      </c>
      <c r="E4" s="138" t="s">
        <v>21</v>
      </c>
      <c r="F4" s="138" t="s">
        <v>1598</v>
      </c>
      <c r="G4" s="138" t="s">
        <v>1600</v>
      </c>
      <c r="H4" s="138" t="s">
        <v>27</v>
      </c>
      <c r="I4" s="138" t="s">
        <v>33</v>
      </c>
      <c r="J4" s="138" t="s">
        <v>39</v>
      </c>
      <c r="K4" s="138" t="s">
        <v>30</v>
      </c>
      <c r="L4" s="138" t="s">
        <v>36</v>
      </c>
      <c r="M4" s="138" t="s">
        <v>13</v>
      </c>
      <c r="N4" s="138" t="s">
        <v>64</v>
      </c>
      <c r="O4" s="138" t="s">
        <v>17</v>
      </c>
      <c r="P4" s="138" t="s">
        <v>79</v>
      </c>
      <c r="Q4" s="138" t="s">
        <v>24</v>
      </c>
      <c r="R4" s="138" t="s">
        <v>48</v>
      </c>
      <c r="S4" s="138" t="s">
        <v>76</v>
      </c>
      <c r="T4" s="138" t="s">
        <v>42</v>
      </c>
      <c r="U4" s="138" t="s">
        <v>53</v>
      </c>
      <c r="V4" s="138"/>
    </row>
    <row r="5" spans="2:22">
      <c r="B5" s="142" cm="1">
        <f t="array" ref="B5" xml:space="preserve"> ROW() - ROW($4:$4)</f>
        <v>1</v>
      </c>
      <c r="C5" s="139" t="s">
        <v>424</v>
      </c>
      <c r="D5" s="140" t="s">
        <v>424</v>
      </c>
      <c r="E5" s="140" t="s">
        <v>2497</v>
      </c>
      <c r="F5" s="140" t="s">
        <v>2498</v>
      </c>
      <c r="G5" s="140" t="s">
        <v>2499</v>
      </c>
      <c r="H5" s="140" t="s">
        <v>2500</v>
      </c>
      <c r="I5" s="140" t="s">
        <v>2501</v>
      </c>
      <c r="J5" s="140"/>
      <c r="K5" s="140" t="s">
        <v>2502</v>
      </c>
      <c r="L5" s="140" t="s">
        <v>2503</v>
      </c>
      <c r="M5" s="140" t="s">
        <v>2504</v>
      </c>
      <c r="N5" s="140" t="s">
        <v>2505</v>
      </c>
      <c r="O5" s="140" t="s">
        <v>406</v>
      </c>
      <c r="P5" s="140" t="s">
        <v>2506</v>
      </c>
      <c r="Q5" s="140" t="s">
        <v>2507</v>
      </c>
      <c r="R5" s="140" t="s">
        <v>2508</v>
      </c>
      <c r="S5" s="140" t="s">
        <v>2509</v>
      </c>
      <c r="T5" s="140" t="s">
        <v>2510</v>
      </c>
      <c r="U5" s="140" t="s">
        <v>2511</v>
      </c>
      <c r="V5" s="141" t="s">
        <v>424</v>
      </c>
    </row>
    <row r="6" spans="2:22">
      <c r="B6" s="142" cm="1">
        <f t="array" ref="B6" xml:space="preserve"> ROW() - ROW($4:$4)</f>
        <v>2</v>
      </c>
      <c r="C6" s="139" t="s">
        <v>2512</v>
      </c>
      <c r="D6" s="140" t="s">
        <v>2513</v>
      </c>
      <c r="E6" s="140"/>
      <c r="F6" s="140" t="s">
        <v>2514</v>
      </c>
      <c r="G6" s="140" t="s">
        <v>2515</v>
      </c>
      <c r="H6" s="140"/>
      <c r="I6" s="140" t="s">
        <v>2516</v>
      </c>
      <c r="J6" s="140"/>
      <c r="K6" s="140" t="s">
        <v>2517</v>
      </c>
      <c r="L6" s="140" t="s">
        <v>2518</v>
      </c>
      <c r="M6" s="140"/>
      <c r="N6" s="140"/>
      <c r="O6" s="140"/>
      <c r="P6" s="140"/>
      <c r="Q6" s="140"/>
      <c r="R6" s="140" t="s">
        <v>2519</v>
      </c>
      <c r="S6" s="140" t="s">
        <v>2520</v>
      </c>
      <c r="T6" s="140" t="s">
        <v>2521</v>
      </c>
      <c r="U6" s="140" t="s">
        <v>2522</v>
      </c>
      <c r="V6" s="141" t="s">
        <v>2512</v>
      </c>
    </row>
    <row r="7" spans="2:22">
      <c r="B7" s="142" cm="1">
        <f t="array" ref="B7" xml:space="preserve"> ROW() - ROW($4:$4)</f>
        <v>3</v>
      </c>
      <c r="C7" s="139" t="s">
        <v>425</v>
      </c>
      <c r="D7" s="140" t="s">
        <v>425</v>
      </c>
      <c r="E7" s="140" t="s">
        <v>2523</v>
      </c>
      <c r="F7" s="140" t="s">
        <v>2524</v>
      </c>
      <c r="G7" s="140" t="s">
        <v>2525</v>
      </c>
      <c r="H7" s="140"/>
      <c r="I7" s="140" t="s">
        <v>2526</v>
      </c>
      <c r="J7" s="140"/>
      <c r="K7" s="140" t="s">
        <v>2527</v>
      </c>
      <c r="L7" s="140" t="s">
        <v>2528</v>
      </c>
      <c r="M7" s="140" t="s">
        <v>2529</v>
      </c>
      <c r="N7" s="140"/>
      <c r="O7" s="140" t="s">
        <v>407</v>
      </c>
      <c r="P7" s="140"/>
      <c r="Q7" s="140" t="s">
        <v>2530</v>
      </c>
      <c r="R7" s="140" t="s">
        <v>2531</v>
      </c>
      <c r="S7" s="140" t="s">
        <v>2532</v>
      </c>
      <c r="T7" s="140" t="s">
        <v>2533</v>
      </c>
      <c r="U7" s="140" t="s">
        <v>2534</v>
      </c>
      <c r="V7" s="141" t="s">
        <v>425</v>
      </c>
    </row>
    <row r="8" spans="2:22">
      <c r="B8" s="142" cm="1">
        <f t="array" ref="B8" xml:space="preserve"> ROW() - ROW($4:$4)</f>
        <v>4</v>
      </c>
      <c r="C8" s="139" t="s">
        <v>2535</v>
      </c>
      <c r="D8" s="140"/>
      <c r="E8" s="140"/>
      <c r="F8" s="140"/>
      <c r="G8" s="140"/>
      <c r="H8" s="140"/>
      <c r="I8" s="140" t="s">
        <v>2536</v>
      </c>
      <c r="J8" s="140"/>
      <c r="K8" s="140"/>
      <c r="L8" s="140"/>
      <c r="M8" s="140"/>
      <c r="N8" s="140"/>
      <c r="O8" s="140"/>
      <c r="P8" s="140"/>
      <c r="Q8" s="140"/>
      <c r="R8" s="140"/>
      <c r="S8" s="140" t="s">
        <v>2537</v>
      </c>
      <c r="T8" s="140"/>
      <c r="U8" s="140"/>
      <c r="V8" s="141" t="s">
        <v>2535</v>
      </c>
    </row>
    <row r="9" spans="2:22">
      <c r="B9" s="142" cm="1">
        <f t="array" ref="B9" xml:space="preserve"> ROW() - ROW($4:$4)</f>
        <v>5</v>
      </c>
      <c r="C9" s="139" t="s">
        <v>307</v>
      </c>
      <c r="D9" s="140" t="s">
        <v>307</v>
      </c>
      <c r="E9" s="140" t="s">
        <v>2538</v>
      </c>
      <c r="F9" s="140" t="s">
        <v>2539</v>
      </c>
      <c r="G9" s="140" t="s">
        <v>2540</v>
      </c>
      <c r="H9" s="140" t="s">
        <v>2541</v>
      </c>
      <c r="I9" s="140" t="s">
        <v>2542</v>
      </c>
      <c r="J9" s="140"/>
      <c r="K9" s="140" t="s">
        <v>2543</v>
      </c>
      <c r="L9" s="140" t="s">
        <v>2544</v>
      </c>
      <c r="M9" s="140" t="s">
        <v>2545</v>
      </c>
      <c r="N9" s="140" t="s">
        <v>2546</v>
      </c>
      <c r="O9" s="140" t="s">
        <v>565</v>
      </c>
      <c r="P9" s="140" t="s">
        <v>2547</v>
      </c>
      <c r="Q9" s="140" t="s">
        <v>2548</v>
      </c>
      <c r="R9" s="140" t="s">
        <v>2549</v>
      </c>
      <c r="S9" s="140" t="s">
        <v>2550</v>
      </c>
      <c r="T9" s="140" t="s">
        <v>2551</v>
      </c>
      <c r="U9" s="140" t="s">
        <v>2552</v>
      </c>
      <c r="V9" s="141" t="s">
        <v>307</v>
      </c>
    </row>
    <row r="10" spans="2:22">
      <c r="B10" s="142" cm="1">
        <f t="array" ref="B10" xml:space="preserve"> ROW() - ROW($4:$4)</f>
        <v>6</v>
      </c>
      <c r="C10" s="139" t="s">
        <v>2553</v>
      </c>
      <c r="D10" s="140" t="s">
        <v>2554</v>
      </c>
      <c r="E10" s="140"/>
      <c r="F10" s="140" t="s">
        <v>2555</v>
      </c>
      <c r="G10" s="140"/>
      <c r="H10" s="140"/>
      <c r="I10" s="140" t="s">
        <v>2556</v>
      </c>
      <c r="J10" s="140"/>
      <c r="K10" s="140" t="s">
        <v>2557</v>
      </c>
      <c r="L10" s="140" t="s">
        <v>2558</v>
      </c>
      <c r="M10" s="140"/>
      <c r="N10" s="140"/>
      <c r="O10" s="140"/>
      <c r="P10" s="140"/>
      <c r="Q10" s="140"/>
      <c r="R10" s="140" t="s">
        <v>2559</v>
      </c>
      <c r="S10" s="140"/>
      <c r="T10" s="140" t="s">
        <v>2560</v>
      </c>
      <c r="U10" s="140"/>
      <c r="V10" s="141" t="s">
        <v>2553</v>
      </c>
    </row>
    <row r="11" spans="2:22">
      <c r="B11" s="142" cm="1">
        <f t="array" ref="B11" xml:space="preserve"> ROW() - ROW($4:$4)</f>
        <v>7</v>
      </c>
      <c r="C11" s="139" t="s">
        <v>352</v>
      </c>
      <c r="D11" s="140" t="s">
        <v>352</v>
      </c>
      <c r="E11" s="140" t="s">
        <v>2561</v>
      </c>
      <c r="F11" s="140" t="s">
        <v>2562</v>
      </c>
      <c r="G11" s="140" t="s">
        <v>2563</v>
      </c>
      <c r="H11" s="140" t="s">
        <v>2564</v>
      </c>
      <c r="I11" s="140" t="s">
        <v>2565</v>
      </c>
      <c r="J11" s="140"/>
      <c r="K11" s="140" t="s">
        <v>2566</v>
      </c>
      <c r="L11" s="140" t="s">
        <v>2567</v>
      </c>
      <c r="M11" s="140" t="s">
        <v>2568</v>
      </c>
      <c r="N11" s="140"/>
      <c r="O11" s="140"/>
      <c r="P11" s="140"/>
      <c r="Q11" s="140" t="s">
        <v>2569</v>
      </c>
      <c r="R11" s="140" t="s">
        <v>2570</v>
      </c>
      <c r="S11" s="140" t="s">
        <v>2571</v>
      </c>
      <c r="T11" s="140" t="s">
        <v>2572</v>
      </c>
      <c r="U11" s="140" t="s">
        <v>2573</v>
      </c>
      <c r="V11" s="141" t="s">
        <v>352</v>
      </c>
    </row>
    <row r="12" spans="2:22">
      <c r="B12" s="142" cm="1">
        <f t="array" ref="B12" xml:space="preserve"> ROW() - ROW($4:$4)</f>
        <v>8</v>
      </c>
      <c r="C12" s="139" t="s">
        <v>334</v>
      </c>
      <c r="D12" s="140" t="s">
        <v>334</v>
      </c>
      <c r="E12" s="140"/>
      <c r="F12" s="140" t="s">
        <v>2574</v>
      </c>
      <c r="G12" s="140" t="s">
        <v>2575</v>
      </c>
      <c r="H12" s="140" t="s">
        <v>2576</v>
      </c>
      <c r="I12" s="140" t="s">
        <v>2577</v>
      </c>
      <c r="J12" s="140"/>
      <c r="K12" s="140" t="s">
        <v>2578</v>
      </c>
      <c r="L12" s="140" t="s">
        <v>2579</v>
      </c>
      <c r="M12" s="140" t="s">
        <v>2580</v>
      </c>
      <c r="N12" s="140"/>
      <c r="O12" s="140"/>
      <c r="P12" s="140"/>
      <c r="Q12" s="140"/>
      <c r="R12" s="140"/>
      <c r="S12" s="140" t="s">
        <v>2581</v>
      </c>
      <c r="T12" s="140" t="s">
        <v>2582</v>
      </c>
      <c r="U12" s="140" t="s">
        <v>2583</v>
      </c>
      <c r="V12" s="141" t="s">
        <v>334</v>
      </c>
    </row>
    <row r="13" spans="2:22">
      <c r="B13" s="142" cm="1">
        <f t="array" ref="B13" xml:space="preserve"> ROW() - ROW($4:$4)</f>
        <v>9</v>
      </c>
      <c r="C13" s="139" t="s">
        <v>202</v>
      </c>
      <c r="D13" s="140" t="s">
        <v>202</v>
      </c>
      <c r="E13" s="140" t="s">
        <v>2584</v>
      </c>
      <c r="F13" s="140" t="s">
        <v>2585</v>
      </c>
      <c r="G13" s="140" t="s">
        <v>2586</v>
      </c>
      <c r="H13" s="140" t="s">
        <v>2587</v>
      </c>
      <c r="I13" s="140" t="s">
        <v>2588</v>
      </c>
      <c r="J13" s="140"/>
      <c r="K13" s="140" t="s">
        <v>2589</v>
      </c>
      <c r="L13" s="140" t="s">
        <v>2590</v>
      </c>
      <c r="M13" s="140" t="s">
        <v>2591</v>
      </c>
      <c r="N13" s="140"/>
      <c r="O13" s="140"/>
      <c r="P13" s="140"/>
      <c r="Q13" s="140" t="s">
        <v>2592</v>
      </c>
      <c r="R13" s="140" t="s">
        <v>2593</v>
      </c>
      <c r="S13" s="140" t="s">
        <v>2594</v>
      </c>
      <c r="T13" s="140" t="s">
        <v>2595</v>
      </c>
      <c r="U13" s="140" t="s">
        <v>2596</v>
      </c>
      <c r="V13" s="141" t="s">
        <v>202</v>
      </c>
    </row>
    <row r="14" spans="2:22">
      <c r="B14" s="142" cm="1">
        <f t="array" ref="B14" xml:space="preserve"> ROW() - ROW($4:$4)</f>
        <v>10</v>
      </c>
      <c r="C14" s="139" t="s">
        <v>351</v>
      </c>
      <c r="D14" s="140" t="s">
        <v>351</v>
      </c>
      <c r="E14" s="140" t="s">
        <v>2597</v>
      </c>
      <c r="F14" s="140" t="s">
        <v>2598</v>
      </c>
      <c r="G14" s="140" t="s">
        <v>2599</v>
      </c>
      <c r="H14" s="140" t="s">
        <v>2600</v>
      </c>
      <c r="I14" s="140" t="s">
        <v>2601</v>
      </c>
      <c r="J14" s="140"/>
      <c r="K14" s="140" t="s">
        <v>2602</v>
      </c>
      <c r="L14" s="140" t="s">
        <v>2603</v>
      </c>
      <c r="M14" s="140" t="s">
        <v>2604</v>
      </c>
      <c r="N14" s="140"/>
      <c r="O14" s="140"/>
      <c r="P14" s="140"/>
      <c r="Q14" s="140" t="s">
        <v>2605</v>
      </c>
      <c r="R14" s="140" t="s">
        <v>2606</v>
      </c>
      <c r="S14" s="140" t="s">
        <v>2607</v>
      </c>
      <c r="T14" s="140" t="s">
        <v>2608</v>
      </c>
      <c r="U14" s="140" t="s">
        <v>2609</v>
      </c>
      <c r="V14" s="141" t="s">
        <v>351</v>
      </c>
    </row>
    <row r="15" spans="2:22">
      <c r="B15" s="142" cm="1">
        <f t="array" ref="B15" xml:space="preserve"> ROW() - ROW($4:$4)</f>
        <v>11</v>
      </c>
      <c r="C15" s="139" t="s">
        <v>203</v>
      </c>
      <c r="D15" s="140" t="s">
        <v>203</v>
      </c>
      <c r="E15" s="140"/>
      <c r="F15" s="140" t="s">
        <v>2610</v>
      </c>
      <c r="G15" s="140" t="s">
        <v>2611</v>
      </c>
      <c r="H15" s="140"/>
      <c r="I15" s="140" t="s">
        <v>2612</v>
      </c>
      <c r="J15" s="140"/>
      <c r="K15" s="140" t="s">
        <v>2613</v>
      </c>
      <c r="L15" s="140" t="s">
        <v>2614</v>
      </c>
      <c r="M15" s="140" t="s">
        <v>2615</v>
      </c>
      <c r="N15" s="140"/>
      <c r="O15" s="140"/>
      <c r="P15" s="140"/>
      <c r="Q15" s="140"/>
      <c r="R15" s="140"/>
      <c r="S15" s="140" t="s">
        <v>2616</v>
      </c>
      <c r="T15" s="140" t="s">
        <v>2617</v>
      </c>
      <c r="U15" s="140" t="s">
        <v>2618</v>
      </c>
      <c r="V15" s="141" t="s">
        <v>203</v>
      </c>
    </row>
    <row r="16" spans="2:22">
      <c r="B16" s="142" cm="1">
        <f t="array" ref="B16" xml:space="preserve"> ROW() - ROW($4:$4)</f>
        <v>12</v>
      </c>
      <c r="C16" s="139" t="s">
        <v>205</v>
      </c>
      <c r="D16" s="140" t="s">
        <v>205</v>
      </c>
      <c r="E16" s="140" t="s">
        <v>2619</v>
      </c>
      <c r="F16" s="140" t="s">
        <v>2620</v>
      </c>
      <c r="G16" s="140" t="s">
        <v>2621</v>
      </c>
      <c r="H16" s="140"/>
      <c r="I16" s="140" t="s">
        <v>2622</v>
      </c>
      <c r="J16" s="140"/>
      <c r="K16" s="140" t="s">
        <v>2623</v>
      </c>
      <c r="L16" s="140" t="s">
        <v>2624</v>
      </c>
      <c r="M16" s="140" t="s">
        <v>2625</v>
      </c>
      <c r="N16" s="140"/>
      <c r="O16" s="140"/>
      <c r="P16" s="140"/>
      <c r="Q16" s="140" t="s">
        <v>2626</v>
      </c>
      <c r="R16" s="140"/>
      <c r="S16" s="140" t="s">
        <v>2627</v>
      </c>
      <c r="T16" s="140" t="s">
        <v>2628</v>
      </c>
      <c r="U16" s="140" t="s">
        <v>2629</v>
      </c>
      <c r="V16" s="141" t="s">
        <v>205</v>
      </c>
    </row>
    <row r="17" spans="2:22">
      <c r="B17" s="142" cm="1">
        <f t="array" ref="B17" xml:space="preserve"> ROW() - ROW($4:$4)</f>
        <v>13</v>
      </c>
      <c r="C17" s="139" t="s">
        <v>368</v>
      </c>
      <c r="D17" s="140" t="s">
        <v>368</v>
      </c>
      <c r="E17" s="140" t="s">
        <v>2630</v>
      </c>
      <c r="F17" s="140" t="s">
        <v>2631</v>
      </c>
      <c r="G17" s="140" t="s">
        <v>2632</v>
      </c>
      <c r="H17" s="140" t="s">
        <v>2633</v>
      </c>
      <c r="I17" s="140" t="s">
        <v>2634</v>
      </c>
      <c r="J17" s="140"/>
      <c r="K17" s="140" t="s">
        <v>2635</v>
      </c>
      <c r="L17" s="140" t="s">
        <v>2636</v>
      </c>
      <c r="M17" s="140" t="s">
        <v>2637</v>
      </c>
      <c r="N17" s="140" t="s">
        <v>2638</v>
      </c>
      <c r="O17" s="140" t="s">
        <v>2639</v>
      </c>
      <c r="P17" s="140" t="s">
        <v>2640</v>
      </c>
      <c r="Q17" s="140" t="s">
        <v>2641</v>
      </c>
      <c r="R17" s="140" t="s">
        <v>2642</v>
      </c>
      <c r="S17" s="140" t="s">
        <v>2643</v>
      </c>
      <c r="T17" s="140" t="s">
        <v>2644</v>
      </c>
      <c r="U17" s="140" t="s">
        <v>2645</v>
      </c>
      <c r="V17" s="141" t="s">
        <v>368</v>
      </c>
    </row>
    <row r="18" spans="2:22">
      <c r="B18" s="142" cm="1">
        <f t="array" ref="B18" xml:space="preserve"> ROW() - ROW($4:$4)</f>
        <v>14</v>
      </c>
      <c r="C18" s="139" t="s">
        <v>369</v>
      </c>
      <c r="D18" s="140"/>
      <c r="E18" s="140"/>
      <c r="F18" s="140"/>
      <c r="G18" s="140" t="s">
        <v>2646</v>
      </c>
      <c r="H18" s="140"/>
      <c r="I18" s="140"/>
      <c r="J18" s="140"/>
      <c r="K18" s="140" t="s">
        <v>2647</v>
      </c>
      <c r="L18" s="140"/>
      <c r="M18" s="140" t="s">
        <v>2648</v>
      </c>
      <c r="N18" s="140" t="s">
        <v>2649</v>
      </c>
      <c r="O18" s="140" t="s">
        <v>2650</v>
      </c>
      <c r="P18" s="140"/>
      <c r="Q18" s="140"/>
      <c r="R18" s="140" t="s">
        <v>2651</v>
      </c>
      <c r="S18" s="140"/>
      <c r="T18" s="140" t="s">
        <v>2652</v>
      </c>
      <c r="U18" s="140"/>
      <c r="V18" s="141" t="s">
        <v>369</v>
      </c>
    </row>
    <row r="19" spans="2:22">
      <c r="B19" s="142" cm="1">
        <f t="array" ref="B19" xml:space="preserve"> ROW() - ROW($4:$4)</f>
        <v>15</v>
      </c>
      <c r="C19" s="139" t="s">
        <v>278</v>
      </c>
      <c r="D19" s="140" t="s">
        <v>278</v>
      </c>
      <c r="E19" s="140" t="s">
        <v>2653</v>
      </c>
      <c r="F19" s="140" t="s">
        <v>2654</v>
      </c>
      <c r="G19" s="140" t="s">
        <v>2655</v>
      </c>
      <c r="H19" s="140" t="s">
        <v>2656</v>
      </c>
      <c r="I19" s="140" t="s">
        <v>2657</v>
      </c>
      <c r="J19" s="140"/>
      <c r="K19" s="140" t="s">
        <v>2658</v>
      </c>
      <c r="L19" s="140" t="s">
        <v>2659</v>
      </c>
      <c r="M19" s="140" t="s">
        <v>2660</v>
      </c>
      <c r="N19" s="140" t="s">
        <v>2661</v>
      </c>
      <c r="O19" s="140" t="s">
        <v>455</v>
      </c>
      <c r="P19" s="140" t="s">
        <v>2662</v>
      </c>
      <c r="Q19" s="140" t="s">
        <v>2663</v>
      </c>
      <c r="R19" s="140" t="s">
        <v>2664</v>
      </c>
      <c r="S19" s="140" t="s">
        <v>2665</v>
      </c>
      <c r="T19" s="140" t="s">
        <v>2666</v>
      </c>
      <c r="U19" s="140" t="s">
        <v>2667</v>
      </c>
      <c r="V19" s="141" t="s">
        <v>278</v>
      </c>
    </row>
    <row r="20" spans="2:22">
      <c r="B20" s="142" cm="1">
        <f t="array" ref="B20" xml:space="preserve"> ROW() - ROW($4:$4)</f>
        <v>16</v>
      </c>
      <c r="C20" s="139" t="s">
        <v>2668</v>
      </c>
      <c r="D20" s="140" t="s">
        <v>2669</v>
      </c>
      <c r="E20" s="140"/>
      <c r="F20" s="140" t="s">
        <v>2670</v>
      </c>
      <c r="G20" s="140" t="s">
        <v>2671</v>
      </c>
      <c r="H20" s="140"/>
      <c r="I20" s="140" t="s">
        <v>2672</v>
      </c>
      <c r="J20" s="140"/>
      <c r="K20" s="140" t="s">
        <v>2673</v>
      </c>
      <c r="L20" s="140" t="s">
        <v>2674</v>
      </c>
      <c r="M20" s="140"/>
      <c r="N20" s="140"/>
      <c r="O20" s="140"/>
      <c r="P20" s="140"/>
      <c r="Q20" s="140" t="s">
        <v>2675</v>
      </c>
      <c r="R20" s="140" t="s">
        <v>2676</v>
      </c>
      <c r="S20" s="140" t="s">
        <v>2677</v>
      </c>
      <c r="T20" s="140" t="s">
        <v>2678</v>
      </c>
      <c r="U20" s="140" t="s">
        <v>2679</v>
      </c>
      <c r="V20" s="141" t="s">
        <v>2668</v>
      </c>
    </row>
    <row r="21" spans="2:22">
      <c r="B21" s="142" cm="1">
        <f t="array" ref="B21" xml:space="preserve"> ROW() - ROW($4:$4)</f>
        <v>17</v>
      </c>
      <c r="C21" s="139" t="s">
        <v>189</v>
      </c>
      <c r="D21" s="140" t="s">
        <v>189</v>
      </c>
      <c r="E21" s="140" t="s">
        <v>2680</v>
      </c>
      <c r="F21" s="140" t="s">
        <v>2681</v>
      </c>
      <c r="G21" s="140" t="s">
        <v>2682</v>
      </c>
      <c r="H21" s="140"/>
      <c r="I21" s="140" t="s">
        <v>2683</v>
      </c>
      <c r="J21" s="140"/>
      <c r="K21" s="140" t="s">
        <v>2684</v>
      </c>
      <c r="L21" s="140" t="s">
        <v>2685</v>
      </c>
      <c r="M21" s="140" t="s">
        <v>2686</v>
      </c>
      <c r="N21" s="140" t="s">
        <v>2687</v>
      </c>
      <c r="O21" s="140" t="s">
        <v>456</v>
      </c>
      <c r="P21" s="140" t="s">
        <v>2688</v>
      </c>
      <c r="Q21" s="140" t="s">
        <v>2689</v>
      </c>
      <c r="R21" s="140"/>
      <c r="S21" s="140" t="s">
        <v>2690</v>
      </c>
      <c r="T21" s="140" t="s">
        <v>2691</v>
      </c>
      <c r="U21" s="140" t="s">
        <v>2692</v>
      </c>
      <c r="V21" s="141" t="s">
        <v>189</v>
      </c>
    </row>
    <row r="22" spans="2:22">
      <c r="B22" s="142" cm="1">
        <f t="array" ref="B22" xml:space="preserve"> ROW() - ROW($4:$4)</f>
        <v>18</v>
      </c>
      <c r="C22" s="139" t="s">
        <v>2693</v>
      </c>
      <c r="D22" s="140"/>
      <c r="E22" s="140"/>
      <c r="F22" s="140"/>
      <c r="G22" s="140"/>
      <c r="H22" s="140"/>
      <c r="I22" s="140" t="s">
        <v>2694</v>
      </c>
      <c r="J22" s="140"/>
      <c r="K22" s="140"/>
      <c r="L22" s="140" t="s">
        <v>2695</v>
      </c>
      <c r="M22" s="140"/>
      <c r="N22" s="140"/>
      <c r="O22" s="140"/>
      <c r="P22" s="140"/>
      <c r="Q22" s="140"/>
      <c r="R22" s="140"/>
      <c r="S22" s="140"/>
      <c r="T22" s="140"/>
      <c r="U22" s="140"/>
      <c r="V22" s="141" t="s">
        <v>2693</v>
      </c>
    </row>
    <row r="23" spans="2:22">
      <c r="B23" s="142" cm="1">
        <f t="array" ref="B23" xml:space="preserve"> ROW() - ROW($4:$4)</f>
        <v>19</v>
      </c>
      <c r="C23" s="139" t="s">
        <v>236</v>
      </c>
      <c r="D23" s="140" t="s">
        <v>236</v>
      </c>
      <c r="E23" s="140" t="s">
        <v>2696</v>
      </c>
      <c r="F23" s="140" t="s">
        <v>2697</v>
      </c>
      <c r="G23" s="140" t="s">
        <v>2698</v>
      </c>
      <c r="H23" s="140" t="s">
        <v>2699</v>
      </c>
      <c r="I23" s="140" t="s">
        <v>2700</v>
      </c>
      <c r="J23" s="140"/>
      <c r="K23" s="140" t="s">
        <v>2701</v>
      </c>
      <c r="L23" s="140"/>
      <c r="M23" s="140" t="s">
        <v>2702</v>
      </c>
      <c r="N23" s="140"/>
      <c r="O23" s="140"/>
      <c r="P23" s="140"/>
      <c r="Q23" s="140" t="s">
        <v>2703</v>
      </c>
      <c r="R23" s="140" t="s">
        <v>2704</v>
      </c>
      <c r="S23" s="140" t="s">
        <v>2705</v>
      </c>
      <c r="T23" s="140" t="s">
        <v>2706</v>
      </c>
      <c r="U23" s="140" t="s">
        <v>2707</v>
      </c>
      <c r="V23" s="141" t="s">
        <v>236</v>
      </c>
    </row>
    <row r="24" spans="2:22">
      <c r="B24" s="142" cm="1">
        <f t="array" ref="B24" xml:space="preserve"> ROW() - ROW($4:$4)</f>
        <v>20</v>
      </c>
      <c r="C24" s="139" t="s">
        <v>235</v>
      </c>
      <c r="D24" s="140" t="s">
        <v>235</v>
      </c>
      <c r="E24" s="140" t="s">
        <v>2708</v>
      </c>
      <c r="F24" s="140" t="s">
        <v>2709</v>
      </c>
      <c r="G24" s="140" t="s">
        <v>2710</v>
      </c>
      <c r="H24" s="140" t="s">
        <v>2711</v>
      </c>
      <c r="I24" s="140" t="s">
        <v>2712</v>
      </c>
      <c r="J24" s="140"/>
      <c r="K24" s="140" t="s">
        <v>2713</v>
      </c>
      <c r="L24" s="140" t="s">
        <v>2714</v>
      </c>
      <c r="M24" s="140" t="s">
        <v>2715</v>
      </c>
      <c r="N24" s="140"/>
      <c r="O24" s="140"/>
      <c r="P24" s="140"/>
      <c r="Q24" s="140" t="s">
        <v>2716</v>
      </c>
      <c r="R24" s="140" t="s">
        <v>2717</v>
      </c>
      <c r="S24" s="140" t="s">
        <v>2718</v>
      </c>
      <c r="T24" s="140" t="s">
        <v>2719</v>
      </c>
      <c r="U24" s="140" t="s">
        <v>2720</v>
      </c>
      <c r="V24" s="141" t="s">
        <v>235</v>
      </c>
    </row>
    <row r="25" spans="2:22">
      <c r="B25" s="142" cm="1">
        <f t="array" ref="B25" xml:space="preserve"> ROW() - ROW($4:$4)</f>
        <v>21</v>
      </c>
      <c r="C25" s="139" t="s">
        <v>432</v>
      </c>
      <c r="D25" s="140" t="s">
        <v>432</v>
      </c>
      <c r="E25" s="140" t="s">
        <v>2721</v>
      </c>
      <c r="F25" s="140" t="s">
        <v>2385</v>
      </c>
      <c r="G25" s="140" t="s">
        <v>2722</v>
      </c>
      <c r="H25" s="140" t="s">
        <v>2723</v>
      </c>
      <c r="I25" s="140" t="s">
        <v>2724</v>
      </c>
      <c r="J25" s="140" t="s">
        <v>2725</v>
      </c>
      <c r="K25" s="140" t="s">
        <v>2726</v>
      </c>
      <c r="L25" s="140" t="s">
        <v>2727</v>
      </c>
      <c r="M25" s="140" t="s">
        <v>2728</v>
      </c>
      <c r="N25" s="140" t="s">
        <v>2729</v>
      </c>
      <c r="O25" s="140" t="s">
        <v>496</v>
      </c>
      <c r="P25" s="140"/>
      <c r="Q25" s="140" t="s">
        <v>2730</v>
      </c>
      <c r="R25" s="140" t="s">
        <v>2731</v>
      </c>
      <c r="S25" s="140" t="s">
        <v>2732</v>
      </c>
      <c r="T25" s="140" t="s">
        <v>2733</v>
      </c>
      <c r="U25" s="140" t="s">
        <v>2734</v>
      </c>
      <c r="V25" s="141" t="s">
        <v>432</v>
      </c>
    </row>
    <row r="26" spans="2:22">
      <c r="B26" s="142" cm="1">
        <f t="array" ref="B26" xml:space="preserve"> ROW() - ROW($4:$4)</f>
        <v>22</v>
      </c>
      <c r="C26" s="139" t="s">
        <v>2735</v>
      </c>
      <c r="D26" s="140" t="s">
        <v>2736</v>
      </c>
      <c r="E26" s="140"/>
      <c r="F26" s="140" t="s">
        <v>2737</v>
      </c>
      <c r="G26" s="140" t="s">
        <v>2738</v>
      </c>
      <c r="H26" s="140"/>
      <c r="I26" s="140" t="s">
        <v>2739</v>
      </c>
      <c r="J26" s="140"/>
      <c r="K26" s="140" t="s">
        <v>2740</v>
      </c>
      <c r="L26" s="140" t="s">
        <v>2741</v>
      </c>
      <c r="M26" s="140"/>
      <c r="N26" s="140"/>
      <c r="O26" s="140"/>
      <c r="P26" s="140"/>
      <c r="Q26" s="140"/>
      <c r="R26" s="140"/>
      <c r="S26" s="140" t="s">
        <v>2742</v>
      </c>
      <c r="T26" s="140" t="s">
        <v>2743</v>
      </c>
      <c r="U26" s="140" t="s">
        <v>2744</v>
      </c>
      <c r="V26" s="141" t="s">
        <v>2735</v>
      </c>
    </row>
    <row r="27" spans="2:22">
      <c r="B27" s="142" cm="1">
        <f t="array" ref="B27" xml:space="preserve"> ROW() - ROW($4:$4)</f>
        <v>23</v>
      </c>
      <c r="C27" s="139" t="s">
        <v>379</v>
      </c>
      <c r="D27" s="140" t="s">
        <v>379</v>
      </c>
      <c r="E27" s="140"/>
      <c r="F27" s="140" t="s">
        <v>2745</v>
      </c>
      <c r="G27" s="140" t="s">
        <v>2746</v>
      </c>
      <c r="H27" s="140" t="s">
        <v>2747</v>
      </c>
      <c r="I27" s="140" t="s">
        <v>2748</v>
      </c>
      <c r="J27" s="140" t="s">
        <v>2749</v>
      </c>
      <c r="K27" s="140" t="s">
        <v>2750</v>
      </c>
      <c r="L27" s="140" t="s">
        <v>2751</v>
      </c>
      <c r="M27" s="140"/>
      <c r="N27" s="140" t="s">
        <v>2752</v>
      </c>
      <c r="O27" s="140" t="s">
        <v>525</v>
      </c>
      <c r="P27" s="140" t="s">
        <v>2753</v>
      </c>
      <c r="Q27" s="140"/>
      <c r="R27" s="140"/>
      <c r="S27" s="140" t="s">
        <v>2754</v>
      </c>
      <c r="T27" s="140" t="s">
        <v>2755</v>
      </c>
      <c r="U27" s="140"/>
      <c r="V27" s="141" t="s">
        <v>379</v>
      </c>
    </row>
    <row r="28" spans="2:22">
      <c r="B28" s="142" cm="1">
        <f t="array" ref="B28" xml:space="preserve"> ROW() - ROW($4:$4)</f>
        <v>24</v>
      </c>
      <c r="C28" s="139" t="s">
        <v>2756</v>
      </c>
      <c r="D28" s="140" t="s">
        <v>2757</v>
      </c>
      <c r="E28" s="140"/>
      <c r="F28" s="140" t="s">
        <v>2758</v>
      </c>
      <c r="G28" s="140" t="s">
        <v>2759</v>
      </c>
      <c r="H28" s="140"/>
      <c r="I28" s="140" t="s">
        <v>2760</v>
      </c>
      <c r="J28" s="140"/>
      <c r="K28" s="140" t="s">
        <v>2761</v>
      </c>
      <c r="L28" s="140"/>
      <c r="M28" s="140"/>
      <c r="N28" s="140"/>
      <c r="O28" s="140"/>
      <c r="P28" s="140"/>
      <c r="Q28" s="140" t="s">
        <v>2762</v>
      </c>
      <c r="R28" s="140"/>
      <c r="S28" s="140" t="s">
        <v>2763</v>
      </c>
      <c r="T28" s="140" t="s">
        <v>2764</v>
      </c>
      <c r="U28" s="140" t="s">
        <v>2765</v>
      </c>
      <c r="V28" s="141" t="s">
        <v>2756</v>
      </c>
    </row>
    <row r="29" spans="2:22">
      <c r="B29" s="142" cm="1">
        <f t="array" ref="B29" xml:space="preserve"> ROW() - ROW($4:$4)</f>
        <v>25</v>
      </c>
      <c r="C29" s="139" t="s">
        <v>380</v>
      </c>
      <c r="D29" s="140" t="s">
        <v>380</v>
      </c>
      <c r="E29" s="140"/>
      <c r="F29" s="140" t="s">
        <v>2766</v>
      </c>
      <c r="G29" s="140" t="s">
        <v>2767</v>
      </c>
      <c r="H29" s="140" t="s">
        <v>2768</v>
      </c>
      <c r="I29" s="140" t="s">
        <v>2769</v>
      </c>
      <c r="J29" s="140"/>
      <c r="K29" s="140" t="s">
        <v>2770</v>
      </c>
      <c r="L29" s="140" t="s">
        <v>2771</v>
      </c>
      <c r="M29" s="140" t="s">
        <v>2772</v>
      </c>
      <c r="N29" s="140"/>
      <c r="O29" s="140"/>
      <c r="P29" s="140"/>
      <c r="Q29" s="140" t="s">
        <v>2773</v>
      </c>
      <c r="R29" s="140" t="s">
        <v>2774</v>
      </c>
      <c r="S29" s="140" t="s">
        <v>2775</v>
      </c>
      <c r="T29" s="140" t="s">
        <v>2776</v>
      </c>
      <c r="U29" s="140" t="s">
        <v>2777</v>
      </c>
      <c r="V29" s="141" t="s">
        <v>380</v>
      </c>
    </row>
    <row r="30" spans="2:22">
      <c r="B30" s="142" cm="1">
        <f t="array" ref="B30" xml:space="preserve"> ROW() - ROW($4:$4)</f>
        <v>26</v>
      </c>
      <c r="C30" s="139" t="s">
        <v>2778</v>
      </c>
      <c r="D30" s="140"/>
      <c r="E30" s="140"/>
      <c r="F30" s="140"/>
      <c r="G30" s="140"/>
      <c r="H30" s="140"/>
      <c r="I30" s="140" t="s">
        <v>2779</v>
      </c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0"/>
      <c r="V30" s="141" t="s">
        <v>2778</v>
      </c>
    </row>
    <row r="31" spans="2:22">
      <c r="B31" s="142" cm="1">
        <f t="array" ref="B31" xml:space="preserve"> ROW() - ROW($4:$4)</f>
        <v>27</v>
      </c>
      <c r="C31" s="139" t="s">
        <v>325</v>
      </c>
      <c r="D31" s="140"/>
      <c r="E31" s="140"/>
      <c r="F31" s="140"/>
      <c r="G31" s="140" t="s">
        <v>2780</v>
      </c>
      <c r="H31" s="140"/>
      <c r="I31" s="140"/>
      <c r="J31" s="140"/>
      <c r="K31" s="140"/>
      <c r="L31" s="140" t="s">
        <v>2781</v>
      </c>
      <c r="M31" s="140"/>
      <c r="N31" s="140"/>
      <c r="O31" s="140"/>
      <c r="P31" s="140"/>
      <c r="Q31" s="140" t="s">
        <v>2782</v>
      </c>
      <c r="R31" s="140" t="s">
        <v>2783</v>
      </c>
      <c r="S31" s="140" t="s">
        <v>2784</v>
      </c>
      <c r="T31" s="140" t="s">
        <v>2785</v>
      </c>
      <c r="U31" s="140"/>
      <c r="V31" s="141" t="s">
        <v>325</v>
      </c>
    </row>
    <row r="32" spans="2:22">
      <c r="B32" s="142" cm="1">
        <f t="array" ref="B32" xml:space="preserve"> ROW() - ROW($4:$4)</f>
        <v>28</v>
      </c>
      <c r="C32" s="139" t="s">
        <v>359</v>
      </c>
      <c r="D32" s="140" t="s">
        <v>359</v>
      </c>
      <c r="E32" s="140"/>
      <c r="F32" s="140" t="s">
        <v>2786</v>
      </c>
      <c r="G32" s="140" t="s">
        <v>2787</v>
      </c>
      <c r="H32" s="140" t="s">
        <v>2788</v>
      </c>
      <c r="I32" s="140" t="s">
        <v>2789</v>
      </c>
      <c r="J32" s="140" t="s">
        <v>2790</v>
      </c>
      <c r="K32" s="140" t="s">
        <v>2791</v>
      </c>
      <c r="L32" s="140" t="s">
        <v>2792</v>
      </c>
      <c r="M32" s="140" t="s">
        <v>2793</v>
      </c>
      <c r="N32" s="140"/>
      <c r="O32" s="140"/>
      <c r="P32" s="140"/>
      <c r="Q32" s="140"/>
      <c r="R32" s="140"/>
      <c r="S32" s="140" t="s">
        <v>2794</v>
      </c>
      <c r="T32" s="140" t="s">
        <v>2795</v>
      </c>
      <c r="U32" s="140" t="s">
        <v>2796</v>
      </c>
      <c r="V32" s="141" t="s">
        <v>359</v>
      </c>
    </row>
    <row r="33" spans="2:22">
      <c r="B33" s="142" cm="1">
        <f t="array" ref="B33" xml:space="preserve"> ROW() - ROW($4:$4)</f>
        <v>29</v>
      </c>
      <c r="C33" s="139" t="s">
        <v>162</v>
      </c>
      <c r="D33" s="140" t="s">
        <v>162</v>
      </c>
      <c r="E33" s="140" t="s">
        <v>2797</v>
      </c>
      <c r="F33" s="140" t="s">
        <v>2798</v>
      </c>
      <c r="G33" s="140" t="s">
        <v>2799</v>
      </c>
      <c r="H33" s="140" t="s">
        <v>2800</v>
      </c>
      <c r="I33" s="140" t="s">
        <v>2801</v>
      </c>
      <c r="J33" s="140" t="s">
        <v>2802</v>
      </c>
      <c r="K33" s="140" t="s">
        <v>2803</v>
      </c>
      <c r="L33" s="140" t="s">
        <v>2804</v>
      </c>
      <c r="M33" s="140" t="s">
        <v>2805</v>
      </c>
      <c r="N33" s="140"/>
      <c r="O33" s="140"/>
      <c r="P33" s="140"/>
      <c r="Q33" s="140" t="s">
        <v>2806</v>
      </c>
      <c r="R33" s="140" t="s">
        <v>2807</v>
      </c>
      <c r="S33" s="140" t="s">
        <v>2808</v>
      </c>
      <c r="T33" s="140" t="s">
        <v>2809</v>
      </c>
      <c r="U33" s="140" t="s">
        <v>2810</v>
      </c>
      <c r="V33" s="141" t="s">
        <v>162</v>
      </c>
    </row>
    <row r="34" spans="2:22">
      <c r="B34" s="142" cm="1">
        <f t="array" ref="B34" xml:space="preserve"> ROW() - ROW($4:$4)</f>
        <v>30</v>
      </c>
      <c r="C34" s="139" t="s">
        <v>324</v>
      </c>
      <c r="D34" s="140" t="s">
        <v>324</v>
      </c>
      <c r="E34" s="140"/>
      <c r="F34" s="140" t="s">
        <v>2811</v>
      </c>
      <c r="G34" s="140" t="s">
        <v>2812</v>
      </c>
      <c r="H34" s="140" t="s">
        <v>2813</v>
      </c>
      <c r="I34" s="140" t="s">
        <v>2814</v>
      </c>
      <c r="J34" s="140" t="s">
        <v>2815</v>
      </c>
      <c r="K34" s="140"/>
      <c r="L34" s="140" t="s">
        <v>2816</v>
      </c>
      <c r="M34" s="140" t="s">
        <v>2817</v>
      </c>
      <c r="N34" s="140"/>
      <c r="O34" s="140"/>
      <c r="P34" s="140"/>
      <c r="Q34" s="140" t="s">
        <v>2818</v>
      </c>
      <c r="R34" s="140" t="s">
        <v>2819</v>
      </c>
      <c r="S34" s="140" t="s">
        <v>2820</v>
      </c>
      <c r="T34" s="140"/>
      <c r="U34" s="140"/>
      <c r="V34" s="141" t="s">
        <v>324</v>
      </c>
    </row>
    <row r="35" spans="2:22">
      <c r="B35" s="142" cm="1">
        <f t="array" ref="B35" xml:space="preserve"> ROW() - ROW($4:$4)</f>
        <v>31</v>
      </c>
      <c r="C35" s="139" t="s">
        <v>360</v>
      </c>
      <c r="D35" s="140" t="s">
        <v>360</v>
      </c>
      <c r="E35" s="140"/>
      <c r="F35" s="140" t="s">
        <v>2821</v>
      </c>
      <c r="G35" s="140" t="s">
        <v>2822</v>
      </c>
      <c r="H35" s="140" t="s">
        <v>2823</v>
      </c>
      <c r="I35" s="140" t="s">
        <v>2824</v>
      </c>
      <c r="J35" s="140" t="s">
        <v>2825</v>
      </c>
      <c r="K35" s="140" t="s">
        <v>2826</v>
      </c>
      <c r="L35" s="140" t="s">
        <v>2827</v>
      </c>
      <c r="M35" s="140" t="s">
        <v>2828</v>
      </c>
      <c r="N35" s="140"/>
      <c r="O35" s="140"/>
      <c r="P35" s="140"/>
      <c r="Q35" s="140"/>
      <c r="R35" s="140"/>
      <c r="S35" s="140" t="s">
        <v>2829</v>
      </c>
      <c r="T35" s="140" t="s">
        <v>2830</v>
      </c>
      <c r="U35" s="140" t="s">
        <v>2831</v>
      </c>
      <c r="V35" s="141" t="s">
        <v>360</v>
      </c>
    </row>
    <row r="36" spans="2:22">
      <c r="B36" s="142" cm="1">
        <f t="array" ref="B36" xml:space="preserve"> ROW() - ROW($4:$4)</f>
        <v>32</v>
      </c>
      <c r="C36" s="139" t="s">
        <v>163</v>
      </c>
      <c r="D36" s="140" t="s">
        <v>163</v>
      </c>
      <c r="E36" s="140" t="s">
        <v>2832</v>
      </c>
      <c r="F36" s="140" t="s">
        <v>2833</v>
      </c>
      <c r="G36" s="140" t="s">
        <v>2834</v>
      </c>
      <c r="H36" s="140" t="s">
        <v>2835</v>
      </c>
      <c r="I36" s="140" t="s">
        <v>2836</v>
      </c>
      <c r="J36" s="140" t="s">
        <v>2837</v>
      </c>
      <c r="K36" s="140" t="s">
        <v>2838</v>
      </c>
      <c r="L36" s="140" t="s">
        <v>2839</v>
      </c>
      <c r="M36" s="140" t="s">
        <v>2840</v>
      </c>
      <c r="N36" s="140"/>
      <c r="O36" s="140"/>
      <c r="P36" s="140"/>
      <c r="Q36" s="140" t="s">
        <v>2841</v>
      </c>
      <c r="R36" s="140" t="s">
        <v>2842</v>
      </c>
      <c r="S36" s="140" t="s">
        <v>2843</v>
      </c>
      <c r="T36" s="140" t="s">
        <v>2844</v>
      </c>
      <c r="U36" s="140" t="s">
        <v>2845</v>
      </c>
      <c r="V36" s="141" t="s">
        <v>163</v>
      </c>
    </row>
    <row r="37" spans="2:22">
      <c r="B37" s="142" cm="1">
        <f t="array" ref="B37" xml:space="preserve"> ROW() - ROW($4:$4)</f>
        <v>33</v>
      </c>
      <c r="C37" s="139" t="s">
        <v>265</v>
      </c>
      <c r="D37" s="140" t="s">
        <v>265</v>
      </c>
      <c r="E37" s="140" t="s">
        <v>2846</v>
      </c>
      <c r="F37" s="140" t="s">
        <v>2847</v>
      </c>
      <c r="G37" s="140" t="s">
        <v>2848</v>
      </c>
      <c r="H37" s="140" t="s">
        <v>2849</v>
      </c>
      <c r="I37" s="140" t="s">
        <v>2850</v>
      </c>
      <c r="J37" s="140" t="s">
        <v>2851</v>
      </c>
      <c r="K37" s="140" t="s">
        <v>2852</v>
      </c>
      <c r="L37" s="140" t="s">
        <v>2853</v>
      </c>
      <c r="M37" s="140" t="s">
        <v>2854</v>
      </c>
      <c r="N37" s="140" t="s">
        <v>2855</v>
      </c>
      <c r="O37" s="140" t="s">
        <v>2856</v>
      </c>
      <c r="P37" s="140" t="s">
        <v>2857</v>
      </c>
      <c r="Q37" s="140" t="s">
        <v>2858</v>
      </c>
      <c r="R37" s="140" t="s">
        <v>2859</v>
      </c>
      <c r="S37" s="140" t="s">
        <v>2860</v>
      </c>
      <c r="T37" s="140" t="s">
        <v>2861</v>
      </c>
      <c r="U37" s="140" t="s">
        <v>2862</v>
      </c>
      <c r="V37" s="141" t="s">
        <v>265</v>
      </c>
    </row>
    <row r="38" spans="2:22">
      <c r="B38" s="142" cm="1">
        <f t="array" ref="B38" xml:space="preserve"> ROW() - ROW($4:$4)</f>
        <v>34</v>
      </c>
      <c r="C38" s="139" t="s">
        <v>2863</v>
      </c>
      <c r="D38" s="140" t="s">
        <v>2864</v>
      </c>
      <c r="E38" s="140"/>
      <c r="F38" s="140"/>
      <c r="G38" s="140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40"/>
      <c r="V38" s="141" t="s">
        <v>2863</v>
      </c>
    </row>
    <row r="39" spans="2:22">
      <c r="B39" s="142" cm="1">
        <f t="array" ref="B39" xml:space="preserve"> ROW() - ROW($4:$4)</f>
        <v>35</v>
      </c>
      <c r="C39" s="139" t="s">
        <v>266</v>
      </c>
      <c r="D39" s="140"/>
      <c r="E39" s="140"/>
      <c r="F39" s="140"/>
      <c r="G39" s="140"/>
      <c r="H39" s="140"/>
      <c r="I39" s="140" t="s">
        <v>2865</v>
      </c>
      <c r="J39" s="140"/>
      <c r="K39" s="140"/>
      <c r="L39" s="140" t="s">
        <v>2866</v>
      </c>
      <c r="M39" s="140"/>
      <c r="N39" s="140"/>
      <c r="O39" s="140"/>
      <c r="P39" s="140" t="s">
        <v>2867</v>
      </c>
      <c r="Q39" s="140"/>
      <c r="R39" s="140"/>
      <c r="S39" s="140"/>
      <c r="T39" s="140"/>
      <c r="U39" s="140"/>
      <c r="V39" s="141" t="s">
        <v>266</v>
      </c>
    </row>
    <row r="40" spans="2:22">
      <c r="B40" s="142" cm="1">
        <f t="array" ref="B40" xml:space="preserve"> ROW() - ROW($4:$4)</f>
        <v>36</v>
      </c>
      <c r="C40" s="139" t="s">
        <v>433</v>
      </c>
      <c r="D40" s="140"/>
      <c r="E40" s="140" t="s">
        <v>2868</v>
      </c>
      <c r="F40" s="140" t="s">
        <v>2869</v>
      </c>
      <c r="G40" s="140" t="s">
        <v>2870</v>
      </c>
      <c r="H40" s="140"/>
      <c r="I40" s="140"/>
      <c r="J40" s="140"/>
      <c r="K40" s="140"/>
      <c r="L40" s="140" t="s">
        <v>2871</v>
      </c>
      <c r="M40" s="140"/>
      <c r="N40" s="140" t="s">
        <v>2872</v>
      </c>
      <c r="O40" s="140" t="s">
        <v>497</v>
      </c>
      <c r="P40" s="140"/>
      <c r="Q40" s="140" t="s">
        <v>2873</v>
      </c>
      <c r="R40" s="140" t="s">
        <v>2874</v>
      </c>
      <c r="S40" s="140" t="s">
        <v>2875</v>
      </c>
      <c r="T40" s="140" t="s">
        <v>2876</v>
      </c>
      <c r="U40" s="140" t="s">
        <v>2877</v>
      </c>
      <c r="V40" s="141" t="s">
        <v>433</v>
      </c>
    </row>
    <row r="41" spans="2:22">
      <c r="B41" s="142" cm="1">
        <f t="array" ref="B41" xml:space="preserve"> ROW() - ROW($4:$4)</f>
        <v>37</v>
      </c>
      <c r="C41" s="139" t="s">
        <v>171</v>
      </c>
      <c r="D41" s="140" t="s">
        <v>171</v>
      </c>
      <c r="E41" s="140"/>
      <c r="F41" s="140" t="s">
        <v>2878</v>
      </c>
      <c r="G41" s="140" t="s">
        <v>2879</v>
      </c>
      <c r="H41" s="140" t="s">
        <v>2880</v>
      </c>
      <c r="I41" s="140" t="s">
        <v>2881</v>
      </c>
      <c r="J41" s="140" t="s">
        <v>2882</v>
      </c>
      <c r="K41" s="140" t="s">
        <v>2883</v>
      </c>
      <c r="L41" s="140" t="s">
        <v>2884</v>
      </c>
      <c r="M41" s="140" t="s">
        <v>2885</v>
      </c>
      <c r="N41" s="140"/>
      <c r="O41" s="140"/>
      <c r="P41" s="140"/>
      <c r="Q41" s="140"/>
      <c r="R41" s="140"/>
      <c r="S41" s="140" t="s">
        <v>2886</v>
      </c>
      <c r="T41" s="140" t="s">
        <v>2887</v>
      </c>
      <c r="U41" s="140" t="s">
        <v>2888</v>
      </c>
      <c r="V41" s="141" t="s">
        <v>171</v>
      </c>
    </row>
    <row r="42" spans="2:22">
      <c r="B42" s="142" cm="1">
        <f t="array" ref="B42" xml:space="preserve"> ROW() - ROW($4:$4)</f>
        <v>38</v>
      </c>
      <c r="C42" s="139" t="s">
        <v>317</v>
      </c>
      <c r="D42" s="140" t="s">
        <v>317</v>
      </c>
      <c r="E42" s="140" t="s">
        <v>2889</v>
      </c>
      <c r="F42" s="140" t="s">
        <v>2890</v>
      </c>
      <c r="G42" s="140" t="s">
        <v>2891</v>
      </c>
      <c r="H42" s="140" t="s">
        <v>2892</v>
      </c>
      <c r="I42" s="140" t="s">
        <v>2893</v>
      </c>
      <c r="J42" s="140" t="s">
        <v>2894</v>
      </c>
      <c r="K42" s="140" t="s">
        <v>2895</v>
      </c>
      <c r="L42" s="140" t="s">
        <v>2896</v>
      </c>
      <c r="M42" s="140" t="s">
        <v>2897</v>
      </c>
      <c r="N42" s="140"/>
      <c r="O42" s="140"/>
      <c r="P42" s="140"/>
      <c r="Q42" s="140" t="s">
        <v>2898</v>
      </c>
      <c r="R42" s="140" t="s">
        <v>2899</v>
      </c>
      <c r="S42" s="140" t="s">
        <v>2900</v>
      </c>
      <c r="T42" s="140" t="s">
        <v>2901</v>
      </c>
      <c r="U42" s="140" t="s">
        <v>2902</v>
      </c>
      <c r="V42" s="141" t="s">
        <v>317</v>
      </c>
    </row>
    <row r="43" spans="2:22">
      <c r="B43" s="142" cm="1">
        <f t="array" ref="B43" xml:space="preserve"> ROW() - ROW($4:$4)</f>
        <v>39</v>
      </c>
      <c r="C43" s="139" t="s">
        <v>480</v>
      </c>
      <c r="D43" s="140" t="s">
        <v>480</v>
      </c>
      <c r="E43" s="140" t="s">
        <v>2903</v>
      </c>
      <c r="F43" s="140" t="s">
        <v>2904</v>
      </c>
      <c r="G43" s="140" t="s">
        <v>2905</v>
      </c>
      <c r="H43" s="140" t="s">
        <v>2906</v>
      </c>
      <c r="I43" s="140" t="s">
        <v>2907</v>
      </c>
      <c r="J43" s="140" t="s">
        <v>2908</v>
      </c>
      <c r="K43" s="140" t="s">
        <v>2909</v>
      </c>
      <c r="L43" s="140" t="s">
        <v>2910</v>
      </c>
      <c r="M43" s="140" t="s">
        <v>2911</v>
      </c>
      <c r="N43" s="140"/>
      <c r="O43" s="140"/>
      <c r="P43" s="140"/>
      <c r="Q43" s="140" t="s">
        <v>2912</v>
      </c>
      <c r="R43" s="140" t="s">
        <v>2913</v>
      </c>
      <c r="S43" s="140" t="s">
        <v>2914</v>
      </c>
      <c r="T43" s="140" t="s">
        <v>2915</v>
      </c>
      <c r="U43" s="140" t="s">
        <v>2916</v>
      </c>
      <c r="V43" s="141" t="s">
        <v>480</v>
      </c>
    </row>
    <row r="44" spans="2:22">
      <c r="B44" s="142" cm="1">
        <f t="array" ref="B44" xml:space="preserve"> ROW() - ROW($4:$4)</f>
        <v>40</v>
      </c>
      <c r="C44" s="139" t="s">
        <v>481</v>
      </c>
      <c r="D44" s="140" t="s">
        <v>481</v>
      </c>
      <c r="E44" s="140"/>
      <c r="F44" s="140" t="s">
        <v>2917</v>
      </c>
      <c r="G44" s="140" t="s">
        <v>2918</v>
      </c>
      <c r="H44" s="140" t="s">
        <v>2919</v>
      </c>
      <c r="I44" s="140" t="s">
        <v>2920</v>
      </c>
      <c r="J44" s="140"/>
      <c r="K44" s="140" t="s">
        <v>2921</v>
      </c>
      <c r="L44" s="140" t="s">
        <v>2922</v>
      </c>
      <c r="M44" s="140" t="s">
        <v>2923</v>
      </c>
      <c r="N44" s="140"/>
      <c r="O44" s="140"/>
      <c r="P44" s="140"/>
      <c r="Q44" s="140"/>
      <c r="R44" s="140"/>
      <c r="S44" s="140" t="s">
        <v>2924</v>
      </c>
      <c r="T44" s="140" t="s">
        <v>2925</v>
      </c>
      <c r="U44" s="140"/>
      <c r="V44" s="141" t="s">
        <v>481</v>
      </c>
    </row>
    <row r="45" spans="2:22">
      <c r="B45" s="142" cm="1">
        <f t="array" ref="B45" xml:space="preserve"> ROW() - ROW($4:$4)</f>
        <v>41</v>
      </c>
      <c r="C45" s="139" t="s">
        <v>290</v>
      </c>
      <c r="D45" s="140" t="s">
        <v>290</v>
      </c>
      <c r="E45" s="140"/>
      <c r="F45" s="140" t="s">
        <v>2926</v>
      </c>
      <c r="G45" s="140" t="s">
        <v>2927</v>
      </c>
      <c r="H45" s="140" t="s">
        <v>2928</v>
      </c>
      <c r="I45" s="140" t="s">
        <v>2929</v>
      </c>
      <c r="J45" s="140" t="s">
        <v>2930</v>
      </c>
      <c r="K45" s="140" t="s">
        <v>2931</v>
      </c>
      <c r="L45" s="140" t="s">
        <v>2932</v>
      </c>
      <c r="M45" s="140" t="s">
        <v>2933</v>
      </c>
      <c r="N45" s="140"/>
      <c r="O45" s="140"/>
      <c r="P45" s="140"/>
      <c r="Q45" s="140"/>
      <c r="R45" s="140"/>
      <c r="S45" s="140" t="s">
        <v>2934</v>
      </c>
      <c r="T45" s="140" t="s">
        <v>2935</v>
      </c>
      <c r="U45" s="140" t="s">
        <v>2936</v>
      </c>
      <c r="V45" s="141" t="s">
        <v>290</v>
      </c>
    </row>
    <row r="46" spans="2:22">
      <c r="B46" s="142" cm="1">
        <f t="array" ref="B46" xml:space="preserve"> ROW() - ROW($4:$4)</f>
        <v>42</v>
      </c>
      <c r="C46" s="139" t="s">
        <v>289</v>
      </c>
      <c r="D46" s="140" t="s">
        <v>289</v>
      </c>
      <c r="E46" s="140"/>
      <c r="F46" s="140" t="s">
        <v>2937</v>
      </c>
      <c r="G46" s="140" t="s">
        <v>2938</v>
      </c>
      <c r="H46" s="140" t="s">
        <v>2939</v>
      </c>
      <c r="I46" s="140" t="s">
        <v>2940</v>
      </c>
      <c r="J46" s="140" t="s">
        <v>2941</v>
      </c>
      <c r="K46" s="140" t="s">
        <v>2942</v>
      </c>
      <c r="L46" s="140" t="s">
        <v>2943</v>
      </c>
      <c r="M46" s="140" t="s">
        <v>2944</v>
      </c>
      <c r="N46" s="140"/>
      <c r="O46" s="140"/>
      <c r="P46" s="140"/>
      <c r="Q46" s="140"/>
      <c r="R46" s="140"/>
      <c r="S46" s="140" t="s">
        <v>2945</v>
      </c>
      <c r="T46" s="140" t="s">
        <v>2946</v>
      </c>
      <c r="U46" s="140" t="s">
        <v>2947</v>
      </c>
      <c r="V46" s="141" t="s">
        <v>289</v>
      </c>
    </row>
    <row r="47" spans="2:22">
      <c r="B47" s="142" cm="1">
        <f t="array" ref="B47" xml:space="preserve"> ROW() - ROW($4:$4)</f>
        <v>43</v>
      </c>
      <c r="C47" s="139" t="s">
        <v>172</v>
      </c>
      <c r="D47" s="140" t="s">
        <v>172</v>
      </c>
      <c r="E47" s="140"/>
      <c r="F47" s="140" t="s">
        <v>2948</v>
      </c>
      <c r="G47" s="140" t="s">
        <v>2949</v>
      </c>
      <c r="H47" s="140"/>
      <c r="I47" s="140" t="s">
        <v>2950</v>
      </c>
      <c r="J47" s="140" t="s">
        <v>2951</v>
      </c>
      <c r="K47" s="140" t="s">
        <v>2952</v>
      </c>
      <c r="L47" s="140" t="s">
        <v>2953</v>
      </c>
      <c r="M47" s="140" t="s">
        <v>2954</v>
      </c>
      <c r="N47" s="140"/>
      <c r="O47" s="140"/>
      <c r="P47" s="140"/>
      <c r="Q47" s="140"/>
      <c r="R47" s="140"/>
      <c r="S47" s="140" t="s">
        <v>2955</v>
      </c>
      <c r="T47" s="140"/>
      <c r="U47" s="140"/>
      <c r="V47" s="141" t="s">
        <v>172</v>
      </c>
    </row>
    <row r="48" spans="2:22">
      <c r="B48" s="142" cm="1">
        <f t="array" ref="B48" xml:space="preserve"> ROW() - ROW($4:$4)</f>
        <v>44</v>
      </c>
      <c r="C48" s="139" t="s">
        <v>318</v>
      </c>
      <c r="D48" s="140" t="s">
        <v>318</v>
      </c>
      <c r="E48" s="140" t="s">
        <v>2956</v>
      </c>
      <c r="F48" s="140" t="s">
        <v>2957</v>
      </c>
      <c r="G48" s="140" t="s">
        <v>2958</v>
      </c>
      <c r="H48" s="140"/>
      <c r="I48" s="140" t="s">
        <v>2959</v>
      </c>
      <c r="J48" s="140" t="s">
        <v>2960</v>
      </c>
      <c r="K48" s="140" t="s">
        <v>2961</v>
      </c>
      <c r="L48" s="140" t="s">
        <v>2962</v>
      </c>
      <c r="M48" s="140"/>
      <c r="N48" s="140"/>
      <c r="O48" s="140"/>
      <c r="P48" s="140"/>
      <c r="Q48" s="140" t="s">
        <v>2963</v>
      </c>
      <c r="R48" s="140" t="s">
        <v>2964</v>
      </c>
      <c r="S48" s="140" t="s">
        <v>2965</v>
      </c>
      <c r="T48" s="140" t="s">
        <v>2966</v>
      </c>
      <c r="U48" s="140"/>
      <c r="V48" s="141" t="s">
        <v>318</v>
      </c>
    </row>
    <row r="49" spans="2:22">
      <c r="B49" s="142" cm="1">
        <f t="array" ref="B49" xml:space="preserve"> ROW() - ROW($4:$4)</f>
        <v>45</v>
      </c>
      <c r="C49" s="139" t="s">
        <v>439</v>
      </c>
      <c r="D49" s="140" t="s">
        <v>439</v>
      </c>
      <c r="E49" s="140" t="s">
        <v>2967</v>
      </c>
      <c r="F49" s="140" t="s">
        <v>2968</v>
      </c>
      <c r="G49" s="140" t="s">
        <v>2969</v>
      </c>
      <c r="H49" s="140" t="s">
        <v>2970</v>
      </c>
      <c r="I49" s="140" t="s">
        <v>2971</v>
      </c>
      <c r="J49" s="140" t="s">
        <v>2972</v>
      </c>
      <c r="K49" s="140" t="s">
        <v>2973</v>
      </c>
      <c r="L49" s="140" t="s">
        <v>2974</v>
      </c>
      <c r="M49" s="140" t="s">
        <v>2975</v>
      </c>
      <c r="N49" s="140"/>
      <c r="O49" s="140" t="s">
        <v>683</v>
      </c>
      <c r="P49" s="140"/>
      <c r="Q49" s="140" t="s">
        <v>2976</v>
      </c>
      <c r="R49" s="140"/>
      <c r="S49" s="140" t="s">
        <v>2977</v>
      </c>
      <c r="T49" s="140" t="s">
        <v>2978</v>
      </c>
      <c r="U49" s="140" t="s">
        <v>2979</v>
      </c>
      <c r="V49" s="141" t="s">
        <v>439</v>
      </c>
    </row>
    <row r="50" spans="2:22">
      <c r="B50" s="142" cm="1">
        <f t="array" ref="B50" xml:space="preserve"> ROW() - ROW($4:$4)</f>
        <v>46</v>
      </c>
      <c r="C50" s="139" t="s">
        <v>2980</v>
      </c>
      <c r="D50" s="140" t="s">
        <v>2981</v>
      </c>
      <c r="E50" s="140"/>
      <c r="F50" s="140" t="s">
        <v>2982</v>
      </c>
      <c r="G50" s="140" t="s">
        <v>2983</v>
      </c>
      <c r="H50" s="140"/>
      <c r="I50" s="140" t="s">
        <v>2984</v>
      </c>
      <c r="J50" s="140"/>
      <c r="K50" s="140" t="s">
        <v>2985</v>
      </c>
      <c r="L50" s="140" t="s">
        <v>2986</v>
      </c>
      <c r="M50" s="140"/>
      <c r="N50" s="140"/>
      <c r="O50" s="140"/>
      <c r="P50" s="140"/>
      <c r="Q50" s="140"/>
      <c r="R50" s="140"/>
      <c r="S50" s="140" t="s">
        <v>2987</v>
      </c>
      <c r="T50" s="140" t="s">
        <v>2988</v>
      </c>
      <c r="U50" s="140"/>
      <c r="V50" s="141" t="s">
        <v>2980</v>
      </c>
    </row>
    <row r="51" spans="2:22">
      <c r="B51" s="142" cm="1">
        <f t="array" ref="B51" xml:space="preserve"> ROW() - ROW($4:$4)</f>
        <v>47</v>
      </c>
      <c r="C51" s="139" t="s">
        <v>2989</v>
      </c>
      <c r="D51" s="140" t="s">
        <v>2990</v>
      </c>
      <c r="E51" s="140"/>
      <c r="F51" s="140"/>
      <c r="G51" s="140"/>
      <c r="H51" s="140"/>
      <c r="I51" s="140" t="s">
        <v>2991</v>
      </c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1" t="s">
        <v>2989</v>
      </c>
    </row>
    <row r="52" spans="2:22">
      <c r="B52" s="142" cm="1">
        <f t="array" ref="B52" xml:space="preserve"> ROW() - ROW($4:$4)</f>
        <v>48</v>
      </c>
      <c r="C52" s="139" t="s">
        <v>64</v>
      </c>
      <c r="D52" s="140" t="s">
        <v>64</v>
      </c>
      <c r="E52" s="140"/>
      <c r="F52" s="140"/>
      <c r="G52" s="140"/>
      <c r="H52" s="140"/>
      <c r="I52" s="140" t="s">
        <v>2992</v>
      </c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1" t="s">
        <v>64</v>
      </c>
    </row>
    <row r="53" spans="2:22">
      <c r="B53" s="142" cm="1">
        <f t="array" ref="B53" xml:space="preserve"> ROW() - ROW($4:$4)</f>
        <v>49</v>
      </c>
      <c r="C53" s="139" t="s">
        <v>588</v>
      </c>
      <c r="D53" s="140"/>
      <c r="E53" s="140"/>
      <c r="F53" s="140"/>
      <c r="G53" s="140"/>
      <c r="H53" s="140"/>
      <c r="I53" s="140" t="s">
        <v>2993</v>
      </c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1" t="s">
        <v>588</v>
      </c>
    </row>
    <row r="54" spans="2:22">
      <c r="B54" s="142" cm="1">
        <f t="array" ref="B54" xml:space="preserve"> ROW() - ROW($4:$4)</f>
        <v>50</v>
      </c>
      <c r="C54" s="139" t="s">
        <v>79</v>
      </c>
      <c r="D54" s="140" t="s">
        <v>79</v>
      </c>
      <c r="E54" s="140"/>
      <c r="F54" s="140" t="s">
        <v>2994</v>
      </c>
      <c r="G54" s="140" t="s">
        <v>2995</v>
      </c>
      <c r="H54" s="140"/>
      <c r="I54" s="140" t="s">
        <v>2996</v>
      </c>
      <c r="J54" s="140"/>
      <c r="K54" s="140" t="s">
        <v>2997</v>
      </c>
      <c r="L54" s="140" t="s">
        <v>2998</v>
      </c>
      <c r="M54" s="140"/>
      <c r="N54" s="140" t="s">
        <v>2999</v>
      </c>
      <c r="O54" s="140" t="s">
        <v>3000</v>
      </c>
      <c r="P54" s="140"/>
      <c r="Q54" s="140" t="s">
        <v>3001</v>
      </c>
      <c r="R54" s="140"/>
      <c r="S54" s="140" t="s">
        <v>3002</v>
      </c>
      <c r="T54" s="140" t="s">
        <v>3003</v>
      </c>
      <c r="U54" s="140" t="s">
        <v>3004</v>
      </c>
      <c r="V54" s="141" t="s">
        <v>79</v>
      </c>
    </row>
    <row r="55" spans="2:22">
      <c r="B55" s="142" cm="1">
        <f t="array" ref="B55" xml:space="preserve"> ROW() - ROW($4:$4)</f>
        <v>51</v>
      </c>
      <c r="C55" s="139" t="s">
        <v>545</v>
      </c>
      <c r="D55" s="140"/>
      <c r="E55" s="140"/>
      <c r="F55" s="140"/>
      <c r="G55" s="140" t="s">
        <v>3005</v>
      </c>
      <c r="H55" s="140"/>
      <c r="I55" s="140" t="s">
        <v>3006</v>
      </c>
      <c r="J55" s="140"/>
      <c r="K55" s="140"/>
      <c r="L55" s="140"/>
      <c r="M55" s="140"/>
      <c r="N55" s="140"/>
      <c r="O55" s="140"/>
      <c r="P55" s="140"/>
      <c r="Q55" s="140"/>
      <c r="R55" s="140" t="s">
        <v>3007</v>
      </c>
      <c r="S55" s="140" t="s">
        <v>3008</v>
      </c>
      <c r="T55" s="140"/>
      <c r="U55" s="140"/>
      <c r="V55" s="141" t="s">
        <v>545</v>
      </c>
    </row>
    <row r="56" spans="2:22">
      <c r="B56" s="142" cm="1">
        <f t="array" ref="B56" xml:space="preserve"> ROW() - ROW($4:$4)</f>
        <v>52</v>
      </c>
      <c r="C56" s="139" t="s">
        <v>299</v>
      </c>
      <c r="D56" s="140" t="s">
        <v>299</v>
      </c>
      <c r="E56" s="140" t="s">
        <v>3009</v>
      </c>
      <c r="F56" s="140" t="s">
        <v>3010</v>
      </c>
      <c r="G56" s="140" t="s">
        <v>3011</v>
      </c>
      <c r="H56" s="140" t="s">
        <v>3012</v>
      </c>
      <c r="I56" s="140" t="s">
        <v>3013</v>
      </c>
      <c r="J56" s="140"/>
      <c r="K56" s="140" t="s">
        <v>3014</v>
      </c>
      <c r="L56" s="140" t="s">
        <v>3015</v>
      </c>
      <c r="M56" s="140" t="s">
        <v>3016</v>
      </c>
      <c r="N56" s="140"/>
      <c r="O56" s="140"/>
      <c r="P56" s="140"/>
      <c r="Q56" s="140" t="s">
        <v>3017</v>
      </c>
      <c r="R56" s="140" t="s">
        <v>3018</v>
      </c>
      <c r="S56" s="140" t="s">
        <v>3019</v>
      </c>
      <c r="T56" s="140" t="s">
        <v>3020</v>
      </c>
      <c r="U56" s="140" t="s">
        <v>3021</v>
      </c>
      <c r="V56" s="141" t="s">
        <v>299</v>
      </c>
    </row>
    <row r="57" spans="2:22">
      <c r="B57" s="142" cm="1">
        <f t="array" ref="B57" xml:space="preserve"> ROW() - ROW($4:$4)</f>
        <v>53</v>
      </c>
      <c r="C57" s="139" t="s">
        <v>3022</v>
      </c>
      <c r="D57" s="140" t="s">
        <v>3023</v>
      </c>
      <c r="E57" s="140"/>
      <c r="F57" s="140"/>
      <c r="G57" s="140"/>
      <c r="H57" s="140"/>
      <c r="I57" s="140" t="s">
        <v>3024</v>
      </c>
      <c r="J57" s="140"/>
      <c r="K57" s="140" t="s">
        <v>3025</v>
      </c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1" t="s">
        <v>3022</v>
      </c>
    </row>
    <row r="58" spans="2:22">
      <c r="B58" s="142" cm="1">
        <f t="array" ref="B58" xml:space="preserve"> ROW() - ROW($4:$4)</f>
        <v>54</v>
      </c>
      <c r="C58" s="139" t="s">
        <v>715</v>
      </c>
      <c r="D58" s="140" t="s">
        <v>715</v>
      </c>
      <c r="E58" s="140" t="s">
        <v>3026</v>
      </c>
      <c r="F58" s="140" t="s">
        <v>3027</v>
      </c>
      <c r="G58" s="140" t="s">
        <v>3028</v>
      </c>
      <c r="H58" s="140" t="s">
        <v>3029</v>
      </c>
      <c r="I58" s="140" t="s">
        <v>3030</v>
      </c>
      <c r="J58" s="140"/>
      <c r="K58" s="140" t="s">
        <v>3031</v>
      </c>
      <c r="L58" s="140" t="s">
        <v>3032</v>
      </c>
      <c r="M58" s="140" t="s">
        <v>3033</v>
      </c>
      <c r="N58" s="140" t="s">
        <v>3034</v>
      </c>
      <c r="O58" s="140" t="s">
        <v>3035</v>
      </c>
      <c r="P58" s="140" t="s">
        <v>3036</v>
      </c>
      <c r="Q58" s="140" t="s">
        <v>3037</v>
      </c>
      <c r="R58" s="140" t="s">
        <v>3038</v>
      </c>
      <c r="S58" s="140" t="s">
        <v>3039</v>
      </c>
      <c r="T58" s="140" t="s">
        <v>3040</v>
      </c>
      <c r="U58" s="140" t="s">
        <v>3041</v>
      </c>
      <c r="V58" s="141" t="s">
        <v>715</v>
      </c>
    </row>
    <row r="59" spans="2:22">
      <c r="B59" s="142" cm="1">
        <f t="array" ref="B59" xml:space="preserve"> ROW() - ROW($4:$4)</f>
        <v>55</v>
      </c>
      <c r="C59" s="139" t="s">
        <v>343</v>
      </c>
      <c r="D59" s="140" t="s">
        <v>343</v>
      </c>
      <c r="E59" s="140" t="s">
        <v>3042</v>
      </c>
      <c r="F59" s="140" t="s">
        <v>3043</v>
      </c>
      <c r="G59" s="140" t="s">
        <v>3044</v>
      </c>
      <c r="H59" s="140" t="s">
        <v>3045</v>
      </c>
      <c r="I59" s="140" t="s">
        <v>3046</v>
      </c>
      <c r="J59" s="140"/>
      <c r="K59" s="140" t="s">
        <v>3047</v>
      </c>
      <c r="L59" s="140" t="s">
        <v>3048</v>
      </c>
      <c r="M59" s="140" t="s">
        <v>3049</v>
      </c>
      <c r="N59" s="140" t="s">
        <v>3050</v>
      </c>
      <c r="O59" s="140" t="s">
        <v>3051</v>
      </c>
      <c r="P59" s="140"/>
      <c r="Q59" s="140" t="s">
        <v>3052</v>
      </c>
      <c r="R59" s="140" t="s">
        <v>3053</v>
      </c>
      <c r="S59" s="140" t="s">
        <v>3054</v>
      </c>
      <c r="T59" s="140" t="s">
        <v>3055</v>
      </c>
      <c r="U59" s="140" t="s">
        <v>3056</v>
      </c>
      <c r="V59" s="141" t="s">
        <v>343</v>
      </c>
    </row>
    <row r="60" spans="2:22">
      <c r="B60" s="142" cm="1">
        <f t="array" ref="B60" xml:space="preserve"> ROW() - ROW($4:$4)</f>
        <v>56</v>
      </c>
      <c r="C60" s="139" t="s">
        <v>3057</v>
      </c>
      <c r="D60" s="140" t="s">
        <v>3058</v>
      </c>
      <c r="E60" s="140"/>
      <c r="F60" s="140"/>
      <c r="G60" s="140" t="s">
        <v>3059</v>
      </c>
      <c r="H60" s="140"/>
      <c r="I60" s="140" t="s">
        <v>3060</v>
      </c>
      <c r="J60" s="140"/>
      <c r="K60" s="140" t="s">
        <v>3061</v>
      </c>
      <c r="L60" s="140" t="s">
        <v>3062</v>
      </c>
      <c r="M60" s="140"/>
      <c r="N60" s="140"/>
      <c r="O60" s="140"/>
      <c r="P60" s="140"/>
      <c r="Q60" s="140" t="s">
        <v>3063</v>
      </c>
      <c r="R60" s="140" t="s">
        <v>3064</v>
      </c>
      <c r="S60" s="140" t="s">
        <v>3065</v>
      </c>
      <c r="T60" s="140" t="s">
        <v>3066</v>
      </c>
      <c r="U60" s="140" t="s">
        <v>3067</v>
      </c>
      <c r="V60" s="141" t="s">
        <v>3057</v>
      </c>
    </row>
    <row r="61" spans="2:22">
      <c r="B61" s="142" cm="1">
        <f t="array" ref="B61" xml:space="preserve"> ROW() - ROW($4:$4)</f>
        <v>57</v>
      </c>
      <c r="C61" s="139" t="s">
        <v>344</v>
      </c>
      <c r="D61" s="140" t="s">
        <v>344</v>
      </c>
      <c r="E61" s="140" t="s">
        <v>3068</v>
      </c>
      <c r="F61" s="140" t="s">
        <v>3069</v>
      </c>
      <c r="G61" s="140" t="s">
        <v>3070</v>
      </c>
      <c r="H61" s="140"/>
      <c r="I61" s="140" t="s">
        <v>3071</v>
      </c>
      <c r="J61" s="140" t="s">
        <v>3072</v>
      </c>
      <c r="K61" s="140" t="s">
        <v>3073</v>
      </c>
      <c r="L61" s="140" t="s">
        <v>3074</v>
      </c>
      <c r="M61" s="140" t="s">
        <v>3075</v>
      </c>
      <c r="N61" s="140"/>
      <c r="O61" s="140"/>
      <c r="P61" s="140"/>
      <c r="Q61" s="140" t="s">
        <v>3076</v>
      </c>
      <c r="R61" s="140" t="s">
        <v>3077</v>
      </c>
      <c r="S61" s="140" t="s">
        <v>3078</v>
      </c>
      <c r="T61" s="140"/>
      <c r="U61" s="140" t="s">
        <v>3079</v>
      </c>
      <c r="V61" s="141" t="s">
        <v>344</v>
      </c>
    </row>
    <row r="62" spans="2:22">
      <c r="B62" s="142" cm="1">
        <f t="array" ref="B62" xml:space="preserve"> ROW() - ROW($4:$4)</f>
        <v>58</v>
      </c>
      <c r="C62" s="139" t="s">
        <v>223</v>
      </c>
      <c r="D62" s="140" t="s">
        <v>223</v>
      </c>
      <c r="E62" s="140"/>
      <c r="F62" s="140"/>
      <c r="G62" s="140"/>
      <c r="H62" s="140"/>
      <c r="I62" s="140" t="s">
        <v>3080</v>
      </c>
      <c r="J62" s="140"/>
      <c r="K62" s="140" t="s">
        <v>3081</v>
      </c>
      <c r="L62" s="140" t="s">
        <v>3082</v>
      </c>
      <c r="M62" s="140"/>
      <c r="N62" s="140"/>
      <c r="O62" s="140"/>
      <c r="P62" s="140"/>
      <c r="Q62" s="140"/>
      <c r="R62" s="140"/>
      <c r="S62" s="140" t="s">
        <v>3083</v>
      </c>
      <c r="T62" s="140"/>
      <c r="U62" s="140"/>
      <c r="V62" s="141" t="s">
        <v>223</v>
      </c>
    </row>
    <row r="63" spans="2:22">
      <c r="B63" s="142" cm="1">
        <f t="array" ref="B63" xml:space="preserve"> ROW() - ROW($4:$4)</f>
        <v>59</v>
      </c>
      <c r="C63" s="139" t="s">
        <v>3084</v>
      </c>
      <c r="D63" s="140" t="s">
        <v>3085</v>
      </c>
      <c r="E63" s="140"/>
      <c r="F63" s="140" t="s">
        <v>3086</v>
      </c>
      <c r="G63" s="140"/>
      <c r="H63" s="140"/>
      <c r="I63" s="140" t="s">
        <v>3087</v>
      </c>
      <c r="J63" s="140"/>
      <c r="K63" s="140" t="s">
        <v>3088</v>
      </c>
      <c r="L63" s="140"/>
      <c r="M63" s="140"/>
      <c r="N63" s="140"/>
      <c r="O63" s="140"/>
      <c r="P63" s="140"/>
      <c r="Q63" s="140"/>
      <c r="R63" s="140"/>
      <c r="S63" s="140" t="s">
        <v>3089</v>
      </c>
      <c r="T63" s="140"/>
      <c r="U63" s="140"/>
      <c r="V63" s="141" t="s">
        <v>3084</v>
      </c>
    </row>
    <row r="64" spans="2:22">
      <c r="B64" s="142" cm="1">
        <f t="array" ref="B64" xml:space="preserve"> ROW() - ROW($4:$4)</f>
        <v>60</v>
      </c>
      <c r="C64" s="139" t="s">
        <v>244</v>
      </c>
      <c r="D64" s="140" t="s">
        <v>244</v>
      </c>
      <c r="E64" s="140" t="s">
        <v>3090</v>
      </c>
      <c r="F64" s="140" t="s">
        <v>3091</v>
      </c>
      <c r="G64" s="140" t="s">
        <v>3092</v>
      </c>
      <c r="H64" s="140" t="s">
        <v>3093</v>
      </c>
      <c r="I64" s="140" t="s">
        <v>3094</v>
      </c>
      <c r="J64" s="140"/>
      <c r="K64" s="140" t="s">
        <v>3095</v>
      </c>
      <c r="L64" s="140" t="s">
        <v>3096</v>
      </c>
      <c r="M64" s="140" t="s">
        <v>3097</v>
      </c>
      <c r="N64" s="140"/>
      <c r="O64" s="140"/>
      <c r="P64" s="140"/>
      <c r="Q64" s="140" t="s">
        <v>3098</v>
      </c>
      <c r="R64" s="140" t="s">
        <v>3099</v>
      </c>
      <c r="S64" s="140" t="s">
        <v>3100</v>
      </c>
      <c r="T64" s="140" t="s">
        <v>3101</v>
      </c>
      <c r="U64" s="140" t="s">
        <v>3102</v>
      </c>
      <c r="V64" s="141" t="s">
        <v>244</v>
      </c>
    </row>
    <row r="65" spans="2:22">
      <c r="B65" s="142" cm="1">
        <f t="array" ref="B65" xml:space="preserve"> ROW() - ROW($4:$4)</f>
        <v>61</v>
      </c>
      <c r="C65" s="139" t="s">
        <v>602</v>
      </c>
      <c r="D65" s="140" t="s">
        <v>602</v>
      </c>
      <c r="E65" s="140"/>
      <c r="F65" s="140"/>
      <c r="G65" s="140" t="s">
        <v>3103</v>
      </c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  <c r="V65" s="141" t="s">
        <v>602</v>
      </c>
    </row>
    <row r="66" spans="2:22">
      <c r="B66" s="142" cm="1">
        <f t="array" ref="B66" xml:space="preserve"> ROW() - ROW($4:$4)</f>
        <v>62</v>
      </c>
      <c r="C66" s="139" t="s">
        <v>245</v>
      </c>
      <c r="D66" s="140" t="s">
        <v>245</v>
      </c>
      <c r="E66" s="140" t="s">
        <v>3104</v>
      </c>
      <c r="F66" s="140" t="s">
        <v>3105</v>
      </c>
      <c r="G66" s="140"/>
      <c r="H66" s="140" t="s">
        <v>3106</v>
      </c>
      <c r="I66" s="140" t="s">
        <v>3107</v>
      </c>
      <c r="J66" s="140"/>
      <c r="K66" s="140" t="s">
        <v>3108</v>
      </c>
      <c r="L66" s="140" t="s">
        <v>3109</v>
      </c>
      <c r="M66" s="140" t="s">
        <v>3110</v>
      </c>
      <c r="N66" s="140"/>
      <c r="O66" s="140"/>
      <c r="P66" s="140"/>
      <c r="Q66" s="140" t="s">
        <v>3111</v>
      </c>
      <c r="R66" s="140" t="s">
        <v>3112</v>
      </c>
      <c r="S66" s="140" t="s">
        <v>3113</v>
      </c>
      <c r="T66" s="140" t="s">
        <v>3114</v>
      </c>
      <c r="U66" s="140" t="s">
        <v>3115</v>
      </c>
      <c r="V66" s="141" t="s">
        <v>245</v>
      </c>
    </row>
    <row r="67" spans="2:22">
      <c r="B67" s="142" cm="1">
        <f t="array" ref="B67" xml:space="preserve"> ROW() - ROW($4:$4)</f>
        <v>63</v>
      </c>
      <c r="C67" s="139" t="s">
        <v>261</v>
      </c>
      <c r="D67" s="140" t="s">
        <v>261</v>
      </c>
      <c r="E67" s="140" t="s">
        <v>3116</v>
      </c>
      <c r="F67" s="140" t="s">
        <v>3117</v>
      </c>
      <c r="G67" s="140" t="s">
        <v>3118</v>
      </c>
      <c r="H67" s="140" t="s">
        <v>3119</v>
      </c>
      <c r="I67" s="140" t="s">
        <v>3120</v>
      </c>
      <c r="J67" s="140" t="s">
        <v>3121</v>
      </c>
      <c r="K67" s="140" t="s">
        <v>3122</v>
      </c>
      <c r="L67" s="140" t="s">
        <v>3123</v>
      </c>
      <c r="M67" s="140" t="s">
        <v>3124</v>
      </c>
      <c r="N67" s="140"/>
      <c r="O67" s="140"/>
      <c r="P67" s="140"/>
      <c r="Q67" s="140" t="s">
        <v>3125</v>
      </c>
      <c r="R67" s="140" t="s">
        <v>3126</v>
      </c>
      <c r="S67" s="140" t="s">
        <v>3127</v>
      </c>
      <c r="T67" s="140" t="s">
        <v>3128</v>
      </c>
      <c r="U67" s="140"/>
      <c r="V67" s="141" t="s">
        <v>261</v>
      </c>
    </row>
    <row r="68" spans="2:22">
      <c r="B68" s="142" cm="1">
        <f t="array" ref="B68" xml:space="preserve"> ROW() - ROW($4:$4)</f>
        <v>64</v>
      </c>
      <c r="C68" s="139" t="s">
        <v>392</v>
      </c>
      <c r="D68" s="140" t="s">
        <v>392</v>
      </c>
      <c r="E68" s="140" t="s">
        <v>3129</v>
      </c>
      <c r="F68" s="140"/>
      <c r="G68" s="140"/>
      <c r="H68" s="140" t="s">
        <v>3130</v>
      </c>
      <c r="I68" s="140" t="s">
        <v>3131</v>
      </c>
      <c r="J68" s="140"/>
      <c r="K68" s="140" t="s">
        <v>3132</v>
      </c>
      <c r="L68" s="140" t="s">
        <v>3133</v>
      </c>
      <c r="M68" s="140"/>
      <c r="N68" s="140"/>
      <c r="O68" s="140"/>
      <c r="P68" s="140"/>
      <c r="Q68" s="140" t="s">
        <v>3134</v>
      </c>
      <c r="R68" s="140" t="s">
        <v>3135</v>
      </c>
      <c r="S68" s="140" t="s">
        <v>3136</v>
      </c>
      <c r="T68" s="140"/>
      <c r="U68" s="140"/>
      <c r="V68" s="141" t="s">
        <v>392</v>
      </c>
    </row>
    <row r="69" spans="2:22">
      <c r="B69" s="142" cm="1">
        <f t="array" ref="B69" xml:space="preserve"> ROW() - ROW($4:$4)</f>
        <v>65</v>
      </c>
      <c r="C69" s="139" t="s">
        <v>300</v>
      </c>
      <c r="D69" s="140" t="s">
        <v>300</v>
      </c>
      <c r="E69" s="140"/>
      <c r="F69" s="140" t="s">
        <v>3137</v>
      </c>
      <c r="G69" s="140" t="s">
        <v>3138</v>
      </c>
      <c r="H69" s="140"/>
      <c r="I69" s="140" t="s">
        <v>3139</v>
      </c>
      <c r="J69" s="140"/>
      <c r="K69" s="140" t="s">
        <v>3140</v>
      </c>
      <c r="L69" s="140"/>
      <c r="M69" s="140" t="s">
        <v>3141</v>
      </c>
      <c r="N69" s="140"/>
      <c r="O69" s="140"/>
      <c r="P69" s="140"/>
      <c r="Q69" s="140" t="s">
        <v>3142</v>
      </c>
      <c r="R69" s="140" t="s">
        <v>3143</v>
      </c>
      <c r="S69" s="140" t="s">
        <v>3144</v>
      </c>
      <c r="T69" s="140" t="s">
        <v>3145</v>
      </c>
      <c r="U69" s="140" t="s">
        <v>3146</v>
      </c>
      <c r="V69" s="141" t="s">
        <v>300</v>
      </c>
    </row>
    <row r="70" spans="2:22">
      <c r="B70" s="142" cm="1">
        <f t="array" ref="B70" xml:space="preserve"> ROW() - ROW($4:$4)</f>
        <v>66</v>
      </c>
      <c r="C70" s="139" t="s">
        <v>3147</v>
      </c>
      <c r="D70" s="140"/>
      <c r="E70" s="140"/>
      <c r="F70" s="140"/>
      <c r="G70" s="140"/>
      <c r="H70" s="140"/>
      <c r="I70" s="140"/>
      <c r="J70" s="140"/>
      <c r="K70" s="140"/>
      <c r="L70" s="140"/>
      <c r="M70" s="140"/>
      <c r="N70" s="140" t="s">
        <v>3148</v>
      </c>
      <c r="O70" s="140"/>
      <c r="P70" s="140"/>
      <c r="Q70" s="140"/>
      <c r="R70" s="140"/>
      <c r="S70" s="140"/>
      <c r="T70" s="140"/>
      <c r="U70" s="140"/>
      <c r="V70" s="141" t="s">
        <v>3147</v>
      </c>
    </row>
    <row r="71" spans="2:22">
      <c r="B71" s="142" cm="1">
        <f t="array" ref="B71" xml:space="preserve"> ROW() - ROW($4:$4)</f>
        <v>67</v>
      </c>
      <c r="C71" s="139" t="s">
        <v>3149</v>
      </c>
      <c r="D71" s="140" t="s">
        <v>3150</v>
      </c>
      <c r="E71" s="140"/>
      <c r="F71" s="140"/>
      <c r="G71" s="140"/>
      <c r="H71" s="140"/>
      <c r="I71" s="140" t="s">
        <v>3151</v>
      </c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1" t="s">
        <v>3149</v>
      </c>
    </row>
    <row r="72" spans="2:22">
      <c r="B72" s="142" cm="1">
        <f t="array" ref="B72" xml:space="preserve"> ROW() - ROW($4:$4)</f>
        <v>68</v>
      </c>
      <c r="C72" s="139" t="s">
        <v>212</v>
      </c>
      <c r="D72" s="140" t="s">
        <v>212</v>
      </c>
      <c r="E72" s="140" t="s">
        <v>3152</v>
      </c>
      <c r="F72" s="140" t="s">
        <v>3153</v>
      </c>
      <c r="G72" s="140" t="s">
        <v>3154</v>
      </c>
      <c r="H72" s="140" t="s">
        <v>3155</v>
      </c>
      <c r="I72" s="140" t="s">
        <v>3156</v>
      </c>
      <c r="J72" s="140"/>
      <c r="K72" s="140" t="s">
        <v>3157</v>
      </c>
      <c r="L72" s="140" t="s">
        <v>3158</v>
      </c>
      <c r="M72" s="140" t="s">
        <v>3159</v>
      </c>
      <c r="N72" s="140"/>
      <c r="O72" s="140"/>
      <c r="P72" s="140"/>
      <c r="Q72" s="140" t="s">
        <v>3160</v>
      </c>
      <c r="R72" s="140" t="s">
        <v>3161</v>
      </c>
      <c r="S72" s="140" t="s">
        <v>3162</v>
      </c>
      <c r="T72" s="140" t="s">
        <v>3163</v>
      </c>
      <c r="U72" s="140" t="s">
        <v>3164</v>
      </c>
      <c r="V72" s="141" t="s">
        <v>212</v>
      </c>
    </row>
    <row r="73" spans="2:22">
      <c r="B73" s="142" cm="1">
        <f t="array" ref="B73" xml:space="preserve"> ROW() - ROW($4:$4)</f>
        <v>69</v>
      </c>
      <c r="C73" s="139" t="s">
        <v>649</v>
      </c>
      <c r="D73" s="140" t="s">
        <v>649</v>
      </c>
      <c r="E73" s="140"/>
      <c r="F73" s="140"/>
      <c r="G73" s="140"/>
      <c r="H73" s="140"/>
      <c r="I73" s="140"/>
      <c r="J73" s="140"/>
      <c r="K73" s="140"/>
      <c r="L73" s="140"/>
      <c r="M73" s="140"/>
      <c r="N73" s="140"/>
      <c r="O73" s="140"/>
      <c r="P73" s="140"/>
      <c r="Q73" s="140"/>
      <c r="R73" s="140"/>
      <c r="S73" s="140" t="s">
        <v>3165</v>
      </c>
      <c r="T73" s="140" t="s">
        <v>3166</v>
      </c>
      <c r="U73" s="140"/>
      <c r="V73" s="141" t="s">
        <v>649</v>
      </c>
    </row>
    <row r="74" spans="2:22">
      <c r="B74" s="142" cm="1">
        <f t="array" ref="B74" xml:space="preserve"> ROW() - ROW($4:$4)</f>
        <v>70</v>
      </c>
      <c r="C74" s="139" t="s">
        <v>211</v>
      </c>
      <c r="D74" s="140" t="s">
        <v>211</v>
      </c>
      <c r="E74" s="140" t="s">
        <v>3167</v>
      </c>
      <c r="F74" s="140" t="s">
        <v>3168</v>
      </c>
      <c r="G74" s="140" t="s">
        <v>3169</v>
      </c>
      <c r="H74" s="140" t="s">
        <v>3170</v>
      </c>
      <c r="I74" s="140" t="s">
        <v>3171</v>
      </c>
      <c r="J74" s="140"/>
      <c r="K74" s="140" t="s">
        <v>3172</v>
      </c>
      <c r="L74" s="140" t="s">
        <v>3173</v>
      </c>
      <c r="M74" s="140" t="s">
        <v>3174</v>
      </c>
      <c r="N74" s="140"/>
      <c r="O74" s="140"/>
      <c r="P74" s="140"/>
      <c r="Q74" s="140" t="s">
        <v>3175</v>
      </c>
      <c r="R74" s="140" t="s">
        <v>3176</v>
      </c>
      <c r="S74" s="140" t="s">
        <v>3177</v>
      </c>
      <c r="T74" s="140" t="s">
        <v>3178</v>
      </c>
      <c r="U74" s="140" t="s">
        <v>3179</v>
      </c>
      <c r="V74" s="141" t="s">
        <v>211</v>
      </c>
    </row>
    <row r="75" spans="2:22">
      <c r="B75" s="142" cm="1">
        <f t="array" ref="B75" xml:space="preserve"> ROW() - ROW($4:$4)</f>
        <v>71</v>
      </c>
      <c r="C75" s="139" t="s">
        <v>415</v>
      </c>
      <c r="D75" s="140" t="s">
        <v>415</v>
      </c>
      <c r="E75" s="140" t="s">
        <v>3180</v>
      </c>
      <c r="F75" s="140" t="s">
        <v>3181</v>
      </c>
      <c r="G75" s="140" t="s">
        <v>3182</v>
      </c>
      <c r="H75" s="140" t="s">
        <v>3183</v>
      </c>
      <c r="I75" s="140" t="s">
        <v>3184</v>
      </c>
      <c r="J75" s="140" t="s">
        <v>3185</v>
      </c>
      <c r="K75" s="140" t="s">
        <v>3186</v>
      </c>
      <c r="L75" s="140" t="s">
        <v>3187</v>
      </c>
      <c r="M75" s="140" t="s">
        <v>3188</v>
      </c>
      <c r="N75" s="140"/>
      <c r="O75" s="140"/>
      <c r="P75" s="140"/>
      <c r="Q75" s="140" t="s">
        <v>3189</v>
      </c>
      <c r="R75" s="140" t="s">
        <v>3190</v>
      </c>
      <c r="S75" s="140" t="s">
        <v>3191</v>
      </c>
      <c r="T75" s="140" t="s">
        <v>3192</v>
      </c>
      <c r="U75" s="140" t="s">
        <v>3193</v>
      </c>
      <c r="V75" s="141" t="s">
        <v>415</v>
      </c>
    </row>
    <row r="76" spans="2:22">
      <c r="B76" s="142" cm="1">
        <f t="array" ref="B76" xml:space="preserve"> ROW() - ROW($4:$4)</f>
        <v>72</v>
      </c>
      <c r="C76" s="139" t="s">
        <v>416</v>
      </c>
      <c r="D76" s="140" t="s">
        <v>416</v>
      </c>
      <c r="E76" s="140"/>
      <c r="F76" s="140" t="s">
        <v>3194</v>
      </c>
      <c r="G76" s="140" t="s">
        <v>3195</v>
      </c>
      <c r="H76" s="140"/>
      <c r="I76" s="140"/>
      <c r="J76" s="140"/>
      <c r="K76" s="140"/>
      <c r="L76" s="140" t="s">
        <v>3196</v>
      </c>
      <c r="M76" s="140"/>
      <c r="N76" s="140"/>
      <c r="O76" s="140"/>
      <c r="P76" s="140"/>
      <c r="Q76" s="140" t="s">
        <v>3197</v>
      </c>
      <c r="R76" s="140" t="s">
        <v>3198</v>
      </c>
      <c r="S76" s="140"/>
      <c r="T76" s="140" t="s">
        <v>3199</v>
      </c>
      <c r="U76" s="140" t="s">
        <v>3200</v>
      </c>
      <c r="V76" s="141" t="s">
        <v>416</v>
      </c>
    </row>
    <row r="77" spans="2:22">
      <c r="B77" s="142" cm="1">
        <f t="array" ref="B77" xml:space="preserve"> ROW() - ROW($4:$4)</f>
        <v>73</v>
      </c>
      <c r="C77" s="139" t="s">
        <v>178</v>
      </c>
      <c r="D77" s="140" t="s">
        <v>178</v>
      </c>
      <c r="E77" s="140" t="s">
        <v>3201</v>
      </c>
      <c r="F77" s="140" t="s">
        <v>3202</v>
      </c>
      <c r="G77" s="140" t="s">
        <v>3203</v>
      </c>
      <c r="H77" s="140" t="s">
        <v>3204</v>
      </c>
      <c r="I77" s="140" t="s">
        <v>3205</v>
      </c>
      <c r="J77" s="140"/>
      <c r="K77" s="140" t="s">
        <v>3206</v>
      </c>
      <c r="L77" s="140" t="s">
        <v>3207</v>
      </c>
      <c r="M77" s="140" t="s">
        <v>3208</v>
      </c>
      <c r="N77" s="140" t="s">
        <v>3209</v>
      </c>
      <c r="O77" s="140"/>
      <c r="P77" s="140"/>
      <c r="Q77" s="140" t="s">
        <v>3210</v>
      </c>
      <c r="R77" s="140" t="s">
        <v>3211</v>
      </c>
      <c r="S77" s="140" t="s">
        <v>3212</v>
      </c>
      <c r="T77" s="140" t="s">
        <v>3213</v>
      </c>
      <c r="U77" s="140" t="s">
        <v>3214</v>
      </c>
      <c r="V77" s="141" t="s">
        <v>178</v>
      </c>
    </row>
    <row r="78" spans="2:22">
      <c r="B78" s="142" cm="1">
        <f t="array" ref="B78" xml:space="preserve"> ROW() - ROW($4:$4)</f>
        <v>74</v>
      </c>
      <c r="C78" s="139" t="s">
        <v>153</v>
      </c>
      <c r="D78" s="140" t="s">
        <v>153</v>
      </c>
      <c r="E78" s="140" t="s">
        <v>3215</v>
      </c>
      <c r="F78" s="140" t="s">
        <v>3216</v>
      </c>
      <c r="G78" s="140" t="s">
        <v>3217</v>
      </c>
      <c r="H78" s="140" t="s">
        <v>3218</v>
      </c>
      <c r="I78" s="140" t="s">
        <v>3219</v>
      </c>
      <c r="J78" s="140" t="s">
        <v>3220</v>
      </c>
      <c r="K78" s="140" t="s">
        <v>3221</v>
      </c>
      <c r="L78" s="140" t="s">
        <v>3222</v>
      </c>
      <c r="M78" s="140" t="s">
        <v>3223</v>
      </c>
      <c r="N78" s="140"/>
      <c r="O78" s="140"/>
      <c r="P78" s="140"/>
      <c r="Q78" s="140" t="s">
        <v>3224</v>
      </c>
      <c r="R78" s="140" t="s">
        <v>3225</v>
      </c>
      <c r="S78" s="140" t="s">
        <v>3226</v>
      </c>
      <c r="T78" s="140" t="s">
        <v>3227</v>
      </c>
      <c r="U78" s="140" t="s">
        <v>3228</v>
      </c>
      <c r="V78" s="141" t="s">
        <v>153</v>
      </c>
    </row>
    <row r="79" spans="2:22">
      <c r="B79" s="142" cm="1">
        <f t="array" ref="B79" xml:space="preserve"> ROW() - ROW($4:$4)</f>
        <v>75</v>
      </c>
      <c r="C79" s="139" t="s">
        <v>154</v>
      </c>
      <c r="D79" s="140" t="s">
        <v>154</v>
      </c>
      <c r="E79" s="140" t="s">
        <v>3229</v>
      </c>
      <c r="F79" s="140" t="s">
        <v>3230</v>
      </c>
      <c r="G79" s="140" t="s">
        <v>3231</v>
      </c>
      <c r="H79" s="140"/>
      <c r="I79" s="140" t="s">
        <v>3232</v>
      </c>
      <c r="J79" s="140"/>
      <c r="K79" s="140" t="s">
        <v>3233</v>
      </c>
      <c r="L79" s="140" t="s">
        <v>3234</v>
      </c>
      <c r="M79" s="140" t="s">
        <v>3235</v>
      </c>
      <c r="N79" s="140"/>
      <c r="O79" s="140"/>
      <c r="P79" s="140"/>
      <c r="Q79" s="140" t="s">
        <v>3236</v>
      </c>
      <c r="R79" s="140" t="s">
        <v>3237</v>
      </c>
      <c r="S79" s="140" t="s">
        <v>3238</v>
      </c>
      <c r="T79" s="140" t="s">
        <v>3239</v>
      </c>
      <c r="U79" s="140" t="s">
        <v>3240</v>
      </c>
      <c r="V79" s="141" t="s">
        <v>154</v>
      </c>
    </row>
    <row r="80" spans="2:22">
      <c r="C80" s="140" t="s">
        <v>3241</v>
      </c>
      <c r="D80" s="140">
        <v>65</v>
      </c>
      <c r="E80" s="140">
        <v>35</v>
      </c>
      <c r="F80" s="140">
        <v>56</v>
      </c>
      <c r="G80" s="140">
        <v>58</v>
      </c>
      <c r="H80" s="140">
        <v>38</v>
      </c>
      <c r="I80" s="140">
        <v>67</v>
      </c>
      <c r="J80" s="140">
        <v>20</v>
      </c>
      <c r="K80" s="140">
        <v>58</v>
      </c>
      <c r="L80" s="140">
        <v>58</v>
      </c>
      <c r="M80" s="140">
        <v>35</v>
      </c>
      <c r="N80" s="140">
        <v>15</v>
      </c>
      <c r="O80" s="140">
        <v>15</v>
      </c>
      <c r="P80" s="140">
        <v>9</v>
      </c>
      <c r="Q80" s="140">
        <v>44</v>
      </c>
      <c r="R80" s="140">
        <v>43</v>
      </c>
      <c r="S80" s="140">
        <v>61</v>
      </c>
      <c r="T80" s="140">
        <v>56</v>
      </c>
      <c r="U80" s="140">
        <v>48</v>
      </c>
      <c r="V80" s="140" t="s">
        <v>3242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64A01-1B2C-9C47-A319-095A437BB5D3}">
  <sheetPr codeName="工作表31">
    <tabColor theme="9" tint="0.59999389629810485"/>
  </sheetPr>
  <dimension ref="A1:AJ54"/>
  <sheetViews>
    <sheetView topLeftCell="J1" workbookViewId="0">
      <selection activeCell="N5" sqref="N5:AJ54"/>
    </sheetView>
  </sheetViews>
  <sheetFormatPr baseColWidth="10" defaultColWidth="10.8984375" defaultRowHeight="22" outlineLevelCol="2"/>
  <cols>
    <col min="1" max="1" width="1.8984375" style="303" customWidth="1" outlineLevel="2"/>
    <col min="2" max="11" width="4.296875" style="303" customWidth="1" outlineLevel="1"/>
    <col min="12" max="12" width="2.09765625" style="303" customWidth="1"/>
    <col min="13" max="13" width="3.5" style="303" customWidth="1"/>
    <col min="14" max="14" width="5.3984375" style="303" customWidth="1"/>
    <col min="15" max="16" width="11.09765625" style="303" customWidth="1"/>
    <col min="17" max="17" width="7.59765625" style="303" customWidth="1"/>
    <col min="18" max="25" width="7.19921875" style="303" customWidth="1"/>
    <col min="26" max="26" width="2.09765625" style="303" customWidth="1"/>
    <col min="27" max="28" width="8.5" style="303" customWidth="1"/>
    <col min="29" max="36" width="5.5" style="303" customWidth="1"/>
  </cols>
  <sheetData>
    <row r="1" spans="2:36" ht="25">
      <c r="B1" s="302" t="s">
        <v>2400</v>
      </c>
      <c r="C1" s="287"/>
      <c r="D1" s="287"/>
      <c r="E1" s="301"/>
      <c r="F1" s="301"/>
      <c r="G1" s="301"/>
      <c r="H1" s="301"/>
      <c r="I1" s="301"/>
      <c r="J1" s="301"/>
      <c r="K1" s="301"/>
      <c r="L1" s="301"/>
      <c r="M1" s="302" t="s">
        <v>2383</v>
      </c>
      <c r="O1" s="103">
        <v>5</v>
      </c>
      <c r="R1" s="287">
        <v>12</v>
      </c>
      <c r="S1" s="301"/>
      <c r="T1" s="301"/>
      <c r="U1" s="301">
        <f>R1 + 1</f>
        <v>13</v>
      </c>
      <c r="V1" s="301"/>
      <c r="W1" s="301"/>
      <c r="X1" s="301"/>
      <c r="Y1" s="301"/>
      <c r="AA1" s="304"/>
      <c r="AB1" s="304"/>
      <c r="AC1" s="304"/>
      <c r="AD1" s="304"/>
    </row>
    <row r="2" spans="2:36" ht="25"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305"/>
      <c r="Q2" s="305"/>
      <c r="R2" s="305"/>
      <c r="S2" s="305"/>
      <c r="T2" s="305"/>
      <c r="U2" s="305"/>
      <c r="V2" s="305"/>
      <c r="W2" s="305"/>
      <c r="X2" s="305"/>
      <c r="Y2" s="305"/>
      <c r="AA2" s="304"/>
      <c r="AB2" s="304"/>
      <c r="AC2" s="304"/>
      <c r="AD2" s="304"/>
    </row>
    <row r="3" spans="2:36">
      <c r="B3" s="414" t="s">
        <v>123</v>
      </c>
      <c r="C3" s="414" t="s">
        <v>2402</v>
      </c>
      <c r="D3" s="306" t="s">
        <v>1704</v>
      </c>
      <c r="E3" s="306" t="s">
        <v>2064</v>
      </c>
      <c r="F3" s="306" t="s">
        <v>1749</v>
      </c>
      <c r="G3" s="306" t="s">
        <v>1773</v>
      </c>
      <c r="H3" s="306" t="s">
        <v>1791</v>
      </c>
      <c r="I3" s="306" t="s">
        <v>2064</v>
      </c>
      <c r="J3" s="306" t="s">
        <v>1822</v>
      </c>
      <c r="K3" s="306" t="s">
        <v>1845</v>
      </c>
      <c r="L3" s="305"/>
      <c r="M3" s="428" t="s">
        <v>123</v>
      </c>
      <c r="N3" s="414" t="s">
        <v>2</v>
      </c>
      <c r="O3" s="414" t="s">
        <v>1989</v>
      </c>
      <c r="P3" s="414" t="s">
        <v>1990</v>
      </c>
      <c r="Q3" s="414" t="s">
        <v>2409</v>
      </c>
      <c r="R3" s="306" t="s">
        <v>1704</v>
      </c>
      <c r="S3" s="306" t="s">
        <v>2064</v>
      </c>
      <c r="T3" s="306" t="s">
        <v>1749</v>
      </c>
      <c r="U3" s="306" t="s">
        <v>1773</v>
      </c>
      <c r="V3" s="306" t="s">
        <v>1791</v>
      </c>
      <c r="W3" s="306" t="s">
        <v>2064</v>
      </c>
      <c r="X3" s="306" t="s">
        <v>1822</v>
      </c>
      <c r="Y3" s="306" t="s">
        <v>1845</v>
      </c>
      <c r="AA3" s="427" t="s">
        <v>2410</v>
      </c>
      <c r="AB3" s="427" t="s">
        <v>2411</v>
      </c>
      <c r="AC3" s="306" t="s">
        <v>1704</v>
      </c>
      <c r="AD3" s="306" t="s">
        <v>2064</v>
      </c>
      <c r="AE3" s="306" t="s">
        <v>1749</v>
      </c>
      <c r="AF3" s="306" t="s">
        <v>1773</v>
      </c>
      <c r="AG3" s="306" t="s">
        <v>1791</v>
      </c>
      <c r="AH3" s="306" t="s">
        <v>2064</v>
      </c>
      <c r="AI3" s="306" t="s">
        <v>1822</v>
      </c>
      <c r="AJ3" s="306" t="s">
        <v>1845</v>
      </c>
    </row>
    <row r="4" spans="2:36">
      <c r="B4" s="426"/>
      <c r="C4" s="426"/>
      <c r="D4" s="306">
        <v>1</v>
      </c>
      <c r="E4" s="306">
        <v>2</v>
      </c>
      <c r="F4" s="306">
        <v>3</v>
      </c>
      <c r="G4" s="306">
        <v>4</v>
      </c>
      <c r="H4" s="306">
        <v>5</v>
      </c>
      <c r="I4" s="306">
        <v>6</v>
      </c>
      <c r="J4" s="306">
        <v>7</v>
      </c>
      <c r="K4" s="306">
        <v>8</v>
      </c>
      <c r="L4" s="305"/>
      <c r="M4" s="429"/>
      <c r="N4" s="426"/>
      <c r="O4" s="426"/>
      <c r="P4" s="426"/>
      <c r="Q4" s="426"/>
      <c r="R4" s="306">
        <v>1</v>
      </c>
      <c r="S4" s="306">
        <v>2</v>
      </c>
      <c r="T4" s="306">
        <v>3</v>
      </c>
      <c r="U4" s="306">
        <v>4</v>
      </c>
      <c r="V4" s="306">
        <v>5</v>
      </c>
      <c r="W4" s="306">
        <v>6</v>
      </c>
      <c r="X4" s="306">
        <v>7</v>
      </c>
      <c r="Y4" s="306">
        <v>8</v>
      </c>
      <c r="AA4" s="426"/>
      <c r="AB4" s="426"/>
      <c r="AC4" s="306">
        <v>1</v>
      </c>
      <c r="AD4" s="306">
        <v>2</v>
      </c>
      <c r="AE4" s="306">
        <v>3</v>
      </c>
      <c r="AF4" s="306">
        <v>4</v>
      </c>
      <c r="AG4" s="306">
        <v>5</v>
      </c>
      <c r="AH4" s="306">
        <v>6</v>
      </c>
      <c r="AI4" s="306">
        <v>7</v>
      </c>
      <c r="AJ4" s="306">
        <v>8</v>
      </c>
    </row>
    <row r="5" spans="2:36" ht="34">
      <c r="B5" s="307">
        <v>1</v>
      </c>
      <c r="C5" s="308" t="s">
        <v>424</v>
      </c>
      <c r="D5" s="308" t="s">
        <v>424</v>
      </c>
      <c r="E5" s="308" t="s">
        <v>1711</v>
      </c>
      <c r="F5" s="308" t="s">
        <v>1733</v>
      </c>
      <c r="G5" s="309" t="str">
        <f t="shared" ref="G5:G8" si="0">D5</f>
        <v>a</v>
      </c>
      <c r="H5" s="308" t="s">
        <v>1778</v>
      </c>
      <c r="I5" s="310" t="str">
        <f t="shared" ref="I5:I8" si="1">F5</f>
        <v>à</v>
      </c>
      <c r="J5" s="308" t="s">
        <v>1806</v>
      </c>
      <c r="K5" s="309" t="s">
        <v>3243</v>
      </c>
      <c r="L5" s="305"/>
      <c r="M5" s="307">
        <v>1</v>
      </c>
      <c r="N5" s="311" t="s">
        <v>152</v>
      </c>
      <c r="O5" s="315" t="str" cm="1">
        <f t="array" ref="O5">INDEX(韻母對照表, (($M5-1)*2 +1), $O$1)</f>
        <v>un</v>
      </c>
      <c r="P5" s="315" t="str" cm="1">
        <f t="array" ref="P5">INDEX(韻母對照表, (($M5-1)*2 +2), $O$1)</f>
        <v>ut</v>
      </c>
      <c r="Q5" s="311" t="s">
        <v>415</v>
      </c>
      <c r="R5" s="316" t="str">
        <f xml:space="preserve"> IF(AND(R$4&lt;&gt;4,R$4&lt;&gt;8),  SUBSTITUTE($O5, $Q5,  INDEX($AC5:$AJ5, 1, R$4)),  SUBSTITUTE($P5, $Q5,  INDEX($AC5:$AJ5, 1, R$4)))</f>
        <v>un</v>
      </c>
      <c r="S5" s="316" t="str">
        <f t="shared" ref="S5:Y20" si="2" xml:space="preserve"> IF(AND(S$4&lt;&gt;4,S$4&lt;&gt;8),  SUBSTITUTE($O5, $Q5,  INDEX($AC5:$AJ5, 1, S$4)),  SUBSTITUTE($P5, $Q5,  INDEX($AC5:$AJ5, 1, S$4)))</f>
        <v>ún</v>
      </c>
      <c r="T5" s="316" t="str">
        <f t="shared" si="2"/>
        <v>ùn</v>
      </c>
      <c r="U5" s="317" t="str">
        <f t="shared" si="2"/>
        <v>ut</v>
      </c>
      <c r="V5" s="316" t="str">
        <f t="shared" si="2"/>
        <v>ûn</v>
      </c>
      <c r="W5" s="316" t="str">
        <f t="shared" si="2"/>
        <v>ùn</v>
      </c>
      <c r="X5" s="316" t="str">
        <f t="shared" si="2"/>
        <v>ūn</v>
      </c>
      <c r="Y5" s="317" t="str">
        <f t="shared" si="2"/>
        <v>u̍t</v>
      </c>
      <c r="AA5" s="304">
        <f t="shared" ref="AA5:AA54" si="3">FIND(Q5, O5, 1)</f>
        <v>1</v>
      </c>
      <c r="AB5" s="304">
        <f t="shared" ref="AB5:AB36" si="4">MATCH(Q5, $C$5:$C$12, 0)</f>
        <v>6</v>
      </c>
      <c r="AC5" s="304" t="str">
        <f t="shared" ref="AC5:AJ14" si="5">INDEX($D$5:$K$12, $AB5, AC$4)</f>
        <v>u</v>
      </c>
      <c r="AD5" s="304" t="str">
        <f t="shared" si="5"/>
        <v>ú</v>
      </c>
      <c r="AE5" s="304" t="str">
        <f t="shared" si="5"/>
        <v>ù</v>
      </c>
      <c r="AF5" s="304" t="str">
        <f t="shared" si="5"/>
        <v>u</v>
      </c>
      <c r="AG5" s="304" t="str">
        <f t="shared" si="5"/>
        <v>û</v>
      </c>
      <c r="AH5" s="304" t="str">
        <f t="shared" si="5"/>
        <v>ù</v>
      </c>
      <c r="AI5" s="304" t="str">
        <f t="shared" si="5"/>
        <v>ū</v>
      </c>
      <c r="AJ5" s="304" t="str">
        <f t="shared" si="5"/>
        <v>u̍</v>
      </c>
    </row>
    <row r="6" spans="2:36" ht="34">
      <c r="B6" s="307">
        <v>2</v>
      </c>
      <c r="C6" s="308" t="s">
        <v>278</v>
      </c>
      <c r="D6" s="308" t="s">
        <v>278</v>
      </c>
      <c r="E6" s="308" t="s">
        <v>2413</v>
      </c>
      <c r="F6" s="308" t="s">
        <v>2415</v>
      </c>
      <c r="G6" s="309" t="str">
        <f t="shared" si="0"/>
        <v>e</v>
      </c>
      <c r="H6" s="308" t="s">
        <v>2416</v>
      </c>
      <c r="I6" s="310" t="str">
        <f t="shared" si="1"/>
        <v>è</v>
      </c>
      <c r="J6" s="308" t="s">
        <v>2412</v>
      </c>
      <c r="K6" s="309" t="s">
        <v>3244</v>
      </c>
      <c r="L6" s="305"/>
      <c r="M6" s="307">
        <v>2</v>
      </c>
      <c r="N6" s="311" t="s">
        <v>161</v>
      </c>
      <c r="O6" s="315" t="str" cm="1">
        <f t="array" ref="O6">INDEX(韻母對照表, (($M6-1)*2 +1), $O$1)</f>
        <v>ian</v>
      </c>
      <c r="P6" s="315" t="str" cm="1">
        <f t="array" ref="P6">INDEX(韻母對照表, (($M6-1)*2 +2), $O$1)</f>
        <v>iat</v>
      </c>
      <c r="Q6" s="311" t="s">
        <v>424</v>
      </c>
      <c r="R6" s="316" t="str">
        <f t="shared" ref="R6:Y37" si="6" xml:space="preserve"> IF(AND(R$4&lt;&gt;4,R$4&lt;&gt;8),  SUBSTITUTE($O6, $Q6,  INDEX($AC6:$AJ6, 1, R$4)),  SUBSTITUTE($P6, $Q6,  INDEX($AC6:$AJ6, 1, R$4)))</f>
        <v>ian</v>
      </c>
      <c r="S6" s="316" t="str">
        <f t="shared" si="2"/>
        <v>ián</v>
      </c>
      <c r="T6" s="316" t="str">
        <f t="shared" si="2"/>
        <v>iàn</v>
      </c>
      <c r="U6" s="317" t="str">
        <f t="shared" si="2"/>
        <v>iat</v>
      </c>
      <c r="V6" s="316" t="str">
        <f t="shared" si="2"/>
        <v>iân</v>
      </c>
      <c r="W6" s="316" t="str">
        <f t="shared" si="2"/>
        <v>iàn</v>
      </c>
      <c r="X6" s="316" t="str">
        <f t="shared" si="2"/>
        <v>iān</v>
      </c>
      <c r="Y6" s="317" t="str">
        <f t="shared" si="2"/>
        <v>ia̍t</v>
      </c>
      <c r="AA6" s="304">
        <f t="shared" si="3"/>
        <v>2</v>
      </c>
      <c r="AB6" s="304">
        <f t="shared" si="4"/>
        <v>1</v>
      </c>
      <c r="AC6" s="304" t="str">
        <f t="shared" si="5"/>
        <v>a</v>
      </c>
      <c r="AD6" s="304" t="str">
        <f t="shared" si="5"/>
        <v>á</v>
      </c>
      <c r="AE6" s="304" t="str">
        <f t="shared" si="5"/>
        <v>à</v>
      </c>
      <c r="AF6" s="304" t="str">
        <f t="shared" si="5"/>
        <v>a</v>
      </c>
      <c r="AG6" s="304" t="str">
        <f t="shared" si="5"/>
        <v>â</v>
      </c>
      <c r="AH6" s="304" t="str">
        <f t="shared" si="5"/>
        <v>à</v>
      </c>
      <c r="AI6" s="304" t="str">
        <f t="shared" si="5"/>
        <v>ā</v>
      </c>
      <c r="AJ6" s="304" t="str">
        <f t="shared" si="5"/>
        <v>a̍</v>
      </c>
    </row>
    <row r="7" spans="2:36" ht="34">
      <c r="B7" s="307">
        <v>3</v>
      </c>
      <c r="C7" s="308" t="s">
        <v>432</v>
      </c>
      <c r="D7" s="308" t="s">
        <v>432</v>
      </c>
      <c r="E7" s="308" t="s">
        <v>2418</v>
      </c>
      <c r="F7" s="308" t="s">
        <v>2420</v>
      </c>
      <c r="G7" s="309" t="str">
        <f t="shared" si="0"/>
        <v>i</v>
      </c>
      <c r="H7" s="308" t="s">
        <v>2421</v>
      </c>
      <c r="I7" s="310" t="str">
        <f t="shared" si="1"/>
        <v>ì</v>
      </c>
      <c r="J7" s="308" t="s">
        <v>2417</v>
      </c>
      <c r="K7" s="309" t="s">
        <v>3245</v>
      </c>
      <c r="L7" s="305"/>
      <c r="M7" s="307">
        <v>3</v>
      </c>
      <c r="N7" s="311" t="s">
        <v>170</v>
      </c>
      <c r="O7" s="315" t="str" cm="1">
        <f t="array" ref="O7">INDEX(韻母對照表, (($M7-1)*2 +1), $O$1)</f>
        <v>im</v>
      </c>
      <c r="P7" s="315" t="str" cm="1">
        <f t="array" ref="P7">INDEX(韻母對照表, (($M7-1)*2 +2), $O$1)</f>
        <v>ip</v>
      </c>
      <c r="Q7" s="311" t="s">
        <v>432</v>
      </c>
      <c r="R7" s="316" t="str">
        <f t="shared" si="6"/>
        <v>im</v>
      </c>
      <c r="S7" s="316" t="str">
        <f t="shared" si="2"/>
        <v>ím</v>
      </c>
      <c r="T7" s="316" t="str">
        <f t="shared" si="2"/>
        <v>ìm</v>
      </c>
      <c r="U7" s="317" t="str">
        <f t="shared" si="2"/>
        <v>ip</v>
      </c>
      <c r="V7" s="316" t="str">
        <f t="shared" si="2"/>
        <v>îm</v>
      </c>
      <c r="W7" s="316" t="str">
        <f t="shared" si="2"/>
        <v>ìm</v>
      </c>
      <c r="X7" s="316" t="str">
        <f t="shared" si="2"/>
        <v>īm</v>
      </c>
      <c r="Y7" s="317" t="str">
        <f t="shared" si="2"/>
        <v>i̍p</v>
      </c>
      <c r="AA7" s="304">
        <f t="shared" si="3"/>
        <v>1</v>
      </c>
      <c r="AB7" s="304">
        <f t="shared" si="4"/>
        <v>3</v>
      </c>
      <c r="AC7" s="304" t="str">
        <f t="shared" si="5"/>
        <v>i</v>
      </c>
      <c r="AD7" s="304" t="str">
        <f t="shared" si="5"/>
        <v>í</v>
      </c>
      <c r="AE7" s="304" t="str">
        <f t="shared" si="5"/>
        <v>ì</v>
      </c>
      <c r="AF7" s="304" t="str">
        <f t="shared" si="5"/>
        <v>i</v>
      </c>
      <c r="AG7" s="304" t="str">
        <f t="shared" si="5"/>
        <v>î</v>
      </c>
      <c r="AH7" s="304" t="str">
        <f t="shared" si="5"/>
        <v>ì</v>
      </c>
      <c r="AI7" s="304" t="str">
        <f t="shared" si="5"/>
        <v>ī</v>
      </c>
      <c r="AJ7" s="304" t="str">
        <f t="shared" si="5"/>
        <v>i̍</v>
      </c>
    </row>
    <row r="8" spans="2:36" ht="34">
      <c r="B8" s="307">
        <v>4</v>
      </c>
      <c r="C8" s="308" t="s">
        <v>299</v>
      </c>
      <c r="D8" s="308" t="s">
        <v>299</v>
      </c>
      <c r="E8" s="308" t="s">
        <v>2423</v>
      </c>
      <c r="F8" s="308" t="s">
        <v>2425</v>
      </c>
      <c r="G8" s="309" t="str">
        <f t="shared" si="0"/>
        <v>o</v>
      </c>
      <c r="H8" s="308" t="s">
        <v>2426</v>
      </c>
      <c r="I8" s="310" t="str">
        <f t="shared" si="1"/>
        <v>ò</v>
      </c>
      <c r="J8" s="308" t="s">
        <v>2422</v>
      </c>
      <c r="K8" s="309" t="s">
        <v>3246</v>
      </c>
      <c r="L8" s="305"/>
      <c r="M8" s="307">
        <v>4</v>
      </c>
      <c r="N8" s="311" t="s">
        <v>177</v>
      </c>
      <c r="O8" s="315" t="str" cm="1">
        <f t="array" ref="O8">INDEX(韻母對照表, (($M8-1)*2 +1), $O$1)</f>
        <v>ui</v>
      </c>
      <c r="P8" s="315" t="str" cm="1">
        <f t="array" ref="P8">INDEX(韻母對照表, (($M8-1)*2 +2), $O$1)</f>
        <v>uih</v>
      </c>
      <c r="Q8" s="311" t="s">
        <v>415</v>
      </c>
      <c r="R8" s="316" t="str">
        <f t="shared" si="6"/>
        <v>ui</v>
      </c>
      <c r="S8" s="316" t="str">
        <f t="shared" si="2"/>
        <v>úi</v>
      </c>
      <c r="T8" s="316" t="str">
        <f t="shared" si="2"/>
        <v>ùi</v>
      </c>
      <c r="U8" s="317" t="str">
        <f t="shared" si="2"/>
        <v>uih</v>
      </c>
      <c r="V8" s="316" t="str">
        <f t="shared" si="2"/>
        <v>ûi</v>
      </c>
      <c r="W8" s="316" t="str">
        <f t="shared" si="2"/>
        <v>ùi</v>
      </c>
      <c r="X8" s="316" t="str">
        <f t="shared" si="2"/>
        <v>ūi</v>
      </c>
      <c r="Y8" s="317" t="str">
        <f t="shared" si="2"/>
        <v>u̍ih</v>
      </c>
      <c r="AA8" s="304">
        <f t="shared" si="3"/>
        <v>1</v>
      </c>
      <c r="AB8" s="304">
        <f t="shared" si="4"/>
        <v>6</v>
      </c>
      <c r="AC8" s="304" t="str">
        <f t="shared" si="5"/>
        <v>u</v>
      </c>
      <c r="AD8" s="304" t="str">
        <f t="shared" si="5"/>
        <v>ú</v>
      </c>
      <c r="AE8" s="304" t="str">
        <f t="shared" si="5"/>
        <v>ù</v>
      </c>
      <c r="AF8" s="304" t="str">
        <f t="shared" si="5"/>
        <v>u</v>
      </c>
      <c r="AG8" s="304" t="str">
        <f t="shared" si="5"/>
        <v>û</v>
      </c>
      <c r="AH8" s="304" t="str">
        <f t="shared" si="5"/>
        <v>ù</v>
      </c>
      <c r="AI8" s="304" t="str">
        <f t="shared" si="5"/>
        <v>ū</v>
      </c>
      <c r="AJ8" s="304" t="str">
        <f t="shared" si="5"/>
        <v>u̍</v>
      </c>
    </row>
    <row r="9" spans="2:36" ht="34">
      <c r="B9" s="307">
        <v>5</v>
      </c>
      <c r="C9" s="308" t="s">
        <v>252</v>
      </c>
      <c r="D9" s="308" t="s">
        <v>715</v>
      </c>
      <c r="E9" s="308" t="s">
        <v>3247</v>
      </c>
      <c r="F9" s="308" t="s">
        <v>3248</v>
      </c>
      <c r="G9" s="309" t="s">
        <v>715</v>
      </c>
      <c r="H9" s="308" t="s">
        <v>3249</v>
      </c>
      <c r="I9" s="310" t="s">
        <v>3250</v>
      </c>
      <c r="J9" s="308" t="s">
        <v>3251</v>
      </c>
      <c r="K9" s="309" t="s">
        <v>3252</v>
      </c>
      <c r="L9" s="305"/>
      <c r="M9" s="307">
        <v>5</v>
      </c>
      <c r="N9" s="311" t="s">
        <v>187</v>
      </c>
      <c r="O9" s="315" t="str" cm="1">
        <f t="array" ref="O9">INDEX(韻母對照表, (($M9-1)*2 +1), $O$1)</f>
        <v>ee</v>
      </c>
      <c r="P9" s="315" t="str" cm="1">
        <f t="array" ref="P9">INDEX(韻母對照表, (($M9-1)*2 +2), $O$1)</f>
        <v>eh</v>
      </c>
      <c r="Q9" s="311" t="s">
        <v>278</v>
      </c>
      <c r="R9" s="316" t="str">
        <f t="shared" si="6"/>
        <v>ee</v>
      </c>
      <c r="S9" s="316" t="str">
        <f t="shared" si="2"/>
        <v>éé</v>
      </c>
      <c r="T9" s="316" t="str">
        <f t="shared" si="2"/>
        <v>èè</v>
      </c>
      <c r="U9" s="317" t="str">
        <f t="shared" si="2"/>
        <v>eh</v>
      </c>
      <c r="V9" s="316" t="str">
        <f t="shared" si="2"/>
        <v>êê</v>
      </c>
      <c r="W9" s="316" t="str">
        <f t="shared" si="2"/>
        <v>èè</v>
      </c>
      <c r="X9" s="316" t="str">
        <f t="shared" si="2"/>
        <v>ēē</v>
      </c>
      <c r="Y9" s="317" t="str">
        <f t="shared" si="2"/>
        <v>e̍h</v>
      </c>
      <c r="AA9" s="304">
        <f t="shared" si="3"/>
        <v>1</v>
      </c>
      <c r="AB9" s="304">
        <f t="shared" si="4"/>
        <v>2</v>
      </c>
      <c r="AC9" s="304" t="str">
        <f t="shared" si="5"/>
        <v>e</v>
      </c>
      <c r="AD9" s="304" t="str">
        <f t="shared" si="5"/>
        <v>é</v>
      </c>
      <c r="AE9" s="304" t="str">
        <f t="shared" si="5"/>
        <v>è</v>
      </c>
      <c r="AF9" s="304" t="str">
        <f t="shared" si="5"/>
        <v>e</v>
      </c>
      <c r="AG9" s="304" t="str">
        <f t="shared" si="5"/>
        <v>ê</v>
      </c>
      <c r="AH9" s="304" t="str">
        <f t="shared" si="5"/>
        <v>è</v>
      </c>
      <c r="AI9" s="304" t="str">
        <f t="shared" si="5"/>
        <v>ē</v>
      </c>
      <c r="AJ9" s="304" t="str">
        <f t="shared" si="5"/>
        <v>e̍</v>
      </c>
    </row>
    <row r="10" spans="2:36" ht="34">
      <c r="B10" s="307">
        <v>6</v>
      </c>
      <c r="C10" s="308" t="s">
        <v>415</v>
      </c>
      <c r="D10" s="308" t="s">
        <v>415</v>
      </c>
      <c r="E10" s="308" t="s">
        <v>2433</v>
      </c>
      <c r="F10" s="308" t="s">
        <v>2435</v>
      </c>
      <c r="G10" s="309" t="str">
        <f t="shared" ref="G10:G11" si="7">D10</f>
        <v>u</v>
      </c>
      <c r="H10" s="308" t="s">
        <v>2436</v>
      </c>
      <c r="I10" s="310" t="str">
        <f t="shared" ref="I10:I11" si="8">F10</f>
        <v>ù</v>
      </c>
      <c r="J10" s="308" t="s">
        <v>2432</v>
      </c>
      <c r="K10" s="309" t="s">
        <v>3253</v>
      </c>
      <c r="L10" s="305"/>
      <c r="M10" s="307">
        <v>6</v>
      </c>
      <c r="N10" s="311" t="s">
        <v>201</v>
      </c>
      <c r="O10" s="315" t="str" cm="1">
        <f t="array" ref="O10">INDEX(韻母對照表, (($M10-1)*2 +1), $O$1)</f>
        <v>an</v>
      </c>
      <c r="P10" s="315" t="str" cm="1">
        <f t="array" ref="P10">INDEX(韻母對照表, (($M10-1)*2 +2), $O$1)</f>
        <v>ap</v>
      </c>
      <c r="Q10" s="311" t="s">
        <v>424</v>
      </c>
      <c r="R10" s="316" t="str">
        <f t="shared" si="6"/>
        <v>an</v>
      </c>
      <c r="S10" s="316" t="str">
        <f t="shared" si="2"/>
        <v>án</v>
      </c>
      <c r="T10" s="316" t="str">
        <f t="shared" si="2"/>
        <v>àn</v>
      </c>
      <c r="U10" s="317" t="str">
        <f t="shared" si="2"/>
        <v>ap</v>
      </c>
      <c r="V10" s="316" t="str">
        <f t="shared" si="2"/>
        <v>ân</v>
      </c>
      <c r="W10" s="316" t="str">
        <f t="shared" si="2"/>
        <v>àn</v>
      </c>
      <c r="X10" s="316" t="str">
        <f t="shared" si="2"/>
        <v>ān</v>
      </c>
      <c r="Y10" s="317" t="str">
        <f t="shared" si="2"/>
        <v>a̍p</v>
      </c>
      <c r="AA10" s="304">
        <f t="shared" si="3"/>
        <v>1</v>
      </c>
      <c r="AB10" s="304">
        <f t="shared" si="4"/>
        <v>1</v>
      </c>
      <c r="AC10" s="304" t="str">
        <f t="shared" si="5"/>
        <v>a</v>
      </c>
      <c r="AD10" s="304" t="str">
        <f t="shared" si="5"/>
        <v>á</v>
      </c>
      <c r="AE10" s="304" t="str">
        <f t="shared" si="5"/>
        <v>à</v>
      </c>
      <c r="AF10" s="304" t="str">
        <f t="shared" si="5"/>
        <v>a</v>
      </c>
      <c r="AG10" s="304" t="str">
        <f t="shared" si="5"/>
        <v>â</v>
      </c>
      <c r="AH10" s="304" t="str">
        <f t="shared" si="5"/>
        <v>à</v>
      </c>
      <c r="AI10" s="304" t="str">
        <f t="shared" si="5"/>
        <v>ā</v>
      </c>
      <c r="AJ10" s="304" t="str">
        <f t="shared" si="5"/>
        <v>a̍</v>
      </c>
    </row>
    <row r="11" spans="2:36" ht="34">
      <c r="B11" s="307">
        <v>7</v>
      </c>
      <c r="C11" s="308" t="s">
        <v>64</v>
      </c>
      <c r="D11" s="308" t="s">
        <v>64</v>
      </c>
      <c r="E11" s="308" t="s">
        <v>3254</v>
      </c>
      <c r="F11" s="308" t="s">
        <v>3255</v>
      </c>
      <c r="G11" s="309" t="str">
        <f t="shared" si="7"/>
        <v>m</v>
      </c>
      <c r="H11" s="308" t="s">
        <v>2441</v>
      </c>
      <c r="I11" s="310" t="str">
        <f t="shared" si="8"/>
        <v>m̀</v>
      </c>
      <c r="J11" s="308" t="s">
        <v>2437</v>
      </c>
      <c r="K11" s="309" t="s">
        <v>3256</v>
      </c>
      <c r="L11" s="305"/>
      <c r="M11" s="307">
        <v>7</v>
      </c>
      <c r="N11" s="311" t="s">
        <v>210</v>
      </c>
      <c r="O11" s="315" t="str" cm="1">
        <f t="array" ref="O11">INDEX(韻母對照表, (($M11-1)*2 +1), $O$1)</f>
        <v>ong</v>
      </c>
      <c r="P11" s="315" t="str" cm="1">
        <f t="array" ref="P11">INDEX(韻母對照表, (($M11-1)*2 +2), $O$1)</f>
        <v>ok</v>
      </c>
      <c r="Q11" s="311" t="s">
        <v>299</v>
      </c>
      <c r="R11" s="316" t="str">
        <f t="shared" si="6"/>
        <v>ong</v>
      </c>
      <c r="S11" s="316" t="str">
        <f t="shared" si="2"/>
        <v>óng</v>
      </c>
      <c r="T11" s="316" t="str">
        <f t="shared" si="2"/>
        <v>òng</v>
      </c>
      <c r="U11" s="317" t="str">
        <f t="shared" si="2"/>
        <v>ok</v>
      </c>
      <c r="V11" s="316" t="str">
        <f t="shared" si="2"/>
        <v>ông</v>
      </c>
      <c r="W11" s="316" t="str">
        <f t="shared" si="2"/>
        <v>òng</v>
      </c>
      <c r="X11" s="316" t="str">
        <f t="shared" si="2"/>
        <v>ōng</v>
      </c>
      <c r="Y11" s="317" t="str">
        <f t="shared" si="2"/>
        <v>o̍k</v>
      </c>
      <c r="AA11" s="304">
        <f t="shared" si="3"/>
        <v>1</v>
      </c>
      <c r="AB11" s="304">
        <f t="shared" si="4"/>
        <v>4</v>
      </c>
      <c r="AC11" s="304" t="str">
        <f t="shared" si="5"/>
        <v>o</v>
      </c>
      <c r="AD11" s="304" t="str">
        <f t="shared" si="5"/>
        <v>ó</v>
      </c>
      <c r="AE11" s="304" t="str">
        <f t="shared" si="5"/>
        <v>ò</v>
      </c>
      <c r="AF11" s="304" t="str">
        <f t="shared" si="5"/>
        <v>o</v>
      </c>
      <c r="AG11" s="304" t="str">
        <f t="shared" si="5"/>
        <v>ô</v>
      </c>
      <c r="AH11" s="304" t="str">
        <f t="shared" si="5"/>
        <v>ò</v>
      </c>
      <c r="AI11" s="304" t="str">
        <f t="shared" si="5"/>
        <v>ō</v>
      </c>
      <c r="AJ11" s="304" t="str">
        <f t="shared" si="5"/>
        <v>o̍</v>
      </c>
    </row>
    <row r="12" spans="2:36" ht="34">
      <c r="B12" s="307">
        <v>8</v>
      </c>
      <c r="C12" s="308" t="s">
        <v>3257</v>
      </c>
      <c r="D12" s="308" t="s">
        <v>3257</v>
      </c>
      <c r="E12" s="308" t="s">
        <v>3258</v>
      </c>
      <c r="F12" s="308" t="s">
        <v>3259</v>
      </c>
      <c r="G12" s="309" t="str">
        <f>D12</f>
        <v>ng</v>
      </c>
      <c r="H12" s="312" t="s">
        <v>3260</v>
      </c>
      <c r="I12" s="310"/>
      <c r="J12" s="312" t="s">
        <v>3261</v>
      </c>
      <c r="K12" s="313" t="s">
        <v>3262</v>
      </c>
      <c r="L12" s="305"/>
      <c r="M12" s="307">
        <v>8</v>
      </c>
      <c r="N12" s="311" t="s">
        <v>219</v>
      </c>
      <c r="O12" s="315" t="str" cm="1">
        <f t="array" ref="O12">INDEX(韻母對照表, (($M12-1)*2 +1), $O$1)</f>
        <v>uai</v>
      </c>
      <c r="P12" s="315" t="str" cm="1">
        <f t="array" ref="P12">INDEX(韻母對照表, (($M12-1)*2 +2), $O$1)</f>
        <v>uaih</v>
      </c>
      <c r="Q12" s="311" t="s">
        <v>424</v>
      </c>
      <c r="R12" s="316" t="str">
        <f t="shared" si="6"/>
        <v>uai</v>
      </c>
      <c r="S12" s="316" t="str">
        <f t="shared" si="2"/>
        <v>uái</v>
      </c>
      <c r="T12" s="316" t="str">
        <f t="shared" si="2"/>
        <v>uài</v>
      </c>
      <c r="U12" s="317" t="str">
        <f t="shared" si="2"/>
        <v>uaih</v>
      </c>
      <c r="V12" s="316" t="str">
        <f t="shared" si="2"/>
        <v>uâi</v>
      </c>
      <c r="W12" s="316" t="str">
        <f t="shared" si="2"/>
        <v>uài</v>
      </c>
      <c r="X12" s="316" t="str">
        <f t="shared" si="2"/>
        <v>uāi</v>
      </c>
      <c r="Y12" s="317" t="str">
        <f t="shared" si="2"/>
        <v>ua̍ih</v>
      </c>
      <c r="AA12" s="304">
        <f t="shared" si="3"/>
        <v>2</v>
      </c>
      <c r="AB12" s="304">
        <f t="shared" si="4"/>
        <v>1</v>
      </c>
      <c r="AC12" s="304" t="str">
        <f t="shared" si="5"/>
        <v>a</v>
      </c>
      <c r="AD12" s="304" t="str">
        <f t="shared" si="5"/>
        <v>á</v>
      </c>
      <c r="AE12" s="304" t="str">
        <f t="shared" si="5"/>
        <v>à</v>
      </c>
      <c r="AF12" s="304" t="str">
        <f t="shared" si="5"/>
        <v>a</v>
      </c>
      <c r="AG12" s="304" t="str">
        <f t="shared" si="5"/>
        <v>â</v>
      </c>
      <c r="AH12" s="304" t="str">
        <f t="shared" si="5"/>
        <v>à</v>
      </c>
      <c r="AI12" s="304" t="str">
        <f t="shared" si="5"/>
        <v>ā</v>
      </c>
      <c r="AJ12" s="304" t="str">
        <f t="shared" si="5"/>
        <v>a̍</v>
      </c>
    </row>
    <row r="13" spans="2:36" ht="34">
      <c r="B13" s="305"/>
      <c r="L13" s="305"/>
      <c r="M13" s="307">
        <v>9</v>
      </c>
      <c r="N13" s="311" t="s">
        <v>230</v>
      </c>
      <c r="O13" s="315" t="str" cm="1">
        <f t="array" ref="O13">INDEX(韻母對照表, (($M13-1)*2 +1), $O$1)</f>
        <v>ing</v>
      </c>
      <c r="P13" s="315" t="str" cm="1">
        <f t="array" ref="P13">INDEX(韻母對照表, (($M13-1)*2 +2), $O$1)</f>
        <v>ik</v>
      </c>
      <c r="Q13" s="311" t="s">
        <v>278</v>
      </c>
      <c r="R13" s="316" t="str">
        <f t="shared" si="6"/>
        <v>ing</v>
      </c>
      <c r="S13" s="316" t="str">
        <f t="shared" si="2"/>
        <v>ing</v>
      </c>
      <c r="T13" s="316" t="str">
        <f t="shared" si="2"/>
        <v>ing</v>
      </c>
      <c r="U13" s="317" t="str">
        <f t="shared" si="2"/>
        <v>ik</v>
      </c>
      <c r="V13" s="316" t="str">
        <f t="shared" si="2"/>
        <v>ing</v>
      </c>
      <c r="W13" s="316" t="str">
        <f t="shared" si="2"/>
        <v>ing</v>
      </c>
      <c r="X13" s="316" t="str">
        <f t="shared" si="2"/>
        <v>ing</v>
      </c>
      <c r="Y13" s="317" t="str">
        <f t="shared" si="2"/>
        <v>ik</v>
      </c>
      <c r="AA13" s="304" t="e">
        <f t="shared" si="3"/>
        <v>#VALUE!</v>
      </c>
      <c r="AB13" s="304">
        <f t="shared" si="4"/>
        <v>2</v>
      </c>
      <c r="AC13" s="304" t="str">
        <f t="shared" si="5"/>
        <v>e</v>
      </c>
      <c r="AD13" s="304" t="str">
        <f t="shared" si="5"/>
        <v>é</v>
      </c>
      <c r="AE13" s="304" t="str">
        <f t="shared" si="5"/>
        <v>è</v>
      </c>
      <c r="AF13" s="304" t="str">
        <f t="shared" si="5"/>
        <v>e</v>
      </c>
      <c r="AG13" s="304" t="str">
        <f t="shared" si="5"/>
        <v>ê</v>
      </c>
      <c r="AH13" s="304" t="str">
        <f t="shared" si="5"/>
        <v>è</v>
      </c>
      <c r="AI13" s="304" t="str">
        <f t="shared" si="5"/>
        <v>ē</v>
      </c>
      <c r="AJ13" s="304" t="str">
        <f t="shared" si="5"/>
        <v>e̍</v>
      </c>
    </row>
    <row r="14" spans="2:36" ht="34">
      <c r="B14" s="305"/>
      <c r="C14" s="305"/>
      <c r="D14" s="305"/>
      <c r="E14" s="305"/>
      <c r="F14" s="305"/>
      <c r="G14" s="305"/>
      <c r="H14" s="305"/>
      <c r="I14" s="305"/>
      <c r="J14" s="305"/>
      <c r="K14" s="305"/>
      <c r="L14" s="314"/>
      <c r="M14" s="307">
        <v>10</v>
      </c>
      <c r="N14" s="311" t="s">
        <v>240</v>
      </c>
      <c r="O14" s="315" t="str" cm="1">
        <f t="array" ref="O14">INDEX(韻母對照表, (($M14-1)*2 +1), $O$1)</f>
        <v>uan</v>
      </c>
      <c r="P14" s="315" t="str" cm="1">
        <f t="array" ref="P14">INDEX(韻母對照表, (($M14-1)*2 +2), $O$1)</f>
        <v>uat</v>
      </c>
      <c r="Q14" s="311" t="s">
        <v>424</v>
      </c>
      <c r="R14" s="316" t="str">
        <f t="shared" si="6"/>
        <v>uan</v>
      </c>
      <c r="S14" s="316" t="str">
        <f t="shared" si="2"/>
        <v>uán</v>
      </c>
      <c r="T14" s="316" t="str">
        <f t="shared" si="2"/>
        <v>uàn</v>
      </c>
      <c r="U14" s="317" t="str">
        <f t="shared" si="2"/>
        <v>uat</v>
      </c>
      <c r="V14" s="316" t="str">
        <f t="shared" si="2"/>
        <v>uân</v>
      </c>
      <c r="W14" s="316" t="str">
        <f t="shared" si="2"/>
        <v>uàn</v>
      </c>
      <c r="X14" s="316" t="str">
        <f t="shared" si="2"/>
        <v>uān</v>
      </c>
      <c r="Y14" s="317" t="str">
        <f t="shared" si="2"/>
        <v>ua̍t</v>
      </c>
      <c r="AA14" s="304">
        <f t="shared" si="3"/>
        <v>2</v>
      </c>
      <c r="AB14" s="304">
        <f t="shared" si="4"/>
        <v>1</v>
      </c>
      <c r="AC14" s="304" t="str">
        <f t="shared" si="5"/>
        <v>a</v>
      </c>
      <c r="AD14" s="304" t="str">
        <f t="shared" si="5"/>
        <v>á</v>
      </c>
      <c r="AE14" s="304" t="str">
        <f t="shared" si="5"/>
        <v>à</v>
      </c>
      <c r="AF14" s="304" t="str">
        <f t="shared" si="5"/>
        <v>a</v>
      </c>
      <c r="AG14" s="304" t="str">
        <f t="shared" si="5"/>
        <v>â</v>
      </c>
      <c r="AH14" s="304" t="str">
        <f t="shared" si="5"/>
        <v>à</v>
      </c>
      <c r="AI14" s="304" t="str">
        <f t="shared" si="5"/>
        <v>ā</v>
      </c>
      <c r="AJ14" s="304" t="str">
        <f t="shared" si="5"/>
        <v>a̍</v>
      </c>
    </row>
    <row r="15" spans="2:36" ht="34">
      <c r="B15" s="305"/>
      <c r="C15" s="305"/>
      <c r="D15" s="305"/>
      <c r="E15" s="305"/>
      <c r="F15" s="305"/>
      <c r="G15" s="305"/>
      <c r="H15" s="305"/>
      <c r="I15" s="305"/>
      <c r="J15" s="305"/>
      <c r="K15" s="305"/>
      <c r="L15" s="305"/>
      <c r="M15" s="307">
        <v>11</v>
      </c>
      <c r="N15" s="311" t="s">
        <v>251</v>
      </c>
      <c r="O15" s="315" t="str" cm="1">
        <f t="array" ref="O15">INDEX(韻母對照表, (($M15-1)*2 +1), $O$1)</f>
        <v>oo</v>
      </c>
      <c r="P15" s="315" t="str" cm="1">
        <f t="array" ref="P15">INDEX(韻母對照表, (($M15-1)*2 +2), $O$1)</f>
        <v>ooh</v>
      </c>
      <c r="Q15" s="311" t="s">
        <v>252</v>
      </c>
      <c r="R15" s="316" t="str">
        <f t="shared" si="6"/>
        <v>o͘</v>
      </c>
      <c r="S15" s="316" t="str">
        <f t="shared" si="2"/>
        <v>ó͘</v>
      </c>
      <c r="T15" s="316" t="str">
        <f t="shared" si="2"/>
        <v>ò͘</v>
      </c>
      <c r="U15" s="317" t="str">
        <f t="shared" si="2"/>
        <v>o͘h</v>
      </c>
      <c r="V15" s="316" t="str">
        <f t="shared" si="2"/>
        <v>ô͘</v>
      </c>
      <c r="W15" s="316" t="str">
        <f t="shared" si="2"/>
        <v xml:space="preserve"> ò͘</v>
      </c>
      <c r="X15" s="316" t="str">
        <f t="shared" si="2"/>
        <v>ō͘</v>
      </c>
      <c r="Y15" s="317" t="str">
        <f t="shared" si="2"/>
        <v>o̍͘h</v>
      </c>
      <c r="AA15" s="304">
        <f t="shared" si="3"/>
        <v>1</v>
      </c>
      <c r="AB15" s="304">
        <f t="shared" si="4"/>
        <v>5</v>
      </c>
      <c r="AC15" s="304" t="str">
        <f t="shared" ref="AC15:AJ24" si="9">INDEX($D$5:$K$12, $AB15, AC$4)</f>
        <v>o͘</v>
      </c>
      <c r="AD15" s="304" t="str">
        <f t="shared" si="9"/>
        <v>ó͘</v>
      </c>
      <c r="AE15" s="304" t="str">
        <f t="shared" si="9"/>
        <v>ò͘</v>
      </c>
      <c r="AF15" s="304" t="str">
        <f t="shared" si="9"/>
        <v>o͘</v>
      </c>
      <c r="AG15" s="304" t="str">
        <f t="shared" si="9"/>
        <v>ô͘</v>
      </c>
      <c r="AH15" s="304" t="str">
        <f t="shared" si="9"/>
        <v xml:space="preserve"> ò͘</v>
      </c>
      <c r="AI15" s="304" t="str">
        <f t="shared" si="9"/>
        <v>ō͘</v>
      </c>
      <c r="AJ15" s="304" t="str">
        <f t="shared" si="9"/>
        <v>o̍͘</v>
      </c>
    </row>
    <row r="16" spans="2:36" ht="34">
      <c r="B16" s="305"/>
      <c r="C16" s="305"/>
      <c r="D16" s="305"/>
      <c r="E16" s="305"/>
      <c r="F16" s="305"/>
      <c r="G16" s="305"/>
      <c r="H16" s="305"/>
      <c r="I16" s="305"/>
      <c r="J16" s="305"/>
      <c r="K16" s="305"/>
      <c r="L16" s="305"/>
      <c r="M16" s="307">
        <v>12</v>
      </c>
      <c r="N16" s="311" t="s">
        <v>264</v>
      </c>
      <c r="O16" s="315" t="str" cm="1">
        <f t="array" ref="O16">INDEX(韻母對照表, (($M16-1)*2 +1), $O$1)</f>
        <v>iau</v>
      </c>
      <c r="P16" s="315" t="str" cm="1">
        <f t="array" ref="P16">INDEX(韻母對照表, (($M16-1)*2 +2), $O$1)</f>
        <v>iauh</v>
      </c>
      <c r="Q16" s="311" t="s">
        <v>424</v>
      </c>
      <c r="R16" s="316" t="str">
        <f t="shared" si="6"/>
        <v>iau</v>
      </c>
      <c r="S16" s="316" t="str">
        <f t="shared" si="2"/>
        <v>iáu</v>
      </c>
      <c r="T16" s="316" t="str">
        <f t="shared" si="2"/>
        <v>iàu</v>
      </c>
      <c r="U16" s="317" t="str">
        <f t="shared" si="2"/>
        <v>iauh</v>
      </c>
      <c r="V16" s="316" t="str">
        <f t="shared" si="2"/>
        <v>iâu</v>
      </c>
      <c r="W16" s="316" t="str">
        <f t="shared" si="2"/>
        <v>iàu</v>
      </c>
      <c r="X16" s="316" t="str">
        <f t="shared" si="2"/>
        <v>iāu</v>
      </c>
      <c r="Y16" s="317" t="str">
        <f t="shared" si="2"/>
        <v>ia̍uh</v>
      </c>
      <c r="AA16" s="304">
        <f t="shared" si="3"/>
        <v>2</v>
      </c>
      <c r="AB16" s="304">
        <f t="shared" si="4"/>
        <v>1</v>
      </c>
      <c r="AC16" s="304" t="str">
        <f t="shared" si="9"/>
        <v>a</v>
      </c>
      <c r="AD16" s="304" t="str">
        <f t="shared" si="9"/>
        <v>á</v>
      </c>
      <c r="AE16" s="304" t="str">
        <f t="shared" si="9"/>
        <v>à</v>
      </c>
      <c r="AF16" s="304" t="str">
        <f t="shared" si="9"/>
        <v>a</v>
      </c>
      <c r="AG16" s="304" t="str">
        <f t="shared" si="9"/>
        <v>â</v>
      </c>
      <c r="AH16" s="304" t="str">
        <f t="shared" si="9"/>
        <v>à</v>
      </c>
      <c r="AI16" s="304" t="str">
        <f t="shared" si="9"/>
        <v>ā</v>
      </c>
      <c r="AJ16" s="304" t="str">
        <f t="shared" si="9"/>
        <v>a̍</v>
      </c>
    </row>
    <row r="17" spans="13:36" ht="34">
      <c r="M17" s="307">
        <v>13</v>
      </c>
      <c r="N17" s="311" t="s">
        <v>277</v>
      </c>
      <c r="O17" s="315" t="str" cm="1">
        <f t="array" ref="O17">INDEX(韻母對照表, (($M17-1)*2 +1), $O$1)</f>
        <v>ei</v>
      </c>
      <c r="P17" s="315" t="str" cm="1">
        <f t="array" ref="P17">INDEX(韻母對照表, (($M17-1)*2 +2), $O$1)</f>
        <v>eih</v>
      </c>
      <c r="Q17" s="311" t="s">
        <v>278</v>
      </c>
      <c r="R17" s="316" t="str">
        <f t="shared" si="6"/>
        <v>ei</v>
      </c>
      <c r="S17" s="316" t="str">
        <f t="shared" si="2"/>
        <v>éi</v>
      </c>
      <c r="T17" s="316" t="str">
        <f t="shared" si="2"/>
        <v>èi</v>
      </c>
      <c r="U17" s="317" t="str">
        <f t="shared" si="2"/>
        <v>eih</v>
      </c>
      <c r="V17" s="316" t="str">
        <f t="shared" si="2"/>
        <v>êi</v>
      </c>
      <c r="W17" s="316" t="str">
        <f t="shared" si="2"/>
        <v>èi</v>
      </c>
      <c r="X17" s="316" t="str">
        <f t="shared" si="2"/>
        <v>ēi</v>
      </c>
      <c r="Y17" s="317" t="str">
        <f t="shared" si="2"/>
        <v>e̍ih</v>
      </c>
      <c r="AA17" s="304">
        <f t="shared" si="3"/>
        <v>1</v>
      </c>
      <c r="AB17" s="304">
        <f t="shared" si="4"/>
        <v>2</v>
      </c>
      <c r="AC17" s="304" t="str">
        <f t="shared" si="9"/>
        <v>e</v>
      </c>
      <c r="AD17" s="304" t="str">
        <f t="shared" si="9"/>
        <v>é</v>
      </c>
      <c r="AE17" s="304" t="str">
        <f t="shared" si="9"/>
        <v>è</v>
      </c>
      <c r="AF17" s="304" t="str">
        <f t="shared" si="9"/>
        <v>e</v>
      </c>
      <c r="AG17" s="304" t="str">
        <f t="shared" si="9"/>
        <v>ê</v>
      </c>
      <c r="AH17" s="304" t="str">
        <f t="shared" si="9"/>
        <v>è</v>
      </c>
      <c r="AI17" s="304" t="str">
        <f t="shared" si="9"/>
        <v>ē</v>
      </c>
      <c r="AJ17" s="304" t="str">
        <f t="shared" si="9"/>
        <v>e̍</v>
      </c>
    </row>
    <row r="18" spans="13:36" ht="34">
      <c r="M18" s="307">
        <v>14</v>
      </c>
      <c r="N18" s="311" t="s">
        <v>288</v>
      </c>
      <c r="O18" s="315" t="str" cm="1">
        <f t="array" ref="O18">INDEX(韻母對照表, (($M18-1)*2 +1), $O$1)</f>
        <v>iong</v>
      </c>
      <c r="P18" s="315" t="str" cm="1">
        <f t="array" ref="P18">INDEX(韻母對照表, (($M18-1)*2 +2), $O$1)</f>
        <v>iok</v>
      </c>
      <c r="Q18" s="311" t="s">
        <v>299</v>
      </c>
      <c r="R18" s="316" t="str">
        <f t="shared" si="6"/>
        <v>iong</v>
      </c>
      <c r="S18" s="316" t="str">
        <f t="shared" si="2"/>
        <v>ióng</v>
      </c>
      <c r="T18" s="316" t="str">
        <f t="shared" si="2"/>
        <v>iòng</v>
      </c>
      <c r="U18" s="317" t="str">
        <f t="shared" si="2"/>
        <v>iok</v>
      </c>
      <c r="V18" s="316" t="str">
        <f t="shared" si="2"/>
        <v>iông</v>
      </c>
      <c r="W18" s="316" t="str">
        <f t="shared" si="2"/>
        <v>iòng</v>
      </c>
      <c r="X18" s="316" t="str">
        <f t="shared" si="2"/>
        <v>iōng</v>
      </c>
      <c r="Y18" s="317" t="str">
        <f t="shared" si="2"/>
        <v>io̍k</v>
      </c>
      <c r="AA18" s="304">
        <f t="shared" si="3"/>
        <v>2</v>
      </c>
      <c r="AB18" s="304">
        <f t="shared" si="4"/>
        <v>4</v>
      </c>
      <c r="AC18" s="304" t="str">
        <f t="shared" si="9"/>
        <v>o</v>
      </c>
      <c r="AD18" s="304" t="str">
        <f t="shared" si="9"/>
        <v>ó</v>
      </c>
      <c r="AE18" s="304" t="str">
        <f t="shared" si="9"/>
        <v>ò</v>
      </c>
      <c r="AF18" s="304" t="str">
        <f t="shared" si="9"/>
        <v>o</v>
      </c>
      <c r="AG18" s="304" t="str">
        <f t="shared" si="9"/>
        <v>ô</v>
      </c>
      <c r="AH18" s="304" t="str">
        <f t="shared" si="9"/>
        <v>ò</v>
      </c>
      <c r="AI18" s="304" t="str">
        <f t="shared" si="9"/>
        <v>ō</v>
      </c>
      <c r="AJ18" s="304" t="str">
        <f t="shared" si="9"/>
        <v>o̍</v>
      </c>
    </row>
    <row r="19" spans="13:36" ht="34">
      <c r="M19" s="307">
        <v>15</v>
      </c>
      <c r="N19" s="311" t="s">
        <v>298</v>
      </c>
      <c r="O19" s="315" t="str" cm="1">
        <f t="array" ref="O19">INDEX(韻母對照表, (($M19-1)*2 +1), $O$1)</f>
        <v>o</v>
      </c>
      <c r="P19" s="315" t="str" cm="1">
        <f t="array" ref="P19">INDEX(韻母對照表, (($M19-1)*2 +2), $O$1)</f>
        <v>oh</v>
      </c>
      <c r="Q19" s="311" t="s">
        <v>299</v>
      </c>
      <c r="R19" s="316" t="str">
        <f t="shared" si="6"/>
        <v>o</v>
      </c>
      <c r="S19" s="316" t="str">
        <f t="shared" si="2"/>
        <v>ó</v>
      </c>
      <c r="T19" s="316" t="str">
        <f t="shared" si="2"/>
        <v>ò</v>
      </c>
      <c r="U19" s="317" t="str">
        <f t="shared" si="2"/>
        <v>oh</v>
      </c>
      <c r="V19" s="316" t="str">
        <f t="shared" si="2"/>
        <v>ô</v>
      </c>
      <c r="W19" s="316" t="str">
        <f t="shared" si="2"/>
        <v>ò</v>
      </c>
      <c r="X19" s="316" t="str">
        <f t="shared" si="2"/>
        <v>ō</v>
      </c>
      <c r="Y19" s="317" t="str">
        <f t="shared" si="2"/>
        <v>o̍h</v>
      </c>
      <c r="AA19" s="304">
        <f t="shared" si="3"/>
        <v>1</v>
      </c>
      <c r="AB19" s="304">
        <f t="shared" si="4"/>
        <v>4</v>
      </c>
      <c r="AC19" s="304" t="str">
        <f t="shared" si="9"/>
        <v>o</v>
      </c>
      <c r="AD19" s="304" t="str">
        <f t="shared" si="9"/>
        <v>ó</v>
      </c>
      <c r="AE19" s="304" t="str">
        <f t="shared" si="9"/>
        <v>ò</v>
      </c>
      <c r="AF19" s="304" t="str">
        <f t="shared" si="9"/>
        <v>o</v>
      </c>
      <c r="AG19" s="304" t="str">
        <f t="shared" si="9"/>
        <v>ô</v>
      </c>
      <c r="AH19" s="304" t="str">
        <f t="shared" si="9"/>
        <v>ò</v>
      </c>
      <c r="AI19" s="304" t="str">
        <f t="shared" si="9"/>
        <v>ō</v>
      </c>
      <c r="AJ19" s="304" t="str">
        <f t="shared" si="9"/>
        <v>o̍</v>
      </c>
    </row>
    <row r="20" spans="13:36" ht="34">
      <c r="M20" s="307">
        <v>16</v>
      </c>
      <c r="N20" s="311" t="s">
        <v>306</v>
      </c>
      <c r="O20" s="315" t="str" cm="1">
        <f t="array" ref="O20">INDEX(韻母對照表, (($M20-1)*2 +1), $O$1)</f>
        <v>ai</v>
      </c>
      <c r="P20" s="315" t="str" cm="1">
        <f t="array" ref="P20">INDEX(韻母對照表, (($M20-1)*2 +2), $O$1)</f>
        <v>aih</v>
      </c>
      <c r="Q20" s="311" t="s">
        <v>424</v>
      </c>
      <c r="R20" s="316" t="str">
        <f t="shared" si="6"/>
        <v>ai</v>
      </c>
      <c r="S20" s="316" t="str">
        <f t="shared" si="2"/>
        <v>ái</v>
      </c>
      <c r="T20" s="316" t="str">
        <f t="shared" si="2"/>
        <v>ài</v>
      </c>
      <c r="U20" s="317" t="str">
        <f t="shared" si="2"/>
        <v>aih</v>
      </c>
      <c r="V20" s="316" t="str">
        <f t="shared" si="2"/>
        <v>âi</v>
      </c>
      <c r="W20" s="316" t="str">
        <f t="shared" si="2"/>
        <v>ài</v>
      </c>
      <c r="X20" s="316" t="str">
        <f t="shared" si="2"/>
        <v>āi</v>
      </c>
      <c r="Y20" s="317" t="str">
        <f t="shared" si="2"/>
        <v>a̍ih</v>
      </c>
      <c r="AA20" s="304">
        <f t="shared" si="3"/>
        <v>1</v>
      </c>
      <c r="AB20" s="304">
        <f t="shared" si="4"/>
        <v>1</v>
      </c>
      <c r="AC20" s="304" t="str">
        <f t="shared" si="9"/>
        <v>a</v>
      </c>
      <c r="AD20" s="304" t="str">
        <f t="shared" si="9"/>
        <v>á</v>
      </c>
      <c r="AE20" s="304" t="str">
        <f t="shared" si="9"/>
        <v>à</v>
      </c>
      <c r="AF20" s="304" t="str">
        <f t="shared" si="9"/>
        <v>a</v>
      </c>
      <c r="AG20" s="304" t="str">
        <f t="shared" si="9"/>
        <v>â</v>
      </c>
      <c r="AH20" s="304" t="str">
        <f t="shared" si="9"/>
        <v>à</v>
      </c>
      <c r="AI20" s="304" t="str">
        <f t="shared" si="9"/>
        <v>ā</v>
      </c>
      <c r="AJ20" s="304" t="str">
        <f t="shared" si="9"/>
        <v>a̍</v>
      </c>
    </row>
    <row r="21" spans="13:36" ht="34">
      <c r="M21" s="307">
        <v>17</v>
      </c>
      <c r="N21" s="311" t="s">
        <v>316</v>
      </c>
      <c r="O21" s="315" t="str" cm="1">
        <f t="array" ref="O21">INDEX(韻母對照表, (($M21-1)*2 +1), $O$1)</f>
        <v>in</v>
      </c>
      <c r="P21" s="315" t="str" cm="1">
        <f t="array" ref="P21">INDEX(韻母對照表, (($M21-1)*2 +2), $O$1)</f>
        <v>it</v>
      </c>
      <c r="Q21" s="311" t="s">
        <v>432</v>
      </c>
      <c r="R21" s="316" t="str">
        <f t="shared" si="6"/>
        <v>in</v>
      </c>
      <c r="S21" s="316" t="str">
        <f t="shared" si="6"/>
        <v>ín</v>
      </c>
      <c r="T21" s="316" t="str">
        <f t="shared" si="6"/>
        <v>ìn</v>
      </c>
      <c r="U21" s="317" t="str">
        <f t="shared" si="6"/>
        <v>it</v>
      </c>
      <c r="V21" s="316" t="str">
        <f t="shared" si="6"/>
        <v>în</v>
      </c>
      <c r="W21" s="316" t="str">
        <f t="shared" si="6"/>
        <v>ìn</v>
      </c>
      <c r="X21" s="316" t="str">
        <f t="shared" si="6"/>
        <v>īn</v>
      </c>
      <c r="Y21" s="317" t="str">
        <f t="shared" si="6"/>
        <v>i̍t</v>
      </c>
      <c r="AA21" s="304">
        <f t="shared" si="3"/>
        <v>1</v>
      </c>
      <c r="AB21" s="304">
        <f t="shared" si="4"/>
        <v>3</v>
      </c>
      <c r="AC21" s="304" t="str">
        <f t="shared" si="9"/>
        <v>i</v>
      </c>
      <c r="AD21" s="304" t="str">
        <f t="shared" si="9"/>
        <v>í</v>
      </c>
      <c r="AE21" s="304" t="str">
        <f t="shared" si="9"/>
        <v>ì</v>
      </c>
      <c r="AF21" s="304" t="str">
        <f t="shared" si="9"/>
        <v>i</v>
      </c>
      <c r="AG21" s="304" t="str">
        <f t="shared" si="9"/>
        <v>î</v>
      </c>
      <c r="AH21" s="304" t="str">
        <f t="shared" si="9"/>
        <v>ì</v>
      </c>
      <c r="AI21" s="304" t="str">
        <f t="shared" si="9"/>
        <v>ī</v>
      </c>
      <c r="AJ21" s="304" t="str">
        <f t="shared" si="9"/>
        <v>i̍</v>
      </c>
    </row>
    <row r="22" spans="13:36" ht="34">
      <c r="M22" s="307">
        <v>18</v>
      </c>
      <c r="N22" s="311" t="s">
        <v>323</v>
      </c>
      <c r="O22" s="315" t="str" cm="1">
        <f t="array" ref="O22">INDEX(韻母對照表, (($M22-1)*2 +1), $O$1)</f>
        <v>iang</v>
      </c>
      <c r="P22" s="315" t="str" cm="1">
        <f t="array" ref="P22">INDEX(韻母對照表, (($M22-1)*2 +2), $O$1)</f>
        <v>iak</v>
      </c>
      <c r="Q22" s="311" t="s">
        <v>424</v>
      </c>
      <c r="R22" s="316" t="str">
        <f t="shared" si="6"/>
        <v>iang</v>
      </c>
      <c r="S22" s="316" t="str">
        <f t="shared" si="6"/>
        <v>iáng</v>
      </c>
      <c r="T22" s="316" t="str">
        <f t="shared" si="6"/>
        <v>iàng</v>
      </c>
      <c r="U22" s="317" t="str">
        <f t="shared" si="6"/>
        <v>iak</v>
      </c>
      <c r="V22" s="316" t="str">
        <f t="shared" si="6"/>
        <v>iâng</v>
      </c>
      <c r="W22" s="316" t="str">
        <f t="shared" si="6"/>
        <v>iàng</v>
      </c>
      <c r="X22" s="316" t="str">
        <f t="shared" si="6"/>
        <v>iāng</v>
      </c>
      <c r="Y22" s="317" t="str">
        <f t="shared" si="6"/>
        <v>ia̍k</v>
      </c>
      <c r="AA22" s="304">
        <f t="shared" si="3"/>
        <v>2</v>
      </c>
      <c r="AB22" s="304">
        <f t="shared" si="4"/>
        <v>1</v>
      </c>
      <c r="AC22" s="304" t="str">
        <f t="shared" si="9"/>
        <v>a</v>
      </c>
      <c r="AD22" s="304" t="str">
        <f t="shared" si="9"/>
        <v>á</v>
      </c>
      <c r="AE22" s="304" t="str">
        <f t="shared" si="9"/>
        <v>à</v>
      </c>
      <c r="AF22" s="304" t="str">
        <f t="shared" si="9"/>
        <v>a</v>
      </c>
      <c r="AG22" s="304" t="str">
        <f t="shared" si="9"/>
        <v>â</v>
      </c>
      <c r="AH22" s="304" t="str">
        <f t="shared" si="9"/>
        <v>à</v>
      </c>
      <c r="AI22" s="304" t="str">
        <f t="shared" si="9"/>
        <v>ā</v>
      </c>
      <c r="AJ22" s="304" t="str">
        <f t="shared" si="9"/>
        <v>a̍</v>
      </c>
    </row>
    <row r="23" spans="13:36" ht="34">
      <c r="M23" s="307">
        <v>19</v>
      </c>
      <c r="N23" s="311" t="s">
        <v>333</v>
      </c>
      <c r="O23" s="315" t="str" cm="1">
        <f t="array" ref="O23">INDEX(韻母對照表, (($M23-1)*2 +1), $O$1)</f>
        <v>am</v>
      </c>
      <c r="P23" s="315" t="str" cm="1">
        <f t="array" ref="P23">INDEX(韻母對照表, (($M23-1)*2 +2), $O$1)</f>
        <v>ap</v>
      </c>
      <c r="Q23" s="311" t="s">
        <v>424</v>
      </c>
      <c r="R23" s="316" t="str">
        <f t="shared" si="6"/>
        <v>am</v>
      </c>
      <c r="S23" s="316" t="str">
        <f t="shared" si="6"/>
        <v>ám</v>
      </c>
      <c r="T23" s="316" t="str">
        <f t="shared" si="6"/>
        <v>àm</v>
      </c>
      <c r="U23" s="317" t="str">
        <f t="shared" si="6"/>
        <v>ap</v>
      </c>
      <c r="V23" s="316" t="str">
        <f t="shared" si="6"/>
        <v>âm</v>
      </c>
      <c r="W23" s="316" t="str">
        <f t="shared" si="6"/>
        <v>àm</v>
      </c>
      <c r="X23" s="316" t="str">
        <f t="shared" si="6"/>
        <v>ām</v>
      </c>
      <c r="Y23" s="317" t="str">
        <f t="shared" si="6"/>
        <v>a̍p</v>
      </c>
      <c r="AA23" s="304">
        <f t="shared" si="3"/>
        <v>1</v>
      </c>
      <c r="AB23" s="304">
        <f t="shared" si="4"/>
        <v>1</v>
      </c>
      <c r="AC23" s="304" t="str">
        <f t="shared" si="9"/>
        <v>a</v>
      </c>
      <c r="AD23" s="304" t="str">
        <f t="shared" si="9"/>
        <v>á</v>
      </c>
      <c r="AE23" s="304" t="str">
        <f t="shared" si="9"/>
        <v>à</v>
      </c>
      <c r="AF23" s="304" t="str">
        <f t="shared" si="9"/>
        <v>a</v>
      </c>
      <c r="AG23" s="304" t="str">
        <f t="shared" si="9"/>
        <v>â</v>
      </c>
      <c r="AH23" s="304" t="str">
        <f t="shared" si="9"/>
        <v>à</v>
      </c>
      <c r="AI23" s="304" t="str">
        <f t="shared" si="9"/>
        <v>ā</v>
      </c>
      <c r="AJ23" s="304" t="str">
        <f t="shared" si="9"/>
        <v>a̍</v>
      </c>
    </row>
    <row r="24" spans="13:36" ht="34">
      <c r="M24" s="307">
        <v>20</v>
      </c>
      <c r="N24" s="311" t="s">
        <v>339</v>
      </c>
      <c r="O24" s="315" t="str" cm="1">
        <f t="array" ref="O24">INDEX(韻母對照表, (($M24-1)*2 +1), $O$1)</f>
        <v>ua</v>
      </c>
      <c r="P24" s="315" t="str" cm="1">
        <f t="array" ref="P24">INDEX(韻母對照表, (($M24-1)*2 +2), $O$1)</f>
        <v>uah</v>
      </c>
      <c r="Q24" s="311" t="s">
        <v>299</v>
      </c>
      <c r="R24" s="316" t="str">
        <f t="shared" si="6"/>
        <v>ua</v>
      </c>
      <c r="S24" s="316" t="str">
        <f t="shared" si="6"/>
        <v>ua</v>
      </c>
      <c r="T24" s="316" t="str">
        <f t="shared" si="6"/>
        <v>ua</v>
      </c>
      <c r="U24" s="317" t="str">
        <f t="shared" si="6"/>
        <v>uah</v>
      </c>
      <c r="V24" s="316" t="str">
        <f t="shared" si="6"/>
        <v>ua</v>
      </c>
      <c r="W24" s="316" t="str">
        <f t="shared" si="6"/>
        <v>ua</v>
      </c>
      <c r="X24" s="316" t="str">
        <f t="shared" si="6"/>
        <v>ua</v>
      </c>
      <c r="Y24" s="317" t="str">
        <f t="shared" si="6"/>
        <v>uah</v>
      </c>
      <c r="AA24" s="304" t="e">
        <f t="shared" si="3"/>
        <v>#VALUE!</v>
      </c>
      <c r="AB24" s="304">
        <f t="shared" si="4"/>
        <v>4</v>
      </c>
      <c r="AC24" s="304" t="str">
        <f t="shared" si="9"/>
        <v>o</v>
      </c>
      <c r="AD24" s="304" t="str">
        <f t="shared" si="9"/>
        <v>ó</v>
      </c>
      <c r="AE24" s="304" t="str">
        <f t="shared" si="9"/>
        <v>ò</v>
      </c>
      <c r="AF24" s="304" t="str">
        <f t="shared" si="9"/>
        <v>o</v>
      </c>
      <c r="AG24" s="304" t="str">
        <f t="shared" si="9"/>
        <v>ô</v>
      </c>
      <c r="AH24" s="304" t="str">
        <f t="shared" si="9"/>
        <v>ò</v>
      </c>
      <c r="AI24" s="304" t="str">
        <f t="shared" si="9"/>
        <v>ō</v>
      </c>
      <c r="AJ24" s="304" t="str">
        <f t="shared" si="9"/>
        <v>o̍</v>
      </c>
    </row>
    <row r="25" spans="13:36" ht="34">
      <c r="M25" s="307">
        <v>21</v>
      </c>
      <c r="N25" s="311" t="s">
        <v>350</v>
      </c>
      <c r="O25" s="315" t="str" cm="1">
        <f t="array" ref="O25">INDEX(韻母對照表, (($M25-1)*2 +1), $O$1)</f>
        <v>ang</v>
      </c>
      <c r="P25" s="315" t="str" cm="1">
        <f t="array" ref="P25">INDEX(韻母對照表, (($M25-1)*2 +2), $O$1)</f>
        <v>ak</v>
      </c>
      <c r="Q25" s="311" t="s">
        <v>424</v>
      </c>
      <c r="R25" s="316" t="str">
        <f t="shared" si="6"/>
        <v>ang</v>
      </c>
      <c r="S25" s="316" t="str">
        <f t="shared" si="6"/>
        <v>áng</v>
      </c>
      <c r="T25" s="316" t="str">
        <f t="shared" si="6"/>
        <v>àng</v>
      </c>
      <c r="U25" s="317" t="str">
        <f t="shared" si="6"/>
        <v>ak</v>
      </c>
      <c r="V25" s="316" t="str">
        <f t="shared" si="6"/>
        <v>âng</v>
      </c>
      <c r="W25" s="316" t="str">
        <f t="shared" si="6"/>
        <v>àng</v>
      </c>
      <c r="X25" s="316" t="str">
        <f t="shared" si="6"/>
        <v>āng</v>
      </c>
      <c r="Y25" s="317" t="str">
        <f t="shared" si="6"/>
        <v>a̍k</v>
      </c>
      <c r="AA25" s="304">
        <f t="shared" si="3"/>
        <v>1</v>
      </c>
      <c r="AB25" s="304">
        <f t="shared" si="4"/>
        <v>1</v>
      </c>
      <c r="AC25" s="304" t="str">
        <f t="shared" ref="AC25:AJ34" si="10">INDEX($D$5:$K$12, $AB25, AC$4)</f>
        <v>a</v>
      </c>
      <c r="AD25" s="304" t="str">
        <f t="shared" si="10"/>
        <v>á</v>
      </c>
      <c r="AE25" s="304" t="str">
        <f t="shared" si="10"/>
        <v>à</v>
      </c>
      <c r="AF25" s="304" t="str">
        <f t="shared" si="10"/>
        <v>a</v>
      </c>
      <c r="AG25" s="304" t="str">
        <f t="shared" si="10"/>
        <v>â</v>
      </c>
      <c r="AH25" s="304" t="str">
        <f t="shared" si="10"/>
        <v>à</v>
      </c>
      <c r="AI25" s="304" t="str">
        <f t="shared" si="10"/>
        <v>ā</v>
      </c>
      <c r="AJ25" s="304" t="str">
        <f t="shared" si="10"/>
        <v>a̍</v>
      </c>
    </row>
    <row r="26" spans="13:36" ht="34">
      <c r="M26" s="307">
        <v>22</v>
      </c>
      <c r="N26" s="311" t="s">
        <v>358</v>
      </c>
      <c r="O26" s="315" t="str" cm="1">
        <f t="array" ref="O26">INDEX(韻母對照表, (($M26-1)*2 +1), $O$1)</f>
        <v>iam</v>
      </c>
      <c r="P26" s="315" t="str" cm="1">
        <f t="array" ref="P26">INDEX(韻母對照表, (($M26-1)*2 +2), $O$1)</f>
        <v>iap</v>
      </c>
      <c r="Q26" s="311" t="s">
        <v>424</v>
      </c>
      <c r="R26" s="316" t="str">
        <f t="shared" si="6"/>
        <v>iam</v>
      </c>
      <c r="S26" s="316" t="str">
        <f t="shared" si="6"/>
        <v>iám</v>
      </c>
      <c r="T26" s="316" t="str">
        <f t="shared" si="6"/>
        <v>iàm</v>
      </c>
      <c r="U26" s="317" t="str">
        <f t="shared" si="6"/>
        <v>iap</v>
      </c>
      <c r="V26" s="316" t="str">
        <f t="shared" si="6"/>
        <v>iâm</v>
      </c>
      <c r="W26" s="316" t="str">
        <f t="shared" si="6"/>
        <v>iàm</v>
      </c>
      <c r="X26" s="316" t="str">
        <f t="shared" si="6"/>
        <v>iām</v>
      </c>
      <c r="Y26" s="317" t="str">
        <f t="shared" si="6"/>
        <v>ia̍p</v>
      </c>
      <c r="AA26" s="304">
        <f t="shared" si="3"/>
        <v>2</v>
      </c>
      <c r="AB26" s="304">
        <f t="shared" si="4"/>
        <v>1</v>
      </c>
      <c r="AC26" s="304" t="str">
        <f t="shared" si="10"/>
        <v>a</v>
      </c>
      <c r="AD26" s="304" t="str">
        <f t="shared" si="10"/>
        <v>á</v>
      </c>
      <c r="AE26" s="304" t="str">
        <f t="shared" si="10"/>
        <v>à</v>
      </c>
      <c r="AF26" s="304" t="str">
        <f t="shared" si="10"/>
        <v>a</v>
      </c>
      <c r="AG26" s="304" t="str">
        <f t="shared" si="10"/>
        <v>â</v>
      </c>
      <c r="AH26" s="304" t="str">
        <f t="shared" si="10"/>
        <v>à</v>
      </c>
      <c r="AI26" s="304" t="str">
        <f t="shared" si="10"/>
        <v>ā</v>
      </c>
      <c r="AJ26" s="304" t="str">
        <f t="shared" si="10"/>
        <v>a̍</v>
      </c>
    </row>
    <row r="27" spans="13:36" ht="34">
      <c r="M27" s="307">
        <v>23</v>
      </c>
      <c r="N27" s="311" t="s">
        <v>367</v>
      </c>
      <c r="O27" s="315" t="str" cm="1">
        <f t="array" ref="O27">INDEX(韻母對照表, (($M27-1)*2 +1), $O$1)</f>
        <v>au</v>
      </c>
      <c r="P27" s="315" t="str" cm="1">
        <f t="array" ref="P27">INDEX(韻母對照表, (($M27-1)*2 +2), $O$1)</f>
        <v>auh</v>
      </c>
      <c r="Q27" s="311" t="s">
        <v>424</v>
      </c>
      <c r="R27" s="316" t="str">
        <f t="shared" si="6"/>
        <v>au</v>
      </c>
      <c r="S27" s="316" t="str">
        <f t="shared" si="6"/>
        <v>áu</v>
      </c>
      <c r="T27" s="316" t="str">
        <f t="shared" si="6"/>
        <v>àu</v>
      </c>
      <c r="U27" s="317" t="str">
        <f t="shared" si="6"/>
        <v>auh</v>
      </c>
      <c r="V27" s="316" t="str">
        <f t="shared" si="6"/>
        <v>âu</v>
      </c>
      <c r="W27" s="316" t="str">
        <f t="shared" si="6"/>
        <v>àu</v>
      </c>
      <c r="X27" s="316" t="str">
        <f t="shared" si="6"/>
        <v>āu</v>
      </c>
      <c r="Y27" s="317" t="str">
        <f t="shared" si="6"/>
        <v>a̍uh</v>
      </c>
      <c r="AA27" s="304">
        <f t="shared" si="3"/>
        <v>1</v>
      </c>
      <c r="AB27" s="304">
        <f t="shared" si="4"/>
        <v>1</v>
      </c>
      <c r="AC27" s="304" t="str">
        <f t="shared" si="10"/>
        <v>a</v>
      </c>
      <c r="AD27" s="304" t="str">
        <f t="shared" si="10"/>
        <v>á</v>
      </c>
      <c r="AE27" s="304" t="str">
        <f t="shared" si="10"/>
        <v>à</v>
      </c>
      <c r="AF27" s="304" t="str">
        <f t="shared" si="10"/>
        <v>a</v>
      </c>
      <c r="AG27" s="304" t="str">
        <f t="shared" si="10"/>
        <v>â</v>
      </c>
      <c r="AH27" s="304" t="str">
        <f t="shared" si="10"/>
        <v>à</v>
      </c>
      <c r="AI27" s="304" t="str">
        <f t="shared" si="10"/>
        <v>ā</v>
      </c>
      <c r="AJ27" s="304" t="str">
        <f t="shared" si="10"/>
        <v>a̍</v>
      </c>
    </row>
    <row r="28" spans="13:36" ht="34">
      <c r="M28" s="307">
        <v>24</v>
      </c>
      <c r="N28" s="311" t="s">
        <v>378</v>
      </c>
      <c r="O28" s="315" t="str" cm="1">
        <f t="array" ref="O28">INDEX(韻母對照表, (($M28-1)*2 +1), $O$1)</f>
        <v>ia</v>
      </c>
      <c r="P28" s="315" t="str" cm="1">
        <f t="array" ref="P28">INDEX(韻母對照表, (($M28-1)*2 +2), $O$1)</f>
        <v>iah</v>
      </c>
      <c r="Q28" s="311" t="s">
        <v>424</v>
      </c>
      <c r="R28" s="316" t="str">
        <f t="shared" si="6"/>
        <v>ia</v>
      </c>
      <c r="S28" s="316" t="str">
        <f t="shared" si="6"/>
        <v>iá</v>
      </c>
      <c r="T28" s="316" t="str">
        <f t="shared" si="6"/>
        <v>ià</v>
      </c>
      <c r="U28" s="317" t="str">
        <f t="shared" si="6"/>
        <v>iah</v>
      </c>
      <c r="V28" s="316" t="str">
        <f t="shared" si="6"/>
        <v>iâ</v>
      </c>
      <c r="W28" s="316" t="str">
        <f t="shared" si="6"/>
        <v>ià</v>
      </c>
      <c r="X28" s="316" t="str">
        <f t="shared" si="6"/>
        <v>iā</v>
      </c>
      <c r="Y28" s="317" t="str">
        <f t="shared" si="6"/>
        <v>ia̍h</v>
      </c>
      <c r="AA28" s="304">
        <f t="shared" si="3"/>
        <v>2</v>
      </c>
      <c r="AB28" s="304">
        <f t="shared" si="4"/>
        <v>1</v>
      </c>
      <c r="AC28" s="304" t="str">
        <f t="shared" si="10"/>
        <v>a</v>
      </c>
      <c r="AD28" s="304" t="str">
        <f t="shared" si="10"/>
        <v>á</v>
      </c>
      <c r="AE28" s="304" t="str">
        <f t="shared" si="10"/>
        <v>à</v>
      </c>
      <c r="AF28" s="304" t="str">
        <f t="shared" si="10"/>
        <v>a</v>
      </c>
      <c r="AG28" s="304" t="str">
        <f t="shared" si="10"/>
        <v>â</v>
      </c>
      <c r="AH28" s="304" t="str">
        <f t="shared" si="10"/>
        <v>à</v>
      </c>
      <c r="AI28" s="304" t="str">
        <f t="shared" si="10"/>
        <v>ā</v>
      </c>
      <c r="AJ28" s="304" t="str">
        <f t="shared" si="10"/>
        <v>a̍</v>
      </c>
    </row>
    <row r="29" spans="13:36" ht="34">
      <c r="M29" s="307">
        <v>25</v>
      </c>
      <c r="N29" s="311" t="s">
        <v>388</v>
      </c>
      <c r="O29" s="315" t="str" cm="1">
        <f t="array" ref="O29">INDEX(韻母對照表, (($M29-1)*2 +1), $O$1)</f>
        <v>ue</v>
      </c>
      <c r="P29" s="315" t="str" cm="1">
        <f t="array" ref="P29">INDEX(韻母對照表, (($M29-1)*2 +2), $O$1)</f>
        <v>ueh</v>
      </c>
      <c r="Q29" s="311" t="s">
        <v>299</v>
      </c>
      <c r="R29" s="316" t="str">
        <f t="shared" si="6"/>
        <v>ue</v>
      </c>
      <c r="S29" s="316" t="str">
        <f t="shared" si="6"/>
        <v>ue</v>
      </c>
      <c r="T29" s="316" t="str">
        <f t="shared" si="6"/>
        <v>ue</v>
      </c>
      <c r="U29" s="317" t="str">
        <f t="shared" si="6"/>
        <v>ueh</v>
      </c>
      <c r="V29" s="316" t="str">
        <f t="shared" si="6"/>
        <v>ue</v>
      </c>
      <c r="W29" s="316" t="str">
        <f t="shared" si="6"/>
        <v>ue</v>
      </c>
      <c r="X29" s="316" t="str">
        <f t="shared" si="6"/>
        <v>ue</v>
      </c>
      <c r="Y29" s="317" t="str">
        <f t="shared" si="6"/>
        <v>ueh</v>
      </c>
      <c r="AA29" s="304" t="e">
        <f t="shared" si="3"/>
        <v>#VALUE!</v>
      </c>
      <c r="AB29" s="304">
        <f t="shared" si="4"/>
        <v>4</v>
      </c>
      <c r="AC29" s="304" t="str">
        <f t="shared" si="10"/>
        <v>o</v>
      </c>
      <c r="AD29" s="304" t="str">
        <f t="shared" si="10"/>
        <v>ó</v>
      </c>
      <c r="AE29" s="304" t="str">
        <f t="shared" si="10"/>
        <v>ò</v>
      </c>
      <c r="AF29" s="304" t="str">
        <f t="shared" si="10"/>
        <v>o</v>
      </c>
      <c r="AG29" s="304" t="str">
        <f t="shared" si="10"/>
        <v>ô</v>
      </c>
      <c r="AH29" s="304" t="str">
        <f t="shared" si="10"/>
        <v>ò</v>
      </c>
      <c r="AI29" s="304" t="str">
        <f t="shared" si="10"/>
        <v>ō</v>
      </c>
      <c r="AJ29" s="304" t="str">
        <f t="shared" si="10"/>
        <v>o̍</v>
      </c>
    </row>
    <row r="30" spans="13:36" ht="34">
      <c r="M30" s="307">
        <v>26</v>
      </c>
      <c r="N30" s="311" t="s">
        <v>399</v>
      </c>
      <c r="O30" s="315" t="str" cm="1">
        <f t="array" ref="O30">INDEX(韻母對照表, (($M30-1)*2 +1), $O$1)</f>
        <v>ann</v>
      </c>
      <c r="P30" s="315" t="str" cm="1">
        <f t="array" ref="P30">INDEX(韻母對照表, (($M30-1)*2 +2), $O$1)</f>
        <v>annh</v>
      </c>
      <c r="Q30" s="311" t="s">
        <v>424</v>
      </c>
      <c r="R30" s="316" t="str">
        <f t="shared" si="6"/>
        <v>ann</v>
      </c>
      <c r="S30" s="316" t="str">
        <f t="shared" si="6"/>
        <v>ánn</v>
      </c>
      <c r="T30" s="316" t="str">
        <f t="shared" si="6"/>
        <v>ànn</v>
      </c>
      <c r="U30" s="317" t="str">
        <f t="shared" si="6"/>
        <v>annh</v>
      </c>
      <c r="V30" s="316" t="str">
        <f t="shared" si="6"/>
        <v>ânn</v>
      </c>
      <c r="W30" s="316" t="str">
        <f t="shared" si="6"/>
        <v>ànn</v>
      </c>
      <c r="X30" s="316" t="str">
        <f t="shared" si="6"/>
        <v>ānn</v>
      </c>
      <c r="Y30" s="317" t="str">
        <f t="shared" si="6"/>
        <v>a̍nnh</v>
      </c>
      <c r="AA30" s="304">
        <f t="shared" si="3"/>
        <v>1</v>
      </c>
      <c r="AB30" s="304">
        <f t="shared" si="4"/>
        <v>1</v>
      </c>
      <c r="AC30" s="304" t="str">
        <f t="shared" si="10"/>
        <v>a</v>
      </c>
      <c r="AD30" s="304" t="str">
        <f t="shared" si="10"/>
        <v>á</v>
      </c>
      <c r="AE30" s="304" t="str">
        <f t="shared" si="10"/>
        <v>à</v>
      </c>
      <c r="AF30" s="304" t="str">
        <f t="shared" si="10"/>
        <v>a</v>
      </c>
      <c r="AG30" s="304" t="str">
        <f t="shared" si="10"/>
        <v>â</v>
      </c>
      <c r="AH30" s="304" t="str">
        <f t="shared" si="10"/>
        <v>à</v>
      </c>
      <c r="AI30" s="304" t="str">
        <f t="shared" si="10"/>
        <v>ā</v>
      </c>
      <c r="AJ30" s="304" t="str">
        <f t="shared" si="10"/>
        <v>a̍</v>
      </c>
    </row>
    <row r="31" spans="13:36" ht="34">
      <c r="M31" s="307">
        <v>27</v>
      </c>
      <c r="N31" s="311" t="s">
        <v>414</v>
      </c>
      <c r="O31" s="315" t="str" cm="1">
        <f t="array" ref="O31">INDEX(韻母對照表, (($M31-1)*2 +1), $O$1)</f>
        <v>u</v>
      </c>
      <c r="P31" s="315" t="str" cm="1">
        <f t="array" ref="P31">INDEX(韻母對照表, (($M31-1)*2 +2), $O$1)</f>
        <v>uh</v>
      </c>
      <c r="Q31" s="311" t="s">
        <v>415</v>
      </c>
      <c r="R31" s="316" t="str">
        <f t="shared" si="6"/>
        <v>u</v>
      </c>
      <c r="S31" s="316" t="str">
        <f t="shared" si="6"/>
        <v>ú</v>
      </c>
      <c r="T31" s="316" t="str">
        <f t="shared" si="6"/>
        <v>ù</v>
      </c>
      <c r="U31" s="317" t="str">
        <f t="shared" si="6"/>
        <v>uh</v>
      </c>
      <c r="V31" s="316" t="str">
        <f t="shared" si="6"/>
        <v>û</v>
      </c>
      <c r="W31" s="316" t="str">
        <f t="shared" si="6"/>
        <v>ù</v>
      </c>
      <c r="X31" s="316" t="str">
        <f t="shared" si="6"/>
        <v>ū</v>
      </c>
      <c r="Y31" s="317" t="str">
        <f t="shared" si="6"/>
        <v>u̍h</v>
      </c>
      <c r="AA31" s="304">
        <f t="shared" si="3"/>
        <v>1</v>
      </c>
      <c r="AB31" s="304">
        <f t="shared" si="4"/>
        <v>6</v>
      </c>
      <c r="AC31" s="304" t="str">
        <f t="shared" si="10"/>
        <v>u</v>
      </c>
      <c r="AD31" s="304" t="str">
        <f t="shared" si="10"/>
        <v>ú</v>
      </c>
      <c r="AE31" s="304" t="str">
        <f t="shared" si="10"/>
        <v>ù</v>
      </c>
      <c r="AF31" s="304" t="str">
        <f t="shared" si="10"/>
        <v>u</v>
      </c>
      <c r="AG31" s="304" t="str">
        <f t="shared" si="10"/>
        <v>û</v>
      </c>
      <c r="AH31" s="304" t="str">
        <f t="shared" si="10"/>
        <v>ù</v>
      </c>
      <c r="AI31" s="304" t="str">
        <f t="shared" si="10"/>
        <v>ū</v>
      </c>
      <c r="AJ31" s="304" t="str">
        <f t="shared" si="10"/>
        <v>u̍</v>
      </c>
    </row>
    <row r="32" spans="13:36" ht="34">
      <c r="M32" s="307">
        <v>28</v>
      </c>
      <c r="N32" s="311" t="s">
        <v>398</v>
      </c>
      <c r="O32" s="315" t="str" cm="1">
        <f t="array" ref="O32">INDEX(韻母對照表, (($M32-1)*2 +1), $O$1)</f>
        <v>a</v>
      </c>
      <c r="P32" s="315" t="str" cm="1">
        <f t="array" ref="P32">INDEX(韻母對照表, (($M32-1)*2 +2), $O$1)</f>
        <v>ah</v>
      </c>
      <c r="Q32" s="311" t="s">
        <v>424</v>
      </c>
      <c r="R32" s="316" t="str">
        <f t="shared" si="6"/>
        <v>a</v>
      </c>
      <c r="S32" s="316" t="str">
        <f t="shared" si="6"/>
        <v>á</v>
      </c>
      <c r="T32" s="316" t="str">
        <f t="shared" si="6"/>
        <v>à</v>
      </c>
      <c r="U32" s="317" t="str">
        <f t="shared" si="6"/>
        <v>ah</v>
      </c>
      <c r="V32" s="316" t="str">
        <f t="shared" si="6"/>
        <v>â</v>
      </c>
      <c r="W32" s="316" t="str">
        <f t="shared" si="6"/>
        <v>à</v>
      </c>
      <c r="X32" s="316" t="str">
        <f t="shared" si="6"/>
        <v>ā</v>
      </c>
      <c r="Y32" s="317" t="str">
        <f t="shared" si="6"/>
        <v>a̍h</v>
      </c>
      <c r="AA32" s="304">
        <f t="shared" si="3"/>
        <v>1</v>
      </c>
      <c r="AB32" s="304">
        <f t="shared" si="4"/>
        <v>1</v>
      </c>
      <c r="AC32" s="304" t="str">
        <f t="shared" si="10"/>
        <v>a</v>
      </c>
      <c r="AD32" s="304" t="str">
        <f t="shared" si="10"/>
        <v>á</v>
      </c>
      <c r="AE32" s="304" t="str">
        <f t="shared" si="10"/>
        <v>à</v>
      </c>
      <c r="AF32" s="304" t="str">
        <f t="shared" si="10"/>
        <v>a</v>
      </c>
      <c r="AG32" s="304" t="str">
        <f t="shared" si="10"/>
        <v>â</v>
      </c>
      <c r="AH32" s="304" t="str">
        <f t="shared" si="10"/>
        <v>à</v>
      </c>
      <c r="AI32" s="304" t="str">
        <f t="shared" si="10"/>
        <v>ā</v>
      </c>
      <c r="AJ32" s="304" t="str">
        <f t="shared" si="10"/>
        <v>a̍</v>
      </c>
    </row>
    <row r="33" spans="13:36" ht="34">
      <c r="M33" s="307">
        <v>29</v>
      </c>
      <c r="N33" s="311" t="s">
        <v>431</v>
      </c>
      <c r="O33" s="315" t="str" cm="1">
        <f t="array" ref="O33">INDEX(韻母對照表, (($M33-1)*2 +1), $O$1)</f>
        <v>i</v>
      </c>
      <c r="P33" s="315" t="str" cm="1">
        <f t="array" ref="P33">INDEX(韻母對照表, (($M33-1)*2 +2), $O$1)</f>
        <v>ih</v>
      </c>
      <c r="Q33" s="311" t="s">
        <v>432</v>
      </c>
      <c r="R33" s="316" t="str">
        <f t="shared" si="6"/>
        <v>i</v>
      </c>
      <c r="S33" s="316" t="str">
        <f t="shared" si="6"/>
        <v>í</v>
      </c>
      <c r="T33" s="316" t="str">
        <f t="shared" si="6"/>
        <v>ì</v>
      </c>
      <c r="U33" s="317" t="str">
        <f t="shared" si="6"/>
        <v>ih</v>
      </c>
      <c r="V33" s="316" t="str">
        <f t="shared" si="6"/>
        <v>î</v>
      </c>
      <c r="W33" s="316" t="str">
        <f t="shared" si="6"/>
        <v>ì</v>
      </c>
      <c r="X33" s="316" t="str">
        <f t="shared" si="6"/>
        <v>ī</v>
      </c>
      <c r="Y33" s="317" t="str">
        <f t="shared" si="6"/>
        <v>i̍h</v>
      </c>
      <c r="AA33" s="304">
        <f t="shared" si="3"/>
        <v>1</v>
      </c>
      <c r="AB33" s="304">
        <f t="shared" si="4"/>
        <v>3</v>
      </c>
      <c r="AC33" s="304" t="str">
        <f t="shared" si="10"/>
        <v>i</v>
      </c>
      <c r="AD33" s="304" t="str">
        <f t="shared" si="10"/>
        <v>í</v>
      </c>
      <c r="AE33" s="304" t="str">
        <f t="shared" si="10"/>
        <v>ì</v>
      </c>
      <c r="AF33" s="304" t="str">
        <f t="shared" si="10"/>
        <v>i</v>
      </c>
      <c r="AG33" s="304" t="str">
        <f t="shared" si="10"/>
        <v>î</v>
      </c>
      <c r="AH33" s="304" t="str">
        <f t="shared" si="10"/>
        <v>ì</v>
      </c>
      <c r="AI33" s="304" t="str">
        <f t="shared" si="10"/>
        <v>ī</v>
      </c>
      <c r="AJ33" s="304" t="str">
        <f t="shared" si="10"/>
        <v>i̍</v>
      </c>
    </row>
    <row r="34" spans="13:36" ht="34">
      <c r="M34" s="307">
        <v>30</v>
      </c>
      <c r="N34" s="311" t="s">
        <v>438</v>
      </c>
      <c r="O34" s="315" t="str" cm="1">
        <f t="array" ref="O34">INDEX(韻母對照表, (($M34-1)*2 +1), $O$1)</f>
        <v>iu</v>
      </c>
      <c r="P34" s="315" t="str" cm="1">
        <f t="array" ref="P34">INDEX(韻母對照表, (($M34-1)*2 +2), $O$1)</f>
        <v>iuh</v>
      </c>
      <c r="Q34" s="311" t="s">
        <v>415</v>
      </c>
      <c r="R34" s="316" t="str">
        <f t="shared" si="6"/>
        <v>iu</v>
      </c>
      <c r="S34" s="316" t="str">
        <f t="shared" si="6"/>
        <v>iú</v>
      </c>
      <c r="T34" s="316" t="str">
        <f t="shared" si="6"/>
        <v>iù</v>
      </c>
      <c r="U34" s="317" t="str">
        <f t="shared" si="6"/>
        <v>iuh</v>
      </c>
      <c r="V34" s="316" t="str">
        <f t="shared" si="6"/>
        <v>iû</v>
      </c>
      <c r="W34" s="316" t="str">
        <f t="shared" si="6"/>
        <v>iù</v>
      </c>
      <c r="X34" s="316" t="str">
        <f t="shared" si="6"/>
        <v>iū</v>
      </c>
      <c r="Y34" s="317" t="str">
        <f t="shared" si="6"/>
        <v>iu̍h</v>
      </c>
      <c r="AA34" s="304">
        <f t="shared" si="3"/>
        <v>2</v>
      </c>
      <c r="AB34" s="304">
        <f t="shared" si="4"/>
        <v>6</v>
      </c>
      <c r="AC34" s="304" t="str">
        <f t="shared" si="10"/>
        <v>u</v>
      </c>
      <c r="AD34" s="304" t="str">
        <f t="shared" si="10"/>
        <v>ú</v>
      </c>
      <c r="AE34" s="304" t="str">
        <f t="shared" si="10"/>
        <v>ù</v>
      </c>
      <c r="AF34" s="304" t="str">
        <f t="shared" si="10"/>
        <v>u</v>
      </c>
      <c r="AG34" s="304" t="str">
        <f t="shared" si="10"/>
        <v>û</v>
      </c>
      <c r="AH34" s="304" t="str">
        <f t="shared" si="10"/>
        <v>ù</v>
      </c>
      <c r="AI34" s="304" t="str">
        <f t="shared" si="10"/>
        <v>ū</v>
      </c>
      <c r="AJ34" s="304" t="str">
        <f t="shared" si="10"/>
        <v>u̍</v>
      </c>
    </row>
    <row r="35" spans="13:36" ht="34">
      <c r="M35" s="307">
        <v>31</v>
      </c>
      <c r="N35" s="311" t="s">
        <v>448</v>
      </c>
      <c r="O35" s="315" t="str" cm="1">
        <f t="array" ref="O35">INDEX(韻母對照表, (($M35-1)*2 +1), $O$1)</f>
        <v>enn</v>
      </c>
      <c r="P35" s="315" t="str" cm="1">
        <f t="array" ref="P35">INDEX(韻母對照表, (($M35-1)*2 +2), $O$1)</f>
        <v>ennh</v>
      </c>
      <c r="Q35" s="311" t="s">
        <v>278</v>
      </c>
      <c r="R35" s="316" t="str">
        <f t="shared" si="6"/>
        <v>enn</v>
      </c>
      <c r="S35" s="316" t="str">
        <f t="shared" si="6"/>
        <v>énn</v>
      </c>
      <c r="T35" s="316" t="str">
        <f t="shared" si="6"/>
        <v>ènn</v>
      </c>
      <c r="U35" s="317" t="str">
        <f t="shared" si="6"/>
        <v>ennh</v>
      </c>
      <c r="V35" s="316" t="str">
        <f t="shared" si="6"/>
        <v>ênn</v>
      </c>
      <c r="W35" s="316" t="str">
        <f t="shared" si="6"/>
        <v>ènn</v>
      </c>
      <c r="X35" s="316" t="str">
        <f t="shared" si="6"/>
        <v>ēnn</v>
      </c>
      <c r="Y35" s="317" t="str">
        <f t="shared" si="6"/>
        <v>e̍nnh</v>
      </c>
      <c r="AA35" s="304">
        <f t="shared" si="3"/>
        <v>1</v>
      </c>
      <c r="AB35" s="304">
        <f t="shared" si="4"/>
        <v>2</v>
      </c>
      <c r="AC35" s="304" t="str">
        <f t="shared" ref="AC35:AJ44" si="11">INDEX($D$5:$K$12, $AB35, AC$4)</f>
        <v>e</v>
      </c>
      <c r="AD35" s="304" t="str">
        <f t="shared" si="11"/>
        <v>é</v>
      </c>
      <c r="AE35" s="304" t="str">
        <f t="shared" si="11"/>
        <v>è</v>
      </c>
      <c r="AF35" s="304" t="str">
        <f t="shared" si="11"/>
        <v>e</v>
      </c>
      <c r="AG35" s="304" t="str">
        <f t="shared" si="11"/>
        <v>ê</v>
      </c>
      <c r="AH35" s="304" t="str">
        <f t="shared" si="11"/>
        <v>è</v>
      </c>
      <c r="AI35" s="304" t="str">
        <f t="shared" si="11"/>
        <v>ē</v>
      </c>
      <c r="AJ35" s="304" t="str">
        <f t="shared" si="11"/>
        <v>e̍</v>
      </c>
    </row>
    <row r="36" spans="13:36" ht="34">
      <c r="M36" s="307">
        <v>32</v>
      </c>
      <c r="N36" s="311" t="s">
        <v>464</v>
      </c>
      <c r="O36" s="315" t="str" cm="1">
        <f t="array" ref="O36">INDEX(韻母對照表, (($M36-1)*2 +1), $O$1)</f>
        <v>uinn</v>
      </c>
      <c r="P36" s="315" t="str" cm="1">
        <f t="array" ref="P36">INDEX(韻母對照表, (($M36-1)*2 +2), $O$1)</f>
        <v>uinnh</v>
      </c>
      <c r="Q36" s="311" t="s">
        <v>415</v>
      </c>
      <c r="R36" s="316" t="str">
        <f t="shared" si="6"/>
        <v>uinn</v>
      </c>
      <c r="S36" s="316" t="str">
        <f t="shared" si="6"/>
        <v>úinn</v>
      </c>
      <c r="T36" s="316" t="str">
        <f t="shared" si="6"/>
        <v>ùinn</v>
      </c>
      <c r="U36" s="317" t="str">
        <f t="shared" si="6"/>
        <v>uinnh</v>
      </c>
      <c r="V36" s="316" t="str">
        <f t="shared" si="6"/>
        <v>ûinn</v>
      </c>
      <c r="W36" s="316" t="str">
        <f t="shared" si="6"/>
        <v>ùinn</v>
      </c>
      <c r="X36" s="316" t="str">
        <f t="shared" si="6"/>
        <v>ūinn</v>
      </c>
      <c r="Y36" s="317" t="str">
        <f t="shared" si="6"/>
        <v>u̍innh</v>
      </c>
      <c r="AA36" s="304">
        <f t="shared" si="3"/>
        <v>1</v>
      </c>
      <c r="AB36" s="304">
        <f t="shared" si="4"/>
        <v>6</v>
      </c>
      <c r="AC36" s="304" t="str">
        <f t="shared" si="11"/>
        <v>u</v>
      </c>
      <c r="AD36" s="304" t="str">
        <f t="shared" si="11"/>
        <v>ú</v>
      </c>
      <c r="AE36" s="304" t="str">
        <f t="shared" si="11"/>
        <v>ù</v>
      </c>
      <c r="AF36" s="304" t="str">
        <f t="shared" si="11"/>
        <v>u</v>
      </c>
      <c r="AG36" s="304" t="str">
        <f t="shared" si="11"/>
        <v>û</v>
      </c>
      <c r="AH36" s="304" t="str">
        <f t="shared" si="11"/>
        <v>ù</v>
      </c>
      <c r="AI36" s="304" t="str">
        <f t="shared" si="11"/>
        <v>ū</v>
      </c>
      <c r="AJ36" s="304" t="str">
        <f t="shared" si="11"/>
        <v>u̍</v>
      </c>
    </row>
    <row r="37" spans="13:36" ht="34">
      <c r="M37" s="307">
        <v>33</v>
      </c>
      <c r="N37" s="311" t="s">
        <v>479</v>
      </c>
      <c r="O37" s="315" t="str" cm="1">
        <f t="array" ref="O37">INDEX(韻母對照表, (($M37-1)*2 +1), $O$1)</f>
        <v>io</v>
      </c>
      <c r="P37" s="315" t="str" cm="1">
        <f t="array" ref="P37">INDEX(韻母對照表, (($M37-1)*2 +2), $O$1)</f>
        <v>ioh</v>
      </c>
      <c r="Q37" s="311" t="s">
        <v>299</v>
      </c>
      <c r="R37" s="316" t="str">
        <f t="shared" si="6"/>
        <v>io</v>
      </c>
      <c r="S37" s="316" t="str">
        <f t="shared" si="6"/>
        <v>ió</v>
      </c>
      <c r="T37" s="316" t="str">
        <f t="shared" si="6"/>
        <v>iò</v>
      </c>
      <c r="U37" s="317" t="str">
        <f t="shared" si="6"/>
        <v>ioh</v>
      </c>
      <c r="V37" s="316" t="str">
        <f t="shared" si="6"/>
        <v>iô</v>
      </c>
      <c r="W37" s="316" t="str">
        <f t="shared" si="6"/>
        <v>iò</v>
      </c>
      <c r="X37" s="316" t="str">
        <f t="shared" si="6"/>
        <v>iō</v>
      </c>
      <c r="Y37" s="317" t="str">
        <f t="shared" si="6"/>
        <v>io̍h</v>
      </c>
      <c r="AA37" s="304">
        <f t="shared" si="3"/>
        <v>2</v>
      </c>
      <c r="AB37" s="304">
        <f t="shared" ref="AB37:AB54" si="12">MATCH(Q37, $C$5:$C$12, 0)</f>
        <v>4</v>
      </c>
      <c r="AC37" s="304" t="str">
        <f t="shared" si="11"/>
        <v>o</v>
      </c>
      <c r="AD37" s="304" t="str">
        <f t="shared" si="11"/>
        <v>ó</v>
      </c>
      <c r="AE37" s="304" t="str">
        <f t="shared" si="11"/>
        <v>ò</v>
      </c>
      <c r="AF37" s="304" t="str">
        <f t="shared" si="11"/>
        <v>o</v>
      </c>
      <c r="AG37" s="304" t="str">
        <f t="shared" si="11"/>
        <v>ô</v>
      </c>
      <c r="AH37" s="304" t="str">
        <f t="shared" si="11"/>
        <v>ò</v>
      </c>
      <c r="AI37" s="304" t="str">
        <f t="shared" si="11"/>
        <v>ō</v>
      </c>
      <c r="AJ37" s="304" t="str">
        <f t="shared" si="11"/>
        <v>o̍</v>
      </c>
    </row>
    <row r="38" spans="13:36" ht="34">
      <c r="M38" s="307">
        <v>34</v>
      </c>
      <c r="N38" s="311" t="s">
        <v>489</v>
      </c>
      <c r="O38" s="315" t="str" cm="1">
        <f t="array" ref="O38">INDEX(韻母對照表, (($M38-1)*2 +1), $O$1)</f>
        <v>inn</v>
      </c>
      <c r="P38" s="315" t="str" cm="1">
        <f t="array" ref="P38">INDEX(韻母對照表, (($M38-1)*2 +2), $O$1)</f>
        <v>innh</v>
      </c>
      <c r="Q38" s="311" t="s">
        <v>432</v>
      </c>
      <c r="R38" s="316" t="str">
        <f t="shared" ref="R38:Y54" si="13" xml:space="preserve"> IF(AND(R$4&lt;&gt;4,R$4&lt;&gt;8),  SUBSTITUTE($O38, $Q38,  INDEX($AC38:$AJ38, 1, R$4)),  SUBSTITUTE($P38, $Q38,  INDEX($AC38:$AJ38, 1, R$4)))</f>
        <v>inn</v>
      </c>
      <c r="S38" s="316" t="str">
        <f t="shared" si="13"/>
        <v>ínn</v>
      </c>
      <c r="T38" s="316" t="str">
        <f t="shared" si="13"/>
        <v>ìnn</v>
      </c>
      <c r="U38" s="317" t="str">
        <f t="shared" si="13"/>
        <v>innh</v>
      </c>
      <c r="V38" s="316" t="str">
        <f t="shared" si="13"/>
        <v>înn</v>
      </c>
      <c r="W38" s="316" t="str">
        <f t="shared" si="13"/>
        <v>ìnn</v>
      </c>
      <c r="X38" s="316" t="str">
        <f t="shared" si="13"/>
        <v>īnn</v>
      </c>
      <c r="Y38" s="317" t="str">
        <f t="shared" si="13"/>
        <v>i̍nnh</v>
      </c>
      <c r="AA38" s="304">
        <f t="shared" si="3"/>
        <v>1</v>
      </c>
      <c r="AB38" s="304">
        <f t="shared" si="12"/>
        <v>3</v>
      </c>
      <c r="AC38" s="304" t="str">
        <f t="shared" si="11"/>
        <v>i</v>
      </c>
      <c r="AD38" s="304" t="str">
        <f t="shared" si="11"/>
        <v>í</v>
      </c>
      <c r="AE38" s="304" t="str">
        <f t="shared" si="11"/>
        <v>ì</v>
      </c>
      <c r="AF38" s="304" t="str">
        <f t="shared" si="11"/>
        <v>i</v>
      </c>
      <c r="AG38" s="304" t="str">
        <f t="shared" si="11"/>
        <v>î</v>
      </c>
      <c r="AH38" s="304" t="str">
        <f t="shared" si="11"/>
        <v>ì</v>
      </c>
      <c r="AI38" s="304" t="str">
        <f t="shared" si="11"/>
        <v>ī</v>
      </c>
      <c r="AJ38" s="304" t="str">
        <f t="shared" si="11"/>
        <v>i̍</v>
      </c>
    </row>
    <row r="39" spans="13:36" ht="34">
      <c r="M39" s="307">
        <v>35</v>
      </c>
      <c r="N39" s="311" t="s">
        <v>1991</v>
      </c>
      <c r="O39" s="315" t="str" cm="1">
        <f t="array" ref="O39">INDEX(韻母對照表, (($M39-1)*2 +1), $O$1)</f>
        <v>ionn</v>
      </c>
      <c r="P39" s="315" t="str" cm="1">
        <f t="array" ref="P39">INDEX(韻母對照表, (($M39-1)*2 +2), $O$1)</f>
        <v>ionnh</v>
      </c>
      <c r="Q39" s="311" t="s">
        <v>299</v>
      </c>
      <c r="R39" s="316" t="str">
        <f t="shared" si="13"/>
        <v>ionn</v>
      </c>
      <c r="S39" s="316" t="str">
        <f t="shared" si="13"/>
        <v>iónn</v>
      </c>
      <c r="T39" s="316" t="str">
        <f t="shared" si="13"/>
        <v>iònn</v>
      </c>
      <c r="U39" s="317" t="str">
        <f t="shared" si="13"/>
        <v>ionnh</v>
      </c>
      <c r="V39" s="316" t="str">
        <f t="shared" si="13"/>
        <v>iônn</v>
      </c>
      <c r="W39" s="316" t="str">
        <f t="shared" si="13"/>
        <v>iònn</v>
      </c>
      <c r="X39" s="316" t="str">
        <f t="shared" si="13"/>
        <v>iōnn</v>
      </c>
      <c r="Y39" s="317" t="str">
        <f t="shared" si="13"/>
        <v>io̍nnh</v>
      </c>
      <c r="AA39" s="304">
        <f t="shared" si="3"/>
        <v>2</v>
      </c>
      <c r="AB39" s="304">
        <f t="shared" si="12"/>
        <v>4</v>
      </c>
      <c r="AC39" s="304" t="str">
        <f t="shared" si="11"/>
        <v>o</v>
      </c>
      <c r="AD39" s="304" t="str">
        <f t="shared" si="11"/>
        <v>ó</v>
      </c>
      <c r="AE39" s="304" t="str">
        <f t="shared" si="11"/>
        <v>ò</v>
      </c>
      <c r="AF39" s="304" t="str">
        <f t="shared" si="11"/>
        <v>o</v>
      </c>
      <c r="AG39" s="304" t="str">
        <f t="shared" si="11"/>
        <v>ô</v>
      </c>
      <c r="AH39" s="304" t="str">
        <f t="shared" si="11"/>
        <v>ò</v>
      </c>
      <c r="AI39" s="304" t="str">
        <f t="shared" si="11"/>
        <v>ō</v>
      </c>
      <c r="AJ39" s="304" t="str">
        <f t="shared" si="11"/>
        <v>o̍</v>
      </c>
    </row>
    <row r="40" spans="13:36" ht="34">
      <c r="M40" s="307">
        <v>36</v>
      </c>
      <c r="N40" s="311" t="s">
        <v>518</v>
      </c>
      <c r="O40" s="315" t="str" cm="1">
        <f t="array" ref="O40">INDEX(韻母對照表, (($M40-1)*2 +1), $O$1)</f>
        <v>iann</v>
      </c>
      <c r="P40" s="315" t="str" cm="1">
        <f t="array" ref="P40">INDEX(韻母對照表, (($M40-1)*2 +2), $O$1)</f>
        <v>iannh</v>
      </c>
      <c r="Q40" s="311" t="s">
        <v>424</v>
      </c>
      <c r="R40" s="316" t="str">
        <f t="shared" si="13"/>
        <v>iann</v>
      </c>
      <c r="S40" s="316" t="str">
        <f t="shared" si="13"/>
        <v>iánn</v>
      </c>
      <c r="T40" s="316" t="str">
        <f t="shared" si="13"/>
        <v>iànn</v>
      </c>
      <c r="U40" s="317" t="str">
        <f t="shared" si="13"/>
        <v>iannh</v>
      </c>
      <c r="V40" s="316" t="str">
        <f t="shared" si="13"/>
        <v>iânn</v>
      </c>
      <c r="W40" s="316" t="str">
        <f t="shared" si="13"/>
        <v>iànn</v>
      </c>
      <c r="X40" s="316" t="str">
        <f t="shared" si="13"/>
        <v>iānn</v>
      </c>
      <c r="Y40" s="317" t="str">
        <f t="shared" si="13"/>
        <v>ia̍nnh</v>
      </c>
      <c r="AA40" s="304">
        <f t="shared" si="3"/>
        <v>2</v>
      </c>
      <c r="AB40" s="304">
        <f t="shared" si="12"/>
        <v>1</v>
      </c>
      <c r="AC40" s="304" t="str">
        <f t="shared" si="11"/>
        <v>a</v>
      </c>
      <c r="AD40" s="304" t="str">
        <f t="shared" si="11"/>
        <v>á</v>
      </c>
      <c r="AE40" s="304" t="str">
        <f t="shared" si="11"/>
        <v>à</v>
      </c>
      <c r="AF40" s="304" t="str">
        <f t="shared" si="11"/>
        <v>a</v>
      </c>
      <c r="AG40" s="304" t="str">
        <f t="shared" si="11"/>
        <v>â</v>
      </c>
      <c r="AH40" s="304" t="str">
        <f t="shared" si="11"/>
        <v>à</v>
      </c>
      <c r="AI40" s="304" t="str">
        <f t="shared" si="11"/>
        <v>ā</v>
      </c>
      <c r="AJ40" s="304" t="str">
        <f t="shared" si="11"/>
        <v>a̍</v>
      </c>
    </row>
    <row r="41" spans="13:36" ht="34">
      <c r="M41" s="307">
        <v>37</v>
      </c>
      <c r="N41" s="311" t="s">
        <v>463</v>
      </c>
      <c r="O41" s="315" t="str" cm="1">
        <f t="array" ref="O41">INDEX(韻母對照表, (($M41-1)*2 +1), $O$1)</f>
        <v>uann</v>
      </c>
      <c r="P41" s="315" t="str" cm="1">
        <f t="array" ref="P41">INDEX(韻母對照表, (($M41-1)*2 +2), $O$1)</f>
        <v>uannh</v>
      </c>
      <c r="Q41" s="311" t="s">
        <v>299</v>
      </c>
      <c r="R41" s="316" t="str">
        <f t="shared" si="13"/>
        <v>uann</v>
      </c>
      <c r="S41" s="316" t="str">
        <f t="shared" si="13"/>
        <v>uann</v>
      </c>
      <c r="T41" s="316" t="str">
        <f t="shared" si="13"/>
        <v>uann</v>
      </c>
      <c r="U41" s="317" t="str">
        <f t="shared" si="13"/>
        <v>uannh</v>
      </c>
      <c r="V41" s="316" t="str">
        <f t="shared" si="13"/>
        <v>uann</v>
      </c>
      <c r="W41" s="316" t="str">
        <f t="shared" si="13"/>
        <v>uann</v>
      </c>
      <c r="X41" s="316" t="str">
        <f t="shared" si="13"/>
        <v>uann</v>
      </c>
      <c r="Y41" s="317" t="str">
        <f t="shared" si="13"/>
        <v>uannh</v>
      </c>
      <c r="AA41" s="304" t="e">
        <f t="shared" si="3"/>
        <v>#VALUE!</v>
      </c>
      <c r="AB41" s="304">
        <f t="shared" si="12"/>
        <v>4</v>
      </c>
      <c r="AC41" s="304" t="str">
        <f t="shared" si="11"/>
        <v>o</v>
      </c>
      <c r="AD41" s="304" t="str">
        <f t="shared" si="11"/>
        <v>ó</v>
      </c>
      <c r="AE41" s="304" t="str">
        <f t="shared" si="11"/>
        <v>ò</v>
      </c>
      <c r="AF41" s="304" t="str">
        <f t="shared" si="11"/>
        <v>o</v>
      </c>
      <c r="AG41" s="304" t="str">
        <f t="shared" si="11"/>
        <v>ô</v>
      </c>
      <c r="AH41" s="304" t="str">
        <f t="shared" si="11"/>
        <v>ò</v>
      </c>
      <c r="AI41" s="304" t="str">
        <f t="shared" si="11"/>
        <v>ō</v>
      </c>
      <c r="AJ41" s="304" t="str">
        <f t="shared" si="11"/>
        <v>o̍</v>
      </c>
    </row>
    <row r="42" spans="13:36" ht="34">
      <c r="M42" s="307">
        <v>38</v>
      </c>
      <c r="N42" s="311" t="s">
        <v>488</v>
      </c>
      <c r="O42" s="315" t="str" cm="1">
        <f t="array" ref="O42">INDEX(韻母對照表, (($M42-1)*2 +1), $O$1)</f>
        <v>ng</v>
      </c>
      <c r="P42" s="315" t="str" cm="1">
        <f t="array" ref="P42">INDEX(韻母對照表, (($M42-1)*2 +2), $O$1)</f>
        <v>ngh</v>
      </c>
      <c r="Q42" s="311" t="s">
        <v>79</v>
      </c>
      <c r="R42" s="316" t="str">
        <f t="shared" si="13"/>
        <v>ng</v>
      </c>
      <c r="S42" s="316" t="str">
        <f t="shared" si="13"/>
        <v>ńg</v>
      </c>
      <c r="T42" s="316" t="str">
        <f t="shared" si="13"/>
        <v xml:space="preserve">ǹ </v>
      </c>
      <c r="U42" s="317" t="str">
        <f t="shared" si="13"/>
        <v>ngh</v>
      </c>
      <c r="V42" s="316" t="str">
        <f t="shared" si="13"/>
        <v>n̂g</v>
      </c>
      <c r="W42" s="316" t="str">
        <f t="shared" si="13"/>
        <v>0</v>
      </c>
      <c r="X42" s="316" t="str">
        <f t="shared" si="13"/>
        <v>n̄g</v>
      </c>
      <c r="Y42" s="317" t="str">
        <f t="shared" si="13"/>
        <v>n̍gh</v>
      </c>
      <c r="AA42" s="304">
        <f t="shared" si="3"/>
        <v>1</v>
      </c>
      <c r="AB42" s="304">
        <f t="shared" si="12"/>
        <v>8</v>
      </c>
      <c r="AC42" s="304" t="str">
        <f t="shared" si="11"/>
        <v>ng</v>
      </c>
      <c r="AD42" s="304" t="str">
        <f t="shared" si="11"/>
        <v>ńg</v>
      </c>
      <c r="AE42" s="304" t="str">
        <f t="shared" si="11"/>
        <v xml:space="preserve">ǹ </v>
      </c>
      <c r="AF42" s="304" t="str">
        <f t="shared" si="11"/>
        <v>ng</v>
      </c>
      <c r="AG42" s="304" t="str">
        <f t="shared" si="11"/>
        <v>n̂g</v>
      </c>
      <c r="AH42" s="304">
        <f t="shared" si="11"/>
        <v>0</v>
      </c>
      <c r="AI42" s="304" t="str">
        <f t="shared" si="11"/>
        <v>n̄g</v>
      </c>
      <c r="AJ42" s="304" t="str">
        <f t="shared" si="11"/>
        <v>n̍g</v>
      </c>
    </row>
    <row r="43" spans="13:36" ht="34">
      <c r="M43" s="307">
        <v>39</v>
      </c>
      <c r="N43" s="311" t="s">
        <v>553</v>
      </c>
      <c r="O43" s="315" t="str" cm="1">
        <f t="array" ref="O43">INDEX(韻母對照表, (($M43-1)*2 +1), $O$1)</f>
        <v>e</v>
      </c>
      <c r="P43" s="315" t="str" cm="1">
        <f t="array" ref="P43">INDEX(韻母對照表, (($M43-1)*2 +2), $O$1)</f>
        <v>eh</v>
      </c>
      <c r="Q43" s="311" t="s">
        <v>278</v>
      </c>
      <c r="R43" s="316" t="str">
        <f t="shared" si="13"/>
        <v>e</v>
      </c>
      <c r="S43" s="316" t="str">
        <f t="shared" si="13"/>
        <v>é</v>
      </c>
      <c r="T43" s="316" t="str">
        <f t="shared" si="13"/>
        <v>è</v>
      </c>
      <c r="U43" s="317" t="str">
        <f t="shared" si="13"/>
        <v>eh</v>
      </c>
      <c r="V43" s="316" t="str">
        <f t="shared" si="13"/>
        <v>ê</v>
      </c>
      <c r="W43" s="316" t="str">
        <f t="shared" si="13"/>
        <v>è</v>
      </c>
      <c r="X43" s="316" t="str">
        <f t="shared" si="13"/>
        <v>ē</v>
      </c>
      <c r="Y43" s="317" t="str">
        <f t="shared" si="13"/>
        <v>e̍h</v>
      </c>
      <c r="AA43" s="304">
        <f t="shared" si="3"/>
        <v>1</v>
      </c>
      <c r="AB43" s="304">
        <f t="shared" si="12"/>
        <v>2</v>
      </c>
      <c r="AC43" s="304" t="str">
        <f t="shared" si="11"/>
        <v>e</v>
      </c>
      <c r="AD43" s="304" t="str">
        <f t="shared" si="11"/>
        <v>é</v>
      </c>
      <c r="AE43" s="304" t="str">
        <f t="shared" si="11"/>
        <v>è</v>
      </c>
      <c r="AF43" s="304" t="str">
        <f t="shared" si="11"/>
        <v>e</v>
      </c>
      <c r="AG43" s="304" t="str">
        <f t="shared" si="11"/>
        <v>ê</v>
      </c>
      <c r="AH43" s="304" t="str">
        <f t="shared" si="11"/>
        <v>è</v>
      </c>
      <c r="AI43" s="304" t="str">
        <f t="shared" si="11"/>
        <v>ē</v>
      </c>
      <c r="AJ43" s="304" t="str">
        <f t="shared" si="11"/>
        <v>e̍</v>
      </c>
    </row>
    <row r="44" spans="13:36" ht="34">
      <c r="M44" s="307">
        <v>40</v>
      </c>
      <c r="N44" s="311" t="s">
        <v>705</v>
      </c>
      <c r="O44" s="315" t="str" cm="1">
        <f t="array" ref="O44">INDEX(韻母對照表, (($M44-1)*2 +1), $O$1)</f>
        <v>ainn</v>
      </c>
      <c r="P44" s="315" t="str" cm="1">
        <f t="array" ref="P44">INDEX(韻母對照表, (($M44-1)*2 +2), $O$1)</f>
        <v>ainnh</v>
      </c>
      <c r="Q44" s="311" t="s">
        <v>424</v>
      </c>
      <c r="R44" s="316" t="str">
        <f t="shared" si="13"/>
        <v>ainn</v>
      </c>
      <c r="S44" s="316" t="str">
        <f t="shared" si="13"/>
        <v>áinn</v>
      </c>
      <c r="T44" s="316" t="str">
        <f t="shared" si="13"/>
        <v>àinn</v>
      </c>
      <c r="U44" s="317" t="str">
        <f t="shared" si="13"/>
        <v>ainnh</v>
      </c>
      <c r="V44" s="316" t="str">
        <f t="shared" si="13"/>
        <v>âinn</v>
      </c>
      <c r="W44" s="316" t="str">
        <f t="shared" si="13"/>
        <v>àinn</v>
      </c>
      <c r="X44" s="316" t="str">
        <f t="shared" si="13"/>
        <v>āinn</v>
      </c>
      <c r="Y44" s="317" t="str">
        <f t="shared" si="13"/>
        <v>a̍innh</v>
      </c>
      <c r="AA44" s="304">
        <f t="shared" si="3"/>
        <v>1</v>
      </c>
      <c r="AB44" s="304">
        <f t="shared" si="12"/>
        <v>1</v>
      </c>
      <c r="AC44" s="304" t="str">
        <f t="shared" si="11"/>
        <v>a</v>
      </c>
      <c r="AD44" s="304" t="str">
        <f t="shared" si="11"/>
        <v>á</v>
      </c>
      <c r="AE44" s="304" t="str">
        <f t="shared" si="11"/>
        <v>à</v>
      </c>
      <c r="AF44" s="304" t="str">
        <f t="shared" si="11"/>
        <v>a</v>
      </c>
      <c r="AG44" s="304" t="str">
        <f t="shared" si="11"/>
        <v>â</v>
      </c>
      <c r="AH44" s="304" t="str">
        <f t="shared" si="11"/>
        <v>à</v>
      </c>
      <c r="AI44" s="304" t="str">
        <f t="shared" si="11"/>
        <v>ā</v>
      </c>
      <c r="AJ44" s="304" t="str">
        <f t="shared" si="11"/>
        <v>a̍</v>
      </c>
    </row>
    <row r="45" spans="13:36" ht="34">
      <c r="M45" s="307">
        <v>41</v>
      </c>
      <c r="N45" s="311" t="s">
        <v>572</v>
      </c>
      <c r="O45" s="315" t="str" cm="1">
        <f t="array" ref="O45">INDEX(韻母對照表, (($M45-1)*2 +1), $O$1)</f>
        <v>onn</v>
      </c>
      <c r="P45" s="315" t="str" cm="1">
        <f t="array" ref="P45">INDEX(韻母對照表, (($M45-1)*2 +2), $O$1)</f>
        <v>onnh</v>
      </c>
      <c r="Q45" s="311" t="s">
        <v>299</v>
      </c>
      <c r="R45" s="316" t="str">
        <f t="shared" si="13"/>
        <v>onn</v>
      </c>
      <c r="S45" s="316" t="str">
        <f t="shared" si="13"/>
        <v>ónn</v>
      </c>
      <c r="T45" s="316" t="str">
        <f t="shared" si="13"/>
        <v>ònn</v>
      </c>
      <c r="U45" s="317" t="str">
        <f t="shared" si="13"/>
        <v>onnh</v>
      </c>
      <c r="V45" s="316" t="str">
        <f t="shared" si="13"/>
        <v>ônn</v>
      </c>
      <c r="W45" s="316" t="str">
        <f t="shared" si="13"/>
        <v>ònn</v>
      </c>
      <c r="X45" s="316" t="str">
        <f t="shared" si="13"/>
        <v>ōnn</v>
      </c>
      <c r="Y45" s="317" t="str">
        <f t="shared" si="13"/>
        <v>o̍nnh</v>
      </c>
      <c r="AA45" s="304">
        <f t="shared" si="3"/>
        <v>1</v>
      </c>
      <c r="AB45" s="304">
        <f t="shared" si="12"/>
        <v>4</v>
      </c>
      <c r="AC45" s="304" t="str">
        <f t="shared" ref="AC45:AJ54" si="14">INDEX($D$5:$K$12, $AB45, AC$4)</f>
        <v>o</v>
      </c>
      <c r="AD45" s="304" t="str">
        <f t="shared" si="14"/>
        <v>ó</v>
      </c>
      <c r="AE45" s="304" t="str">
        <f t="shared" si="14"/>
        <v>ò</v>
      </c>
      <c r="AF45" s="304" t="str">
        <f t="shared" si="14"/>
        <v>o</v>
      </c>
      <c r="AG45" s="304" t="str">
        <f t="shared" si="14"/>
        <v>ô</v>
      </c>
      <c r="AH45" s="304" t="str">
        <f t="shared" si="14"/>
        <v>ò</v>
      </c>
      <c r="AI45" s="304" t="str">
        <f t="shared" si="14"/>
        <v>ō</v>
      </c>
      <c r="AJ45" s="304" t="str">
        <f t="shared" si="14"/>
        <v>o̍</v>
      </c>
    </row>
    <row r="46" spans="13:36" ht="34">
      <c r="M46" s="307">
        <v>42</v>
      </c>
      <c r="N46" s="311" t="s">
        <v>544</v>
      </c>
      <c r="O46" s="315" t="str" cm="1">
        <f t="array" ref="O46">INDEX(韻母對照表, (($M46-1)*2 +1), $O$1)</f>
        <v>m</v>
      </c>
      <c r="P46" s="315" t="str" cm="1">
        <f t="array" ref="P46">INDEX(韻母對照表, (($M46-1)*2 +2), $O$1)</f>
        <v>mh</v>
      </c>
      <c r="Q46" s="311" t="s">
        <v>64</v>
      </c>
      <c r="R46" s="316" t="str">
        <f t="shared" si="13"/>
        <v>m</v>
      </c>
      <c r="S46" s="316" t="str">
        <f t="shared" si="13"/>
        <v xml:space="preserve"> ḿ</v>
      </c>
      <c r="T46" s="316" t="str">
        <f t="shared" si="13"/>
        <v>m̀</v>
      </c>
      <c r="U46" s="317" t="str">
        <f t="shared" si="13"/>
        <v>mh</v>
      </c>
      <c r="V46" s="316" t="str">
        <f t="shared" si="13"/>
        <v>m̂</v>
      </c>
      <c r="W46" s="316" t="str">
        <f t="shared" si="13"/>
        <v>m̀</v>
      </c>
      <c r="X46" s="316" t="str">
        <f t="shared" si="13"/>
        <v>m̄</v>
      </c>
      <c r="Y46" s="317" t="str">
        <f t="shared" si="13"/>
        <v>m̍hh</v>
      </c>
      <c r="AA46" s="304">
        <f t="shared" si="3"/>
        <v>1</v>
      </c>
      <c r="AB46" s="304">
        <f t="shared" si="12"/>
        <v>7</v>
      </c>
      <c r="AC46" s="304" t="str">
        <f t="shared" si="14"/>
        <v>m</v>
      </c>
      <c r="AD46" s="304" t="str">
        <f t="shared" si="14"/>
        <v xml:space="preserve"> ḿ</v>
      </c>
      <c r="AE46" s="304" t="str">
        <f t="shared" si="14"/>
        <v>m̀</v>
      </c>
      <c r="AF46" s="304" t="str">
        <f t="shared" si="14"/>
        <v>m</v>
      </c>
      <c r="AG46" s="304" t="str">
        <f t="shared" si="14"/>
        <v>m̂</v>
      </c>
      <c r="AH46" s="304" t="str">
        <f t="shared" si="14"/>
        <v>m̀</v>
      </c>
      <c r="AI46" s="304" t="str">
        <f t="shared" si="14"/>
        <v>m̄</v>
      </c>
      <c r="AJ46" s="304" t="str">
        <f t="shared" si="14"/>
        <v>m̍h</v>
      </c>
    </row>
    <row r="47" spans="13:36" ht="34">
      <c r="M47" s="307">
        <v>43</v>
      </c>
      <c r="N47" s="311" t="s">
        <v>597</v>
      </c>
      <c r="O47" s="315" t="str" cm="1">
        <f t="array" ref="O47">INDEX(韻母對照表, (($M47-1)*2 +1), $O$1)</f>
        <v>uang</v>
      </c>
      <c r="P47" s="315" t="str" cm="1">
        <f t="array" ref="P47">INDEX(韻母對照表, (($M47-1)*2 +2), $O$1)</f>
        <v>uak</v>
      </c>
      <c r="Q47" s="311" t="s">
        <v>424</v>
      </c>
      <c r="R47" s="316" t="str">
        <f t="shared" si="13"/>
        <v>uang</v>
      </c>
      <c r="S47" s="316" t="str">
        <f t="shared" si="13"/>
        <v>uáng</v>
      </c>
      <c r="T47" s="316" t="str">
        <f t="shared" si="13"/>
        <v>uàng</v>
      </c>
      <c r="U47" s="317" t="str">
        <f t="shared" si="13"/>
        <v>uak</v>
      </c>
      <c r="V47" s="316" t="str">
        <f t="shared" si="13"/>
        <v>uâng</v>
      </c>
      <c r="W47" s="316" t="str">
        <f t="shared" si="13"/>
        <v>uàng</v>
      </c>
      <c r="X47" s="316" t="str">
        <f t="shared" si="13"/>
        <v>uāng</v>
      </c>
      <c r="Y47" s="317" t="str">
        <f t="shared" si="13"/>
        <v>ua̍k</v>
      </c>
      <c r="AA47" s="304">
        <f t="shared" si="3"/>
        <v>2</v>
      </c>
      <c r="AB47" s="304">
        <f t="shared" si="12"/>
        <v>1</v>
      </c>
      <c r="AC47" s="304" t="str">
        <f t="shared" si="14"/>
        <v>a</v>
      </c>
      <c r="AD47" s="304" t="str">
        <f t="shared" si="14"/>
        <v>á</v>
      </c>
      <c r="AE47" s="304" t="str">
        <f t="shared" si="14"/>
        <v>à</v>
      </c>
      <c r="AF47" s="304" t="str">
        <f t="shared" si="14"/>
        <v>a</v>
      </c>
      <c r="AG47" s="304" t="str">
        <f t="shared" si="14"/>
        <v>â</v>
      </c>
      <c r="AH47" s="304" t="str">
        <f t="shared" si="14"/>
        <v>à</v>
      </c>
      <c r="AI47" s="304" t="str">
        <f t="shared" si="14"/>
        <v>ā</v>
      </c>
      <c r="AJ47" s="304" t="str">
        <f t="shared" si="14"/>
        <v>a̍</v>
      </c>
    </row>
    <row r="48" spans="13:36" ht="34">
      <c r="M48" s="307">
        <v>44</v>
      </c>
      <c r="N48" s="311" t="s">
        <v>558</v>
      </c>
      <c r="O48" s="315" t="str" cm="1">
        <f t="array" ref="O48">INDEX(韻母對照表, (($M48-1)*2 +1), $O$1)</f>
        <v>uainn</v>
      </c>
      <c r="P48" s="315" t="str" cm="1">
        <f t="array" ref="P48">INDEX(韻母對照表, (($M48-1)*2 +2), $O$1)</f>
        <v>uainnh</v>
      </c>
      <c r="Q48" s="311" t="s">
        <v>424</v>
      </c>
      <c r="R48" s="316" t="str">
        <f t="shared" si="13"/>
        <v>uainn</v>
      </c>
      <c r="S48" s="316" t="str">
        <f t="shared" si="13"/>
        <v>uáinn</v>
      </c>
      <c r="T48" s="316" t="str">
        <f t="shared" si="13"/>
        <v>uàinn</v>
      </c>
      <c r="U48" s="317" t="str">
        <f t="shared" si="13"/>
        <v>uainnh</v>
      </c>
      <c r="V48" s="316" t="str">
        <f t="shared" si="13"/>
        <v>uâinn</v>
      </c>
      <c r="W48" s="316" t="str">
        <f t="shared" si="13"/>
        <v>uàinn</v>
      </c>
      <c r="X48" s="316" t="str">
        <f t="shared" si="13"/>
        <v>uāinn</v>
      </c>
      <c r="Y48" s="317" t="str">
        <f t="shared" si="13"/>
        <v>ua̍innh</v>
      </c>
      <c r="AA48" s="304">
        <f t="shared" si="3"/>
        <v>2</v>
      </c>
      <c r="AB48" s="304">
        <f t="shared" si="12"/>
        <v>1</v>
      </c>
      <c r="AC48" s="304" t="str">
        <f t="shared" si="14"/>
        <v>a</v>
      </c>
      <c r="AD48" s="304" t="str">
        <f t="shared" si="14"/>
        <v>á</v>
      </c>
      <c r="AE48" s="304" t="str">
        <f t="shared" si="14"/>
        <v>à</v>
      </c>
      <c r="AF48" s="304" t="str">
        <f t="shared" si="14"/>
        <v>a</v>
      </c>
      <c r="AG48" s="304" t="str">
        <f t="shared" si="14"/>
        <v>â</v>
      </c>
      <c r="AH48" s="304" t="str">
        <f t="shared" si="14"/>
        <v>à</v>
      </c>
      <c r="AI48" s="304" t="str">
        <f t="shared" si="14"/>
        <v>ā</v>
      </c>
      <c r="AJ48" s="304" t="str">
        <f t="shared" si="14"/>
        <v>a̍</v>
      </c>
    </row>
    <row r="49" spans="13:36" ht="34">
      <c r="M49" s="307">
        <v>45</v>
      </c>
      <c r="N49" s="311" t="s">
        <v>623</v>
      </c>
      <c r="O49" s="315" t="str" cm="1">
        <f t="array" ref="O49">INDEX(韻母對照表, (($M49-1)*2 +1), $O$1)</f>
        <v>uenn</v>
      </c>
      <c r="P49" s="315" t="str" cm="1">
        <f t="array" ref="P49">INDEX(韻母對照表, (($M49-1)*2 +2), $O$1)</f>
        <v>uennh</v>
      </c>
      <c r="Q49" s="311" t="s">
        <v>299</v>
      </c>
      <c r="R49" s="316" t="str">
        <f t="shared" si="13"/>
        <v>uenn</v>
      </c>
      <c r="S49" s="316" t="str">
        <f t="shared" si="13"/>
        <v>uenn</v>
      </c>
      <c r="T49" s="316" t="str">
        <f t="shared" si="13"/>
        <v>uenn</v>
      </c>
      <c r="U49" s="317" t="str">
        <f t="shared" si="13"/>
        <v>uennh</v>
      </c>
      <c r="V49" s="316" t="str">
        <f t="shared" si="13"/>
        <v>uenn</v>
      </c>
      <c r="W49" s="316" t="str">
        <f t="shared" si="13"/>
        <v>uenn</v>
      </c>
      <c r="X49" s="316" t="str">
        <f t="shared" si="13"/>
        <v>uenn</v>
      </c>
      <c r="Y49" s="317" t="str">
        <f t="shared" si="13"/>
        <v>uennh</v>
      </c>
      <c r="AA49" s="304" t="e">
        <f t="shared" si="3"/>
        <v>#VALUE!</v>
      </c>
      <c r="AB49" s="304">
        <f t="shared" si="12"/>
        <v>4</v>
      </c>
      <c r="AC49" s="304" t="str">
        <f t="shared" si="14"/>
        <v>o</v>
      </c>
      <c r="AD49" s="304" t="str">
        <f t="shared" si="14"/>
        <v>ó</v>
      </c>
      <c r="AE49" s="304" t="str">
        <f t="shared" si="14"/>
        <v>ò</v>
      </c>
      <c r="AF49" s="304" t="str">
        <f t="shared" si="14"/>
        <v>o</v>
      </c>
      <c r="AG49" s="304" t="str">
        <f t="shared" si="14"/>
        <v>ô</v>
      </c>
      <c r="AH49" s="304" t="str">
        <f t="shared" si="14"/>
        <v>ò</v>
      </c>
      <c r="AI49" s="304" t="str">
        <f t="shared" si="14"/>
        <v>ō</v>
      </c>
      <c r="AJ49" s="304" t="str">
        <f t="shared" si="14"/>
        <v>o̍</v>
      </c>
    </row>
    <row r="50" spans="13:36" ht="34">
      <c r="M50" s="307">
        <v>46</v>
      </c>
      <c r="N50" s="311" t="s">
        <v>636</v>
      </c>
      <c r="O50" s="315" t="str" cm="1">
        <f t="array" ref="O50">INDEX(韻母對照表, (($M50-1)*2 +1), $O$1)</f>
        <v>iaunn</v>
      </c>
      <c r="P50" s="315" t="str" cm="1">
        <f t="array" ref="P50">INDEX(韻母對照表, (($M50-1)*2 +2), $O$1)</f>
        <v>iaunnh</v>
      </c>
      <c r="Q50" s="311" t="s">
        <v>424</v>
      </c>
      <c r="R50" s="316" t="str">
        <f t="shared" si="13"/>
        <v>iaunn</v>
      </c>
      <c r="S50" s="316" t="str">
        <f t="shared" si="13"/>
        <v>iáunn</v>
      </c>
      <c r="T50" s="316" t="str">
        <f t="shared" si="13"/>
        <v>iàunn</v>
      </c>
      <c r="U50" s="317" t="str">
        <f t="shared" si="13"/>
        <v>iaunnh</v>
      </c>
      <c r="V50" s="316" t="str">
        <f t="shared" si="13"/>
        <v>iâunn</v>
      </c>
      <c r="W50" s="316" t="str">
        <f t="shared" si="13"/>
        <v>iàunn</v>
      </c>
      <c r="X50" s="316" t="str">
        <f t="shared" si="13"/>
        <v>iāunn</v>
      </c>
      <c r="Y50" s="317" t="str">
        <f t="shared" si="13"/>
        <v>ia̍unnh</v>
      </c>
      <c r="AA50" s="304">
        <f t="shared" si="3"/>
        <v>2</v>
      </c>
      <c r="AB50" s="304">
        <f t="shared" si="12"/>
        <v>1</v>
      </c>
      <c r="AC50" s="304" t="str">
        <f t="shared" si="14"/>
        <v>a</v>
      </c>
      <c r="AD50" s="304" t="str">
        <f t="shared" si="14"/>
        <v>á</v>
      </c>
      <c r="AE50" s="304" t="str">
        <f t="shared" si="14"/>
        <v>à</v>
      </c>
      <c r="AF50" s="304" t="str">
        <f t="shared" si="14"/>
        <v>a</v>
      </c>
      <c r="AG50" s="304" t="str">
        <f t="shared" si="14"/>
        <v>â</v>
      </c>
      <c r="AH50" s="304" t="str">
        <f t="shared" si="14"/>
        <v>à</v>
      </c>
      <c r="AI50" s="304" t="str">
        <f t="shared" si="14"/>
        <v>ā</v>
      </c>
      <c r="AJ50" s="304" t="str">
        <f t="shared" si="14"/>
        <v>a̍</v>
      </c>
    </row>
    <row r="51" spans="13:36" ht="34">
      <c r="M51" s="307">
        <v>47</v>
      </c>
      <c r="N51" s="311" t="s">
        <v>721</v>
      </c>
      <c r="O51" s="315" t="str" cm="1">
        <f t="array" ref="O51">INDEX(韻母對照表, (($M51-1)*2 +1), $O$1)</f>
        <v>om</v>
      </c>
      <c r="P51" s="315" t="str" cm="1">
        <f t="array" ref="P51">INDEX(韻母對照表, (($M51-1)*2 +2), $O$1)</f>
        <v>op</v>
      </c>
      <c r="Q51" s="311" t="s">
        <v>299</v>
      </c>
      <c r="R51" s="316" t="str">
        <f t="shared" si="13"/>
        <v>om</v>
      </c>
      <c r="S51" s="316" t="str">
        <f t="shared" si="13"/>
        <v>óm</v>
      </c>
      <c r="T51" s="316" t="str">
        <f t="shared" si="13"/>
        <v>òm</v>
      </c>
      <c r="U51" s="317" t="str">
        <f t="shared" si="13"/>
        <v>op</v>
      </c>
      <c r="V51" s="316" t="str">
        <f t="shared" si="13"/>
        <v>ôm</v>
      </c>
      <c r="W51" s="316" t="str">
        <f t="shared" si="13"/>
        <v>òm</v>
      </c>
      <c r="X51" s="316" t="str">
        <f t="shared" si="13"/>
        <v>ōm</v>
      </c>
      <c r="Y51" s="317" t="str">
        <f t="shared" si="13"/>
        <v>o̍p</v>
      </c>
      <c r="AA51" s="304">
        <f t="shared" si="3"/>
        <v>1</v>
      </c>
      <c r="AB51" s="304">
        <f t="shared" si="12"/>
        <v>4</v>
      </c>
      <c r="AC51" s="304" t="str">
        <f t="shared" si="14"/>
        <v>o</v>
      </c>
      <c r="AD51" s="304" t="str">
        <f t="shared" si="14"/>
        <v>ó</v>
      </c>
      <c r="AE51" s="304" t="str">
        <f t="shared" si="14"/>
        <v>ò</v>
      </c>
      <c r="AF51" s="304" t="str">
        <f t="shared" si="14"/>
        <v>o</v>
      </c>
      <c r="AG51" s="304" t="str">
        <f t="shared" si="14"/>
        <v>ô</v>
      </c>
      <c r="AH51" s="304" t="str">
        <f t="shared" si="14"/>
        <v>ò</v>
      </c>
      <c r="AI51" s="304" t="str">
        <f t="shared" si="14"/>
        <v>ō</v>
      </c>
      <c r="AJ51" s="304" t="str">
        <f t="shared" si="14"/>
        <v>o̍</v>
      </c>
    </row>
    <row r="52" spans="13:36" ht="34">
      <c r="M52" s="307">
        <v>48</v>
      </c>
      <c r="N52" s="311" t="s">
        <v>656</v>
      </c>
      <c r="O52" s="315" t="str" cm="1">
        <f t="array" ref="O52">INDEX(韻母對照表, (($M52-1)*2 +1), $O$1)</f>
        <v>aunn</v>
      </c>
      <c r="P52" s="315" t="str" cm="1">
        <f t="array" ref="P52">INDEX(韻母對照表, (($M52-1)*2 +2), $O$1)</f>
        <v>aunnh</v>
      </c>
      <c r="Q52" s="311" t="s">
        <v>424</v>
      </c>
      <c r="R52" s="316" t="str">
        <f t="shared" si="13"/>
        <v>aunn</v>
      </c>
      <c r="S52" s="316" t="str">
        <f t="shared" si="13"/>
        <v>áunn</v>
      </c>
      <c r="T52" s="316" t="str">
        <f t="shared" si="13"/>
        <v>àunn</v>
      </c>
      <c r="U52" s="317" t="str">
        <f t="shared" si="13"/>
        <v>aunnh</v>
      </c>
      <c r="V52" s="316" t="str">
        <f t="shared" si="13"/>
        <v>âunn</v>
      </c>
      <c r="W52" s="316" t="str">
        <f t="shared" si="13"/>
        <v>àunn</v>
      </c>
      <c r="X52" s="316" t="str">
        <f t="shared" si="13"/>
        <v>āunn</v>
      </c>
      <c r="Y52" s="317" t="str">
        <f t="shared" si="13"/>
        <v>a̍unnh</v>
      </c>
      <c r="AA52" s="304">
        <f t="shared" si="3"/>
        <v>1</v>
      </c>
      <c r="AB52" s="304">
        <f t="shared" si="12"/>
        <v>1</v>
      </c>
      <c r="AC52" s="304" t="str">
        <f t="shared" si="14"/>
        <v>a</v>
      </c>
      <c r="AD52" s="304" t="str">
        <f t="shared" si="14"/>
        <v>á</v>
      </c>
      <c r="AE52" s="304" t="str">
        <f t="shared" si="14"/>
        <v>à</v>
      </c>
      <c r="AF52" s="304" t="str">
        <f t="shared" si="14"/>
        <v>a</v>
      </c>
      <c r="AG52" s="304" t="str">
        <f t="shared" si="14"/>
        <v>â</v>
      </c>
      <c r="AH52" s="304" t="str">
        <f t="shared" si="14"/>
        <v>à</v>
      </c>
      <c r="AI52" s="304" t="str">
        <f t="shared" si="14"/>
        <v>ā</v>
      </c>
      <c r="AJ52" s="304" t="str">
        <f t="shared" si="14"/>
        <v>a̍</v>
      </c>
    </row>
    <row r="53" spans="13:36" ht="34">
      <c r="M53" s="307">
        <v>49</v>
      </c>
      <c r="N53" s="311" t="s">
        <v>668</v>
      </c>
      <c r="O53" s="315" t="str" cm="1">
        <f t="array" ref="O53">INDEX(韻母對照表, (($M53-1)*2 +1), $O$1)</f>
        <v>oonn</v>
      </c>
      <c r="P53" s="315" t="str" cm="1">
        <f t="array" ref="P53">INDEX(韻母對照表, (($M53-1)*2 +2), $O$1)</f>
        <v>oonnh</v>
      </c>
      <c r="Q53" s="311" t="s">
        <v>299</v>
      </c>
      <c r="R53" s="316" t="str">
        <f t="shared" si="13"/>
        <v>oonn</v>
      </c>
      <c r="S53" s="316" t="str">
        <f t="shared" si="13"/>
        <v>óónn</v>
      </c>
      <c r="T53" s="316" t="str">
        <f t="shared" si="13"/>
        <v>òònn</v>
      </c>
      <c r="U53" s="317" t="str">
        <f t="shared" si="13"/>
        <v>oonnh</v>
      </c>
      <c r="V53" s="316" t="str">
        <f t="shared" si="13"/>
        <v>ôônn</v>
      </c>
      <c r="W53" s="316" t="str">
        <f t="shared" si="13"/>
        <v>òònn</v>
      </c>
      <c r="X53" s="316" t="str">
        <f t="shared" si="13"/>
        <v>ōōnn</v>
      </c>
      <c r="Y53" s="317" t="str">
        <f t="shared" si="13"/>
        <v>o̍o̍nnh</v>
      </c>
      <c r="AA53" s="304">
        <f t="shared" si="3"/>
        <v>1</v>
      </c>
      <c r="AB53" s="304">
        <f t="shared" si="12"/>
        <v>4</v>
      </c>
      <c r="AC53" s="304" t="str">
        <f t="shared" si="14"/>
        <v>o</v>
      </c>
      <c r="AD53" s="304" t="str">
        <f t="shared" si="14"/>
        <v>ó</v>
      </c>
      <c r="AE53" s="304" t="str">
        <f t="shared" si="14"/>
        <v>ò</v>
      </c>
      <c r="AF53" s="304" t="str">
        <f t="shared" si="14"/>
        <v>o</v>
      </c>
      <c r="AG53" s="304" t="str">
        <f t="shared" si="14"/>
        <v>ô</v>
      </c>
      <c r="AH53" s="304" t="str">
        <f t="shared" si="14"/>
        <v>ò</v>
      </c>
      <c r="AI53" s="304" t="str">
        <f t="shared" si="14"/>
        <v>ō</v>
      </c>
      <c r="AJ53" s="304" t="str">
        <f t="shared" si="14"/>
        <v>o̍</v>
      </c>
    </row>
    <row r="54" spans="13:36" ht="34">
      <c r="M54" s="307">
        <v>50</v>
      </c>
      <c r="N54" s="311" t="s">
        <v>676</v>
      </c>
      <c r="O54" s="315" t="str" cm="1">
        <f t="array" ref="O54">INDEX(韻母對照表, (($M54-1)*2 +1), $O$1)</f>
        <v>iunn</v>
      </c>
      <c r="P54" s="315" t="str" cm="1">
        <f t="array" ref="P54">INDEX(韻母對照表, (($M54-1)*2 +2), $O$1)</f>
        <v>iunnh</v>
      </c>
      <c r="Q54" s="311" t="s">
        <v>415</v>
      </c>
      <c r="R54" s="316" t="str">
        <f t="shared" si="13"/>
        <v>iunn</v>
      </c>
      <c r="S54" s="316" t="str">
        <f t="shared" si="13"/>
        <v>iúnn</v>
      </c>
      <c r="T54" s="316" t="str">
        <f t="shared" si="13"/>
        <v>iùnn</v>
      </c>
      <c r="U54" s="317" t="str">
        <f t="shared" si="13"/>
        <v>iunnh</v>
      </c>
      <c r="V54" s="316" t="str">
        <f t="shared" si="13"/>
        <v>iûnn</v>
      </c>
      <c r="W54" s="316" t="str">
        <f t="shared" si="13"/>
        <v>iùnn</v>
      </c>
      <c r="X54" s="316" t="str">
        <f t="shared" si="13"/>
        <v>iūnn</v>
      </c>
      <c r="Y54" s="317" t="str">
        <f t="shared" si="13"/>
        <v>iu̍nnh</v>
      </c>
      <c r="AA54" s="304">
        <f t="shared" si="3"/>
        <v>2</v>
      </c>
      <c r="AB54" s="304">
        <f t="shared" si="12"/>
        <v>6</v>
      </c>
      <c r="AC54" s="304" t="str">
        <f t="shared" si="14"/>
        <v>u</v>
      </c>
      <c r="AD54" s="304" t="str">
        <f t="shared" si="14"/>
        <v>ú</v>
      </c>
      <c r="AE54" s="304" t="str">
        <f t="shared" si="14"/>
        <v>ù</v>
      </c>
      <c r="AF54" s="304" t="str">
        <f t="shared" si="14"/>
        <v>u</v>
      </c>
      <c r="AG54" s="304" t="str">
        <f t="shared" si="14"/>
        <v>û</v>
      </c>
      <c r="AH54" s="304" t="str">
        <f t="shared" si="14"/>
        <v>ù</v>
      </c>
      <c r="AI54" s="304" t="str">
        <f t="shared" si="14"/>
        <v>ū</v>
      </c>
      <c r="AJ54" s="304" t="str">
        <f t="shared" si="14"/>
        <v>u̍</v>
      </c>
    </row>
  </sheetData>
  <mergeCells count="9">
    <mergeCell ref="Q3:Q4"/>
    <mergeCell ref="AA3:AA4"/>
    <mergeCell ref="AB3:AB4"/>
    <mergeCell ref="B3:B4"/>
    <mergeCell ref="C3:C4"/>
    <mergeCell ref="M3:M4"/>
    <mergeCell ref="N3:N4"/>
    <mergeCell ref="O3:O4"/>
    <mergeCell ref="P3:P4"/>
  </mergeCells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E295B-DC59-9745-9D09-84C8487243DA}">
  <sheetPr codeName="工作表32">
    <tabColor rgb="FFC00000"/>
  </sheetPr>
  <dimension ref="B2:V78"/>
  <sheetViews>
    <sheetView workbookViewId="0"/>
  </sheetViews>
  <sheetFormatPr baseColWidth="10" defaultColWidth="3.5" defaultRowHeight="22"/>
  <cols>
    <col min="1" max="2" width="3.5" style="6"/>
    <col min="3" max="3" width="4.796875" style="6" bestFit="1" customWidth="1"/>
    <col min="4" max="4" width="4.296875" style="6" bestFit="1" customWidth="1"/>
    <col min="5" max="5" width="4" style="6" bestFit="1" customWidth="1"/>
    <col min="6" max="6" width="4.296875" style="6" bestFit="1" customWidth="1"/>
    <col min="7" max="7" width="5" style="6" bestFit="1" customWidth="1"/>
    <col min="8" max="8" width="3.8984375" style="6" bestFit="1" customWidth="1"/>
    <col min="9" max="9" width="5" style="6" bestFit="1" customWidth="1"/>
    <col min="10" max="10" width="5.3984375" style="6" bestFit="1" customWidth="1"/>
    <col min="11" max="11" width="3.8984375" style="6" bestFit="1" customWidth="1"/>
    <col min="12" max="12" width="4.3984375" style="6" bestFit="1" customWidth="1"/>
    <col min="13" max="13" width="4" style="6" bestFit="1" customWidth="1"/>
    <col min="14" max="14" width="5" style="6" bestFit="1" customWidth="1"/>
    <col min="15" max="15" width="4.69921875" style="6" bestFit="1" customWidth="1"/>
    <col min="16" max="16" width="5.3984375" style="6" bestFit="1" customWidth="1"/>
    <col min="17" max="17" width="5" style="6" bestFit="1" customWidth="1"/>
    <col min="18" max="18" width="4.3984375" style="6" bestFit="1" customWidth="1"/>
    <col min="19" max="19" width="5.09765625" style="6" bestFit="1" customWidth="1"/>
    <col min="20" max="20" width="5.3984375" style="6" bestFit="1" customWidth="1"/>
    <col min="21" max="21" width="5.796875" style="6" bestFit="1" customWidth="1"/>
    <col min="22" max="22" width="4.796875" style="6" bestFit="1" customWidth="1"/>
    <col min="23" max="16384" width="3.5" style="6"/>
  </cols>
  <sheetData>
    <row r="2" spans="2:22">
      <c r="C2" s="91"/>
      <c r="D2" s="92" t="s">
        <v>742</v>
      </c>
      <c r="E2" s="92" t="s">
        <v>21</v>
      </c>
      <c r="F2" s="92" t="s">
        <v>27</v>
      </c>
      <c r="G2" s="92" t="s">
        <v>33</v>
      </c>
      <c r="H2" s="92" t="s">
        <v>39</v>
      </c>
      <c r="I2" s="92" t="s">
        <v>30</v>
      </c>
      <c r="J2" s="92" t="s">
        <v>36</v>
      </c>
      <c r="K2" s="92" t="s">
        <v>13</v>
      </c>
      <c r="L2" s="92" t="s">
        <v>64</v>
      </c>
      <c r="M2" s="92" t="s">
        <v>17</v>
      </c>
      <c r="N2" s="92" t="s">
        <v>79</v>
      </c>
      <c r="O2" s="92" t="s">
        <v>24</v>
      </c>
      <c r="P2" s="92" t="s">
        <v>48</v>
      </c>
      <c r="Q2" s="92" t="s">
        <v>76</v>
      </c>
      <c r="R2" s="92" t="s">
        <v>42</v>
      </c>
      <c r="S2" s="92" t="s">
        <v>53</v>
      </c>
      <c r="T2" s="92" t="s">
        <v>59</v>
      </c>
      <c r="U2" s="92" t="s">
        <v>112</v>
      </c>
      <c r="V2" s="91"/>
    </row>
    <row r="3" spans="2:22">
      <c r="B3" s="6">
        <v>1</v>
      </c>
      <c r="C3" s="93" t="s">
        <v>424</v>
      </c>
      <c r="D3" s="94" t="s">
        <v>424</v>
      </c>
      <c r="E3" s="94" t="s">
        <v>2497</v>
      </c>
      <c r="F3" s="94" t="s">
        <v>2500</v>
      </c>
      <c r="G3" s="94" t="s">
        <v>2501</v>
      </c>
      <c r="H3" s="94"/>
      <c r="I3" s="94" t="s">
        <v>2502</v>
      </c>
      <c r="J3" s="94" t="s">
        <v>2503</v>
      </c>
      <c r="K3" s="94" t="s">
        <v>2504</v>
      </c>
      <c r="L3" s="94" t="s">
        <v>2505</v>
      </c>
      <c r="M3" s="94" t="s">
        <v>406</v>
      </c>
      <c r="N3" s="94" t="s">
        <v>2506</v>
      </c>
      <c r="O3" s="94" t="s">
        <v>2507</v>
      </c>
      <c r="P3" s="94" t="s">
        <v>2508</v>
      </c>
      <c r="Q3" s="94" t="s">
        <v>2509</v>
      </c>
      <c r="R3" s="94" t="s">
        <v>2510</v>
      </c>
      <c r="S3" s="94" t="s">
        <v>2511</v>
      </c>
      <c r="T3" s="94" t="s">
        <v>3263</v>
      </c>
      <c r="U3" s="94" t="s">
        <v>3264</v>
      </c>
      <c r="V3" s="93" t="s">
        <v>424</v>
      </c>
    </row>
    <row r="4" spans="2:22">
      <c r="B4" s="6">
        <v>2</v>
      </c>
      <c r="C4" s="93" t="s">
        <v>425</v>
      </c>
      <c r="D4" s="94" t="s">
        <v>425</v>
      </c>
      <c r="E4" s="94" t="s">
        <v>2523</v>
      </c>
      <c r="F4" s="94"/>
      <c r="G4" s="94" t="s">
        <v>2526</v>
      </c>
      <c r="H4" s="94"/>
      <c r="I4" s="94" t="s">
        <v>2527</v>
      </c>
      <c r="J4" s="94" t="s">
        <v>2528</v>
      </c>
      <c r="K4" s="94" t="s">
        <v>2529</v>
      </c>
      <c r="L4" s="94"/>
      <c r="M4" s="94" t="s">
        <v>407</v>
      </c>
      <c r="N4" s="94"/>
      <c r="O4" s="94" t="s">
        <v>2530</v>
      </c>
      <c r="P4" s="94" t="s">
        <v>2531</v>
      </c>
      <c r="Q4" s="94" t="s">
        <v>2532</v>
      </c>
      <c r="R4" s="94" t="s">
        <v>2533</v>
      </c>
      <c r="S4" s="94" t="s">
        <v>2534</v>
      </c>
      <c r="T4" s="94" t="s">
        <v>3265</v>
      </c>
      <c r="U4" s="94" t="s">
        <v>3266</v>
      </c>
      <c r="V4" s="93" t="s">
        <v>425</v>
      </c>
    </row>
    <row r="5" spans="2:22">
      <c r="B5" s="6">
        <v>3</v>
      </c>
      <c r="C5" s="93" t="s">
        <v>307</v>
      </c>
      <c r="D5" s="94" t="s">
        <v>307</v>
      </c>
      <c r="E5" s="94" t="s">
        <v>2538</v>
      </c>
      <c r="F5" s="94" t="s">
        <v>2541</v>
      </c>
      <c r="G5" s="94" t="s">
        <v>2542</v>
      </c>
      <c r="H5" s="94"/>
      <c r="I5" s="94" t="s">
        <v>2543</v>
      </c>
      <c r="J5" s="94" t="s">
        <v>2544</v>
      </c>
      <c r="K5" s="94" t="s">
        <v>2545</v>
      </c>
      <c r="L5" s="94" t="s">
        <v>2546</v>
      </c>
      <c r="M5" s="94" t="s">
        <v>565</v>
      </c>
      <c r="N5" s="94" t="s">
        <v>2547</v>
      </c>
      <c r="O5" s="94" t="s">
        <v>2548</v>
      </c>
      <c r="P5" s="94" t="s">
        <v>2549</v>
      </c>
      <c r="Q5" s="94" t="s">
        <v>2550</v>
      </c>
      <c r="R5" s="94" t="s">
        <v>2551</v>
      </c>
      <c r="S5" s="94" t="s">
        <v>2552</v>
      </c>
      <c r="T5" s="94" t="s">
        <v>3267</v>
      </c>
      <c r="U5" s="94" t="s">
        <v>3268</v>
      </c>
      <c r="V5" s="93" t="s">
        <v>307</v>
      </c>
    </row>
    <row r="6" spans="2:22">
      <c r="B6" s="6">
        <v>4</v>
      </c>
      <c r="C6" s="93" t="s">
        <v>559</v>
      </c>
      <c r="D6" s="94" t="s">
        <v>559</v>
      </c>
      <c r="E6" s="94"/>
      <c r="F6" s="94"/>
      <c r="G6" s="94" t="s">
        <v>3269</v>
      </c>
      <c r="H6" s="94"/>
      <c r="I6" s="94" t="s">
        <v>3270</v>
      </c>
      <c r="J6" s="94" t="s">
        <v>3271</v>
      </c>
      <c r="K6" s="94"/>
      <c r="L6" s="94"/>
      <c r="M6" s="94"/>
      <c r="N6" s="94"/>
      <c r="O6" s="94"/>
      <c r="P6" s="94" t="s">
        <v>3272</v>
      </c>
      <c r="Q6" s="94"/>
      <c r="R6" s="94" t="s">
        <v>3273</v>
      </c>
      <c r="S6" s="94"/>
      <c r="T6" s="94" t="s">
        <v>3274</v>
      </c>
      <c r="U6" s="94"/>
      <c r="V6" s="93" t="s">
        <v>559</v>
      </c>
    </row>
    <row r="7" spans="2:22">
      <c r="B7" s="6">
        <v>5</v>
      </c>
      <c r="C7" s="93" t="s">
        <v>352</v>
      </c>
      <c r="D7" s="94" t="s">
        <v>352</v>
      </c>
      <c r="E7" s="94" t="s">
        <v>2561</v>
      </c>
      <c r="F7" s="94" t="s">
        <v>2564</v>
      </c>
      <c r="G7" s="94" t="s">
        <v>2565</v>
      </c>
      <c r="H7" s="94"/>
      <c r="I7" s="94" t="s">
        <v>2566</v>
      </c>
      <c r="J7" s="94" t="s">
        <v>2567</v>
      </c>
      <c r="K7" s="94" t="s">
        <v>2568</v>
      </c>
      <c r="L7" s="94"/>
      <c r="M7" s="94"/>
      <c r="N7" s="94"/>
      <c r="O7" s="94" t="s">
        <v>2569</v>
      </c>
      <c r="P7" s="94" t="s">
        <v>2570</v>
      </c>
      <c r="Q7" s="94" t="s">
        <v>2571</v>
      </c>
      <c r="R7" s="94" t="s">
        <v>2572</v>
      </c>
      <c r="S7" s="94" t="s">
        <v>2573</v>
      </c>
      <c r="T7" s="94" t="s">
        <v>3275</v>
      </c>
      <c r="U7" s="94" t="s">
        <v>3276</v>
      </c>
      <c r="V7" s="93" t="s">
        <v>352</v>
      </c>
    </row>
    <row r="8" spans="2:22">
      <c r="B8" s="6">
        <v>6</v>
      </c>
      <c r="C8" s="93" t="s">
        <v>334</v>
      </c>
      <c r="D8" s="94" t="s">
        <v>334</v>
      </c>
      <c r="E8" s="94"/>
      <c r="F8" s="94" t="s">
        <v>2576</v>
      </c>
      <c r="G8" s="94" t="s">
        <v>2577</v>
      </c>
      <c r="H8" s="94"/>
      <c r="I8" s="94" t="s">
        <v>2578</v>
      </c>
      <c r="J8" s="94" t="s">
        <v>2579</v>
      </c>
      <c r="K8" s="94" t="s">
        <v>2580</v>
      </c>
      <c r="L8" s="94"/>
      <c r="M8" s="94"/>
      <c r="N8" s="94"/>
      <c r="O8" s="94"/>
      <c r="P8" s="94"/>
      <c r="Q8" s="94" t="s">
        <v>2581</v>
      </c>
      <c r="R8" s="94" t="s">
        <v>2582</v>
      </c>
      <c r="S8" s="94" t="s">
        <v>2583</v>
      </c>
      <c r="T8" s="94" t="s">
        <v>3277</v>
      </c>
      <c r="U8" s="94" t="s">
        <v>3278</v>
      </c>
      <c r="V8" s="93" t="s">
        <v>334</v>
      </c>
    </row>
    <row r="9" spans="2:22">
      <c r="B9" s="6">
        <v>7</v>
      </c>
      <c r="C9" s="93" t="s">
        <v>202</v>
      </c>
      <c r="D9" s="94" t="s">
        <v>202</v>
      </c>
      <c r="E9" s="94" t="s">
        <v>2584</v>
      </c>
      <c r="F9" s="94" t="s">
        <v>2587</v>
      </c>
      <c r="G9" s="94" t="s">
        <v>2588</v>
      </c>
      <c r="H9" s="94"/>
      <c r="I9" s="94" t="s">
        <v>2589</v>
      </c>
      <c r="J9" s="94" t="s">
        <v>2590</v>
      </c>
      <c r="K9" s="94" t="s">
        <v>2591</v>
      </c>
      <c r="L9" s="94"/>
      <c r="M9" s="94"/>
      <c r="N9" s="94"/>
      <c r="O9" s="94" t="s">
        <v>2592</v>
      </c>
      <c r="P9" s="94" t="s">
        <v>2593</v>
      </c>
      <c r="Q9" s="94" t="s">
        <v>2594</v>
      </c>
      <c r="R9" s="94" t="s">
        <v>2595</v>
      </c>
      <c r="S9" s="94" t="s">
        <v>2596</v>
      </c>
      <c r="T9" s="94" t="s">
        <v>3279</v>
      </c>
      <c r="U9" s="94" t="s">
        <v>3280</v>
      </c>
      <c r="V9" s="93" t="s">
        <v>202</v>
      </c>
    </row>
    <row r="10" spans="2:22">
      <c r="B10" s="6">
        <v>8</v>
      </c>
      <c r="C10" s="93" t="s">
        <v>351</v>
      </c>
      <c r="D10" s="94" t="s">
        <v>351</v>
      </c>
      <c r="E10" s="94" t="s">
        <v>2597</v>
      </c>
      <c r="F10" s="94" t="s">
        <v>2600</v>
      </c>
      <c r="G10" s="94" t="s">
        <v>2601</v>
      </c>
      <c r="H10" s="94"/>
      <c r="I10" s="94" t="s">
        <v>2602</v>
      </c>
      <c r="J10" s="94" t="s">
        <v>2603</v>
      </c>
      <c r="K10" s="94" t="s">
        <v>2604</v>
      </c>
      <c r="L10" s="94"/>
      <c r="M10" s="94"/>
      <c r="N10" s="94"/>
      <c r="O10" s="94" t="s">
        <v>2605</v>
      </c>
      <c r="P10" s="94" t="s">
        <v>2606</v>
      </c>
      <c r="Q10" s="94" t="s">
        <v>2607</v>
      </c>
      <c r="R10" s="94" t="s">
        <v>2608</v>
      </c>
      <c r="S10" s="94" t="s">
        <v>2609</v>
      </c>
      <c r="T10" s="94" t="s">
        <v>3281</v>
      </c>
      <c r="U10" s="94" t="s">
        <v>3282</v>
      </c>
      <c r="V10" s="93" t="s">
        <v>351</v>
      </c>
    </row>
    <row r="11" spans="2:22">
      <c r="B11" s="6">
        <v>9</v>
      </c>
      <c r="C11" s="93" t="s">
        <v>400</v>
      </c>
      <c r="D11" s="94" t="s">
        <v>400</v>
      </c>
      <c r="E11" s="94"/>
      <c r="F11" s="94"/>
      <c r="G11" s="94" t="s">
        <v>3283</v>
      </c>
      <c r="H11" s="94"/>
      <c r="I11" s="94" t="s">
        <v>3284</v>
      </c>
      <c r="J11" s="94" t="s">
        <v>3285</v>
      </c>
      <c r="K11" s="94"/>
      <c r="L11" s="94"/>
      <c r="M11" s="94"/>
      <c r="N11" s="94"/>
      <c r="O11" s="94"/>
      <c r="P11" s="94" t="s">
        <v>3286</v>
      </c>
      <c r="Q11" s="94" t="s">
        <v>3287</v>
      </c>
      <c r="R11" s="94" t="s">
        <v>3288</v>
      </c>
      <c r="S11" s="94" t="s">
        <v>3289</v>
      </c>
      <c r="T11" s="94" t="s">
        <v>3290</v>
      </c>
      <c r="U11" s="94" t="s">
        <v>3291</v>
      </c>
      <c r="V11" s="93" t="s">
        <v>400</v>
      </c>
    </row>
    <row r="12" spans="2:22">
      <c r="B12" s="6">
        <v>10</v>
      </c>
      <c r="C12" s="93" t="s">
        <v>401</v>
      </c>
      <c r="D12" s="94"/>
      <c r="E12" s="94"/>
      <c r="F12" s="94"/>
      <c r="G12" s="94" t="s">
        <v>3292</v>
      </c>
      <c r="H12" s="94"/>
      <c r="I12" s="94"/>
      <c r="J12" s="94"/>
      <c r="K12" s="94"/>
      <c r="L12" s="94"/>
      <c r="M12" s="94"/>
      <c r="N12" s="94"/>
      <c r="O12" s="94"/>
      <c r="P12" s="94"/>
      <c r="Q12" s="94" t="s">
        <v>3293</v>
      </c>
      <c r="R12" s="94"/>
      <c r="S12" s="94"/>
      <c r="T12" s="94"/>
      <c r="U12" s="94"/>
      <c r="V12" s="93" t="s">
        <v>401</v>
      </c>
    </row>
    <row r="13" spans="2:22">
      <c r="B13" s="6">
        <v>11</v>
      </c>
      <c r="C13" s="93" t="s">
        <v>203</v>
      </c>
      <c r="D13" s="94" t="s">
        <v>203</v>
      </c>
      <c r="E13" s="94"/>
      <c r="F13" s="94"/>
      <c r="G13" s="94" t="s">
        <v>2612</v>
      </c>
      <c r="H13" s="94"/>
      <c r="I13" s="94" t="s">
        <v>2613</v>
      </c>
      <c r="J13" s="94" t="s">
        <v>2614</v>
      </c>
      <c r="K13" s="94" t="s">
        <v>2615</v>
      </c>
      <c r="L13" s="94"/>
      <c r="M13" s="94"/>
      <c r="N13" s="94"/>
      <c r="O13" s="94"/>
      <c r="P13" s="94"/>
      <c r="Q13" s="94" t="s">
        <v>2616</v>
      </c>
      <c r="R13" s="94" t="s">
        <v>2617</v>
      </c>
      <c r="S13" s="94" t="s">
        <v>2618</v>
      </c>
      <c r="T13" s="94" t="s">
        <v>3294</v>
      </c>
      <c r="U13" s="94" t="s">
        <v>3295</v>
      </c>
      <c r="V13" s="93" t="s">
        <v>203</v>
      </c>
    </row>
    <row r="14" spans="2:22">
      <c r="B14" s="6">
        <v>12</v>
      </c>
      <c r="C14" s="93" t="s">
        <v>205</v>
      </c>
      <c r="D14" s="94" t="s">
        <v>205</v>
      </c>
      <c r="E14" s="94" t="s">
        <v>2619</v>
      </c>
      <c r="F14" s="94"/>
      <c r="G14" s="94" t="s">
        <v>2622</v>
      </c>
      <c r="H14" s="94"/>
      <c r="I14" s="94" t="s">
        <v>2623</v>
      </c>
      <c r="J14" s="94" t="s">
        <v>2624</v>
      </c>
      <c r="K14" s="94" t="s">
        <v>2625</v>
      </c>
      <c r="L14" s="94"/>
      <c r="M14" s="94"/>
      <c r="N14" s="94"/>
      <c r="O14" s="94" t="s">
        <v>2626</v>
      </c>
      <c r="P14" s="94"/>
      <c r="Q14" s="94" t="s">
        <v>2627</v>
      </c>
      <c r="R14" s="94" t="s">
        <v>2628</v>
      </c>
      <c r="S14" s="94" t="s">
        <v>2629</v>
      </c>
      <c r="T14" s="94" t="s">
        <v>3296</v>
      </c>
      <c r="U14" s="94" t="s">
        <v>3297</v>
      </c>
      <c r="V14" s="93" t="s">
        <v>205</v>
      </c>
    </row>
    <row r="15" spans="2:22">
      <c r="B15" s="6">
        <v>13</v>
      </c>
      <c r="C15" s="93" t="s">
        <v>368</v>
      </c>
      <c r="D15" s="94" t="s">
        <v>368</v>
      </c>
      <c r="E15" s="94" t="s">
        <v>2630</v>
      </c>
      <c r="F15" s="94" t="s">
        <v>2633</v>
      </c>
      <c r="G15" s="94" t="s">
        <v>2634</v>
      </c>
      <c r="H15" s="94"/>
      <c r="I15" s="94" t="s">
        <v>2635</v>
      </c>
      <c r="J15" s="94" t="s">
        <v>2636</v>
      </c>
      <c r="K15" s="94" t="s">
        <v>2637</v>
      </c>
      <c r="L15" s="94" t="s">
        <v>2638</v>
      </c>
      <c r="M15" s="94" t="s">
        <v>2639</v>
      </c>
      <c r="N15" s="94" t="s">
        <v>2640</v>
      </c>
      <c r="O15" s="94" t="s">
        <v>2641</v>
      </c>
      <c r="P15" s="94" t="s">
        <v>2642</v>
      </c>
      <c r="Q15" s="94" t="s">
        <v>2643</v>
      </c>
      <c r="R15" s="94" t="s">
        <v>2644</v>
      </c>
      <c r="S15" s="94" t="s">
        <v>2645</v>
      </c>
      <c r="T15" s="94" t="s">
        <v>3298</v>
      </c>
      <c r="U15" s="94" t="s">
        <v>3299</v>
      </c>
      <c r="V15" s="93" t="s">
        <v>368</v>
      </c>
    </row>
    <row r="16" spans="2:22">
      <c r="B16" s="6">
        <v>14</v>
      </c>
      <c r="C16" s="93" t="s">
        <v>369</v>
      </c>
      <c r="D16" s="94"/>
      <c r="E16" s="94"/>
      <c r="F16" s="94"/>
      <c r="G16" s="94"/>
      <c r="H16" s="94"/>
      <c r="I16" s="94" t="s">
        <v>2647</v>
      </c>
      <c r="J16" s="94"/>
      <c r="K16" s="94" t="s">
        <v>2648</v>
      </c>
      <c r="L16" s="94" t="s">
        <v>2649</v>
      </c>
      <c r="M16" s="94" t="s">
        <v>2650</v>
      </c>
      <c r="N16" s="94"/>
      <c r="O16" s="94"/>
      <c r="P16" s="94" t="s">
        <v>2651</v>
      </c>
      <c r="Q16" s="94"/>
      <c r="R16" s="94" t="s">
        <v>2652</v>
      </c>
      <c r="S16" s="94"/>
      <c r="T16" s="94"/>
      <c r="U16" s="94" t="s">
        <v>3300</v>
      </c>
      <c r="V16" s="93" t="s">
        <v>369</v>
      </c>
    </row>
    <row r="17" spans="2:22">
      <c r="B17" s="6">
        <v>15</v>
      </c>
      <c r="C17" s="93" t="s">
        <v>278</v>
      </c>
      <c r="D17" s="94" t="s">
        <v>278</v>
      </c>
      <c r="E17" s="94" t="s">
        <v>2653</v>
      </c>
      <c r="F17" s="94" t="s">
        <v>2656</v>
      </c>
      <c r="G17" s="94" t="s">
        <v>2657</v>
      </c>
      <c r="H17" s="94"/>
      <c r="I17" s="94" t="s">
        <v>2658</v>
      </c>
      <c r="J17" s="94" t="s">
        <v>2659</v>
      </c>
      <c r="K17" s="94" t="s">
        <v>2660</v>
      </c>
      <c r="L17" s="94" t="s">
        <v>2661</v>
      </c>
      <c r="M17" s="94" t="s">
        <v>455</v>
      </c>
      <c r="N17" s="94" t="s">
        <v>2662</v>
      </c>
      <c r="O17" s="94" t="s">
        <v>2663</v>
      </c>
      <c r="P17" s="94" t="s">
        <v>2664</v>
      </c>
      <c r="Q17" s="94" t="s">
        <v>2665</v>
      </c>
      <c r="R17" s="94" t="s">
        <v>2666</v>
      </c>
      <c r="S17" s="94" t="s">
        <v>2667</v>
      </c>
      <c r="T17" s="94" t="s">
        <v>3301</v>
      </c>
      <c r="U17" s="94" t="s">
        <v>3302</v>
      </c>
      <c r="V17" s="93" t="s">
        <v>278</v>
      </c>
    </row>
    <row r="18" spans="2:22">
      <c r="B18" s="6">
        <v>16</v>
      </c>
      <c r="C18" s="93" t="s">
        <v>189</v>
      </c>
      <c r="D18" s="94" t="s">
        <v>189</v>
      </c>
      <c r="E18" s="94" t="s">
        <v>2680</v>
      </c>
      <c r="F18" s="94"/>
      <c r="G18" s="94" t="s">
        <v>2683</v>
      </c>
      <c r="H18" s="94"/>
      <c r="I18" s="94" t="s">
        <v>2684</v>
      </c>
      <c r="J18" s="94" t="s">
        <v>2685</v>
      </c>
      <c r="K18" s="94" t="s">
        <v>2686</v>
      </c>
      <c r="L18" s="94" t="s">
        <v>2687</v>
      </c>
      <c r="M18" s="94" t="s">
        <v>456</v>
      </c>
      <c r="N18" s="94" t="s">
        <v>2688</v>
      </c>
      <c r="O18" s="94" t="s">
        <v>2689</v>
      </c>
      <c r="P18" s="94"/>
      <c r="Q18" s="94" t="s">
        <v>2690</v>
      </c>
      <c r="R18" s="94" t="s">
        <v>2691</v>
      </c>
      <c r="S18" s="94" t="s">
        <v>2692</v>
      </c>
      <c r="T18" s="94" t="s">
        <v>3303</v>
      </c>
      <c r="U18" s="94" t="s">
        <v>3304</v>
      </c>
      <c r="V18" s="93" t="s">
        <v>189</v>
      </c>
    </row>
    <row r="19" spans="2:22">
      <c r="B19" s="6">
        <v>17</v>
      </c>
      <c r="C19" s="93" t="s">
        <v>449</v>
      </c>
      <c r="D19" s="94" t="s">
        <v>449</v>
      </c>
      <c r="E19" s="94"/>
      <c r="F19" s="94"/>
      <c r="G19" s="94" t="s">
        <v>3305</v>
      </c>
      <c r="H19" s="94"/>
      <c r="I19" s="94" t="s">
        <v>3306</v>
      </c>
      <c r="J19" s="94" t="s">
        <v>3307</v>
      </c>
      <c r="K19" s="94"/>
      <c r="L19" s="94"/>
      <c r="M19" s="94"/>
      <c r="N19" s="94"/>
      <c r="O19" s="94" t="s">
        <v>3308</v>
      </c>
      <c r="P19" s="94" t="s">
        <v>3309</v>
      </c>
      <c r="Q19" s="94" t="s">
        <v>3310</v>
      </c>
      <c r="R19" s="94" t="s">
        <v>3311</v>
      </c>
      <c r="S19" s="94" t="s">
        <v>3312</v>
      </c>
      <c r="T19" s="94" t="s">
        <v>3313</v>
      </c>
      <c r="U19" s="94" t="s">
        <v>3314</v>
      </c>
      <c r="V19" s="93" t="s">
        <v>449</v>
      </c>
    </row>
    <row r="20" spans="2:22">
      <c r="B20" s="6">
        <v>18</v>
      </c>
      <c r="C20" s="93" t="s">
        <v>450</v>
      </c>
      <c r="D20" s="94"/>
      <c r="E20" s="94"/>
      <c r="F20" s="94"/>
      <c r="G20" s="94" t="s">
        <v>3315</v>
      </c>
      <c r="H20" s="94"/>
      <c r="I20" s="94"/>
      <c r="J20" s="94" t="s">
        <v>3316</v>
      </c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3" t="s">
        <v>450</v>
      </c>
    </row>
    <row r="21" spans="2:22">
      <c r="B21" s="6">
        <v>19</v>
      </c>
      <c r="C21" s="93" t="s">
        <v>432</v>
      </c>
      <c r="D21" s="94" t="s">
        <v>432</v>
      </c>
      <c r="E21" s="94" t="s">
        <v>2721</v>
      </c>
      <c r="F21" s="94" t="s">
        <v>2723</v>
      </c>
      <c r="G21" s="94" t="s">
        <v>2724</v>
      </c>
      <c r="H21" s="94" t="s">
        <v>2725</v>
      </c>
      <c r="I21" s="94" t="s">
        <v>2726</v>
      </c>
      <c r="J21" s="94" t="s">
        <v>2727</v>
      </c>
      <c r="K21" s="94" t="s">
        <v>2728</v>
      </c>
      <c r="L21" s="94" t="s">
        <v>2729</v>
      </c>
      <c r="M21" s="94" t="s">
        <v>496</v>
      </c>
      <c r="N21" s="94"/>
      <c r="O21" s="94" t="s">
        <v>2730</v>
      </c>
      <c r="P21" s="94" t="s">
        <v>2731</v>
      </c>
      <c r="Q21" s="94" t="s">
        <v>2732</v>
      </c>
      <c r="R21" s="94" t="s">
        <v>2733</v>
      </c>
      <c r="S21" s="94" t="s">
        <v>2734</v>
      </c>
      <c r="T21" s="94" t="s">
        <v>2386</v>
      </c>
      <c r="U21" s="94" t="s">
        <v>3317</v>
      </c>
      <c r="V21" s="93" t="s">
        <v>432</v>
      </c>
    </row>
    <row r="22" spans="2:22">
      <c r="B22" s="6">
        <v>20</v>
      </c>
      <c r="C22" s="93" t="s">
        <v>379</v>
      </c>
      <c r="D22" s="94" t="s">
        <v>379</v>
      </c>
      <c r="E22" s="94"/>
      <c r="F22" s="94" t="s">
        <v>2747</v>
      </c>
      <c r="G22" s="94" t="s">
        <v>2748</v>
      </c>
      <c r="H22" s="94" t="s">
        <v>2749</v>
      </c>
      <c r="I22" s="94" t="s">
        <v>2750</v>
      </c>
      <c r="J22" s="94" t="s">
        <v>2751</v>
      </c>
      <c r="K22" s="94"/>
      <c r="L22" s="94" t="s">
        <v>2752</v>
      </c>
      <c r="M22" s="94" t="s">
        <v>525</v>
      </c>
      <c r="N22" s="94" t="s">
        <v>2753</v>
      </c>
      <c r="O22" s="94"/>
      <c r="P22" s="94"/>
      <c r="Q22" s="94" t="s">
        <v>2754</v>
      </c>
      <c r="R22" s="94" t="s">
        <v>2755</v>
      </c>
      <c r="S22" s="94"/>
      <c r="T22" s="94" t="s">
        <v>3318</v>
      </c>
      <c r="U22" s="94" t="s">
        <v>3319</v>
      </c>
      <c r="V22" s="93" t="s">
        <v>379</v>
      </c>
    </row>
    <row r="23" spans="2:22">
      <c r="B23" s="6">
        <v>21</v>
      </c>
      <c r="C23" s="93" t="s">
        <v>380</v>
      </c>
      <c r="D23" s="94" t="s">
        <v>380</v>
      </c>
      <c r="E23" s="94"/>
      <c r="F23" s="94" t="s">
        <v>2768</v>
      </c>
      <c r="G23" s="94" t="s">
        <v>2769</v>
      </c>
      <c r="H23" s="94"/>
      <c r="I23" s="94" t="s">
        <v>2770</v>
      </c>
      <c r="J23" s="94" t="s">
        <v>2771</v>
      </c>
      <c r="K23" s="94" t="s">
        <v>2772</v>
      </c>
      <c r="L23" s="94"/>
      <c r="M23" s="94"/>
      <c r="N23" s="94"/>
      <c r="O23" s="94" t="s">
        <v>2773</v>
      </c>
      <c r="P23" s="94" t="s">
        <v>2774</v>
      </c>
      <c r="Q23" s="94" t="s">
        <v>2775</v>
      </c>
      <c r="R23" s="94" t="s">
        <v>2776</v>
      </c>
      <c r="S23" s="94" t="s">
        <v>2777</v>
      </c>
      <c r="T23" s="94" t="s">
        <v>3320</v>
      </c>
      <c r="U23" s="94" t="s">
        <v>3321</v>
      </c>
      <c r="V23" s="93" t="s">
        <v>380</v>
      </c>
    </row>
    <row r="24" spans="2:22">
      <c r="B24" s="6">
        <v>22</v>
      </c>
      <c r="C24" s="93" t="s">
        <v>325</v>
      </c>
      <c r="D24" s="94"/>
      <c r="E24" s="94"/>
      <c r="F24" s="94"/>
      <c r="G24" s="94"/>
      <c r="H24" s="94"/>
      <c r="I24" s="94"/>
      <c r="J24" s="94" t="s">
        <v>2781</v>
      </c>
      <c r="K24" s="94"/>
      <c r="L24" s="94"/>
      <c r="M24" s="94"/>
      <c r="N24" s="94"/>
      <c r="O24" s="94" t="s">
        <v>2782</v>
      </c>
      <c r="P24" s="94" t="s">
        <v>2783</v>
      </c>
      <c r="Q24" s="94" t="s">
        <v>2784</v>
      </c>
      <c r="R24" s="94" t="s">
        <v>2785</v>
      </c>
      <c r="S24" s="94"/>
      <c r="T24" s="94"/>
      <c r="U24" s="94" t="s">
        <v>3322</v>
      </c>
      <c r="V24" s="93" t="s">
        <v>325</v>
      </c>
    </row>
    <row r="25" spans="2:22">
      <c r="B25" s="6">
        <v>23</v>
      </c>
      <c r="C25" s="93" t="s">
        <v>359</v>
      </c>
      <c r="D25" s="94" t="s">
        <v>359</v>
      </c>
      <c r="E25" s="94"/>
      <c r="F25" s="94" t="s">
        <v>2788</v>
      </c>
      <c r="G25" s="94" t="s">
        <v>2789</v>
      </c>
      <c r="H25" s="94" t="s">
        <v>2790</v>
      </c>
      <c r="I25" s="94" t="s">
        <v>2791</v>
      </c>
      <c r="J25" s="94" t="s">
        <v>2792</v>
      </c>
      <c r="K25" s="94" t="s">
        <v>2793</v>
      </c>
      <c r="L25" s="94"/>
      <c r="M25" s="94"/>
      <c r="N25" s="94"/>
      <c r="O25" s="94"/>
      <c r="P25" s="94"/>
      <c r="Q25" s="94" t="s">
        <v>2794</v>
      </c>
      <c r="R25" s="94" t="s">
        <v>2795</v>
      </c>
      <c r="S25" s="94" t="s">
        <v>2796</v>
      </c>
      <c r="T25" s="94" t="s">
        <v>3323</v>
      </c>
      <c r="U25" s="94" t="s">
        <v>3324</v>
      </c>
      <c r="V25" s="93" t="s">
        <v>359</v>
      </c>
    </row>
    <row r="26" spans="2:22">
      <c r="B26" s="6">
        <v>24</v>
      </c>
      <c r="C26" s="93" t="s">
        <v>162</v>
      </c>
      <c r="D26" s="94" t="s">
        <v>162</v>
      </c>
      <c r="E26" s="94" t="s">
        <v>2797</v>
      </c>
      <c r="F26" s="94" t="s">
        <v>2800</v>
      </c>
      <c r="G26" s="94" t="s">
        <v>2801</v>
      </c>
      <c r="H26" s="94" t="s">
        <v>2802</v>
      </c>
      <c r="I26" s="94" t="s">
        <v>2803</v>
      </c>
      <c r="J26" s="94" t="s">
        <v>2804</v>
      </c>
      <c r="K26" s="94" t="s">
        <v>2805</v>
      </c>
      <c r="L26" s="94"/>
      <c r="M26" s="94"/>
      <c r="N26" s="94"/>
      <c r="O26" s="94" t="s">
        <v>2806</v>
      </c>
      <c r="P26" s="94" t="s">
        <v>2807</v>
      </c>
      <c r="Q26" s="94" t="s">
        <v>2808</v>
      </c>
      <c r="R26" s="94" t="s">
        <v>2809</v>
      </c>
      <c r="S26" s="94" t="s">
        <v>2810</v>
      </c>
      <c r="T26" s="94" t="s">
        <v>3325</v>
      </c>
      <c r="U26" s="94" t="s">
        <v>3326</v>
      </c>
      <c r="V26" s="93" t="s">
        <v>162</v>
      </c>
    </row>
    <row r="27" spans="2:22">
      <c r="B27" s="6">
        <v>25</v>
      </c>
      <c r="C27" s="93" t="s">
        <v>324</v>
      </c>
      <c r="D27" s="94" t="s">
        <v>324</v>
      </c>
      <c r="E27" s="94"/>
      <c r="F27" s="94" t="s">
        <v>2813</v>
      </c>
      <c r="G27" s="94" t="s">
        <v>2814</v>
      </c>
      <c r="H27" s="94" t="s">
        <v>2815</v>
      </c>
      <c r="I27" s="94"/>
      <c r="J27" s="94" t="s">
        <v>2816</v>
      </c>
      <c r="K27" s="94" t="s">
        <v>2817</v>
      </c>
      <c r="L27" s="94"/>
      <c r="M27" s="94"/>
      <c r="N27" s="94"/>
      <c r="O27" s="94" t="s">
        <v>2818</v>
      </c>
      <c r="P27" s="94" t="s">
        <v>2819</v>
      </c>
      <c r="Q27" s="94" t="s">
        <v>2820</v>
      </c>
      <c r="R27" s="94"/>
      <c r="S27" s="94"/>
      <c r="T27" s="94" t="s">
        <v>3327</v>
      </c>
      <c r="U27" s="94" t="s">
        <v>3328</v>
      </c>
      <c r="V27" s="93" t="s">
        <v>324</v>
      </c>
    </row>
    <row r="28" spans="2:22">
      <c r="B28" s="6">
        <v>26</v>
      </c>
      <c r="C28" s="93" t="s">
        <v>519</v>
      </c>
      <c r="D28" s="94" t="s">
        <v>519</v>
      </c>
      <c r="E28" s="94"/>
      <c r="F28" s="94"/>
      <c r="G28" s="94" t="s">
        <v>3329</v>
      </c>
      <c r="H28" s="94"/>
      <c r="I28" s="94" t="s">
        <v>3330</v>
      </c>
      <c r="J28" s="94"/>
      <c r="K28" s="94"/>
      <c r="L28" s="94"/>
      <c r="M28" s="94"/>
      <c r="N28" s="94"/>
      <c r="O28" s="94" t="s">
        <v>3331</v>
      </c>
      <c r="P28" s="94"/>
      <c r="Q28" s="94" t="s">
        <v>3332</v>
      </c>
      <c r="R28" s="94" t="s">
        <v>3333</v>
      </c>
      <c r="S28" s="94" t="s">
        <v>3334</v>
      </c>
      <c r="T28" s="94" t="s">
        <v>3335</v>
      </c>
      <c r="U28" s="94" t="s">
        <v>3336</v>
      </c>
      <c r="V28" s="93" t="s">
        <v>519</v>
      </c>
    </row>
    <row r="29" spans="2:22">
      <c r="B29" s="6">
        <v>27</v>
      </c>
      <c r="C29" s="93" t="s">
        <v>520</v>
      </c>
      <c r="D29" s="94"/>
      <c r="E29" s="94"/>
      <c r="F29" s="94"/>
      <c r="G29" s="94" t="s">
        <v>3337</v>
      </c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3" t="s">
        <v>520</v>
      </c>
    </row>
    <row r="30" spans="2:22">
      <c r="B30" s="6">
        <v>28</v>
      </c>
      <c r="C30" s="93" t="s">
        <v>360</v>
      </c>
      <c r="D30" s="94" t="s">
        <v>360</v>
      </c>
      <c r="E30" s="94"/>
      <c r="F30" s="94" t="s">
        <v>2823</v>
      </c>
      <c r="G30" s="94" t="s">
        <v>2824</v>
      </c>
      <c r="H30" s="94" t="s">
        <v>2825</v>
      </c>
      <c r="I30" s="94" t="s">
        <v>2826</v>
      </c>
      <c r="J30" s="94" t="s">
        <v>2827</v>
      </c>
      <c r="K30" s="94" t="s">
        <v>2828</v>
      </c>
      <c r="L30" s="94"/>
      <c r="M30" s="94"/>
      <c r="N30" s="94"/>
      <c r="O30" s="94"/>
      <c r="P30" s="94"/>
      <c r="Q30" s="94" t="s">
        <v>2829</v>
      </c>
      <c r="R30" s="94" t="s">
        <v>2830</v>
      </c>
      <c r="S30" s="94" t="s">
        <v>2831</v>
      </c>
      <c r="T30" s="94" t="s">
        <v>3338</v>
      </c>
      <c r="U30" s="94" t="s">
        <v>3339</v>
      </c>
      <c r="V30" s="93" t="s">
        <v>360</v>
      </c>
    </row>
    <row r="31" spans="2:22">
      <c r="B31" s="6">
        <v>29</v>
      </c>
      <c r="C31" s="93" t="s">
        <v>163</v>
      </c>
      <c r="D31" s="94" t="s">
        <v>163</v>
      </c>
      <c r="E31" s="94" t="s">
        <v>2832</v>
      </c>
      <c r="F31" s="94" t="s">
        <v>2835</v>
      </c>
      <c r="G31" s="94" t="s">
        <v>2836</v>
      </c>
      <c r="H31" s="94" t="s">
        <v>2837</v>
      </c>
      <c r="I31" s="94" t="s">
        <v>2838</v>
      </c>
      <c r="J31" s="94" t="s">
        <v>2839</v>
      </c>
      <c r="K31" s="94" t="s">
        <v>2840</v>
      </c>
      <c r="L31" s="94"/>
      <c r="M31" s="94"/>
      <c r="N31" s="94"/>
      <c r="O31" s="94" t="s">
        <v>2841</v>
      </c>
      <c r="P31" s="94" t="s">
        <v>2842</v>
      </c>
      <c r="Q31" s="94" t="s">
        <v>2843</v>
      </c>
      <c r="R31" s="94" t="s">
        <v>2844</v>
      </c>
      <c r="S31" s="94" t="s">
        <v>2845</v>
      </c>
      <c r="T31" s="94" t="s">
        <v>3340</v>
      </c>
      <c r="U31" s="94" t="s">
        <v>3341</v>
      </c>
      <c r="V31" s="93" t="s">
        <v>163</v>
      </c>
    </row>
    <row r="32" spans="2:22">
      <c r="B32" s="6">
        <v>30</v>
      </c>
      <c r="C32" s="93" t="s">
        <v>265</v>
      </c>
      <c r="D32" s="94" t="s">
        <v>265</v>
      </c>
      <c r="E32" s="94" t="s">
        <v>2846</v>
      </c>
      <c r="F32" s="94" t="s">
        <v>2849</v>
      </c>
      <c r="G32" s="94" t="s">
        <v>2850</v>
      </c>
      <c r="H32" s="94" t="s">
        <v>2851</v>
      </c>
      <c r="I32" s="94" t="s">
        <v>2852</v>
      </c>
      <c r="J32" s="94" t="s">
        <v>2853</v>
      </c>
      <c r="K32" s="94" t="s">
        <v>2854</v>
      </c>
      <c r="L32" s="94" t="s">
        <v>2855</v>
      </c>
      <c r="M32" s="94" t="s">
        <v>2856</v>
      </c>
      <c r="N32" s="94" t="s">
        <v>2857</v>
      </c>
      <c r="O32" s="94" t="s">
        <v>2858</v>
      </c>
      <c r="P32" s="94" t="s">
        <v>2859</v>
      </c>
      <c r="Q32" s="94" t="s">
        <v>2860</v>
      </c>
      <c r="R32" s="94" t="s">
        <v>2861</v>
      </c>
      <c r="S32" s="94" t="s">
        <v>2862</v>
      </c>
      <c r="T32" s="94" t="s">
        <v>3342</v>
      </c>
      <c r="U32" s="94" t="s">
        <v>3343</v>
      </c>
      <c r="V32" s="93" t="s">
        <v>265</v>
      </c>
    </row>
    <row r="33" spans="2:22">
      <c r="B33" s="6">
        <v>31</v>
      </c>
      <c r="C33" s="93" t="s">
        <v>266</v>
      </c>
      <c r="D33" s="94"/>
      <c r="E33" s="94"/>
      <c r="F33" s="94"/>
      <c r="G33" s="94" t="s">
        <v>2865</v>
      </c>
      <c r="H33" s="94"/>
      <c r="I33" s="94"/>
      <c r="J33" s="94" t="s">
        <v>2866</v>
      </c>
      <c r="K33" s="94"/>
      <c r="L33" s="94"/>
      <c r="M33" s="94"/>
      <c r="N33" s="94" t="s">
        <v>2867</v>
      </c>
      <c r="O33" s="94"/>
      <c r="P33" s="94"/>
      <c r="Q33" s="94"/>
      <c r="R33" s="94"/>
      <c r="S33" s="94"/>
      <c r="T33" s="94"/>
      <c r="U33" s="94"/>
      <c r="V33" s="93" t="s">
        <v>266</v>
      </c>
    </row>
    <row r="34" spans="2:22">
      <c r="B34" s="6">
        <v>32</v>
      </c>
      <c r="C34" s="93" t="s">
        <v>637</v>
      </c>
      <c r="D34" s="94" t="s">
        <v>637</v>
      </c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3" t="s">
        <v>637</v>
      </c>
    </row>
    <row r="35" spans="2:22">
      <c r="B35" s="6">
        <v>33</v>
      </c>
      <c r="C35" s="93" t="s">
        <v>433</v>
      </c>
      <c r="D35" s="94"/>
      <c r="E35" s="94" t="s">
        <v>2868</v>
      </c>
      <c r="F35" s="94"/>
      <c r="G35" s="94"/>
      <c r="H35" s="94"/>
      <c r="I35" s="94"/>
      <c r="J35" s="94" t="s">
        <v>2871</v>
      </c>
      <c r="K35" s="94"/>
      <c r="L35" s="94" t="s">
        <v>2872</v>
      </c>
      <c r="M35" s="94" t="s">
        <v>497</v>
      </c>
      <c r="N35" s="94"/>
      <c r="O35" s="94" t="s">
        <v>2873</v>
      </c>
      <c r="P35" s="94" t="s">
        <v>2874</v>
      </c>
      <c r="Q35" s="94" t="s">
        <v>2875</v>
      </c>
      <c r="R35" s="94" t="s">
        <v>2876</v>
      </c>
      <c r="S35" s="94" t="s">
        <v>2877</v>
      </c>
      <c r="T35" s="94" t="s">
        <v>3344</v>
      </c>
      <c r="U35" s="94" t="s">
        <v>3345</v>
      </c>
      <c r="V35" s="93" t="s">
        <v>433</v>
      </c>
    </row>
    <row r="36" spans="2:22">
      <c r="B36" s="6">
        <v>34</v>
      </c>
      <c r="C36" s="93" t="s">
        <v>232</v>
      </c>
      <c r="D36" s="94" t="s">
        <v>232</v>
      </c>
      <c r="E36" s="94" t="s">
        <v>3346</v>
      </c>
      <c r="F36" s="94" t="s">
        <v>3347</v>
      </c>
      <c r="G36" s="94" t="s">
        <v>3348</v>
      </c>
      <c r="H36" s="94"/>
      <c r="I36" s="94" t="s">
        <v>3349</v>
      </c>
      <c r="J36" s="94"/>
      <c r="K36" s="94" t="s">
        <v>3350</v>
      </c>
      <c r="L36" s="94"/>
      <c r="M36" s="94"/>
      <c r="N36" s="94"/>
      <c r="O36" s="94" t="s">
        <v>3351</v>
      </c>
      <c r="P36" s="94" t="s">
        <v>3352</v>
      </c>
      <c r="Q36" s="94" t="s">
        <v>3353</v>
      </c>
      <c r="R36" s="94" t="s">
        <v>3354</v>
      </c>
      <c r="S36" s="94" t="s">
        <v>3355</v>
      </c>
      <c r="T36" s="94" t="s">
        <v>3356</v>
      </c>
      <c r="U36" s="94" t="s">
        <v>3357</v>
      </c>
      <c r="V36" s="93" t="s">
        <v>232</v>
      </c>
    </row>
    <row r="37" spans="2:22">
      <c r="B37" s="6">
        <v>35</v>
      </c>
      <c r="C37" s="93" t="s">
        <v>171</v>
      </c>
      <c r="D37" s="94" t="s">
        <v>171</v>
      </c>
      <c r="E37" s="94"/>
      <c r="F37" s="94" t="s">
        <v>2880</v>
      </c>
      <c r="G37" s="94" t="s">
        <v>2881</v>
      </c>
      <c r="H37" s="94" t="s">
        <v>2882</v>
      </c>
      <c r="I37" s="94" t="s">
        <v>2883</v>
      </c>
      <c r="J37" s="94" t="s">
        <v>2884</v>
      </c>
      <c r="K37" s="94" t="s">
        <v>2885</v>
      </c>
      <c r="L37" s="94"/>
      <c r="M37" s="94"/>
      <c r="N37" s="94"/>
      <c r="O37" s="94"/>
      <c r="P37" s="94"/>
      <c r="Q37" s="94" t="s">
        <v>2886</v>
      </c>
      <c r="R37" s="94" t="s">
        <v>2887</v>
      </c>
      <c r="S37" s="94" t="s">
        <v>2888</v>
      </c>
      <c r="T37" s="94" t="s">
        <v>3358</v>
      </c>
      <c r="U37" s="94" t="s">
        <v>3359</v>
      </c>
      <c r="V37" s="93" t="s">
        <v>171</v>
      </c>
    </row>
    <row r="38" spans="2:22">
      <c r="B38" s="6">
        <v>36</v>
      </c>
      <c r="C38" s="93" t="s">
        <v>317</v>
      </c>
      <c r="D38" s="94" t="s">
        <v>317</v>
      </c>
      <c r="E38" s="94" t="s">
        <v>2889</v>
      </c>
      <c r="F38" s="94" t="s">
        <v>2892</v>
      </c>
      <c r="G38" s="94" t="s">
        <v>2893</v>
      </c>
      <c r="H38" s="94" t="s">
        <v>2894</v>
      </c>
      <c r="I38" s="94" t="s">
        <v>2895</v>
      </c>
      <c r="J38" s="94" t="s">
        <v>2896</v>
      </c>
      <c r="K38" s="94" t="s">
        <v>2897</v>
      </c>
      <c r="L38" s="94"/>
      <c r="M38" s="94"/>
      <c r="N38" s="94"/>
      <c r="O38" s="94" t="s">
        <v>2898</v>
      </c>
      <c r="P38" s="94" t="s">
        <v>2899</v>
      </c>
      <c r="Q38" s="94" t="s">
        <v>2900</v>
      </c>
      <c r="R38" s="94" t="s">
        <v>2901</v>
      </c>
      <c r="S38" s="94" t="s">
        <v>2902</v>
      </c>
      <c r="T38" s="94" t="s">
        <v>3360</v>
      </c>
      <c r="U38" s="94" t="s">
        <v>3361</v>
      </c>
      <c r="V38" s="93" t="s">
        <v>317</v>
      </c>
    </row>
    <row r="39" spans="2:22">
      <c r="B39" s="6">
        <v>37</v>
      </c>
      <c r="C39" s="93" t="s">
        <v>231</v>
      </c>
      <c r="D39" s="94" t="s">
        <v>231</v>
      </c>
      <c r="E39" s="94" t="s">
        <v>3362</v>
      </c>
      <c r="F39" s="94" t="s">
        <v>3363</v>
      </c>
      <c r="G39" s="94" t="s">
        <v>3364</v>
      </c>
      <c r="H39" s="94"/>
      <c r="I39" s="94" t="s">
        <v>3365</v>
      </c>
      <c r="J39" s="94" t="s">
        <v>3366</v>
      </c>
      <c r="K39" s="94" t="s">
        <v>3367</v>
      </c>
      <c r="L39" s="94"/>
      <c r="M39" s="94"/>
      <c r="N39" s="94"/>
      <c r="O39" s="94" t="s">
        <v>3368</v>
      </c>
      <c r="P39" s="94" t="s">
        <v>3369</v>
      </c>
      <c r="Q39" s="94" t="s">
        <v>3370</v>
      </c>
      <c r="R39" s="94" t="s">
        <v>3371</v>
      </c>
      <c r="S39" s="94" t="s">
        <v>3372</v>
      </c>
      <c r="T39" s="94" t="s">
        <v>3373</v>
      </c>
      <c r="U39" s="94" t="s">
        <v>3374</v>
      </c>
      <c r="V39" s="93" t="s">
        <v>231</v>
      </c>
    </row>
    <row r="40" spans="2:22">
      <c r="B40" s="6">
        <v>38</v>
      </c>
      <c r="C40" s="93" t="s">
        <v>490</v>
      </c>
      <c r="D40" s="94" t="s">
        <v>490</v>
      </c>
      <c r="E40" s="94"/>
      <c r="F40" s="94"/>
      <c r="G40" s="94" t="s">
        <v>3375</v>
      </c>
      <c r="H40" s="94"/>
      <c r="I40" s="94" t="s">
        <v>3376</v>
      </c>
      <c r="J40" s="94" t="s">
        <v>3377</v>
      </c>
      <c r="K40" s="94"/>
      <c r="L40" s="94"/>
      <c r="M40" s="94"/>
      <c r="N40" s="94"/>
      <c r="O40" s="94"/>
      <c r="P40" s="94"/>
      <c r="Q40" s="94" t="s">
        <v>3378</v>
      </c>
      <c r="R40" s="94" t="s">
        <v>3379</v>
      </c>
      <c r="S40" s="94" t="s">
        <v>3380</v>
      </c>
      <c r="T40" s="94" t="s">
        <v>3381</v>
      </c>
      <c r="U40" s="94" t="s">
        <v>3382</v>
      </c>
      <c r="V40" s="93" t="s">
        <v>490</v>
      </c>
    </row>
    <row r="41" spans="2:22">
      <c r="B41" s="6">
        <v>39</v>
      </c>
      <c r="C41" s="93" t="s">
        <v>480</v>
      </c>
      <c r="D41" s="94" t="s">
        <v>480</v>
      </c>
      <c r="E41" s="94" t="s">
        <v>2903</v>
      </c>
      <c r="F41" s="94" t="s">
        <v>2906</v>
      </c>
      <c r="G41" s="94" t="s">
        <v>2907</v>
      </c>
      <c r="H41" s="94" t="s">
        <v>2908</v>
      </c>
      <c r="I41" s="94" t="s">
        <v>2909</v>
      </c>
      <c r="J41" s="94" t="s">
        <v>2910</v>
      </c>
      <c r="K41" s="94" t="s">
        <v>2911</v>
      </c>
      <c r="L41" s="94"/>
      <c r="M41" s="94"/>
      <c r="N41" s="94"/>
      <c r="O41" s="94" t="s">
        <v>2912</v>
      </c>
      <c r="P41" s="94" t="s">
        <v>2913</v>
      </c>
      <c r="Q41" s="94" t="s">
        <v>2914</v>
      </c>
      <c r="R41" s="94" t="s">
        <v>2915</v>
      </c>
      <c r="S41" s="94" t="s">
        <v>2916</v>
      </c>
      <c r="T41" s="94" t="s">
        <v>3383</v>
      </c>
      <c r="U41" s="94" t="s">
        <v>3384</v>
      </c>
      <c r="V41" s="93" t="s">
        <v>480</v>
      </c>
    </row>
    <row r="42" spans="2:22">
      <c r="B42" s="6">
        <v>40</v>
      </c>
      <c r="C42" s="93" t="s">
        <v>481</v>
      </c>
      <c r="D42" s="94" t="s">
        <v>481</v>
      </c>
      <c r="E42" s="94"/>
      <c r="F42" s="94" t="s">
        <v>2919</v>
      </c>
      <c r="G42" s="94" t="s">
        <v>2920</v>
      </c>
      <c r="H42" s="94"/>
      <c r="I42" s="94" t="s">
        <v>2921</v>
      </c>
      <c r="J42" s="94" t="s">
        <v>2922</v>
      </c>
      <c r="K42" s="94" t="s">
        <v>2923</v>
      </c>
      <c r="L42" s="94"/>
      <c r="M42" s="94"/>
      <c r="N42" s="94"/>
      <c r="O42" s="94"/>
      <c r="P42" s="94"/>
      <c r="Q42" s="94" t="s">
        <v>2924</v>
      </c>
      <c r="R42" s="94" t="s">
        <v>2925</v>
      </c>
      <c r="S42" s="94"/>
      <c r="T42" s="94" t="s">
        <v>3385</v>
      </c>
      <c r="U42" s="94" t="s">
        <v>3386</v>
      </c>
      <c r="V42" s="93" t="s">
        <v>481</v>
      </c>
    </row>
    <row r="43" spans="2:22">
      <c r="B43" s="6">
        <v>41</v>
      </c>
      <c r="C43" s="93" t="s">
        <v>290</v>
      </c>
      <c r="D43" s="94" t="s">
        <v>290</v>
      </c>
      <c r="E43" s="94"/>
      <c r="F43" s="94" t="s">
        <v>2928</v>
      </c>
      <c r="G43" s="94" t="s">
        <v>2929</v>
      </c>
      <c r="H43" s="94" t="s">
        <v>2930</v>
      </c>
      <c r="I43" s="94" t="s">
        <v>2931</v>
      </c>
      <c r="J43" s="94" t="s">
        <v>2932</v>
      </c>
      <c r="K43" s="94" t="s">
        <v>2933</v>
      </c>
      <c r="L43" s="94"/>
      <c r="M43" s="94"/>
      <c r="N43" s="94"/>
      <c r="O43" s="94"/>
      <c r="P43" s="94"/>
      <c r="Q43" s="94" t="s">
        <v>2934</v>
      </c>
      <c r="R43" s="94" t="s">
        <v>2935</v>
      </c>
      <c r="S43" s="94" t="s">
        <v>2936</v>
      </c>
      <c r="T43" s="94" t="s">
        <v>3387</v>
      </c>
      <c r="U43" s="94" t="s">
        <v>3388</v>
      </c>
      <c r="V43" s="93" t="s">
        <v>290</v>
      </c>
    </row>
    <row r="44" spans="2:22">
      <c r="B44" s="6">
        <v>42</v>
      </c>
      <c r="C44" s="93" t="s">
        <v>289</v>
      </c>
      <c r="D44" s="94" t="s">
        <v>289</v>
      </c>
      <c r="E44" s="94"/>
      <c r="F44" s="94" t="s">
        <v>2939</v>
      </c>
      <c r="G44" s="94" t="s">
        <v>2940</v>
      </c>
      <c r="H44" s="94" t="s">
        <v>2941</v>
      </c>
      <c r="I44" s="94" t="s">
        <v>2942</v>
      </c>
      <c r="J44" s="94" t="s">
        <v>2943</v>
      </c>
      <c r="K44" s="94" t="s">
        <v>2944</v>
      </c>
      <c r="L44" s="94"/>
      <c r="M44" s="94"/>
      <c r="N44" s="94"/>
      <c r="O44" s="94"/>
      <c r="P44" s="94"/>
      <c r="Q44" s="94" t="s">
        <v>2945</v>
      </c>
      <c r="R44" s="94" t="s">
        <v>2946</v>
      </c>
      <c r="S44" s="94" t="s">
        <v>2947</v>
      </c>
      <c r="T44" s="94" t="s">
        <v>3389</v>
      </c>
      <c r="U44" s="94" t="s">
        <v>3390</v>
      </c>
      <c r="V44" s="93" t="s">
        <v>289</v>
      </c>
    </row>
    <row r="45" spans="2:22">
      <c r="B45" s="6">
        <v>43</v>
      </c>
      <c r="C45" s="93" t="s">
        <v>172</v>
      </c>
      <c r="D45" s="94" t="s">
        <v>172</v>
      </c>
      <c r="E45" s="94"/>
      <c r="F45" s="94"/>
      <c r="G45" s="94" t="s">
        <v>2950</v>
      </c>
      <c r="H45" s="94" t="s">
        <v>2951</v>
      </c>
      <c r="I45" s="94" t="s">
        <v>2952</v>
      </c>
      <c r="J45" s="94" t="s">
        <v>2953</v>
      </c>
      <c r="K45" s="94" t="s">
        <v>2954</v>
      </c>
      <c r="L45" s="94"/>
      <c r="M45" s="94"/>
      <c r="N45" s="94"/>
      <c r="O45" s="94"/>
      <c r="P45" s="94"/>
      <c r="Q45" s="94" t="s">
        <v>2955</v>
      </c>
      <c r="R45" s="94"/>
      <c r="S45" s="94"/>
      <c r="T45" s="94" t="s">
        <v>3391</v>
      </c>
      <c r="U45" s="94" t="s">
        <v>3392</v>
      </c>
      <c r="V45" s="93" t="s">
        <v>172</v>
      </c>
    </row>
    <row r="46" spans="2:22">
      <c r="B46" s="6">
        <v>44</v>
      </c>
      <c r="C46" s="93" t="s">
        <v>318</v>
      </c>
      <c r="D46" s="94" t="s">
        <v>318</v>
      </c>
      <c r="E46" s="94" t="s">
        <v>2956</v>
      </c>
      <c r="F46" s="94"/>
      <c r="G46" s="94" t="s">
        <v>2959</v>
      </c>
      <c r="H46" s="94" t="s">
        <v>2960</v>
      </c>
      <c r="I46" s="94" t="s">
        <v>2961</v>
      </c>
      <c r="J46" s="94" t="s">
        <v>2962</v>
      </c>
      <c r="K46" s="94"/>
      <c r="L46" s="94"/>
      <c r="M46" s="94"/>
      <c r="N46" s="94"/>
      <c r="O46" s="94" t="s">
        <v>2963</v>
      </c>
      <c r="P46" s="94" t="s">
        <v>2964</v>
      </c>
      <c r="Q46" s="94" t="s">
        <v>2965</v>
      </c>
      <c r="R46" s="94" t="s">
        <v>2966</v>
      </c>
      <c r="S46" s="94"/>
      <c r="T46" s="94" t="s">
        <v>3393</v>
      </c>
      <c r="U46" s="94" t="s">
        <v>3394</v>
      </c>
      <c r="V46" s="93" t="s">
        <v>318</v>
      </c>
    </row>
    <row r="47" spans="2:22">
      <c r="B47" s="6">
        <v>45</v>
      </c>
      <c r="C47" s="93" t="s">
        <v>439</v>
      </c>
      <c r="D47" s="94" t="s">
        <v>439</v>
      </c>
      <c r="E47" s="94" t="s">
        <v>2967</v>
      </c>
      <c r="F47" s="94" t="s">
        <v>2970</v>
      </c>
      <c r="G47" s="94" t="s">
        <v>2971</v>
      </c>
      <c r="H47" s="94" t="s">
        <v>2972</v>
      </c>
      <c r="I47" s="94" t="s">
        <v>2973</v>
      </c>
      <c r="J47" s="94" t="s">
        <v>2974</v>
      </c>
      <c r="K47" s="94" t="s">
        <v>2975</v>
      </c>
      <c r="L47" s="94"/>
      <c r="M47" s="94" t="s">
        <v>683</v>
      </c>
      <c r="N47" s="94"/>
      <c r="O47" s="94" t="s">
        <v>2976</v>
      </c>
      <c r="P47" s="94"/>
      <c r="Q47" s="94" t="s">
        <v>2977</v>
      </c>
      <c r="R47" s="94" t="s">
        <v>2978</v>
      </c>
      <c r="S47" s="94" t="s">
        <v>2979</v>
      </c>
      <c r="T47" s="94" t="s">
        <v>3395</v>
      </c>
      <c r="U47" s="94" t="s">
        <v>3396</v>
      </c>
      <c r="V47" s="93" t="s">
        <v>439</v>
      </c>
    </row>
    <row r="48" spans="2:22">
      <c r="B48" s="6">
        <v>46</v>
      </c>
      <c r="C48" s="93" t="s">
        <v>677</v>
      </c>
      <c r="D48" s="94" t="s">
        <v>677</v>
      </c>
      <c r="E48" s="94"/>
      <c r="F48" s="94"/>
      <c r="G48" s="94" t="s">
        <v>3397</v>
      </c>
      <c r="H48" s="94"/>
      <c r="I48" s="94" t="s">
        <v>3398</v>
      </c>
      <c r="J48" s="94" t="s">
        <v>3399</v>
      </c>
      <c r="K48" s="94"/>
      <c r="L48" s="94"/>
      <c r="M48" s="94"/>
      <c r="N48" s="94"/>
      <c r="O48" s="94"/>
      <c r="P48" s="94"/>
      <c r="Q48" s="94" t="s">
        <v>3400</v>
      </c>
      <c r="R48" s="94" t="s">
        <v>3401</v>
      </c>
      <c r="S48" s="94"/>
      <c r="T48" s="94" t="s">
        <v>3402</v>
      </c>
      <c r="U48" s="94" t="s">
        <v>3403</v>
      </c>
      <c r="V48" s="93" t="s">
        <v>677</v>
      </c>
    </row>
    <row r="49" spans="2:22">
      <c r="B49" s="6">
        <v>47</v>
      </c>
      <c r="C49" s="93" t="s">
        <v>678</v>
      </c>
      <c r="D49" s="94" t="s">
        <v>678</v>
      </c>
      <c r="E49" s="94"/>
      <c r="F49" s="94"/>
      <c r="G49" s="94" t="s">
        <v>3404</v>
      </c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3" t="s">
        <v>678</v>
      </c>
    </row>
    <row r="50" spans="2:22">
      <c r="B50" s="6">
        <v>48</v>
      </c>
      <c r="C50" s="93" t="s">
        <v>64</v>
      </c>
      <c r="D50" s="94" t="s">
        <v>64</v>
      </c>
      <c r="E50" s="94"/>
      <c r="F50" s="94"/>
      <c r="G50" s="94" t="s">
        <v>2992</v>
      </c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3" t="s">
        <v>64</v>
      </c>
    </row>
    <row r="51" spans="2:22">
      <c r="B51" s="6">
        <v>49</v>
      </c>
      <c r="C51" s="93" t="s">
        <v>588</v>
      </c>
      <c r="D51" s="94"/>
      <c r="E51" s="94"/>
      <c r="F51" s="94"/>
      <c r="G51" s="94" t="s">
        <v>2993</v>
      </c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3" t="s">
        <v>588</v>
      </c>
    </row>
    <row r="52" spans="2:22">
      <c r="B52" s="6">
        <v>50</v>
      </c>
      <c r="C52" s="93" t="s">
        <v>79</v>
      </c>
      <c r="D52" s="94" t="s">
        <v>79</v>
      </c>
      <c r="E52" s="94"/>
      <c r="F52" s="94"/>
      <c r="G52" s="94" t="s">
        <v>2996</v>
      </c>
      <c r="H52" s="94"/>
      <c r="I52" s="94" t="s">
        <v>2997</v>
      </c>
      <c r="J52" s="94" t="s">
        <v>2998</v>
      </c>
      <c r="K52" s="94"/>
      <c r="L52" s="94" t="s">
        <v>2999</v>
      </c>
      <c r="M52" s="94" t="s">
        <v>3000</v>
      </c>
      <c r="N52" s="94"/>
      <c r="O52" s="94" t="s">
        <v>3001</v>
      </c>
      <c r="P52" s="94"/>
      <c r="Q52" s="94" t="s">
        <v>3002</v>
      </c>
      <c r="R52" s="94" t="s">
        <v>3003</v>
      </c>
      <c r="S52" s="94" t="s">
        <v>3004</v>
      </c>
      <c r="T52" s="94" t="s">
        <v>3405</v>
      </c>
      <c r="U52" s="94" t="s">
        <v>3406</v>
      </c>
      <c r="V52" s="93" t="s">
        <v>79</v>
      </c>
    </row>
    <row r="53" spans="2:22">
      <c r="B53" s="6">
        <v>51</v>
      </c>
      <c r="C53" s="93" t="s">
        <v>545</v>
      </c>
      <c r="D53" s="94"/>
      <c r="E53" s="94"/>
      <c r="F53" s="94"/>
      <c r="G53" s="94" t="s">
        <v>3006</v>
      </c>
      <c r="H53" s="94"/>
      <c r="I53" s="94"/>
      <c r="J53" s="94"/>
      <c r="K53" s="94"/>
      <c r="L53" s="94"/>
      <c r="M53" s="94"/>
      <c r="N53" s="94"/>
      <c r="O53" s="94"/>
      <c r="P53" s="94" t="s">
        <v>3007</v>
      </c>
      <c r="Q53" s="94" t="s">
        <v>3008</v>
      </c>
      <c r="R53" s="94"/>
      <c r="S53" s="94"/>
      <c r="T53" s="94"/>
      <c r="U53" s="94" t="s">
        <v>3407</v>
      </c>
      <c r="V53" s="93" t="s">
        <v>545</v>
      </c>
    </row>
    <row r="54" spans="2:22">
      <c r="B54" s="6">
        <v>52</v>
      </c>
      <c r="C54" s="93" t="s">
        <v>299</v>
      </c>
      <c r="D54" s="94" t="s">
        <v>299</v>
      </c>
      <c r="E54" s="94" t="s">
        <v>3009</v>
      </c>
      <c r="F54" s="94" t="s">
        <v>3012</v>
      </c>
      <c r="G54" s="94" t="s">
        <v>3013</v>
      </c>
      <c r="H54" s="94"/>
      <c r="I54" s="94" t="s">
        <v>3014</v>
      </c>
      <c r="J54" s="94" t="s">
        <v>3015</v>
      </c>
      <c r="K54" s="94" t="s">
        <v>3016</v>
      </c>
      <c r="L54" s="94"/>
      <c r="M54" s="94"/>
      <c r="N54" s="94"/>
      <c r="O54" s="94" t="s">
        <v>3017</v>
      </c>
      <c r="P54" s="94" t="s">
        <v>3018</v>
      </c>
      <c r="Q54" s="94" t="s">
        <v>3019</v>
      </c>
      <c r="R54" s="94" t="s">
        <v>3020</v>
      </c>
      <c r="S54" s="94" t="s">
        <v>3021</v>
      </c>
      <c r="T54" s="94" t="s">
        <v>3408</v>
      </c>
      <c r="U54" s="94" t="s">
        <v>3409</v>
      </c>
      <c r="V54" s="93" t="s">
        <v>299</v>
      </c>
    </row>
    <row r="55" spans="2:22">
      <c r="B55" s="6">
        <v>53</v>
      </c>
      <c r="C55" s="93" t="s">
        <v>300</v>
      </c>
      <c r="D55" s="94" t="s">
        <v>300</v>
      </c>
      <c r="E55" s="94"/>
      <c r="F55" s="94"/>
      <c r="G55" s="94" t="s">
        <v>3139</v>
      </c>
      <c r="H55" s="94"/>
      <c r="I55" s="94" t="s">
        <v>3140</v>
      </c>
      <c r="J55" s="94"/>
      <c r="K55" s="94" t="s">
        <v>3141</v>
      </c>
      <c r="L55" s="94"/>
      <c r="M55" s="94"/>
      <c r="N55" s="94"/>
      <c r="O55" s="94" t="s">
        <v>3142</v>
      </c>
      <c r="P55" s="94" t="s">
        <v>3143</v>
      </c>
      <c r="Q55" s="94" t="s">
        <v>3144</v>
      </c>
      <c r="R55" s="94" t="s">
        <v>3145</v>
      </c>
      <c r="S55" s="94" t="s">
        <v>3146</v>
      </c>
      <c r="T55" s="94" t="s">
        <v>3410</v>
      </c>
      <c r="U55" s="94" t="s">
        <v>3411</v>
      </c>
      <c r="V55" s="93" t="s">
        <v>300</v>
      </c>
    </row>
    <row r="56" spans="2:22">
      <c r="B56" s="6">
        <v>54</v>
      </c>
      <c r="C56" s="93" t="s">
        <v>212</v>
      </c>
      <c r="D56" s="94" t="s">
        <v>212</v>
      </c>
      <c r="E56" s="94" t="s">
        <v>3152</v>
      </c>
      <c r="F56" s="94" t="s">
        <v>3155</v>
      </c>
      <c r="G56" s="94" t="s">
        <v>3156</v>
      </c>
      <c r="H56" s="94"/>
      <c r="I56" s="94" t="s">
        <v>3157</v>
      </c>
      <c r="J56" s="94" t="s">
        <v>3158</v>
      </c>
      <c r="K56" s="94" t="s">
        <v>3159</v>
      </c>
      <c r="L56" s="94"/>
      <c r="M56" s="94"/>
      <c r="N56" s="94"/>
      <c r="O56" s="94" t="s">
        <v>3160</v>
      </c>
      <c r="P56" s="94" t="s">
        <v>3161</v>
      </c>
      <c r="Q56" s="94" t="s">
        <v>3162</v>
      </c>
      <c r="R56" s="94" t="s">
        <v>3163</v>
      </c>
      <c r="S56" s="94" t="s">
        <v>3164</v>
      </c>
      <c r="T56" s="94" t="s">
        <v>3412</v>
      </c>
      <c r="U56" s="94" t="s">
        <v>3413</v>
      </c>
      <c r="V56" s="93" t="s">
        <v>212</v>
      </c>
    </row>
    <row r="57" spans="2:22">
      <c r="B57" s="6">
        <v>55</v>
      </c>
      <c r="C57" s="93" t="s">
        <v>649</v>
      </c>
      <c r="D57" s="94" t="s">
        <v>649</v>
      </c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 t="s">
        <v>3165</v>
      </c>
      <c r="R57" s="94" t="s">
        <v>3166</v>
      </c>
      <c r="S57" s="94"/>
      <c r="T57" s="94"/>
      <c r="U57" s="94"/>
      <c r="V57" s="93" t="s">
        <v>649</v>
      </c>
    </row>
    <row r="58" spans="2:22">
      <c r="B58" s="6">
        <v>56</v>
      </c>
      <c r="C58" s="93" t="s">
        <v>211</v>
      </c>
      <c r="D58" s="94" t="s">
        <v>211</v>
      </c>
      <c r="E58" s="94" t="s">
        <v>3167</v>
      </c>
      <c r="F58" s="94" t="s">
        <v>3170</v>
      </c>
      <c r="G58" s="94" t="s">
        <v>3171</v>
      </c>
      <c r="H58" s="94"/>
      <c r="I58" s="94" t="s">
        <v>3172</v>
      </c>
      <c r="J58" s="94" t="s">
        <v>3173</v>
      </c>
      <c r="K58" s="94" t="s">
        <v>3174</v>
      </c>
      <c r="L58" s="94"/>
      <c r="M58" s="94"/>
      <c r="N58" s="94"/>
      <c r="O58" s="94" t="s">
        <v>3175</v>
      </c>
      <c r="P58" s="94" t="s">
        <v>3176</v>
      </c>
      <c r="Q58" s="94" t="s">
        <v>3177</v>
      </c>
      <c r="R58" s="94" t="s">
        <v>3178</v>
      </c>
      <c r="S58" s="94" t="s">
        <v>3179</v>
      </c>
      <c r="T58" s="94" t="s">
        <v>3414</v>
      </c>
      <c r="U58" s="94" t="s">
        <v>3415</v>
      </c>
      <c r="V58" s="93" t="s">
        <v>211</v>
      </c>
    </row>
    <row r="59" spans="2:22">
      <c r="B59" s="6">
        <v>57</v>
      </c>
      <c r="C59" s="93" t="s">
        <v>573</v>
      </c>
      <c r="D59" s="94" t="s">
        <v>573</v>
      </c>
      <c r="E59" s="94"/>
      <c r="F59" s="94"/>
      <c r="G59" s="94" t="s">
        <v>3416</v>
      </c>
      <c r="H59" s="94"/>
      <c r="I59" s="94" t="s">
        <v>3417</v>
      </c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3" t="s">
        <v>573</v>
      </c>
    </row>
    <row r="60" spans="2:22">
      <c r="B60" s="6">
        <v>58</v>
      </c>
      <c r="C60" s="93" t="s">
        <v>574</v>
      </c>
      <c r="D60" s="94" t="s">
        <v>574</v>
      </c>
      <c r="E60" s="94"/>
      <c r="F60" s="94"/>
      <c r="G60" s="94" t="s">
        <v>3418</v>
      </c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3" t="s">
        <v>574</v>
      </c>
    </row>
    <row r="61" spans="2:22">
      <c r="B61" s="6">
        <v>59</v>
      </c>
      <c r="C61" s="93" t="s">
        <v>252</v>
      </c>
      <c r="D61" s="94" t="s">
        <v>252</v>
      </c>
      <c r="E61" s="94" t="s">
        <v>3419</v>
      </c>
      <c r="F61" s="94" t="s">
        <v>3420</v>
      </c>
      <c r="G61" s="94" t="s">
        <v>3421</v>
      </c>
      <c r="H61" s="94"/>
      <c r="I61" s="94" t="s">
        <v>3422</v>
      </c>
      <c r="J61" s="94" t="s">
        <v>3423</v>
      </c>
      <c r="K61" s="94" t="s">
        <v>3424</v>
      </c>
      <c r="L61" s="94" t="s">
        <v>3425</v>
      </c>
      <c r="M61" s="94" t="s">
        <v>581</v>
      </c>
      <c r="N61" s="94" t="s">
        <v>3426</v>
      </c>
      <c r="O61" s="94" t="s">
        <v>3427</v>
      </c>
      <c r="P61" s="94" t="s">
        <v>3428</v>
      </c>
      <c r="Q61" s="94" t="s">
        <v>3429</v>
      </c>
      <c r="R61" s="94" t="s">
        <v>3430</v>
      </c>
      <c r="S61" s="94" t="s">
        <v>3431</v>
      </c>
      <c r="T61" s="94" t="s">
        <v>3432</v>
      </c>
      <c r="U61" s="94" t="s">
        <v>3433</v>
      </c>
      <c r="V61" s="93" t="s">
        <v>252</v>
      </c>
    </row>
    <row r="62" spans="2:22">
      <c r="B62" s="6">
        <v>60</v>
      </c>
      <c r="C62" s="93" t="s">
        <v>253</v>
      </c>
      <c r="D62" s="94"/>
      <c r="E62" s="94"/>
      <c r="F62" s="94"/>
      <c r="G62" s="94"/>
      <c r="H62" s="94"/>
      <c r="I62" s="94"/>
      <c r="J62" s="94"/>
      <c r="K62" s="94"/>
      <c r="L62" s="94" t="s">
        <v>3434</v>
      </c>
      <c r="M62" s="94"/>
      <c r="N62" s="94"/>
      <c r="O62" s="94"/>
      <c r="P62" s="94"/>
      <c r="Q62" s="94"/>
      <c r="R62" s="94"/>
      <c r="S62" s="94"/>
      <c r="T62" s="94"/>
      <c r="U62" s="94"/>
      <c r="V62" s="93" t="s">
        <v>253</v>
      </c>
    </row>
    <row r="63" spans="2:22">
      <c r="B63" s="6">
        <v>61</v>
      </c>
      <c r="C63" s="93" t="s">
        <v>415</v>
      </c>
      <c r="D63" s="94" t="s">
        <v>415</v>
      </c>
      <c r="E63" s="94" t="s">
        <v>3180</v>
      </c>
      <c r="F63" s="94" t="s">
        <v>3183</v>
      </c>
      <c r="G63" s="94" t="s">
        <v>3184</v>
      </c>
      <c r="H63" s="94" t="s">
        <v>3185</v>
      </c>
      <c r="I63" s="94" t="s">
        <v>3186</v>
      </c>
      <c r="J63" s="94" t="s">
        <v>3187</v>
      </c>
      <c r="K63" s="94" t="s">
        <v>3188</v>
      </c>
      <c r="L63" s="94"/>
      <c r="M63" s="94"/>
      <c r="N63" s="94"/>
      <c r="O63" s="94" t="s">
        <v>3189</v>
      </c>
      <c r="P63" s="94" t="s">
        <v>3190</v>
      </c>
      <c r="Q63" s="94" t="s">
        <v>3191</v>
      </c>
      <c r="R63" s="94" t="s">
        <v>3192</v>
      </c>
      <c r="S63" s="94" t="s">
        <v>3193</v>
      </c>
      <c r="T63" s="94" t="s">
        <v>3435</v>
      </c>
      <c r="U63" s="94" t="s">
        <v>3436</v>
      </c>
      <c r="V63" s="93" t="s">
        <v>415</v>
      </c>
    </row>
    <row r="64" spans="2:22">
      <c r="B64" s="6">
        <v>62</v>
      </c>
      <c r="C64" s="93" t="s">
        <v>340</v>
      </c>
      <c r="D64" s="94" t="s">
        <v>340</v>
      </c>
      <c r="E64" s="94" t="s">
        <v>3437</v>
      </c>
      <c r="F64" s="94" t="s">
        <v>3438</v>
      </c>
      <c r="G64" s="94" t="s">
        <v>3439</v>
      </c>
      <c r="H64" s="94"/>
      <c r="I64" s="94" t="s">
        <v>3440</v>
      </c>
      <c r="J64" s="94" t="s">
        <v>3441</v>
      </c>
      <c r="K64" s="94" t="s">
        <v>3442</v>
      </c>
      <c r="L64" s="94" t="s">
        <v>3443</v>
      </c>
      <c r="M64" s="94" t="s">
        <v>538</v>
      </c>
      <c r="N64" s="94"/>
      <c r="O64" s="94" t="s">
        <v>3444</v>
      </c>
      <c r="P64" s="94" t="s">
        <v>3445</v>
      </c>
      <c r="Q64" s="94" t="s">
        <v>3446</v>
      </c>
      <c r="R64" s="94" t="s">
        <v>3447</v>
      </c>
      <c r="S64" s="94" t="s">
        <v>3448</v>
      </c>
      <c r="T64" s="94" t="s">
        <v>3449</v>
      </c>
      <c r="U64" s="94" t="s">
        <v>3450</v>
      </c>
      <c r="V64" s="93" t="s">
        <v>340</v>
      </c>
    </row>
    <row r="65" spans="2:22">
      <c r="B65" s="6">
        <v>63</v>
      </c>
      <c r="C65" s="93" t="s">
        <v>341</v>
      </c>
      <c r="D65" s="94" t="s">
        <v>341</v>
      </c>
      <c r="E65" s="94" t="s">
        <v>3451</v>
      </c>
      <c r="F65" s="94"/>
      <c r="G65" s="94" t="s">
        <v>3452</v>
      </c>
      <c r="H65" s="94" t="s">
        <v>3453</v>
      </c>
      <c r="I65" s="94" t="s">
        <v>3454</v>
      </c>
      <c r="J65" s="94" t="s">
        <v>3455</v>
      </c>
      <c r="K65" s="94" t="s">
        <v>3456</v>
      </c>
      <c r="L65" s="94"/>
      <c r="M65" s="94"/>
      <c r="N65" s="94"/>
      <c r="O65" s="94" t="s">
        <v>3457</v>
      </c>
      <c r="P65" s="94" t="s">
        <v>3458</v>
      </c>
      <c r="Q65" s="94" t="s">
        <v>3459</v>
      </c>
      <c r="R65" s="94"/>
      <c r="S65" s="94" t="s">
        <v>3460</v>
      </c>
      <c r="T65" s="94" t="s">
        <v>3461</v>
      </c>
      <c r="U65" s="94" t="s">
        <v>3462</v>
      </c>
      <c r="V65" s="93" t="s">
        <v>341</v>
      </c>
    </row>
    <row r="66" spans="2:22">
      <c r="B66" s="6">
        <v>64</v>
      </c>
      <c r="C66" s="93" t="s">
        <v>220</v>
      </c>
      <c r="D66" s="94" t="s">
        <v>220</v>
      </c>
      <c r="E66" s="94"/>
      <c r="F66" s="94"/>
      <c r="G66" s="94" t="s">
        <v>3463</v>
      </c>
      <c r="H66" s="94"/>
      <c r="I66" s="94" t="s">
        <v>3464</v>
      </c>
      <c r="J66" s="94" t="s">
        <v>3465</v>
      </c>
      <c r="K66" s="94"/>
      <c r="L66" s="94"/>
      <c r="M66" s="94"/>
      <c r="N66" s="94"/>
      <c r="O66" s="94"/>
      <c r="P66" s="94"/>
      <c r="Q66" s="94" t="s">
        <v>3466</v>
      </c>
      <c r="R66" s="94"/>
      <c r="S66" s="94"/>
      <c r="T66" s="94"/>
      <c r="U66" s="94"/>
      <c r="V66" s="93" t="s">
        <v>220</v>
      </c>
    </row>
    <row r="67" spans="2:22">
      <c r="B67" s="6">
        <v>65</v>
      </c>
      <c r="C67" s="93" t="s">
        <v>610</v>
      </c>
      <c r="D67" s="94" t="s">
        <v>610</v>
      </c>
      <c r="E67" s="94"/>
      <c r="F67" s="94"/>
      <c r="G67" s="94" t="s">
        <v>3467</v>
      </c>
      <c r="H67" s="94"/>
      <c r="I67" s="94" t="s">
        <v>3468</v>
      </c>
      <c r="J67" s="94"/>
      <c r="K67" s="94"/>
      <c r="L67" s="94"/>
      <c r="M67" s="94"/>
      <c r="N67" s="94"/>
      <c r="O67" s="94"/>
      <c r="P67" s="94"/>
      <c r="Q67" s="94" t="s">
        <v>3469</v>
      </c>
      <c r="R67" s="94"/>
      <c r="S67" s="94"/>
      <c r="T67" s="94" t="s">
        <v>3470</v>
      </c>
      <c r="U67" s="94"/>
      <c r="V67" s="93" t="s">
        <v>610</v>
      </c>
    </row>
    <row r="68" spans="2:22">
      <c r="B68" s="6">
        <v>66</v>
      </c>
      <c r="C68" s="93" t="s">
        <v>241</v>
      </c>
      <c r="D68" s="94" t="s">
        <v>241</v>
      </c>
      <c r="E68" s="94" t="s">
        <v>3471</v>
      </c>
      <c r="F68" s="94" t="s">
        <v>3472</v>
      </c>
      <c r="G68" s="94" t="s">
        <v>3473</v>
      </c>
      <c r="H68" s="94"/>
      <c r="I68" s="94" t="s">
        <v>3474</v>
      </c>
      <c r="J68" s="94" t="s">
        <v>3475</v>
      </c>
      <c r="K68" s="94" t="s">
        <v>3476</v>
      </c>
      <c r="L68" s="94"/>
      <c r="M68" s="94"/>
      <c r="N68" s="94"/>
      <c r="O68" s="94" t="s">
        <v>3477</v>
      </c>
      <c r="P68" s="94" t="s">
        <v>3478</v>
      </c>
      <c r="Q68" s="94" t="s">
        <v>3479</v>
      </c>
      <c r="R68" s="94" t="s">
        <v>3480</v>
      </c>
      <c r="S68" s="94" t="s">
        <v>3481</v>
      </c>
      <c r="T68" s="94" t="s">
        <v>3482</v>
      </c>
      <c r="U68" s="94" t="s">
        <v>3483</v>
      </c>
      <c r="V68" s="93" t="s">
        <v>241</v>
      </c>
    </row>
    <row r="69" spans="2:22">
      <c r="B69" s="6">
        <v>67</v>
      </c>
      <c r="C69" s="93" t="s">
        <v>598</v>
      </c>
      <c r="D69" s="94" t="s">
        <v>598</v>
      </c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 t="s">
        <v>3484</v>
      </c>
      <c r="V69" s="93" t="s">
        <v>598</v>
      </c>
    </row>
    <row r="70" spans="2:22">
      <c r="B70" s="6">
        <v>68</v>
      </c>
      <c r="C70" s="93" t="s">
        <v>532</v>
      </c>
      <c r="D70" s="94" t="s">
        <v>532</v>
      </c>
      <c r="E70" s="94"/>
      <c r="F70" s="94"/>
      <c r="G70" s="94" t="s">
        <v>3485</v>
      </c>
      <c r="H70" s="94"/>
      <c r="I70" s="94" t="s">
        <v>3486</v>
      </c>
      <c r="J70" s="94" t="s">
        <v>3487</v>
      </c>
      <c r="K70" s="94"/>
      <c r="L70" s="94"/>
      <c r="M70" s="94"/>
      <c r="N70" s="94"/>
      <c r="O70" s="94" t="s">
        <v>3488</v>
      </c>
      <c r="P70" s="94" t="s">
        <v>3489</v>
      </c>
      <c r="Q70" s="94" t="s">
        <v>3490</v>
      </c>
      <c r="R70" s="94" t="s">
        <v>3491</v>
      </c>
      <c r="S70" s="94" t="s">
        <v>3492</v>
      </c>
      <c r="T70" s="94"/>
      <c r="U70" s="94" t="s">
        <v>3493</v>
      </c>
      <c r="V70" s="93" t="s">
        <v>532</v>
      </c>
    </row>
    <row r="71" spans="2:22">
      <c r="B71" s="6">
        <v>69</v>
      </c>
      <c r="C71" s="93" t="s">
        <v>242</v>
      </c>
      <c r="D71" s="94" t="s">
        <v>242</v>
      </c>
      <c r="E71" s="94" t="s">
        <v>3494</v>
      </c>
      <c r="F71" s="94" t="s">
        <v>3495</v>
      </c>
      <c r="G71" s="94" t="s">
        <v>3496</v>
      </c>
      <c r="H71" s="94"/>
      <c r="I71" s="94" t="s">
        <v>3497</v>
      </c>
      <c r="J71" s="94" t="s">
        <v>3498</v>
      </c>
      <c r="K71" s="94" t="s">
        <v>3499</v>
      </c>
      <c r="L71" s="94"/>
      <c r="M71" s="94"/>
      <c r="N71" s="94"/>
      <c r="O71" s="94" t="s">
        <v>3500</v>
      </c>
      <c r="P71" s="94" t="s">
        <v>3501</v>
      </c>
      <c r="Q71" s="94" t="s">
        <v>3502</v>
      </c>
      <c r="R71" s="94" t="s">
        <v>3503</v>
      </c>
      <c r="S71" s="94" t="s">
        <v>3504</v>
      </c>
      <c r="T71" s="94" t="s">
        <v>3505</v>
      </c>
      <c r="U71" s="94"/>
      <c r="V71" s="93" t="s">
        <v>242</v>
      </c>
    </row>
    <row r="72" spans="2:22">
      <c r="B72" s="6">
        <v>70</v>
      </c>
      <c r="C72" s="93" t="s">
        <v>389</v>
      </c>
      <c r="D72" s="94" t="s">
        <v>389</v>
      </c>
      <c r="E72" s="94" t="s">
        <v>3506</v>
      </c>
      <c r="F72" s="94" t="s">
        <v>3507</v>
      </c>
      <c r="G72" s="94" t="s">
        <v>3508</v>
      </c>
      <c r="H72" s="94" t="s">
        <v>3509</v>
      </c>
      <c r="I72" s="94" t="s">
        <v>3510</v>
      </c>
      <c r="J72" s="94" t="s">
        <v>3511</v>
      </c>
      <c r="K72" s="94" t="s">
        <v>3512</v>
      </c>
      <c r="L72" s="94"/>
      <c r="M72" s="94"/>
      <c r="N72" s="94"/>
      <c r="O72" s="94" t="s">
        <v>3513</v>
      </c>
      <c r="P72" s="94" t="s">
        <v>3514</v>
      </c>
      <c r="Q72" s="94" t="s">
        <v>3515</v>
      </c>
      <c r="R72" s="94" t="s">
        <v>3516</v>
      </c>
      <c r="S72" s="94"/>
      <c r="T72" s="94" t="s">
        <v>3517</v>
      </c>
      <c r="U72" s="94" t="s">
        <v>3518</v>
      </c>
      <c r="V72" s="93" t="s">
        <v>389</v>
      </c>
    </row>
    <row r="73" spans="2:22">
      <c r="B73" s="6">
        <v>71</v>
      </c>
      <c r="C73" s="93" t="s">
        <v>390</v>
      </c>
      <c r="D73" s="94" t="s">
        <v>390</v>
      </c>
      <c r="E73" s="94" t="s">
        <v>3519</v>
      </c>
      <c r="F73" s="94" t="s">
        <v>3520</v>
      </c>
      <c r="G73" s="94" t="s">
        <v>3521</v>
      </c>
      <c r="H73" s="94"/>
      <c r="I73" s="94" t="s">
        <v>3522</v>
      </c>
      <c r="J73" s="94" t="s">
        <v>3523</v>
      </c>
      <c r="K73" s="94"/>
      <c r="L73" s="94"/>
      <c r="M73" s="94"/>
      <c r="N73" s="94"/>
      <c r="O73" s="94" t="s">
        <v>3524</v>
      </c>
      <c r="P73" s="94" t="s">
        <v>3525</v>
      </c>
      <c r="Q73" s="94" t="s">
        <v>3526</v>
      </c>
      <c r="R73" s="94"/>
      <c r="S73" s="94"/>
      <c r="T73" s="94"/>
      <c r="U73" s="94"/>
      <c r="V73" s="93" t="s">
        <v>390</v>
      </c>
    </row>
    <row r="74" spans="2:22">
      <c r="B74" s="6">
        <v>72</v>
      </c>
      <c r="C74" s="93" t="s">
        <v>416</v>
      </c>
      <c r="D74" s="94" t="s">
        <v>416</v>
      </c>
      <c r="E74" s="94"/>
      <c r="F74" s="94"/>
      <c r="G74" s="94"/>
      <c r="H74" s="94"/>
      <c r="I74" s="94"/>
      <c r="J74" s="94" t="s">
        <v>3196</v>
      </c>
      <c r="K74" s="94"/>
      <c r="L74" s="94"/>
      <c r="M74" s="94"/>
      <c r="N74" s="94"/>
      <c r="O74" s="94" t="s">
        <v>3197</v>
      </c>
      <c r="P74" s="94" t="s">
        <v>3198</v>
      </c>
      <c r="Q74" s="94"/>
      <c r="R74" s="94" t="s">
        <v>3199</v>
      </c>
      <c r="S74" s="94" t="s">
        <v>3200</v>
      </c>
      <c r="T74" s="94" t="s">
        <v>3527</v>
      </c>
      <c r="U74" s="94" t="s">
        <v>3528</v>
      </c>
      <c r="V74" s="93" t="s">
        <v>416</v>
      </c>
    </row>
    <row r="75" spans="2:22">
      <c r="B75" s="6">
        <v>73</v>
      </c>
      <c r="C75" s="93" t="s">
        <v>178</v>
      </c>
      <c r="D75" s="94" t="s">
        <v>178</v>
      </c>
      <c r="E75" s="94" t="s">
        <v>3201</v>
      </c>
      <c r="F75" s="94" t="s">
        <v>3204</v>
      </c>
      <c r="G75" s="94" t="s">
        <v>3205</v>
      </c>
      <c r="H75" s="94"/>
      <c r="I75" s="94" t="s">
        <v>3206</v>
      </c>
      <c r="J75" s="94" t="s">
        <v>3207</v>
      </c>
      <c r="K75" s="94" t="s">
        <v>3208</v>
      </c>
      <c r="L75" s="94" t="s">
        <v>3209</v>
      </c>
      <c r="M75" s="94"/>
      <c r="N75" s="94"/>
      <c r="O75" s="94" t="s">
        <v>3210</v>
      </c>
      <c r="P75" s="94" t="s">
        <v>3211</v>
      </c>
      <c r="Q75" s="94" t="s">
        <v>3212</v>
      </c>
      <c r="R75" s="94" t="s">
        <v>3213</v>
      </c>
      <c r="S75" s="94" t="s">
        <v>3214</v>
      </c>
      <c r="T75" s="94" t="s">
        <v>3529</v>
      </c>
      <c r="U75" s="94" t="s">
        <v>3530</v>
      </c>
      <c r="V75" s="93" t="s">
        <v>178</v>
      </c>
    </row>
    <row r="76" spans="2:22">
      <c r="B76" s="6">
        <v>74</v>
      </c>
      <c r="C76" s="93" t="s">
        <v>153</v>
      </c>
      <c r="D76" s="94" t="s">
        <v>153</v>
      </c>
      <c r="E76" s="94" t="s">
        <v>3215</v>
      </c>
      <c r="F76" s="94" t="s">
        <v>3218</v>
      </c>
      <c r="G76" s="94" t="s">
        <v>3219</v>
      </c>
      <c r="H76" s="94" t="s">
        <v>3220</v>
      </c>
      <c r="I76" s="94" t="s">
        <v>3221</v>
      </c>
      <c r="J76" s="94" t="s">
        <v>3222</v>
      </c>
      <c r="K76" s="94" t="s">
        <v>3223</v>
      </c>
      <c r="L76" s="94"/>
      <c r="M76" s="94"/>
      <c r="N76" s="94"/>
      <c r="O76" s="94" t="s">
        <v>3224</v>
      </c>
      <c r="P76" s="94" t="s">
        <v>3225</v>
      </c>
      <c r="Q76" s="94" t="s">
        <v>3226</v>
      </c>
      <c r="R76" s="94" t="s">
        <v>3227</v>
      </c>
      <c r="S76" s="94" t="s">
        <v>3228</v>
      </c>
      <c r="T76" s="94" t="s">
        <v>3531</v>
      </c>
      <c r="U76" s="94" t="s">
        <v>3532</v>
      </c>
      <c r="V76" s="93" t="s">
        <v>153</v>
      </c>
    </row>
    <row r="77" spans="2:22">
      <c r="B77" s="6">
        <v>75</v>
      </c>
      <c r="C77" s="93" t="s">
        <v>154</v>
      </c>
      <c r="D77" s="94" t="s">
        <v>154</v>
      </c>
      <c r="E77" s="94" t="s">
        <v>3229</v>
      </c>
      <c r="F77" s="94"/>
      <c r="G77" s="94" t="s">
        <v>3232</v>
      </c>
      <c r="H77" s="94"/>
      <c r="I77" s="94" t="s">
        <v>3233</v>
      </c>
      <c r="J77" s="94" t="s">
        <v>3234</v>
      </c>
      <c r="K77" s="94" t="s">
        <v>3235</v>
      </c>
      <c r="L77" s="94"/>
      <c r="M77" s="94"/>
      <c r="N77" s="94"/>
      <c r="O77" s="94" t="s">
        <v>3236</v>
      </c>
      <c r="P77" s="94" t="s">
        <v>3237</v>
      </c>
      <c r="Q77" s="94" t="s">
        <v>3238</v>
      </c>
      <c r="R77" s="94" t="s">
        <v>3239</v>
      </c>
      <c r="S77" s="94" t="s">
        <v>3240</v>
      </c>
      <c r="T77" s="94" t="s">
        <v>3533</v>
      </c>
      <c r="U77" s="94" t="s">
        <v>3534</v>
      </c>
      <c r="V77" s="93" t="s">
        <v>154</v>
      </c>
    </row>
    <row r="78" spans="2:22">
      <c r="C78" s="91"/>
      <c r="D78" s="92" t="s">
        <v>742</v>
      </c>
      <c r="E78" s="92" t="s">
        <v>21</v>
      </c>
      <c r="F78" s="92" t="s">
        <v>27</v>
      </c>
      <c r="G78" s="92" t="s">
        <v>33</v>
      </c>
      <c r="H78" s="92" t="s">
        <v>39</v>
      </c>
      <c r="I78" s="92" t="s">
        <v>30</v>
      </c>
      <c r="J78" s="92" t="s">
        <v>36</v>
      </c>
      <c r="K78" s="92" t="s">
        <v>13</v>
      </c>
      <c r="L78" s="92" t="s">
        <v>64</v>
      </c>
      <c r="M78" s="92" t="s">
        <v>17</v>
      </c>
      <c r="N78" s="92" t="s">
        <v>79</v>
      </c>
      <c r="O78" s="92" t="s">
        <v>24</v>
      </c>
      <c r="P78" s="92" t="s">
        <v>48</v>
      </c>
      <c r="Q78" s="92" t="s">
        <v>76</v>
      </c>
      <c r="R78" s="92" t="s">
        <v>42</v>
      </c>
      <c r="S78" s="92" t="s">
        <v>53</v>
      </c>
      <c r="T78" s="92" t="s">
        <v>59</v>
      </c>
      <c r="U78" s="92" t="s">
        <v>112</v>
      </c>
      <c r="V78" s="9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E1C64-3F0E-624F-8DA5-7FF97C6F0F51}">
  <sheetPr codeName="工作表33">
    <tabColor rgb="FFC00000"/>
  </sheetPr>
  <dimension ref="A1:AM54"/>
  <sheetViews>
    <sheetView workbookViewId="0">
      <selection activeCell="R8" sqref="R8"/>
    </sheetView>
  </sheetViews>
  <sheetFormatPr baseColWidth="10" defaultColWidth="10.8984375" defaultRowHeight="22" outlineLevelCol="2"/>
  <cols>
    <col min="1" max="1" width="1.8984375" style="303" customWidth="1" outlineLevel="2"/>
    <col min="2" max="11" width="4.296875" style="303" customWidth="1" outlineLevel="1"/>
    <col min="12" max="12" width="2.09765625" style="303" customWidth="1"/>
    <col min="13" max="13" width="3.5" style="303" customWidth="1"/>
    <col min="14" max="14" width="5.3984375" style="303" customWidth="1"/>
    <col min="15" max="16" width="11.09765625" style="303" customWidth="1"/>
    <col min="17" max="17" width="7.59765625" style="303" customWidth="1"/>
    <col min="18" max="25" width="8.3984375" style="303" customWidth="1"/>
    <col min="26" max="26" width="2.09765625" style="303" customWidth="1"/>
    <col min="27" max="28" width="8.5" style="303" customWidth="1"/>
    <col min="29" max="36" width="5.5" style="303" customWidth="1"/>
  </cols>
  <sheetData>
    <row r="1" spans="2:39" ht="25">
      <c r="B1" s="302" t="s">
        <v>2400</v>
      </c>
      <c r="C1" s="287"/>
      <c r="D1" s="287"/>
      <c r="E1" s="301"/>
      <c r="F1" s="301"/>
      <c r="G1" s="301"/>
      <c r="H1" s="301"/>
      <c r="I1" s="301"/>
      <c r="J1" s="301"/>
      <c r="K1" s="301"/>
      <c r="L1" s="301"/>
      <c r="M1" s="302" t="s">
        <v>3535</v>
      </c>
      <c r="O1" s="103">
        <v>8</v>
      </c>
      <c r="R1" s="287">
        <v>12</v>
      </c>
      <c r="S1" s="301"/>
      <c r="T1" s="301"/>
      <c r="U1" s="301">
        <f>R1 + 1</f>
        <v>13</v>
      </c>
      <c r="V1" s="301"/>
      <c r="W1" s="301"/>
      <c r="X1" s="301"/>
      <c r="Y1" s="301"/>
      <c r="AA1" s="304"/>
      <c r="AB1" s="304"/>
      <c r="AC1" s="304"/>
      <c r="AD1" s="304"/>
    </row>
    <row r="2" spans="2:39" ht="25"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305"/>
      <c r="Q2" s="305"/>
      <c r="R2" s="305"/>
      <c r="S2" s="305"/>
      <c r="T2" s="305"/>
      <c r="U2" s="305"/>
      <c r="V2" s="305"/>
      <c r="W2" s="305"/>
      <c r="X2" s="305"/>
      <c r="Y2" s="305"/>
      <c r="AA2" s="304"/>
      <c r="AB2" s="304"/>
      <c r="AC2" s="304"/>
      <c r="AD2" s="304"/>
    </row>
    <row r="3" spans="2:39">
      <c r="B3" s="414" t="s">
        <v>123</v>
      </c>
      <c r="C3" s="414" t="s">
        <v>2402</v>
      </c>
      <c r="D3" s="306" t="s">
        <v>1704</v>
      </c>
      <c r="E3" s="306" t="s">
        <v>2064</v>
      </c>
      <c r="F3" s="306" t="s">
        <v>1749</v>
      </c>
      <c r="G3" s="306" t="s">
        <v>1773</v>
      </c>
      <c r="H3" s="306" t="s">
        <v>1791</v>
      </c>
      <c r="I3" s="306" t="s">
        <v>2064</v>
      </c>
      <c r="J3" s="306" t="s">
        <v>1822</v>
      </c>
      <c r="K3" s="306" t="s">
        <v>1845</v>
      </c>
      <c r="L3" s="305"/>
      <c r="M3" s="428" t="s">
        <v>123</v>
      </c>
      <c r="N3" s="414" t="s">
        <v>2</v>
      </c>
      <c r="O3" s="414" t="s">
        <v>1989</v>
      </c>
      <c r="P3" s="414" t="s">
        <v>1990</v>
      </c>
      <c r="Q3" s="414" t="s">
        <v>2409</v>
      </c>
      <c r="R3" s="306" t="s">
        <v>1704</v>
      </c>
      <c r="S3" s="306" t="s">
        <v>2064</v>
      </c>
      <c r="T3" s="306" t="s">
        <v>1749</v>
      </c>
      <c r="U3" s="306" t="s">
        <v>1773</v>
      </c>
      <c r="V3" s="306" t="s">
        <v>1791</v>
      </c>
      <c r="W3" s="306" t="s">
        <v>2064</v>
      </c>
      <c r="X3" s="306" t="s">
        <v>1822</v>
      </c>
      <c r="Y3" s="306" t="s">
        <v>1845</v>
      </c>
      <c r="AA3" s="427" t="s">
        <v>2410</v>
      </c>
      <c r="AB3" s="427" t="s">
        <v>2411</v>
      </c>
      <c r="AC3" s="306" t="s">
        <v>1704</v>
      </c>
      <c r="AD3" s="306" t="s">
        <v>2064</v>
      </c>
      <c r="AE3" s="306" t="s">
        <v>1749</v>
      </c>
      <c r="AF3" s="306" t="s">
        <v>1773</v>
      </c>
      <c r="AG3" s="306" t="s">
        <v>1791</v>
      </c>
      <c r="AH3" s="306" t="s">
        <v>2064</v>
      </c>
      <c r="AI3" s="306" t="s">
        <v>1822</v>
      </c>
      <c r="AJ3" s="306" t="s">
        <v>1845</v>
      </c>
    </row>
    <row r="4" spans="2:39">
      <c r="B4" s="426"/>
      <c r="C4" s="426"/>
      <c r="D4" s="306">
        <v>1</v>
      </c>
      <c r="E4" s="306">
        <v>2</v>
      </c>
      <c r="F4" s="306">
        <v>3</v>
      </c>
      <c r="G4" s="306">
        <v>4</v>
      </c>
      <c r="H4" s="306">
        <v>5</v>
      </c>
      <c r="I4" s="306">
        <v>6</v>
      </c>
      <c r="J4" s="306">
        <v>7</v>
      </c>
      <c r="K4" s="306">
        <v>8</v>
      </c>
      <c r="L4" s="305"/>
      <c r="M4" s="429"/>
      <c r="N4" s="426"/>
      <c r="O4" s="426"/>
      <c r="P4" s="426"/>
      <c r="Q4" s="426"/>
      <c r="R4" s="306">
        <v>1</v>
      </c>
      <c r="S4" s="306">
        <v>2</v>
      </c>
      <c r="T4" s="306">
        <v>3</v>
      </c>
      <c r="U4" s="306">
        <v>4</v>
      </c>
      <c r="V4" s="306">
        <v>5</v>
      </c>
      <c r="W4" s="306">
        <v>6</v>
      </c>
      <c r="X4" s="306">
        <v>7</v>
      </c>
      <c r="Y4" s="306">
        <v>8</v>
      </c>
      <c r="AA4" s="426"/>
      <c r="AB4" s="426"/>
      <c r="AC4" s="306">
        <v>1</v>
      </c>
      <c r="AD4" s="306">
        <v>2</v>
      </c>
      <c r="AE4" s="306">
        <v>3</v>
      </c>
      <c r="AF4" s="306">
        <v>4</v>
      </c>
      <c r="AG4" s="306">
        <v>5</v>
      </c>
      <c r="AH4" s="306">
        <v>6</v>
      </c>
      <c r="AI4" s="306">
        <v>7</v>
      </c>
      <c r="AJ4" s="306">
        <v>8</v>
      </c>
    </row>
    <row r="5" spans="2:39" ht="34">
      <c r="B5" s="307">
        <v>1</v>
      </c>
      <c r="C5" s="308" t="s">
        <v>424</v>
      </c>
      <c r="D5" s="308" t="s">
        <v>424</v>
      </c>
      <c r="E5" s="308" t="s">
        <v>1711</v>
      </c>
      <c r="F5" s="308" t="s">
        <v>1733</v>
      </c>
      <c r="G5" s="309" t="s">
        <v>1615</v>
      </c>
      <c r="H5" s="308" t="s">
        <v>1778</v>
      </c>
      <c r="I5" s="310" t="str">
        <f t="shared" ref="I5:I8" si="0">F5</f>
        <v>à</v>
      </c>
      <c r="J5" s="308" t="s">
        <v>1806</v>
      </c>
      <c r="K5" s="309" t="s">
        <v>3536</v>
      </c>
      <c r="L5" s="305"/>
      <c r="M5" s="307">
        <v>1</v>
      </c>
      <c r="N5" s="311" t="s">
        <v>152</v>
      </c>
      <c r="O5" s="315" t="str" cm="1">
        <f t="array" ref="O5">INDEX(韻母對照表, (($M5-1)*2 +1), $O$1)</f>
        <v>un</v>
      </c>
      <c r="P5" s="315" t="str" cm="1">
        <f t="array" ref="P5">INDEX(韻母對照表, (($M5-1)*2 +2), $O$1)</f>
        <v>ut</v>
      </c>
      <c r="Q5" s="311" t="s">
        <v>415</v>
      </c>
      <c r="R5" s="316" t="str">
        <f xml:space="preserve"> IF(AND(R$4&lt;&gt;4,R$4&lt;&gt;8),  SUBSTITUTE($O5, $Q5,  INDEX($AC5:$AJ5, 1, R$4)),  SUBSTITUTE($P5, $Q5,  INDEX($AC5:$AJ5, 1, R$4)))</f>
        <v>un</v>
      </c>
      <c r="S5" s="316" t="str">
        <f t="shared" ref="S5:Y20" si="1" xml:space="preserve"> IF(AND(S$4&lt;&gt;4,S$4&lt;&gt;8),  SUBSTITUTE($O5, $Q5,  INDEX($AC5:$AJ5, 1, S$4)),  SUBSTITUTE($P5, $Q5,  INDEX($AC5:$AJ5, 1, S$4)))</f>
        <v>ún</v>
      </c>
      <c r="T5" s="316" t="str">
        <f t="shared" si="1"/>
        <v>ùn</v>
      </c>
      <c r="U5" s="317" t="str">
        <f t="shared" si="1"/>
        <v>ut</v>
      </c>
      <c r="V5" s="316" t="str">
        <f t="shared" si="1"/>
        <v>ûn</v>
      </c>
      <c r="W5" s="316" t="str">
        <f t="shared" si="1"/>
        <v>ùn</v>
      </c>
      <c r="X5" s="316" t="str">
        <f t="shared" si="1"/>
        <v>ūn</v>
      </c>
      <c r="Y5" s="317" t="str">
        <f t="shared" si="1"/>
        <v>u̍t</v>
      </c>
      <c r="AA5" s="304">
        <f t="shared" ref="AA5:AA54" si="2">FIND(Q5, O5, 1)</f>
        <v>1</v>
      </c>
      <c r="AB5" s="304">
        <f t="shared" ref="AB5:AB36" si="3">MATCH(Q5, $C$5:$C$12, 0)</f>
        <v>6</v>
      </c>
      <c r="AC5" s="304" t="str">
        <f t="shared" ref="AC5:AJ14" si="4">INDEX($D$5:$K$12, $AB5, AC$4)</f>
        <v>u</v>
      </c>
      <c r="AD5" s="304" t="str">
        <f t="shared" si="4"/>
        <v>ú</v>
      </c>
      <c r="AE5" s="304" t="str">
        <f t="shared" si="4"/>
        <v>ù</v>
      </c>
      <c r="AF5" s="304" t="str">
        <f t="shared" si="4"/>
        <v>u</v>
      </c>
      <c r="AG5" s="304" t="str">
        <f t="shared" si="4"/>
        <v>û</v>
      </c>
      <c r="AH5" s="304" t="str">
        <f t="shared" si="4"/>
        <v>ù</v>
      </c>
      <c r="AI5" s="304" t="str">
        <f t="shared" si="4"/>
        <v>ū</v>
      </c>
      <c r="AJ5" s="304" t="str">
        <f t="shared" si="4"/>
        <v>u̍</v>
      </c>
    </row>
    <row r="6" spans="2:39" ht="34">
      <c r="B6" s="307">
        <v>2</v>
      </c>
      <c r="C6" s="308" t="s">
        <v>278</v>
      </c>
      <c r="D6" s="308" t="s">
        <v>278</v>
      </c>
      <c r="E6" s="308" t="s">
        <v>2413</v>
      </c>
      <c r="F6" s="308" t="s">
        <v>2415</v>
      </c>
      <c r="G6" s="309" t="s">
        <v>193</v>
      </c>
      <c r="H6" s="308" t="s">
        <v>2416</v>
      </c>
      <c r="I6" s="310" t="str">
        <f t="shared" si="0"/>
        <v>è</v>
      </c>
      <c r="J6" s="308" t="s">
        <v>2412</v>
      </c>
      <c r="K6" s="309" t="s">
        <v>3537</v>
      </c>
      <c r="L6" s="305"/>
      <c r="M6" s="307">
        <v>2</v>
      </c>
      <c r="N6" s="311" t="s">
        <v>161</v>
      </c>
      <c r="O6" s="315" t="str" cm="1">
        <f t="array" ref="O6">INDEX(韻母對照表, (($M6-1)*2 +1), $O$1)</f>
        <v>ian</v>
      </c>
      <c r="P6" s="315" t="str" cm="1">
        <f t="array" ref="P6">INDEX(韻母對照表, (($M6-1)*2 +2), $O$1)</f>
        <v>iat</v>
      </c>
      <c r="Q6" s="311" t="s">
        <v>424</v>
      </c>
      <c r="R6" s="316" t="str">
        <f t="shared" ref="R6:Y37" si="5" xml:space="preserve"> IF(AND(R$4&lt;&gt;4,R$4&lt;&gt;8),  SUBSTITUTE($O6, $Q6,  INDEX($AC6:$AJ6, 1, R$4)),  SUBSTITUTE($P6, $Q6,  INDEX($AC6:$AJ6, 1, R$4)))</f>
        <v>ian</v>
      </c>
      <c r="S6" s="316" t="str">
        <f t="shared" si="1"/>
        <v>ián</v>
      </c>
      <c r="T6" s="316" t="str">
        <f t="shared" si="1"/>
        <v>iàn</v>
      </c>
      <c r="U6" s="317" t="str">
        <f t="shared" si="1"/>
        <v>iat</v>
      </c>
      <c r="V6" s="316" t="str">
        <f t="shared" si="1"/>
        <v>iân</v>
      </c>
      <c r="W6" s="316" t="str">
        <f t="shared" si="1"/>
        <v>iàn</v>
      </c>
      <c r="X6" s="316" t="str">
        <f t="shared" si="1"/>
        <v>iān</v>
      </c>
      <c r="Y6" s="317" t="str">
        <f t="shared" si="1"/>
        <v>ia̍t</v>
      </c>
      <c r="AA6" s="304">
        <f t="shared" si="2"/>
        <v>2</v>
      </c>
      <c r="AB6" s="304">
        <f t="shared" si="3"/>
        <v>1</v>
      </c>
      <c r="AC6" s="304" t="str">
        <f t="shared" si="4"/>
        <v>a</v>
      </c>
      <c r="AD6" s="304" t="str">
        <f t="shared" si="4"/>
        <v>á</v>
      </c>
      <c r="AE6" s="304" t="str">
        <f t="shared" si="4"/>
        <v>à</v>
      </c>
      <c r="AF6" s="304" t="str">
        <f t="shared" si="4"/>
        <v>a</v>
      </c>
      <c r="AG6" s="304" t="str">
        <f t="shared" si="4"/>
        <v>â</v>
      </c>
      <c r="AH6" s="304" t="str">
        <f t="shared" si="4"/>
        <v>à</v>
      </c>
      <c r="AI6" s="304" t="str">
        <f t="shared" si="4"/>
        <v>ā</v>
      </c>
      <c r="AJ6" s="304" t="str">
        <f t="shared" si="4"/>
        <v>a̍</v>
      </c>
      <c r="AK6" t="s">
        <v>117</v>
      </c>
      <c r="AL6" s="304" t="str">
        <f>AK6 &amp; Y7</f>
        <v>si̍p</v>
      </c>
    </row>
    <row r="7" spans="2:39" ht="34">
      <c r="B7" s="307">
        <v>3</v>
      </c>
      <c r="C7" s="308" t="s">
        <v>432</v>
      </c>
      <c r="D7" s="308" t="s">
        <v>432</v>
      </c>
      <c r="E7" s="308" t="s">
        <v>2418</v>
      </c>
      <c r="F7" s="308" t="s">
        <v>2420</v>
      </c>
      <c r="G7" s="309" t="s">
        <v>1617</v>
      </c>
      <c r="H7" s="308" t="s">
        <v>2421</v>
      </c>
      <c r="I7" s="310" t="str">
        <f t="shared" si="0"/>
        <v>ì</v>
      </c>
      <c r="J7" s="308" t="s">
        <v>2417</v>
      </c>
      <c r="K7" s="309" t="s">
        <v>3538</v>
      </c>
      <c r="L7" s="305"/>
      <c r="M7" s="307">
        <v>3</v>
      </c>
      <c r="N7" s="311" t="s">
        <v>170</v>
      </c>
      <c r="O7" s="315" t="str" cm="1">
        <f t="array" ref="O7">INDEX(韻母對照表, (($M7-1)*2 +1), $O$1)</f>
        <v>im</v>
      </c>
      <c r="P7" s="315" t="str" cm="1">
        <f t="array" ref="P7">INDEX(韻母對照表, (($M7-1)*2 +2), $O$1)</f>
        <v>ip</v>
      </c>
      <c r="Q7" s="311" t="s">
        <v>432</v>
      </c>
      <c r="R7" s="316" t="str">
        <f t="shared" si="5"/>
        <v>im</v>
      </c>
      <c r="S7" s="316" t="str">
        <f t="shared" si="1"/>
        <v>ím</v>
      </c>
      <c r="T7" s="316" t="str">
        <f t="shared" si="1"/>
        <v>ìm</v>
      </c>
      <c r="U7" s="317" t="str">
        <f t="shared" si="1"/>
        <v>ip</v>
      </c>
      <c r="V7" s="316" t="str">
        <f t="shared" si="1"/>
        <v>îm</v>
      </c>
      <c r="W7" s="316" t="str">
        <f t="shared" si="1"/>
        <v>ìm</v>
      </c>
      <c r="X7" s="316" t="str">
        <f t="shared" si="1"/>
        <v>īm</v>
      </c>
      <c r="Y7" s="317" t="str">
        <f t="shared" si="1"/>
        <v>i̍p</v>
      </c>
      <c r="AA7" s="304">
        <f t="shared" si="2"/>
        <v>1</v>
      </c>
      <c r="AB7" s="304">
        <f t="shared" si="3"/>
        <v>3</v>
      </c>
      <c r="AC7" s="304" t="str">
        <f t="shared" si="4"/>
        <v>i</v>
      </c>
      <c r="AD7" s="304" t="str">
        <f t="shared" si="4"/>
        <v>í</v>
      </c>
      <c r="AE7" s="304" t="str">
        <f t="shared" si="4"/>
        <v>ì</v>
      </c>
      <c r="AF7" s="304" t="str">
        <f t="shared" si="4"/>
        <v>i</v>
      </c>
      <c r="AG7" s="304" t="str">
        <f t="shared" si="4"/>
        <v>î</v>
      </c>
      <c r="AH7" s="304" t="str">
        <f t="shared" si="4"/>
        <v>ì</v>
      </c>
      <c r="AI7" s="304" t="str">
        <f t="shared" si="4"/>
        <v>ī</v>
      </c>
      <c r="AJ7" s="304" t="str">
        <f t="shared" si="4"/>
        <v>i̍</v>
      </c>
      <c r="AK7" s="304" t="str">
        <f xml:space="preserve"> AK6&amp;Y7</f>
        <v>si̍p</v>
      </c>
      <c r="AL7" s="304">
        <f xml:space="preserve"> LEN(AK7)</f>
        <v>4</v>
      </c>
      <c r="AM7" t="str">
        <f xml:space="preserve"> RIGHT(AJ7,1)</f>
        <v>̍</v>
      </c>
    </row>
    <row r="8" spans="2:39" ht="34">
      <c r="B8" s="307">
        <v>4</v>
      </c>
      <c r="C8" s="308" t="s">
        <v>299</v>
      </c>
      <c r="D8" s="308" t="s">
        <v>299</v>
      </c>
      <c r="E8" s="308" t="s">
        <v>2423</v>
      </c>
      <c r="F8" s="308" t="s">
        <v>2425</v>
      </c>
      <c r="G8" s="309" t="s">
        <v>1625</v>
      </c>
      <c r="H8" s="308" t="s">
        <v>2426</v>
      </c>
      <c r="I8" s="310" t="str">
        <f t="shared" si="0"/>
        <v>ò</v>
      </c>
      <c r="J8" s="308" t="s">
        <v>2422</v>
      </c>
      <c r="K8" s="309" t="s">
        <v>3539</v>
      </c>
      <c r="L8" s="305"/>
      <c r="M8" s="307">
        <v>4</v>
      </c>
      <c r="N8" s="311" t="s">
        <v>177</v>
      </c>
      <c r="O8" s="315" t="str" cm="1">
        <f t="array" ref="O8">INDEX(韻母對照表, (($M8-1)*2 +1), $O$1)</f>
        <v>ui</v>
      </c>
      <c r="P8" s="315" t="str" cm="1">
        <f t="array" ref="P8">INDEX(韻母對照表, (($M8-1)*2 +2), $O$1)</f>
        <v>uih</v>
      </c>
      <c r="Q8" s="311" t="s">
        <v>415</v>
      </c>
      <c r="R8" s="316" t="str">
        <f t="shared" si="5"/>
        <v>ui</v>
      </c>
      <c r="S8" s="316" t="str">
        <f t="shared" si="1"/>
        <v>úi</v>
      </c>
      <c r="T8" s="316" t="str">
        <f t="shared" si="1"/>
        <v>ùi</v>
      </c>
      <c r="U8" s="317" t="str">
        <f t="shared" si="1"/>
        <v>uih</v>
      </c>
      <c r="V8" s="316" t="str">
        <f t="shared" si="1"/>
        <v>ûi</v>
      </c>
      <c r="W8" s="316" t="str">
        <f t="shared" si="1"/>
        <v>ùi</v>
      </c>
      <c r="X8" s="316" t="str">
        <f t="shared" si="1"/>
        <v>ūi</v>
      </c>
      <c r="Y8" s="317" t="str">
        <f t="shared" si="1"/>
        <v>u̍ih</v>
      </c>
      <c r="AA8" s="304">
        <f t="shared" si="2"/>
        <v>1</v>
      </c>
      <c r="AB8" s="304">
        <f t="shared" si="3"/>
        <v>6</v>
      </c>
      <c r="AC8" s="304" t="str">
        <f t="shared" si="4"/>
        <v>u</v>
      </c>
      <c r="AD8" s="304" t="str">
        <f t="shared" si="4"/>
        <v>ú</v>
      </c>
      <c r="AE8" s="304" t="str">
        <f t="shared" si="4"/>
        <v>ù</v>
      </c>
      <c r="AF8" s="304" t="str">
        <f t="shared" si="4"/>
        <v>u</v>
      </c>
      <c r="AG8" s="304" t="str">
        <f t="shared" si="4"/>
        <v>û</v>
      </c>
      <c r="AH8" s="304" t="str">
        <f t="shared" si="4"/>
        <v>ù</v>
      </c>
      <c r="AI8" s="304" t="str">
        <f t="shared" si="4"/>
        <v>ū</v>
      </c>
      <c r="AJ8" s="304" t="str">
        <f t="shared" si="4"/>
        <v>u̍</v>
      </c>
      <c r="AK8" s="304">
        <v>1</v>
      </c>
      <c r="AL8" s="304" t="str">
        <f xml:space="preserve"> MID($AK$7,AK8,1)</f>
        <v>s</v>
      </c>
    </row>
    <row r="9" spans="2:39" ht="34">
      <c r="B9" s="307">
        <v>5</v>
      </c>
      <c r="C9" s="308" t="s">
        <v>252</v>
      </c>
      <c r="D9" s="308" t="s">
        <v>252</v>
      </c>
      <c r="E9" s="308" t="s">
        <v>2428</v>
      </c>
      <c r="F9" s="308" t="s">
        <v>2430</v>
      </c>
      <c r="G9" s="309" t="s">
        <v>1622</v>
      </c>
      <c r="H9" s="308" t="s">
        <v>2431</v>
      </c>
      <c r="I9" s="310"/>
      <c r="J9" s="308" t="s">
        <v>2427</v>
      </c>
      <c r="K9" s="309" t="s">
        <v>3540</v>
      </c>
      <c r="L9" s="305"/>
      <c r="M9" s="307">
        <v>5</v>
      </c>
      <c r="N9" s="311" t="s">
        <v>187</v>
      </c>
      <c r="O9" s="315" t="str" cm="1">
        <f t="array" ref="O9">INDEX(韻母對照表, (($M9-1)*2 +1), $O$1)</f>
        <v>ee</v>
      </c>
      <c r="P9" s="315" t="str" cm="1">
        <f t="array" ref="P9">INDEX(韻母對照表, (($M9-1)*2 +2), $O$1)</f>
        <v>eh</v>
      </c>
      <c r="Q9" s="311" t="s">
        <v>278</v>
      </c>
      <c r="R9" s="316" t="str">
        <f t="shared" si="5"/>
        <v>ee</v>
      </c>
      <c r="S9" s="316" t="str">
        <f t="shared" si="1"/>
        <v>éé</v>
      </c>
      <c r="T9" s="316" t="str">
        <f t="shared" si="1"/>
        <v>èè</v>
      </c>
      <c r="U9" s="317" t="str">
        <f t="shared" si="1"/>
        <v>eh</v>
      </c>
      <c r="V9" s="316" t="str">
        <f t="shared" si="1"/>
        <v>êê</v>
      </c>
      <c r="W9" s="316" t="str">
        <f t="shared" si="1"/>
        <v>èè</v>
      </c>
      <c r="X9" s="316" t="str">
        <f t="shared" si="1"/>
        <v>ēē</v>
      </c>
      <c r="Y9" s="317" t="str">
        <f t="shared" si="1"/>
        <v>e̍h</v>
      </c>
      <c r="AA9" s="304">
        <f t="shared" si="2"/>
        <v>1</v>
      </c>
      <c r="AB9" s="304">
        <f t="shared" si="3"/>
        <v>2</v>
      </c>
      <c r="AC9" s="304" t="str">
        <f t="shared" si="4"/>
        <v>e</v>
      </c>
      <c r="AD9" s="304" t="str">
        <f t="shared" si="4"/>
        <v>é</v>
      </c>
      <c r="AE9" s="304" t="str">
        <f t="shared" si="4"/>
        <v>è</v>
      </c>
      <c r="AF9" s="304" t="str">
        <f t="shared" si="4"/>
        <v>e</v>
      </c>
      <c r="AG9" s="304" t="str">
        <f t="shared" si="4"/>
        <v>ê</v>
      </c>
      <c r="AH9" s="304" t="str">
        <f t="shared" si="4"/>
        <v>è</v>
      </c>
      <c r="AI9" s="304" t="str">
        <f t="shared" si="4"/>
        <v>ē</v>
      </c>
      <c r="AJ9" s="304" t="str">
        <f t="shared" si="4"/>
        <v>e̍</v>
      </c>
      <c r="AK9" s="304">
        <v>2</v>
      </c>
      <c r="AL9" s="304" t="str">
        <f t="shared" ref="AL9:AL11" si="6" xml:space="preserve"> MID($AK$7,AK9,1)</f>
        <v>i</v>
      </c>
    </row>
    <row r="10" spans="2:39" ht="34">
      <c r="B10" s="307">
        <v>6</v>
      </c>
      <c r="C10" s="308" t="s">
        <v>415</v>
      </c>
      <c r="D10" s="308" t="s">
        <v>415</v>
      </c>
      <c r="E10" s="308" t="s">
        <v>2433</v>
      </c>
      <c r="F10" s="308" t="s">
        <v>2435</v>
      </c>
      <c r="G10" s="309" t="s">
        <v>1619</v>
      </c>
      <c r="H10" s="308" t="s">
        <v>2436</v>
      </c>
      <c r="I10" s="310" t="str">
        <f t="shared" ref="I10:I11" si="7">F10</f>
        <v>ù</v>
      </c>
      <c r="J10" s="308" t="s">
        <v>2432</v>
      </c>
      <c r="K10" s="309" t="s">
        <v>3541</v>
      </c>
      <c r="L10" s="305"/>
      <c r="M10" s="307">
        <v>6</v>
      </c>
      <c r="N10" s="311" t="s">
        <v>201</v>
      </c>
      <c r="O10" s="315" t="str" cm="1">
        <f t="array" ref="O10">INDEX(韻母對照表, (($M10-1)*2 +1), $O$1)</f>
        <v>an</v>
      </c>
      <c r="P10" s="315" t="str" cm="1">
        <f t="array" ref="P10">INDEX(韻母對照表, (($M10-1)*2 +2), $O$1)</f>
        <v>ap</v>
      </c>
      <c r="Q10" s="311" t="s">
        <v>424</v>
      </c>
      <c r="R10" s="316" t="str">
        <f t="shared" si="5"/>
        <v>an</v>
      </c>
      <c r="S10" s="316" t="str">
        <f t="shared" si="1"/>
        <v>án</v>
      </c>
      <c r="T10" s="316" t="str">
        <f t="shared" si="1"/>
        <v>àn</v>
      </c>
      <c r="U10" s="317" t="str">
        <f t="shared" si="1"/>
        <v>ap</v>
      </c>
      <c r="V10" s="316" t="str">
        <f t="shared" si="1"/>
        <v>ân</v>
      </c>
      <c r="W10" s="316" t="str">
        <f t="shared" si="1"/>
        <v>àn</v>
      </c>
      <c r="X10" s="316" t="str">
        <f t="shared" si="1"/>
        <v>ān</v>
      </c>
      <c r="Y10" s="317" t="str">
        <f t="shared" si="1"/>
        <v>a̍p</v>
      </c>
      <c r="AA10" s="304">
        <f t="shared" si="2"/>
        <v>1</v>
      </c>
      <c r="AB10" s="304">
        <f t="shared" si="3"/>
        <v>1</v>
      </c>
      <c r="AC10" s="304" t="str">
        <f t="shared" si="4"/>
        <v>a</v>
      </c>
      <c r="AD10" s="304" t="str">
        <f t="shared" si="4"/>
        <v>á</v>
      </c>
      <c r="AE10" s="304" t="str">
        <f t="shared" si="4"/>
        <v>à</v>
      </c>
      <c r="AF10" s="304" t="str">
        <f t="shared" si="4"/>
        <v>a</v>
      </c>
      <c r="AG10" s="304" t="str">
        <f t="shared" si="4"/>
        <v>â</v>
      </c>
      <c r="AH10" s="304" t="str">
        <f t="shared" si="4"/>
        <v>à</v>
      </c>
      <c r="AI10" s="304" t="str">
        <f t="shared" si="4"/>
        <v>ā</v>
      </c>
      <c r="AJ10" s="304" t="str">
        <f t="shared" si="4"/>
        <v>a̍</v>
      </c>
      <c r="AK10" s="304">
        <v>3</v>
      </c>
      <c r="AL10" s="304" t="str">
        <f t="shared" si="6"/>
        <v>̍</v>
      </c>
      <c r="AM10">
        <f xml:space="preserve"> _xlfn.UNICODE(AL10)</f>
        <v>781</v>
      </c>
    </row>
    <row r="11" spans="2:39" ht="34">
      <c r="B11" s="307">
        <v>7</v>
      </c>
      <c r="C11" s="308" t="s">
        <v>64</v>
      </c>
      <c r="D11" s="308" t="s">
        <v>64</v>
      </c>
      <c r="E11" s="308" t="s">
        <v>3254</v>
      </c>
      <c r="F11" s="308" t="s">
        <v>3255</v>
      </c>
      <c r="G11" s="309" t="s">
        <v>40</v>
      </c>
      <c r="H11" s="308" t="s">
        <v>2441</v>
      </c>
      <c r="I11" s="310" t="str">
        <f t="shared" si="7"/>
        <v>m̀</v>
      </c>
      <c r="J11" s="308" t="s">
        <v>2437</v>
      </c>
      <c r="K11" s="309" t="s">
        <v>3542</v>
      </c>
      <c r="L11" s="305"/>
      <c r="M11" s="307">
        <v>7</v>
      </c>
      <c r="N11" s="311" t="s">
        <v>210</v>
      </c>
      <c r="O11" s="315" t="str" cm="1">
        <f t="array" ref="O11">INDEX(韻母對照表, (($M11-1)*2 +1), $O$1)</f>
        <v>ong</v>
      </c>
      <c r="P11" s="315" t="str" cm="1">
        <f t="array" ref="P11">INDEX(韻母對照表, (($M11-1)*2 +2), $O$1)</f>
        <v>ok</v>
      </c>
      <c r="Q11" s="311" t="s">
        <v>299</v>
      </c>
      <c r="R11" s="316" t="str">
        <f t="shared" si="5"/>
        <v>ong</v>
      </c>
      <c r="S11" s="316" t="str">
        <f t="shared" si="1"/>
        <v>óng</v>
      </c>
      <c r="T11" s="316" t="str">
        <f t="shared" si="1"/>
        <v>òng</v>
      </c>
      <c r="U11" s="317" t="str">
        <f t="shared" si="1"/>
        <v>ok</v>
      </c>
      <c r="V11" s="316" t="str">
        <f t="shared" si="1"/>
        <v>ông</v>
      </c>
      <c r="W11" s="316" t="str">
        <f t="shared" si="1"/>
        <v>òng</v>
      </c>
      <c r="X11" s="316" t="str">
        <f t="shared" si="1"/>
        <v>ōng</v>
      </c>
      <c r="Y11" s="317" t="str">
        <f t="shared" si="1"/>
        <v>o̍k</v>
      </c>
      <c r="AA11" s="304">
        <f t="shared" si="2"/>
        <v>1</v>
      </c>
      <c r="AB11" s="304">
        <f t="shared" si="3"/>
        <v>4</v>
      </c>
      <c r="AC11" s="304" t="str">
        <f t="shared" si="4"/>
        <v>o</v>
      </c>
      <c r="AD11" s="304" t="str">
        <f t="shared" si="4"/>
        <v>ó</v>
      </c>
      <c r="AE11" s="304" t="str">
        <f t="shared" si="4"/>
        <v>ò</v>
      </c>
      <c r="AF11" s="304" t="str">
        <f t="shared" si="4"/>
        <v>o</v>
      </c>
      <c r="AG11" s="304" t="str">
        <f t="shared" si="4"/>
        <v>ô</v>
      </c>
      <c r="AH11" s="304" t="str">
        <f t="shared" si="4"/>
        <v>ò</v>
      </c>
      <c r="AI11" s="304" t="str">
        <f t="shared" si="4"/>
        <v>ō</v>
      </c>
      <c r="AJ11" s="304" t="str">
        <f t="shared" si="4"/>
        <v>o̍</v>
      </c>
      <c r="AK11" s="304">
        <v>4</v>
      </c>
      <c r="AL11" s="304" t="str">
        <f t="shared" si="6"/>
        <v>p</v>
      </c>
    </row>
    <row r="12" spans="2:39" ht="34">
      <c r="B12" s="307">
        <v>8</v>
      </c>
      <c r="C12" s="308" t="s">
        <v>3257</v>
      </c>
      <c r="D12" s="308" t="s">
        <v>3257</v>
      </c>
      <c r="E12" s="308" t="s">
        <v>3258</v>
      </c>
      <c r="F12" s="308" t="s">
        <v>3259</v>
      </c>
      <c r="G12" s="309" t="str">
        <f t="shared" ref="G12" si="8">D12</f>
        <v>ng</v>
      </c>
      <c r="H12" s="312" t="s">
        <v>3543</v>
      </c>
      <c r="I12" s="310"/>
      <c r="J12" s="312" t="s">
        <v>3261</v>
      </c>
      <c r="K12" s="313" t="s">
        <v>3262</v>
      </c>
      <c r="L12" s="305"/>
      <c r="M12" s="307">
        <v>8</v>
      </c>
      <c r="N12" s="311" t="s">
        <v>219</v>
      </c>
      <c r="O12" s="315" t="str" cm="1">
        <f t="array" ref="O12">INDEX(韻母對照表, (($M12-1)*2 +1), $O$1)</f>
        <v>uai</v>
      </c>
      <c r="P12" s="315" t="str" cm="1">
        <f t="array" ref="P12">INDEX(韻母對照表, (($M12-1)*2 +2), $O$1)</f>
        <v>uaih</v>
      </c>
      <c r="Q12" s="311" t="s">
        <v>424</v>
      </c>
      <c r="R12" s="316" t="str">
        <f t="shared" si="5"/>
        <v>uai</v>
      </c>
      <c r="S12" s="316" t="str">
        <f t="shared" si="1"/>
        <v>uái</v>
      </c>
      <c r="T12" s="316" t="str">
        <f t="shared" si="1"/>
        <v>uài</v>
      </c>
      <c r="U12" s="317" t="str">
        <f t="shared" si="1"/>
        <v>uaih</v>
      </c>
      <c r="V12" s="316" t="str">
        <f t="shared" si="1"/>
        <v>uâi</v>
      </c>
      <c r="W12" s="316" t="str">
        <f t="shared" si="1"/>
        <v>uài</v>
      </c>
      <c r="X12" s="316" t="str">
        <f t="shared" si="1"/>
        <v>uāi</v>
      </c>
      <c r="Y12" s="317" t="str">
        <f t="shared" si="1"/>
        <v>ua̍ih</v>
      </c>
      <c r="AA12" s="304">
        <f t="shared" si="2"/>
        <v>2</v>
      </c>
      <c r="AB12" s="304">
        <f t="shared" si="3"/>
        <v>1</v>
      </c>
      <c r="AC12" s="304" t="str">
        <f t="shared" si="4"/>
        <v>a</v>
      </c>
      <c r="AD12" s="304" t="str">
        <f t="shared" si="4"/>
        <v>á</v>
      </c>
      <c r="AE12" s="304" t="str">
        <f t="shared" si="4"/>
        <v>à</v>
      </c>
      <c r="AF12" s="304" t="str">
        <f t="shared" si="4"/>
        <v>a</v>
      </c>
      <c r="AG12" s="304" t="str">
        <f t="shared" si="4"/>
        <v>â</v>
      </c>
      <c r="AH12" s="304" t="str">
        <f t="shared" si="4"/>
        <v>à</v>
      </c>
      <c r="AI12" s="304" t="str">
        <f t="shared" si="4"/>
        <v>ā</v>
      </c>
      <c r="AJ12" s="304" t="str">
        <f t="shared" si="4"/>
        <v>a̍</v>
      </c>
    </row>
    <row r="13" spans="2:39" ht="34">
      <c r="B13" s="305"/>
      <c r="C13" s="305"/>
      <c r="D13" s="305"/>
      <c r="E13" s="305"/>
      <c r="F13" s="305"/>
      <c r="G13" s="305"/>
      <c r="H13" s="305"/>
      <c r="I13" s="305"/>
      <c r="J13" s="305"/>
      <c r="K13" s="305"/>
      <c r="L13" s="305"/>
      <c r="M13" s="307">
        <v>9</v>
      </c>
      <c r="N13" s="311" t="s">
        <v>230</v>
      </c>
      <c r="O13" s="315" t="str" cm="1">
        <f t="array" ref="O13">INDEX(韻母對照表, (($M13-1)*2 +1), $O$1)</f>
        <v>ing</v>
      </c>
      <c r="P13" s="315" t="str" cm="1">
        <f t="array" ref="P13">INDEX(韻母對照表, (($M13-1)*2 +2), $O$1)</f>
        <v>ik</v>
      </c>
      <c r="Q13" s="311" t="s">
        <v>1617</v>
      </c>
      <c r="R13" s="316" t="str">
        <f t="shared" si="5"/>
        <v>ing</v>
      </c>
      <c r="S13" s="316" t="str">
        <f t="shared" si="1"/>
        <v>íng</v>
      </c>
      <c r="T13" s="316" t="str">
        <f t="shared" si="1"/>
        <v>ìng</v>
      </c>
      <c r="U13" s="317" t="str">
        <f t="shared" si="1"/>
        <v>ik</v>
      </c>
      <c r="V13" s="316" t="str">
        <f t="shared" si="1"/>
        <v>îng</v>
      </c>
      <c r="W13" s="316" t="str">
        <f t="shared" si="1"/>
        <v>ìng</v>
      </c>
      <c r="X13" s="316" t="str">
        <f t="shared" si="1"/>
        <v>īng</v>
      </c>
      <c r="Y13" s="317" t="str">
        <f t="shared" si="1"/>
        <v>i̍k</v>
      </c>
      <c r="AA13" s="304">
        <f>FIND(Q13, O13, 1)</f>
        <v>1</v>
      </c>
      <c r="AB13" s="304">
        <f t="shared" si="3"/>
        <v>3</v>
      </c>
      <c r="AC13" s="304" t="str">
        <f t="shared" si="4"/>
        <v>i</v>
      </c>
      <c r="AD13" s="304" t="str">
        <f t="shared" si="4"/>
        <v>í</v>
      </c>
      <c r="AE13" s="304" t="str">
        <f t="shared" si="4"/>
        <v>ì</v>
      </c>
      <c r="AF13" s="304" t="str">
        <f t="shared" si="4"/>
        <v>i</v>
      </c>
      <c r="AG13" s="304" t="str">
        <f t="shared" si="4"/>
        <v>î</v>
      </c>
      <c r="AH13" s="304" t="str">
        <f t="shared" si="4"/>
        <v>ì</v>
      </c>
      <c r="AI13" s="304" t="str">
        <f t="shared" si="4"/>
        <v>ī</v>
      </c>
      <c r="AJ13" s="304" t="str">
        <f t="shared" si="4"/>
        <v>i̍</v>
      </c>
    </row>
    <row r="14" spans="2:39" ht="34">
      <c r="B14" s="305"/>
      <c r="C14" s="305"/>
      <c r="D14" s="305"/>
      <c r="E14" s="305"/>
      <c r="F14" s="305"/>
      <c r="G14" s="305"/>
      <c r="H14" s="305"/>
      <c r="I14" s="305"/>
      <c r="J14" s="305"/>
      <c r="K14" s="305"/>
      <c r="L14" s="314"/>
      <c r="M14" s="307">
        <v>10</v>
      </c>
      <c r="N14" s="311" t="s">
        <v>240</v>
      </c>
      <c r="O14" s="315" t="str" cm="1">
        <f t="array" ref="O14">INDEX(韻母對照表, (($M14-1)*2 +1), $O$1)</f>
        <v>uan</v>
      </c>
      <c r="P14" s="315" t="str" cm="1">
        <f t="array" ref="P14">INDEX(韻母對照表, (($M14-1)*2 +2), $O$1)</f>
        <v>uat</v>
      </c>
      <c r="Q14" s="311" t="s">
        <v>424</v>
      </c>
      <c r="R14" s="316" t="str">
        <f t="shared" si="5"/>
        <v>uan</v>
      </c>
      <c r="S14" s="316" t="str">
        <f t="shared" si="1"/>
        <v>uán</v>
      </c>
      <c r="T14" s="316" t="str">
        <f t="shared" si="1"/>
        <v>uàn</v>
      </c>
      <c r="U14" s="317" t="str">
        <f t="shared" si="1"/>
        <v>uat</v>
      </c>
      <c r="V14" s="316" t="str">
        <f t="shared" si="1"/>
        <v>uân</v>
      </c>
      <c r="W14" s="316" t="str">
        <f t="shared" si="1"/>
        <v>uàn</v>
      </c>
      <c r="X14" s="316" t="str">
        <f t="shared" si="1"/>
        <v>uān</v>
      </c>
      <c r="Y14" s="317" t="str">
        <f t="shared" si="1"/>
        <v>ua̍t</v>
      </c>
      <c r="AA14" s="304">
        <f t="shared" si="2"/>
        <v>2</v>
      </c>
      <c r="AB14" s="304">
        <f t="shared" si="3"/>
        <v>1</v>
      </c>
      <c r="AC14" s="304" t="str">
        <f t="shared" si="4"/>
        <v>a</v>
      </c>
      <c r="AD14" s="304" t="str">
        <f t="shared" si="4"/>
        <v>á</v>
      </c>
      <c r="AE14" s="304" t="str">
        <f t="shared" si="4"/>
        <v>à</v>
      </c>
      <c r="AF14" s="304" t="str">
        <f t="shared" si="4"/>
        <v>a</v>
      </c>
      <c r="AG14" s="304" t="str">
        <f t="shared" si="4"/>
        <v>â</v>
      </c>
      <c r="AH14" s="304" t="str">
        <f t="shared" si="4"/>
        <v>à</v>
      </c>
      <c r="AI14" s="304" t="str">
        <f t="shared" si="4"/>
        <v>ā</v>
      </c>
      <c r="AJ14" s="304" t="str">
        <f t="shared" si="4"/>
        <v>a̍</v>
      </c>
      <c r="AK14" s="321" t="s">
        <v>3243</v>
      </c>
      <c r="AL14" s="304">
        <f xml:space="preserve"> LEN(AK14)</f>
        <v>2</v>
      </c>
    </row>
    <row r="15" spans="2:39" ht="34">
      <c r="B15" s="305"/>
      <c r="C15" s="305"/>
      <c r="D15" s="305"/>
      <c r="E15" s="305"/>
      <c r="F15" s="305"/>
      <c r="G15" s="305"/>
      <c r="H15" s="305"/>
      <c r="I15" s="305"/>
      <c r="J15" s="305"/>
      <c r="K15" s="305"/>
      <c r="L15" s="305"/>
      <c r="M15" s="307">
        <v>11</v>
      </c>
      <c r="N15" s="311" t="s">
        <v>251</v>
      </c>
      <c r="O15" s="315" t="str" cm="1">
        <f t="array" ref="O15">INDEX(韻母對照表, (($M15-1)*2 +1), $O$1)</f>
        <v>oo</v>
      </c>
      <c r="P15" s="315" t="str" cm="1">
        <f t="array" ref="P15">INDEX(韻母對照表, (($M15-1)*2 +2), $O$1)</f>
        <v>ooh</v>
      </c>
      <c r="Q15" s="311" t="s">
        <v>252</v>
      </c>
      <c r="R15" s="316" t="str">
        <f t="shared" si="5"/>
        <v>oo</v>
      </c>
      <c r="S15" s="316" t="str">
        <f t="shared" si="1"/>
        <v>óo</v>
      </c>
      <c r="T15" s="316" t="str">
        <f t="shared" si="1"/>
        <v>òo</v>
      </c>
      <c r="U15" s="317" t="str">
        <f t="shared" si="1"/>
        <v>ooh</v>
      </c>
      <c r="V15" s="316" t="str">
        <f t="shared" si="1"/>
        <v>ôo</v>
      </c>
      <c r="W15" s="316" t="str">
        <f t="shared" si="1"/>
        <v>0</v>
      </c>
      <c r="X15" s="316" t="str">
        <f t="shared" si="1"/>
        <v>ōo</v>
      </c>
      <c r="Y15" s="317" t="str">
        <f t="shared" si="1"/>
        <v>o̍oh</v>
      </c>
      <c r="AA15" s="304">
        <f t="shared" si="2"/>
        <v>1</v>
      </c>
      <c r="AB15" s="304">
        <f t="shared" si="3"/>
        <v>5</v>
      </c>
      <c r="AC15" s="304" t="str">
        <f t="shared" ref="AC15:AJ24" si="9">INDEX($D$5:$K$12, $AB15, AC$4)</f>
        <v>oo</v>
      </c>
      <c r="AD15" s="304" t="str">
        <f t="shared" si="9"/>
        <v>óo</v>
      </c>
      <c r="AE15" s="304" t="str">
        <f t="shared" si="9"/>
        <v>òo</v>
      </c>
      <c r="AF15" s="304" t="str">
        <f t="shared" si="9"/>
        <v>oo</v>
      </c>
      <c r="AG15" s="304" t="str">
        <f t="shared" si="9"/>
        <v>ôo</v>
      </c>
      <c r="AH15" s="304">
        <f t="shared" si="9"/>
        <v>0</v>
      </c>
      <c r="AI15" s="304" t="str">
        <f t="shared" si="9"/>
        <v>ōo</v>
      </c>
      <c r="AJ15" s="304" t="str">
        <f t="shared" si="9"/>
        <v>o̍o</v>
      </c>
      <c r="AK15" s="304">
        <v>1</v>
      </c>
      <c r="AL15" s="304" t="str">
        <f xml:space="preserve"> MID($AK$14,AK15,1)</f>
        <v>a</v>
      </c>
    </row>
    <row r="16" spans="2:39" ht="34">
      <c r="B16" s="305"/>
      <c r="C16" s="305"/>
      <c r="D16" s="305"/>
      <c r="E16" s="305"/>
      <c r="F16" s="305"/>
      <c r="G16" s="305"/>
      <c r="H16" s="305"/>
      <c r="I16" s="305"/>
      <c r="J16" s="305"/>
      <c r="K16" s="305"/>
      <c r="L16" s="305"/>
      <c r="M16" s="307">
        <v>12</v>
      </c>
      <c r="N16" s="311" t="s">
        <v>264</v>
      </c>
      <c r="O16" s="315" t="str" cm="1">
        <f t="array" ref="O16">INDEX(韻母對照表, (($M16-1)*2 +1), $O$1)</f>
        <v>iau</v>
      </c>
      <c r="P16" s="315" t="str" cm="1">
        <f t="array" ref="P16">INDEX(韻母對照表, (($M16-1)*2 +2), $O$1)</f>
        <v>iauh</v>
      </c>
      <c r="Q16" s="311" t="s">
        <v>424</v>
      </c>
      <c r="R16" s="316" t="str">
        <f t="shared" si="5"/>
        <v>iau</v>
      </c>
      <c r="S16" s="316" t="str">
        <f t="shared" si="1"/>
        <v>iáu</v>
      </c>
      <c r="T16" s="316" t="str">
        <f t="shared" si="1"/>
        <v>iàu</v>
      </c>
      <c r="U16" s="317" t="str">
        <f t="shared" si="1"/>
        <v>iauh</v>
      </c>
      <c r="V16" s="316" t="str">
        <f t="shared" si="1"/>
        <v>iâu</v>
      </c>
      <c r="W16" s="316" t="str">
        <f t="shared" si="1"/>
        <v>iàu</v>
      </c>
      <c r="X16" s="316" t="str">
        <f t="shared" si="1"/>
        <v>iāu</v>
      </c>
      <c r="Y16" s="317" t="str">
        <f t="shared" si="1"/>
        <v>ia̍uh</v>
      </c>
      <c r="AA16" s="304">
        <f t="shared" si="2"/>
        <v>2</v>
      </c>
      <c r="AB16" s="304">
        <f t="shared" si="3"/>
        <v>1</v>
      </c>
      <c r="AC16" s="304" t="str">
        <f t="shared" si="9"/>
        <v>a</v>
      </c>
      <c r="AD16" s="304" t="str">
        <f t="shared" si="9"/>
        <v>á</v>
      </c>
      <c r="AE16" s="304" t="str">
        <f t="shared" si="9"/>
        <v>à</v>
      </c>
      <c r="AF16" s="304" t="str">
        <f t="shared" si="9"/>
        <v>a</v>
      </c>
      <c r="AG16" s="304" t="str">
        <f t="shared" si="9"/>
        <v>â</v>
      </c>
      <c r="AH16" s="304" t="str">
        <f t="shared" si="9"/>
        <v>à</v>
      </c>
      <c r="AI16" s="304" t="str">
        <f t="shared" si="9"/>
        <v>ā</v>
      </c>
      <c r="AJ16" s="304" t="str">
        <f t="shared" si="9"/>
        <v>a̍</v>
      </c>
      <c r="AK16" s="304">
        <v>2</v>
      </c>
      <c r="AL16" s="304" t="str">
        <f xml:space="preserve"> MID($AK$14,AK16,1)</f>
        <v>̍</v>
      </c>
      <c r="AM16">
        <f xml:space="preserve"> _xlfn.UNICODE(AL16)</f>
        <v>781</v>
      </c>
    </row>
    <row r="17" spans="13:39" ht="34">
      <c r="M17" s="307">
        <v>13</v>
      </c>
      <c r="N17" s="311" t="s">
        <v>277</v>
      </c>
      <c r="O17" s="315" t="str" cm="1">
        <f t="array" ref="O17">INDEX(韻母對照表, (($M17-1)*2 +1), $O$1)</f>
        <v>e</v>
      </c>
      <c r="P17" s="315" t="str" cm="1">
        <f t="array" ref="P17">INDEX(韻母對照表, (($M17-1)*2 +2), $O$1)</f>
        <v>eh</v>
      </c>
      <c r="Q17" s="311" t="s">
        <v>278</v>
      </c>
      <c r="R17" s="316" t="str">
        <f t="shared" si="5"/>
        <v>e</v>
      </c>
      <c r="S17" s="316" t="str">
        <f t="shared" si="1"/>
        <v>é</v>
      </c>
      <c r="T17" s="316" t="str">
        <f t="shared" si="1"/>
        <v>è</v>
      </c>
      <c r="U17" s="317" t="str">
        <f t="shared" si="1"/>
        <v>eh</v>
      </c>
      <c r="V17" s="316" t="str">
        <f t="shared" si="1"/>
        <v>ê</v>
      </c>
      <c r="W17" s="316" t="str">
        <f t="shared" si="1"/>
        <v>è</v>
      </c>
      <c r="X17" s="316" t="str">
        <f t="shared" si="1"/>
        <v>ē</v>
      </c>
      <c r="Y17" s="317" t="str">
        <f t="shared" si="1"/>
        <v>e̍h</v>
      </c>
      <c r="AA17" s="304">
        <f t="shared" si="2"/>
        <v>1</v>
      </c>
      <c r="AB17" s="304">
        <f t="shared" si="3"/>
        <v>2</v>
      </c>
      <c r="AC17" s="304" t="str">
        <f t="shared" si="9"/>
        <v>e</v>
      </c>
      <c r="AD17" s="304" t="str">
        <f t="shared" si="9"/>
        <v>é</v>
      </c>
      <c r="AE17" s="304" t="str">
        <f t="shared" si="9"/>
        <v>è</v>
      </c>
      <c r="AF17" s="304" t="str">
        <f t="shared" si="9"/>
        <v>e</v>
      </c>
      <c r="AG17" s="304" t="str">
        <f t="shared" si="9"/>
        <v>ê</v>
      </c>
      <c r="AH17" s="304" t="str">
        <f t="shared" si="9"/>
        <v>è</v>
      </c>
      <c r="AI17" s="304" t="str">
        <f t="shared" si="9"/>
        <v>ē</v>
      </c>
      <c r="AJ17" s="304" t="str">
        <f t="shared" si="9"/>
        <v>e̍</v>
      </c>
    </row>
    <row r="18" spans="13:39" ht="34">
      <c r="M18" s="307">
        <v>14</v>
      </c>
      <c r="N18" s="311" t="s">
        <v>288</v>
      </c>
      <c r="O18" s="315" t="str" cm="1">
        <f t="array" ref="O18">INDEX(韻母對照表, (($M18-1)*2 +1), $O$1)</f>
        <v>iong</v>
      </c>
      <c r="P18" s="315" t="str" cm="1">
        <f t="array" ref="P18">INDEX(韻母對照表, (($M18-1)*2 +2), $O$1)</f>
        <v>iok</v>
      </c>
      <c r="Q18" s="311" t="s">
        <v>299</v>
      </c>
      <c r="R18" s="316" t="str">
        <f t="shared" si="5"/>
        <v>iong</v>
      </c>
      <c r="S18" s="316" t="str">
        <f t="shared" si="1"/>
        <v>ióng</v>
      </c>
      <c r="T18" s="316" t="str">
        <f t="shared" si="1"/>
        <v>iòng</v>
      </c>
      <c r="U18" s="317" t="str">
        <f t="shared" si="1"/>
        <v>iok</v>
      </c>
      <c r="V18" s="316" t="str">
        <f t="shared" si="1"/>
        <v>iông</v>
      </c>
      <c r="W18" s="316" t="str">
        <f t="shared" si="1"/>
        <v>iòng</v>
      </c>
      <c r="X18" s="316" t="str">
        <f t="shared" si="1"/>
        <v>iōng</v>
      </c>
      <c r="Y18" s="317" t="str">
        <f t="shared" si="1"/>
        <v>io̍k</v>
      </c>
      <c r="AA18" s="304">
        <f t="shared" si="2"/>
        <v>2</v>
      </c>
      <c r="AB18" s="304">
        <f t="shared" si="3"/>
        <v>4</v>
      </c>
      <c r="AC18" s="304" t="str">
        <f t="shared" si="9"/>
        <v>o</v>
      </c>
      <c r="AD18" s="304" t="str">
        <f t="shared" si="9"/>
        <v>ó</v>
      </c>
      <c r="AE18" s="304" t="str">
        <f t="shared" si="9"/>
        <v>ò</v>
      </c>
      <c r="AF18" s="304" t="str">
        <f t="shared" si="9"/>
        <v>o</v>
      </c>
      <c r="AG18" s="304" t="str">
        <f t="shared" si="9"/>
        <v>ô</v>
      </c>
      <c r="AH18" s="304" t="str">
        <f t="shared" si="9"/>
        <v>ò</v>
      </c>
      <c r="AI18" s="304" t="str">
        <f t="shared" si="9"/>
        <v>ō</v>
      </c>
      <c r="AJ18" s="304" t="str">
        <f t="shared" si="9"/>
        <v>o̍</v>
      </c>
      <c r="AM18" t="str">
        <f xml:space="preserve"> "a" &amp; _xlfn.UNICHAR(AM16)</f>
        <v>a̍</v>
      </c>
    </row>
    <row r="19" spans="13:39" ht="34">
      <c r="M19" s="307">
        <v>15</v>
      </c>
      <c r="N19" s="311" t="s">
        <v>298</v>
      </c>
      <c r="O19" s="315" t="str" cm="1">
        <f t="array" ref="O19">INDEX(韻母對照表, (($M19-1)*2 +1), $O$1)</f>
        <v>o</v>
      </c>
      <c r="P19" s="315" t="str" cm="1">
        <f t="array" ref="P19">INDEX(韻母對照表, (($M19-1)*2 +2), $O$1)</f>
        <v>oh</v>
      </c>
      <c r="Q19" s="311" t="s">
        <v>299</v>
      </c>
      <c r="R19" s="316" t="str">
        <f t="shared" si="5"/>
        <v>o</v>
      </c>
      <c r="S19" s="316" t="str">
        <f t="shared" si="1"/>
        <v>ó</v>
      </c>
      <c r="T19" s="316" t="str">
        <f t="shared" si="1"/>
        <v>ò</v>
      </c>
      <c r="U19" s="317" t="str">
        <f t="shared" si="1"/>
        <v>oh</v>
      </c>
      <c r="V19" s="316" t="str">
        <f t="shared" si="1"/>
        <v>ô</v>
      </c>
      <c r="W19" s="316" t="str">
        <f t="shared" si="1"/>
        <v>ò</v>
      </c>
      <c r="X19" s="316" t="str">
        <f t="shared" si="1"/>
        <v>ō</v>
      </c>
      <c r="Y19" s="317" t="str">
        <f t="shared" si="1"/>
        <v>o̍h</v>
      </c>
      <c r="AA19" s="304">
        <f t="shared" si="2"/>
        <v>1</v>
      </c>
      <c r="AB19" s="304">
        <f t="shared" si="3"/>
        <v>4</v>
      </c>
      <c r="AC19" s="304" t="str">
        <f t="shared" si="9"/>
        <v>o</v>
      </c>
      <c r="AD19" s="304" t="str">
        <f t="shared" si="9"/>
        <v>ó</v>
      </c>
      <c r="AE19" s="304" t="str">
        <f t="shared" si="9"/>
        <v>ò</v>
      </c>
      <c r="AF19" s="304" t="str">
        <f t="shared" si="9"/>
        <v>o</v>
      </c>
      <c r="AG19" s="304" t="str">
        <f t="shared" si="9"/>
        <v>ô</v>
      </c>
      <c r="AH19" s="304" t="str">
        <f t="shared" si="9"/>
        <v>ò</v>
      </c>
      <c r="AI19" s="304" t="str">
        <f t="shared" si="9"/>
        <v>ō</v>
      </c>
      <c r="AJ19" s="304" t="str">
        <f t="shared" si="9"/>
        <v>o̍</v>
      </c>
    </row>
    <row r="20" spans="13:39" ht="34">
      <c r="M20" s="307">
        <v>16</v>
      </c>
      <c r="N20" s="311" t="s">
        <v>306</v>
      </c>
      <c r="O20" s="315" t="str" cm="1">
        <f t="array" ref="O20">INDEX(韻母對照表, (($M20-1)*2 +1), $O$1)</f>
        <v>ai</v>
      </c>
      <c r="P20" s="315" t="str" cm="1">
        <f t="array" ref="P20">INDEX(韻母對照表, (($M20-1)*2 +2), $O$1)</f>
        <v>aih</v>
      </c>
      <c r="Q20" s="311" t="s">
        <v>424</v>
      </c>
      <c r="R20" s="316" t="str">
        <f t="shared" si="5"/>
        <v>ai</v>
      </c>
      <c r="S20" s="316" t="str">
        <f t="shared" si="1"/>
        <v>ái</v>
      </c>
      <c r="T20" s="316" t="str">
        <f t="shared" si="1"/>
        <v>ài</v>
      </c>
      <c r="U20" s="317" t="str">
        <f t="shared" si="1"/>
        <v>aih</v>
      </c>
      <c r="V20" s="316" t="str">
        <f t="shared" si="1"/>
        <v>âi</v>
      </c>
      <c r="W20" s="316" t="str">
        <f t="shared" si="1"/>
        <v>ài</v>
      </c>
      <c r="X20" s="316" t="str">
        <f t="shared" si="1"/>
        <v>āi</v>
      </c>
      <c r="Y20" s="317" t="str">
        <f t="shared" si="1"/>
        <v>a̍ih</v>
      </c>
      <c r="AA20" s="304">
        <f t="shared" si="2"/>
        <v>1</v>
      </c>
      <c r="AB20" s="304">
        <f t="shared" si="3"/>
        <v>1</v>
      </c>
      <c r="AC20" s="304" t="str">
        <f t="shared" si="9"/>
        <v>a</v>
      </c>
      <c r="AD20" s="304" t="str">
        <f t="shared" si="9"/>
        <v>á</v>
      </c>
      <c r="AE20" s="304" t="str">
        <f t="shared" si="9"/>
        <v>à</v>
      </c>
      <c r="AF20" s="304" t="str">
        <f t="shared" si="9"/>
        <v>a</v>
      </c>
      <c r="AG20" s="304" t="str">
        <f t="shared" si="9"/>
        <v>â</v>
      </c>
      <c r="AH20" s="304" t="str">
        <f t="shared" si="9"/>
        <v>à</v>
      </c>
      <c r="AI20" s="304" t="str">
        <f t="shared" si="9"/>
        <v>ā</v>
      </c>
      <c r="AJ20" s="304" t="str">
        <f t="shared" si="9"/>
        <v>a̍</v>
      </c>
    </row>
    <row r="21" spans="13:39" ht="34">
      <c r="M21" s="307">
        <v>17</v>
      </c>
      <c r="N21" s="311" t="s">
        <v>316</v>
      </c>
      <c r="O21" s="315" t="str" cm="1">
        <f t="array" ref="O21">INDEX(韻母對照表, (($M21-1)*2 +1), $O$1)</f>
        <v>in</v>
      </c>
      <c r="P21" s="315" t="str" cm="1">
        <f t="array" ref="P21">INDEX(韻母對照表, (($M21-1)*2 +2), $O$1)</f>
        <v>it</v>
      </c>
      <c r="Q21" s="311" t="s">
        <v>432</v>
      </c>
      <c r="R21" s="316" t="str">
        <f t="shared" si="5"/>
        <v>in</v>
      </c>
      <c r="S21" s="316" t="str">
        <f t="shared" si="5"/>
        <v>ín</v>
      </c>
      <c r="T21" s="316" t="str">
        <f t="shared" si="5"/>
        <v>ìn</v>
      </c>
      <c r="U21" s="317" t="str">
        <f t="shared" si="5"/>
        <v>it</v>
      </c>
      <c r="V21" s="316" t="str">
        <f t="shared" si="5"/>
        <v>în</v>
      </c>
      <c r="W21" s="316" t="str">
        <f t="shared" si="5"/>
        <v>ìn</v>
      </c>
      <c r="X21" s="316" t="str">
        <f t="shared" si="5"/>
        <v>īn</v>
      </c>
      <c r="Y21" s="317" t="str">
        <f t="shared" si="5"/>
        <v>i̍t</v>
      </c>
      <c r="AA21" s="304">
        <f t="shared" si="2"/>
        <v>1</v>
      </c>
      <c r="AB21" s="304">
        <f t="shared" si="3"/>
        <v>3</v>
      </c>
      <c r="AC21" s="304" t="str">
        <f t="shared" si="9"/>
        <v>i</v>
      </c>
      <c r="AD21" s="304" t="str">
        <f t="shared" si="9"/>
        <v>í</v>
      </c>
      <c r="AE21" s="304" t="str">
        <f t="shared" si="9"/>
        <v>ì</v>
      </c>
      <c r="AF21" s="304" t="str">
        <f t="shared" si="9"/>
        <v>i</v>
      </c>
      <c r="AG21" s="304" t="str">
        <f t="shared" si="9"/>
        <v>î</v>
      </c>
      <c r="AH21" s="304" t="str">
        <f t="shared" si="9"/>
        <v>ì</v>
      </c>
      <c r="AI21" s="304" t="str">
        <f t="shared" si="9"/>
        <v>ī</v>
      </c>
      <c r="AJ21" s="304" t="str">
        <f t="shared" si="9"/>
        <v>i̍</v>
      </c>
    </row>
    <row r="22" spans="13:39" ht="34">
      <c r="M22" s="307">
        <v>18</v>
      </c>
      <c r="N22" s="311" t="s">
        <v>323</v>
      </c>
      <c r="O22" s="315" t="str" cm="1">
        <f t="array" ref="O22">INDEX(韻母對照表, (($M22-1)*2 +1), $O$1)</f>
        <v>iang</v>
      </c>
      <c r="P22" s="315" t="str" cm="1">
        <f t="array" ref="P22">INDEX(韻母對照表, (($M22-1)*2 +2), $O$1)</f>
        <v>iak</v>
      </c>
      <c r="Q22" s="311" t="s">
        <v>424</v>
      </c>
      <c r="R22" s="316" t="str">
        <f t="shared" si="5"/>
        <v>iang</v>
      </c>
      <c r="S22" s="316" t="str">
        <f t="shared" si="5"/>
        <v>iáng</v>
      </c>
      <c r="T22" s="316" t="str">
        <f t="shared" si="5"/>
        <v>iàng</v>
      </c>
      <c r="U22" s="317" t="str">
        <f t="shared" si="5"/>
        <v>iak</v>
      </c>
      <c r="V22" s="316" t="str">
        <f t="shared" si="5"/>
        <v>iâng</v>
      </c>
      <c r="W22" s="316" t="str">
        <f t="shared" si="5"/>
        <v>iàng</v>
      </c>
      <c r="X22" s="316" t="str">
        <f t="shared" si="5"/>
        <v>iāng</v>
      </c>
      <c r="Y22" s="317" t="str">
        <f t="shared" si="5"/>
        <v>ia̍k</v>
      </c>
      <c r="AA22" s="304">
        <f t="shared" si="2"/>
        <v>2</v>
      </c>
      <c r="AB22" s="304">
        <f t="shared" si="3"/>
        <v>1</v>
      </c>
      <c r="AC22" s="304" t="str">
        <f t="shared" si="9"/>
        <v>a</v>
      </c>
      <c r="AD22" s="304" t="str">
        <f t="shared" si="9"/>
        <v>á</v>
      </c>
      <c r="AE22" s="304" t="str">
        <f t="shared" si="9"/>
        <v>à</v>
      </c>
      <c r="AF22" s="304" t="str">
        <f t="shared" si="9"/>
        <v>a</v>
      </c>
      <c r="AG22" s="304" t="str">
        <f t="shared" si="9"/>
        <v>â</v>
      </c>
      <c r="AH22" s="304" t="str">
        <f t="shared" si="9"/>
        <v>à</v>
      </c>
      <c r="AI22" s="304" t="str">
        <f t="shared" si="9"/>
        <v>ā</v>
      </c>
      <c r="AJ22" s="304" t="str">
        <f t="shared" si="9"/>
        <v>a̍</v>
      </c>
    </row>
    <row r="23" spans="13:39" ht="34">
      <c r="M23" s="307">
        <v>19</v>
      </c>
      <c r="N23" s="311" t="s">
        <v>333</v>
      </c>
      <c r="O23" s="315" t="str" cm="1">
        <f t="array" ref="O23">INDEX(韻母對照表, (($M23-1)*2 +1), $O$1)</f>
        <v>am</v>
      </c>
      <c r="P23" s="315" t="str" cm="1">
        <f t="array" ref="P23">INDEX(韻母對照表, (($M23-1)*2 +2), $O$1)</f>
        <v>ap</v>
      </c>
      <c r="Q23" s="311" t="s">
        <v>424</v>
      </c>
      <c r="R23" s="316" t="str">
        <f t="shared" si="5"/>
        <v>am</v>
      </c>
      <c r="S23" s="316" t="str">
        <f t="shared" si="5"/>
        <v>ám</v>
      </c>
      <c r="T23" s="316" t="str">
        <f t="shared" si="5"/>
        <v>àm</v>
      </c>
      <c r="U23" s="317" t="str">
        <f t="shared" si="5"/>
        <v>ap</v>
      </c>
      <c r="V23" s="316" t="str">
        <f t="shared" si="5"/>
        <v>âm</v>
      </c>
      <c r="W23" s="316" t="str">
        <f t="shared" si="5"/>
        <v>àm</v>
      </c>
      <c r="X23" s="316" t="str">
        <f t="shared" si="5"/>
        <v>ām</v>
      </c>
      <c r="Y23" s="317" t="str">
        <f t="shared" si="5"/>
        <v>a̍p</v>
      </c>
      <c r="AA23" s="304">
        <f t="shared" si="2"/>
        <v>1</v>
      </c>
      <c r="AB23" s="304">
        <f t="shared" si="3"/>
        <v>1</v>
      </c>
      <c r="AC23" s="304" t="str">
        <f t="shared" si="9"/>
        <v>a</v>
      </c>
      <c r="AD23" s="304" t="str">
        <f t="shared" si="9"/>
        <v>á</v>
      </c>
      <c r="AE23" s="304" t="str">
        <f t="shared" si="9"/>
        <v>à</v>
      </c>
      <c r="AF23" s="304" t="str">
        <f t="shared" si="9"/>
        <v>a</v>
      </c>
      <c r="AG23" s="304" t="str">
        <f t="shared" si="9"/>
        <v>â</v>
      </c>
      <c r="AH23" s="304" t="str">
        <f t="shared" si="9"/>
        <v>à</v>
      </c>
      <c r="AI23" s="304" t="str">
        <f t="shared" si="9"/>
        <v>ā</v>
      </c>
      <c r="AJ23" s="304" t="str">
        <f t="shared" si="9"/>
        <v>a̍</v>
      </c>
    </row>
    <row r="24" spans="13:39" ht="34">
      <c r="M24" s="307">
        <v>20</v>
      </c>
      <c r="N24" s="311" t="s">
        <v>339</v>
      </c>
      <c r="O24" s="315" t="str" cm="1">
        <f t="array" ref="O24">INDEX(韻母對照表, (($M24-1)*2 +1), $O$1)</f>
        <v>ua</v>
      </c>
      <c r="P24" s="315" t="str" cm="1">
        <f t="array" ref="P24">INDEX(韻母對照表, (($M24-1)*2 +2), $O$1)</f>
        <v>uah</v>
      </c>
      <c r="Q24" s="311" t="s">
        <v>1619</v>
      </c>
      <c r="R24" s="316" t="str">
        <f t="shared" si="5"/>
        <v>ua</v>
      </c>
      <c r="S24" s="316" t="str">
        <f t="shared" si="5"/>
        <v>úa</v>
      </c>
      <c r="T24" s="316" t="str">
        <f t="shared" si="5"/>
        <v>ùa</v>
      </c>
      <c r="U24" s="317" t="str">
        <f t="shared" si="5"/>
        <v>uah</v>
      </c>
      <c r="V24" s="316" t="str">
        <f t="shared" si="5"/>
        <v>ûa</v>
      </c>
      <c r="W24" s="316" t="str">
        <f t="shared" si="5"/>
        <v>ùa</v>
      </c>
      <c r="X24" s="316" t="str">
        <f t="shared" si="5"/>
        <v>ūa</v>
      </c>
      <c r="Y24" s="317" t="str">
        <f t="shared" si="5"/>
        <v>u̍ah</v>
      </c>
      <c r="AA24" s="304">
        <f t="shared" si="2"/>
        <v>1</v>
      </c>
      <c r="AB24" s="304">
        <f t="shared" si="3"/>
        <v>6</v>
      </c>
      <c r="AC24" s="304" t="str">
        <f t="shared" si="9"/>
        <v>u</v>
      </c>
      <c r="AD24" s="304" t="str">
        <f t="shared" si="9"/>
        <v>ú</v>
      </c>
      <c r="AE24" s="304" t="str">
        <f t="shared" si="9"/>
        <v>ù</v>
      </c>
      <c r="AF24" s="304" t="str">
        <f t="shared" si="9"/>
        <v>u</v>
      </c>
      <c r="AG24" s="304" t="str">
        <f t="shared" si="9"/>
        <v>û</v>
      </c>
      <c r="AH24" s="304" t="str">
        <f t="shared" si="9"/>
        <v>ù</v>
      </c>
      <c r="AI24" s="304" t="str">
        <f t="shared" si="9"/>
        <v>ū</v>
      </c>
      <c r="AJ24" s="304" t="str">
        <f t="shared" si="9"/>
        <v>u̍</v>
      </c>
    </row>
    <row r="25" spans="13:39" ht="34">
      <c r="M25" s="307">
        <v>21</v>
      </c>
      <c r="N25" s="311" t="s">
        <v>350</v>
      </c>
      <c r="O25" s="315" t="str" cm="1">
        <f t="array" ref="O25">INDEX(韻母對照表, (($M25-1)*2 +1), $O$1)</f>
        <v>ang</v>
      </c>
      <c r="P25" s="315" t="str" cm="1">
        <f t="array" ref="P25">INDEX(韻母對照表, (($M25-1)*2 +2), $O$1)</f>
        <v>ak</v>
      </c>
      <c r="Q25" s="311" t="s">
        <v>424</v>
      </c>
      <c r="R25" s="316" t="str">
        <f t="shared" si="5"/>
        <v>ang</v>
      </c>
      <c r="S25" s="316" t="str">
        <f t="shared" si="5"/>
        <v>áng</v>
      </c>
      <c r="T25" s="316" t="str">
        <f t="shared" si="5"/>
        <v>àng</v>
      </c>
      <c r="U25" s="317" t="str">
        <f t="shared" si="5"/>
        <v>ak</v>
      </c>
      <c r="V25" s="316" t="str">
        <f t="shared" si="5"/>
        <v>âng</v>
      </c>
      <c r="W25" s="316" t="str">
        <f t="shared" si="5"/>
        <v>àng</v>
      </c>
      <c r="X25" s="316" t="str">
        <f t="shared" si="5"/>
        <v>āng</v>
      </c>
      <c r="Y25" s="317" t="str">
        <f t="shared" si="5"/>
        <v>a̍k</v>
      </c>
      <c r="AA25" s="304">
        <f t="shared" si="2"/>
        <v>1</v>
      </c>
      <c r="AB25" s="304">
        <f t="shared" si="3"/>
        <v>1</v>
      </c>
      <c r="AC25" s="304" t="str">
        <f t="shared" ref="AC25:AJ34" si="10">INDEX($D$5:$K$12, $AB25, AC$4)</f>
        <v>a</v>
      </c>
      <c r="AD25" s="304" t="str">
        <f t="shared" si="10"/>
        <v>á</v>
      </c>
      <c r="AE25" s="304" t="str">
        <f t="shared" si="10"/>
        <v>à</v>
      </c>
      <c r="AF25" s="304" t="str">
        <f t="shared" si="10"/>
        <v>a</v>
      </c>
      <c r="AG25" s="304" t="str">
        <f t="shared" si="10"/>
        <v>â</v>
      </c>
      <c r="AH25" s="304" t="str">
        <f t="shared" si="10"/>
        <v>à</v>
      </c>
      <c r="AI25" s="304" t="str">
        <f t="shared" si="10"/>
        <v>ā</v>
      </c>
      <c r="AJ25" s="304" t="str">
        <f t="shared" si="10"/>
        <v>a̍</v>
      </c>
    </row>
    <row r="26" spans="13:39" ht="34">
      <c r="M26" s="307">
        <v>22</v>
      </c>
      <c r="N26" s="311" t="s">
        <v>358</v>
      </c>
      <c r="O26" s="315" t="str" cm="1">
        <f t="array" ref="O26">INDEX(韻母對照表, (($M26-1)*2 +1), $O$1)</f>
        <v>iam</v>
      </c>
      <c r="P26" s="315" t="str" cm="1">
        <f t="array" ref="P26">INDEX(韻母對照表, (($M26-1)*2 +2), $O$1)</f>
        <v>iap</v>
      </c>
      <c r="Q26" s="311" t="s">
        <v>424</v>
      </c>
      <c r="R26" s="316" t="str">
        <f t="shared" si="5"/>
        <v>iam</v>
      </c>
      <c r="S26" s="316" t="str">
        <f t="shared" si="5"/>
        <v>iám</v>
      </c>
      <c r="T26" s="316" t="str">
        <f t="shared" si="5"/>
        <v>iàm</v>
      </c>
      <c r="U26" s="317" t="str">
        <f t="shared" si="5"/>
        <v>iap</v>
      </c>
      <c r="V26" s="316" t="str">
        <f t="shared" si="5"/>
        <v>iâm</v>
      </c>
      <c r="W26" s="316" t="str">
        <f t="shared" si="5"/>
        <v>iàm</v>
      </c>
      <c r="X26" s="316" t="str">
        <f t="shared" si="5"/>
        <v>iām</v>
      </c>
      <c r="Y26" s="317" t="str">
        <f t="shared" si="5"/>
        <v>ia̍p</v>
      </c>
      <c r="AA26" s="304">
        <f t="shared" si="2"/>
        <v>2</v>
      </c>
      <c r="AB26" s="304">
        <f t="shared" si="3"/>
        <v>1</v>
      </c>
      <c r="AC26" s="304" t="str">
        <f t="shared" si="10"/>
        <v>a</v>
      </c>
      <c r="AD26" s="304" t="str">
        <f t="shared" si="10"/>
        <v>á</v>
      </c>
      <c r="AE26" s="304" t="str">
        <f t="shared" si="10"/>
        <v>à</v>
      </c>
      <c r="AF26" s="304" t="str">
        <f t="shared" si="10"/>
        <v>a</v>
      </c>
      <c r="AG26" s="304" t="str">
        <f t="shared" si="10"/>
        <v>â</v>
      </c>
      <c r="AH26" s="304" t="str">
        <f t="shared" si="10"/>
        <v>à</v>
      </c>
      <c r="AI26" s="304" t="str">
        <f t="shared" si="10"/>
        <v>ā</v>
      </c>
      <c r="AJ26" s="304" t="str">
        <f t="shared" si="10"/>
        <v>a̍</v>
      </c>
    </row>
    <row r="27" spans="13:39" ht="34">
      <c r="M27" s="307">
        <v>23</v>
      </c>
      <c r="N27" s="311" t="s">
        <v>367</v>
      </c>
      <c r="O27" s="315" t="str" cm="1">
        <f t="array" ref="O27">INDEX(韻母對照表, (($M27-1)*2 +1), $O$1)</f>
        <v>au</v>
      </c>
      <c r="P27" s="315" t="str" cm="1">
        <f t="array" ref="P27">INDEX(韻母對照表, (($M27-1)*2 +2), $O$1)</f>
        <v>auh</v>
      </c>
      <c r="Q27" s="311" t="s">
        <v>424</v>
      </c>
      <c r="R27" s="316" t="str">
        <f t="shared" si="5"/>
        <v>au</v>
      </c>
      <c r="S27" s="316" t="str">
        <f t="shared" si="5"/>
        <v>áu</v>
      </c>
      <c r="T27" s="316" t="str">
        <f t="shared" si="5"/>
        <v>àu</v>
      </c>
      <c r="U27" s="317" t="str">
        <f t="shared" si="5"/>
        <v>auh</v>
      </c>
      <c r="V27" s="316" t="str">
        <f t="shared" si="5"/>
        <v>âu</v>
      </c>
      <c r="W27" s="316" t="str">
        <f t="shared" si="5"/>
        <v>àu</v>
      </c>
      <c r="X27" s="316" t="str">
        <f t="shared" si="5"/>
        <v>āu</v>
      </c>
      <c r="Y27" s="317" t="str">
        <f t="shared" si="5"/>
        <v>a̍uh</v>
      </c>
      <c r="AA27" s="304">
        <f t="shared" si="2"/>
        <v>1</v>
      </c>
      <c r="AB27" s="304">
        <f t="shared" si="3"/>
        <v>1</v>
      </c>
      <c r="AC27" s="304" t="str">
        <f t="shared" si="10"/>
        <v>a</v>
      </c>
      <c r="AD27" s="304" t="str">
        <f t="shared" si="10"/>
        <v>á</v>
      </c>
      <c r="AE27" s="304" t="str">
        <f t="shared" si="10"/>
        <v>à</v>
      </c>
      <c r="AF27" s="304" t="str">
        <f t="shared" si="10"/>
        <v>a</v>
      </c>
      <c r="AG27" s="304" t="str">
        <f t="shared" si="10"/>
        <v>â</v>
      </c>
      <c r="AH27" s="304" t="str">
        <f t="shared" si="10"/>
        <v>à</v>
      </c>
      <c r="AI27" s="304" t="str">
        <f t="shared" si="10"/>
        <v>ā</v>
      </c>
      <c r="AJ27" s="304" t="str">
        <f t="shared" si="10"/>
        <v>a̍</v>
      </c>
    </row>
    <row r="28" spans="13:39" ht="34">
      <c r="M28" s="307">
        <v>24</v>
      </c>
      <c r="N28" s="311" t="s">
        <v>378</v>
      </c>
      <c r="O28" s="315" t="str" cm="1">
        <f t="array" ref="O28">INDEX(韻母對照表, (($M28-1)*2 +1), $O$1)</f>
        <v>ia</v>
      </c>
      <c r="P28" s="315" t="str" cm="1">
        <f t="array" ref="P28">INDEX(韻母對照表, (($M28-1)*2 +2), $O$1)</f>
        <v>iah</v>
      </c>
      <c r="Q28" s="311" t="s">
        <v>424</v>
      </c>
      <c r="R28" s="316" t="str">
        <f t="shared" si="5"/>
        <v>ia</v>
      </c>
      <c r="S28" s="316" t="str">
        <f t="shared" si="5"/>
        <v>iá</v>
      </c>
      <c r="T28" s="316" t="str">
        <f t="shared" si="5"/>
        <v>ià</v>
      </c>
      <c r="U28" s="317" t="str">
        <f t="shared" si="5"/>
        <v>iah</v>
      </c>
      <c r="V28" s="316" t="str">
        <f t="shared" si="5"/>
        <v>iâ</v>
      </c>
      <c r="W28" s="316" t="str">
        <f t="shared" si="5"/>
        <v>ià</v>
      </c>
      <c r="X28" s="316" t="str">
        <f t="shared" si="5"/>
        <v>iā</v>
      </c>
      <c r="Y28" s="317" t="str">
        <f t="shared" si="5"/>
        <v>ia̍h</v>
      </c>
      <c r="AA28" s="304">
        <f t="shared" si="2"/>
        <v>2</v>
      </c>
      <c r="AB28" s="304">
        <f t="shared" si="3"/>
        <v>1</v>
      </c>
      <c r="AC28" s="304" t="str">
        <f t="shared" si="10"/>
        <v>a</v>
      </c>
      <c r="AD28" s="304" t="str">
        <f t="shared" si="10"/>
        <v>á</v>
      </c>
      <c r="AE28" s="304" t="str">
        <f t="shared" si="10"/>
        <v>à</v>
      </c>
      <c r="AF28" s="304" t="str">
        <f t="shared" si="10"/>
        <v>a</v>
      </c>
      <c r="AG28" s="304" t="str">
        <f t="shared" si="10"/>
        <v>â</v>
      </c>
      <c r="AH28" s="304" t="str">
        <f t="shared" si="10"/>
        <v>à</v>
      </c>
      <c r="AI28" s="304" t="str">
        <f t="shared" si="10"/>
        <v>ā</v>
      </c>
      <c r="AJ28" s="304" t="str">
        <f t="shared" si="10"/>
        <v>a̍</v>
      </c>
    </row>
    <row r="29" spans="13:39" ht="34">
      <c r="M29" s="307">
        <v>25</v>
      </c>
      <c r="N29" s="311" t="s">
        <v>388</v>
      </c>
      <c r="O29" s="315" t="str" cm="1">
        <f t="array" ref="O29">INDEX(韻母對照表, (($M29-1)*2 +1), $O$1)</f>
        <v>ue</v>
      </c>
      <c r="P29" s="315" t="str" cm="1">
        <f t="array" ref="P29">INDEX(韻母對照表, (($M29-1)*2 +2), $O$1)</f>
        <v>ueh</v>
      </c>
      <c r="Q29" s="311" t="s">
        <v>1619</v>
      </c>
      <c r="R29" s="316" t="str">
        <f t="shared" si="5"/>
        <v>ue</v>
      </c>
      <c r="S29" s="316" t="str">
        <f t="shared" si="5"/>
        <v>úe</v>
      </c>
      <c r="T29" s="316" t="str">
        <f t="shared" si="5"/>
        <v>ùe</v>
      </c>
      <c r="U29" s="317" t="str">
        <f t="shared" si="5"/>
        <v>ueh</v>
      </c>
      <c r="V29" s="316" t="str">
        <f t="shared" si="5"/>
        <v>ûe</v>
      </c>
      <c r="W29" s="316" t="str">
        <f t="shared" si="5"/>
        <v>ùe</v>
      </c>
      <c r="X29" s="316" t="str">
        <f t="shared" si="5"/>
        <v>ūe</v>
      </c>
      <c r="Y29" s="317" t="str">
        <f t="shared" si="5"/>
        <v>u̍eh</v>
      </c>
      <c r="AA29" s="304">
        <f t="shared" si="2"/>
        <v>1</v>
      </c>
      <c r="AB29" s="304">
        <f t="shared" si="3"/>
        <v>6</v>
      </c>
      <c r="AC29" s="304" t="str">
        <f t="shared" si="10"/>
        <v>u</v>
      </c>
      <c r="AD29" s="304" t="str">
        <f t="shared" si="10"/>
        <v>ú</v>
      </c>
      <c r="AE29" s="304" t="str">
        <f t="shared" si="10"/>
        <v>ù</v>
      </c>
      <c r="AF29" s="304" t="str">
        <f t="shared" si="10"/>
        <v>u</v>
      </c>
      <c r="AG29" s="304" t="str">
        <f t="shared" si="10"/>
        <v>û</v>
      </c>
      <c r="AH29" s="304" t="str">
        <f t="shared" si="10"/>
        <v>ù</v>
      </c>
      <c r="AI29" s="304" t="str">
        <f t="shared" si="10"/>
        <v>ū</v>
      </c>
      <c r="AJ29" s="304" t="str">
        <f t="shared" si="10"/>
        <v>u̍</v>
      </c>
    </row>
    <row r="30" spans="13:39" ht="34">
      <c r="M30" s="307">
        <v>26</v>
      </c>
      <c r="N30" s="311" t="s">
        <v>399</v>
      </c>
      <c r="O30" s="315" t="str" cm="1">
        <f t="array" ref="O30">INDEX(韻母對照表, (($M30-1)*2 +1), $O$1)</f>
        <v>ann</v>
      </c>
      <c r="P30" s="315" t="str" cm="1">
        <f t="array" ref="P30">INDEX(韻母對照表, (($M30-1)*2 +2), $O$1)</f>
        <v>annh</v>
      </c>
      <c r="Q30" s="311" t="s">
        <v>424</v>
      </c>
      <c r="R30" s="316" t="str">
        <f t="shared" si="5"/>
        <v>ann</v>
      </c>
      <c r="S30" s="316" t="str">
        <f t="shared" si="5"/>
        <v>ánn</v>
      </c>
      <c r="T30" s="316" t="str">
        <f t="shared" si="5"/>
        <v>ànn</v>
      </c>
      <c r="U30" s="317" t="str">
        <f t="shared" si="5"/>
        <v>annh</v>
      </c>
      <c r="V30" s="316" t="str">
        <f t="shared" si="5"/>
        <v>ânn</v>
      </c>
      <c r="W30" s="316" t="str">
        <f t="shared" si="5"/>
        <v>ànn</v>
      </c>
      <c r="X30" s="316" t="str">
        <f t="shared" si="5"/>
        <v>ānn</v>
      </c>
      <c r="Y30" s="317" t="str">
        <f t="shared" si="5"/>
        <v>a̍nnh</v>
      </c>
      <c r="AA30" s="304">
        <f t="shared" si="2"/>
        <v>1</v>
      </c>
      <c r="AB30" s="304">
        <f t="shared" si="3"/>
        <v>1</v>
      </c>
      <c r="AC30" s="304" t="str">
        <f t="shared" si="10"/>
        <v>a</v>
      </c>
      <c r="AD30" s="304" t="str">
        <f t="shared" si="10"/>
        <v>á</v>
      </c>
      <c r="AE30" s="304" t="str">
        <f t="shared" si="10"/>
        <v>à</v>
      </c>
      <c r="AF30" s="304" t="str">
        <f t="shared" si="10"/>
        <v>a</v>
      </c>
      <c r="AG30" s="304" t="str">
        <f t="shared" si="10"/>
        <v>â</v>
      </c>
      <c r="AH30" s="304" t="str">
        <f t="shared" si="10"/>
        <v>à</v>
      </c>
      <c r="AI30" s="304" t="str">
        <f t="shared" si="10"/>
        <v>ā</v>
      </c>
      <c r="AJ30" s="304" t="str">
        <f t="shared" si="10"/>
        <v>a̍</v>
      </c>
    </row>
    <row r="31" spans="13:39" ht="34">
      <c r="M31" s="307">
        <v>27</v>
      </c>
      <c r="N31" s="311" t="s">
        <v>414</v>
      </c>
      <c r="O31" s="315" t="str" cm="1">
        <f t="array" ref="O31">INDEX(韻母對照表, (($M31-1)*2 +1), $O$1)</f>
        <v>u</v>
      </c>
      <c r="P31" s="315" t="str" cm="1">
        <f t="array" ref="P31">INDEX(韻母對照表, (($M31-1)*2 +2), $O$1)</f>
        <v>uh</v>
      </c>
      <c r="Q31" s="311" t="s">
        <v>415</v>
      </c>
      <c r="R31" s="316" t="str">
        <f t="shared" si="5"/>
        <v>u</v>
      </c>
      <c r="S31" s="316" t="str">
        <f t="shared" si="5"/>
        <v>ú</v>
      </c>
      <c r="T31" s="316" t="str">
        <f t="shared" si="5"/>
        <v>ù</v>
      </c>
      <c r="U31" s="317" t="str">
        <f t="shared" si="5"/>
        <v>uh</v>
      </c>
      <c r="V31" s="316" t="str">
        <f t="shared" si="5"/>
        <v>û</v>
      </c>
      <c r="W31" s="316" t="str">
        <f t="shared" si="5"/>
        <v>ù</v>
      </c>
      <c r="X31" s="316" t="str">
        <f t="shared" si="5"/>
        <v>ū</v>
      </c>
      <c r="Y31" s="317" t="str">
        <f t="shared" si="5"/>
        <v>u̍h</v>
      </c>
      <c r="AA31" s="304">
        <f t="shared" si="2"/>
        <v>1</v>
      </c>
      <c r="AB31" s="304">
        <f t="shared" si="3"/>
        <v>6</v>
      </c>
      <c r="AC31" s="304" t="str">
        <f t="shared" si="10"/>
        <v>u</v>
      </c>
      <c r="AD31" s="304" t="str">
        <f t="shared" si="10"/>
        <v>ú</v>
      </c>
      <c r="AE31" s="304" t="str">
        <f t="shared" si="10"/>
        <v>ù</v>
      </c>
      <c r="AF31" s="304" t="str">
        <f t="shared" si="10"/>
        <v>u</v>
      </c>
      <c r="AG31" s="304" t="str">
        <f t="shared" si="10"/>
        <v>û</v>
      </c>
      <c r="AH31" s="304" t="str">
        <f t="shared" si="10"/>
        <v>ù</v>
      </c>
      <c r="AI31" s="304" t="str">
        <f t="shared" si="10"/>
        <v>ū</v>
      </c>
      <c r="AJ31" s="304" t="str">
        <f t="shared" si="10"/>
        <v>u̍</v>
      </c>
    </row>
    <row r="32" spans="13:39" ht="34">
      <c r="M32" s="307">
        <v>28</v>
      </c>
      <c r="N32" s="311" t="s">
        <v>398</v>
      </c>
      <c r="O32" s="315" t="str" cm="1">
        <f t="array" ref="O32">INDEX(韻母對照表, (($M32-1)*2 +1), $O$1)</f>
        <v>a</v>
      </c>
      <c r="P32" s="315" t="str" cm="1">
        <f t="array" ref="P32">INDEX(韻母對照表, (($M32-1)*2 +2), $O$1)</f>
        <v>ah</v>
      </c>
      <c r="Q32" s="311" t="s">
        <v>424</v>
      </c>
      <c r="R32" s="316" t="str">
        <f t="shared" si="5"/>
        <v>a</v>
      </c>
      <c r="S32" s="316" t="str">
        <f t="shared" si="5"/>
        <v>á</v>
      </c>
      <c r="T32" s="316" t="str">
        <f t="shared" si="5"/>
        <v>à</v>
      </c>
      <c r="U32" s="317" t="str">
        <f t="shared" si="5"/>
        <v>ah</v>
      </c>
      <c r="V32" s="316" t="str">
        <f t="shared" si="5"/>
        <v>â</v>
      </c>
      <c r="W32" s="316" t="str">
        <f t="shared" si="5"/>
        <v>à</v>
      </c>
      <c r="X32" s="316" t="str">
        <f t="shared" si="5"/>
        <v>ā</v>
      </c>
      <c r="Y32" s="317" t="str">
        <f t="shared" si="5"/>
        <v>a̍h</v>
      </c>
      <c r="AA32" s="304">
        <f t="shared" si="2"/>
        <v>1</v>
      </c>
      <c r="AB32" s="304">
        <f t="shared" si="3"/>
        <v>1</v>
      </c>
      <c r="AC32" s="304" t="str">
        <f t="shared" si="10"/>
        <v>a</v>
      </c>
      <c r="AD32" s="304" t="str">
        <f t="shared" si="10"/>
        <v>á</v>
      </c>
      <c r="AE32" s="304" t="str">
        <f t="shared" si="10"/>
        <v>à</v>
      </c>
      <c r="AF32" s="304" t="str">
        <f t="shared" si="10"/>
        <v>a</v>
      </c>
      <c r="AG32" s="304" t="str">
        <f t="shared" si="10"/>
        <v>â</v>
      </c>
      <c r="AH32" s="304" t="str">
        <f t="shared" si="10"/>
        <v>à</v>
      </c>
      <c r="AI32" s="304" t="str">
        <f t="shared" si="10"/>
        <v>ā</v>
      </c>
      <c r="AJ32" s="304" t="str">
        <f t="shared" si="10"/>
        <v>a̍</v>
      </c>
    </row>
    <row r="33" spans="13:36" ht="34">
      <c r="M33" s="307">
        <v>29</v>
      </c>
      <c r="N33" s="311" t="s">
        <v>431</v>
      </c>
      <c r="O33" s="315" t="str" cm="1">
        <f t="array" ref="O33">INDEX(韻母對照表, (($M33-1)*2 +1), $O$1)</f>
        <v>i</v>
      </c>
      <c r="P33" s="315" t="str" cm="1">
        <f t="array" ref="P33">INDEX(韻母對照表, (($M33-1)*2 +2), $O$1)</f>
        <v>ih</v>
      </c>
      <c r="Q33" s="311" t="s">
        <v>432</v>
      </c>
      <c r="R33" s="316" t="str">
        <f t="shared" si="5"/>
        <v>i</v>
      </c>
      <c r="S33" s="316" t="str">
        <f t="shared" si="5"/>
        <v>í</v>
      </c>
      <c r="T33" s="316" t="str">
        <f t="shared" si="5"/>
        <v>ì</v>
      </c>
      <c r="U33" s="317" t="str">
        <f t="shared" si="5"/>
        <v>ih</v>
      </c>
      <c r="V33" s="316" t="str">
        <f t="shared" si="5"/>
        <v>î</v>
      </c>
      <c r="W33" s="316" t="str">
        <f t="shared" si="5"/>
        <v>ì</v>
      </c>
      <c r="X33" s="316" t="str">
        <f t="shared" si="5"/>
        <v>ī</v>
      </c>
      <c r="Y33" s="317" t="str">
        <f t="shared" si="5"/>
        <v>i̍h</v>
      </c>
      <c r="AA33" s="304">
        <f t="shared" si="2"/>
        <v>1</v>
      </c>
      <c r="AB33" s="304">
        <f t="shared" si="3"/>
        <v>3</v>
      </c>
      <c r="AC33" s="304" t="str">
        <f t="shared" si="10"/>
        <v>i</v>
      </c>
      <c r="AD33" s="304" t="str">
        <f t="shared" si="10"/>
        <v>í</v>
      </c>
      <c r="AE33" s="304" t="str">
        <f t="shared" si="10"/>
        <v>ì</v>
      </c>
      <c r="AF33" s="304" t="str">
        <f t="shared" si="10"/>
        <v>i</v>
      </c>
      <c r="AG33" s="304" t="str">
        <f t="shared" si="10"/>
        <v>î</v>
      </c>
      <c r="AH33" s="304" t="str">
        <f t="shared" si="10"/>
        <v>ì</v>
      </c>
      <c r="AI33" s="304" t="str">
        <f t="shared" si="10"/>
        <v>ī</v>
      </c>
      <c r="AJ33" s="304" t="str">
        <f t="shared" si="10"/>
        <v>i̍</v>
      </c>
    </row>
    <row r="34" spans="13:36" ht="34">
      <c r="M34" s="307">
        <v>30</v>
      </c>
      <c r="N34" s="311" t="s">
        <v>438</v>
      </c>
      <c r="O34" s="315" t="str" cm="1">
        <f t="array" ref="O34">INDEX(韻母對照表, (($M34-1)*2 +1), $O$1)</f>
        <v>iu</v>
      </c>
      <c r="P34" s="315" t="str" cm="1">
        <f t="array" ref="P34">INDEX(韻母對照表, (($M34-1)*2 +2), $O$1)</f>
        <v>iuh</v>
      </c>
      <c r="Q34" s="311" t="s">
        <v>415</v>
      </c>
      <c r="R34" s="316" t="str">
        <f t="shared" si="5"/>
        <v>iu</v>
      </c>
      <c r="S34" s="316" t="str">
        <f t="shared" si="5"/>
        <v>iú</v>
      </c>
      <c r="T34" s="316" t="str">
        <f t="shared" si="5"/>
        <v>iù</v>
      </c>
      <c r="U34" s="317" t="str">
        <f t="shared" si="5"/>
        <v>iuh</v>
      </c>
      <c r="V34" s="316" t="str">
        <f t="shared" si="5"/>
        <v>iû</v>
      </c>
      <c r="W34" s="316" t="str">
        <f t="shared" si="5"/>
        <v>iù</v>
      </c>
      <c r="X34" s="316" t="str">
        <f t="shared" si="5"/>
        <v>iū</v>
      </c>
      <c r="Y34" s="317" t="str">
        <f t="shared" si="5"/>
        <v>iu̍h</v>
      </c>
      <c r="AA34" s="304">
        <f t="shared" si="2"/>
        <v>2</v>
      </c>
      <c r="AB34" s="304">
        <f t="shared" si="3"/>
        <v>6</v>
      </c>
      <c r="AC34" s="304" t="str">
        <f t="shared" si="10"/>
        <v>u</v>
      </c>
      <c r="AD34" s="304" t="str">
        <f t="shared" si="10"/>
        <v>ú</v>
      </c>
      <c r="AE34" s="304" t="str">
        <f t="shared" si="10"/>
        <v>ù</v>
      </c>
      <c r="AF34" s="304" t="str">
        <f t="shared" si="10"/>
        <v>u</v>
      </c>
      <c r="AG34" s="304" t="str">
        <f t="shared" si="10"/>
        <v>û</v>
      </c>
      <c r="AH34" s="304" t="str">
        <f t="shared" si="10"/>
        <v>ù</v>
      </c>
      <c r="AI34" s="304" t="str">
        <f t="shared" si="10"/>
        <v>ū</v>
      </c>
      <c r="AJ34" s="304" t="str">
        <f t="shared" si="10"/>
        <v>u̍</v>
      </c>
    </row>
    <row r="35" spans="13:36" ht="34">
      <c r="M35" s="307">
        <v>31</v>
      </c>
      <c r="N35" s="311" t="s">
        <v>448</v>
      </c>
      <c r="O35" s="315" t="str" cm="1">
        <f t="array" ref="O35">INDEX(韻母對照表, (($M35-1)*2 +1), $O$1)</f>
        <v>enn</v>
      </c>
      <c r="P35" s="315" t="str" cm="1">
        <f t="array" ref="P35">INDEX(韻母對照表, (($M35-1)*2 +2), $O$1)</f>
        <v>ennh</v>
      </c>
      <c r="Q35" s="311" t="s">
        <v>278</v>
      </c>
      <c r="R35" s="316" t="str">
        <f t="shared" si="5"/>
        <v>enn</v>
      </c>
      <c r="S35" s="316" t="str">
        <f t="shared" si="5"/>
        <v>énn</v>
      </c>
      <c r="T35" s="316" t="str">
        <f t="shared" si="5"/>
        <v>ènn</v>
      </c>
      <c r="U35" s="317" t="str">
        <f t="shared" si="5"/>
        <v>ennh</v>
      </c>
      <c r="V35" s="316" t="str">
        <f t="shared" si="5"/>
        <v>ênn</v>
      </c>
      <c r="W35" s="316" t="str">
        <f t="shared" si="5"/>
        <v>ènn</v>
      </c>
      <c r="X35" s="316" t="str">
        <f t="shared" si="5"/>
        <v>ēnn</v>
      </c>
      <c r="Y35" s="317" t="str">
        <f t="shared" si="5"/>
        <v>e̍nnh</v>
      </c>
      <c r="AA35" s="304">
        <f t="shared" si="2"/>
        <v>1</v>
      </c>
      <c r="AB35" s="304">
        <f t="shared" si="3"/>
        <v>2</v>
      </c>
      <c r="AC35" s="304" t="str">
        <f t="shared" ref="AC35:AJ44" si="11">INDEX($D$5:$K$12, $AB35, AC$4)</f>
        <v>e</v>
      </c>
      <c r="AD35" s="304" t="str">
        <f t="shared" si="11"/>
        <v>é</v>
      </c>
      <c r="AE35" s="304" t="str">
        <f t="shared" si="11"/>
        <v>è</v>
      </c>
      <c r="AF35" s="304" t="str">
        <f t="shared" si="11"/>
        <v>e</v>
      </c>
      <c r="AG35" s="304" t="str">
        <f t="shared" si="11"/>
        <v>ê</v>
      </c>
      <c r="AH35" s="304" t="str">
        <f t="shared" si="11"/>
        <v>è</v>
      </c>
      <c r="AI35" s="304" t="str">
        <f t="shared" si="11"/>
        <v>ē</v>
      </c>
      <c r="AJ35" s="304" t="str">
        <f t="shared" si="11"/>
        <v>e̍</v>
      </c>
    </row>
    <row r="36" spans="13:36" ht="34">
      <c r="M36" s="307">
        <v>32</v>
      </c>
      <c r="N36" s="311" t="s">
        <v>464</v>
      </c>
      <c r="O36" s="315" t="str" cm="1">
        <f t="array" ref="O36">INDEX(韻母對照表, (($M36-1)*2 +1), $O$1)</f>
        <v>uinn</v>
      </c>
      <c r="P36" s="315" t="str" cm="1">
        <f t="array" ref="P36">INDEX(韻母對照表, (($M36-1)*2 +2), $O$1)</f>
        <v>uinnh</v>
      </c>
      <c r="Q36" s="311" t="s">
        <v>415</v>
      </c>
      <c r="R36" s="316" t="str">
        <f t="shared" si="5"/>
        <v>uinn</v>
      </c>
      <c r="S36" s="316" t="str">
        <f t="shared" si="5"/>
        <v>úinn</v>
      </c>
      <c r="T36" s="316" t="str">
        <f t="shared" si="5"/>
        <v>ùinn</v>
      </c>
      <c r="U36" s="317" t="str">
        <f t="shared" si="5"/>
        <v>uinnh</v>
      </c>
      <c r="V36" s="316" t="str">
        <f t="shared" si="5"/>
        <v>ûinn</v>
      </c>
      <c r="W36" s="316" t="str">
        <f t="shared" si="5"/>
        <v>ùinn</v>
      </c>
      <c r="X36" s="316" t="str">
        <f t="shared" si="5"/>
        <v>ūinn</v>
      </c>
      <c r="Y36" s="317" t="str">
        <f t="shared" si="5"/>
        <v>u̍innh</v>
      </c>
      <c r="AA36" s="304">
        <f t="shared" si="2"/>
        <v>1</v>
      </c>
      <c r="AB36" s="304">
        <f t="shared" si="3"/>
        <v>6</v>
      </c>
      <c r="AC36" s="304" t="str">
        <f t="shared" si="11"/>
        <v>u</v>
      </c>
      <c r="AD36" s="304" t="str">
        <f t="shared" si="11"/>
        <v>ú</v>
      </c>
      <c r="AE36" s="304" t="str">
        <f t="shared" si="11"/>
        <v>ù</v>
      </c>
      <c r="AF36" s="304" t="str">
        <f t="shared" si="11"/>
        <v>u</v>
      </c>
      <c r="AG36" s="304" t="str">
        <f t="shared" si="11"/>
        <v>û</v>
      </c>
      <c r="AH36" s="304" t="str">
        <f t="shared" si="11"/>
        <v>ù</v>
      </c>
      <c r="AI36" s="304" t="str">
        <f t="shared" si="11"/>
        <v>ū</v>
      </c>
      <c r="AJ36" s="304" t="str">
        <f t="shared" si="11"/>
        <v>u̍</v>
      </c>
    </row>
    <row r="37" spans="13:36" ht="34">
      <c r="M37" s="307">
        <v>33</v>
      </c>
      <c r="N37" s="311" t="s">
        <v>479</v>
      </c>
      <c r="O37" s="315" t="str" cm="1">
        <f t="array" ref="O37">INDEX(韻母對照表, (($M37-1)*2 +1), $O$1)</f>
        <v>io</v>
      </c>
      <c r="P37" s="315" t="str" cm="1">
        <f t="array" ref="P37">INDEX(韻母對照表, (($M37-1)*2 +2), $O$1)</f>
        <v>ioh</v>
      </c>
      <c r="Q37" s="311" t="s">
        <v>299</v>
      </c>
      <c r="R37" s="316" t="str">
        <f t="shared" si="5"/>
        <v>io</v>
      </c>
      <c r="S37" s="316" t="str">
        <f t="shared" si="5"/>
        <v>ió</v>
      </c>
      <c r="T37" s="316" t="str">
        <f t="shared" si="5"/>
        <v>iò</v>
      </c>
      <c r="U37" s="317" t="str">
        <f t="shared" si="5"/>
        <v>ioh</v>
      </c>
      <c r="V37" s="316" t="str">
        <f t="shared" si="5"/>
        <v>iô</v>
      </c>
      <c r="W37" s="316" t="str">
        <f t="shared" si="5"/>
        <v>iò</v>
      </c>
      <c r="X37" s="316" t="str">
        <f t="shared" si="5"/>
        <v>iō</v>
      </c>
      <c r="Y37" s="317" t="str">
        <f t="shared" si="5"/>
        <v>io̍h</v>
      </c>
      <c r="AA37" s="304">
        <f t="shared" si="2"/>
        <v>2</v>
      </c>
      <c r="AB37" s="304">
        <f t="shared" ref="AB37:AB54" si="12">MATCH(Q37, $C$5:$C$12, 0)</f>
        <v>4</v>
      </c>
      <c r="AC37" s="304" t="str">
        <f t="shared" si="11"/>
        <v>o</v>
      </c>
      <c r="AD37" s="304" t="str">
        <f t="shared" si="11"/>
        <v>ó</v>
      </c>
      <c r="AE37" s="304" t="str">
        <f t="shared" si="11"/>
        <v>ò</v>
      </c>
      <c r="AF37" s="304" t="str">
        <f t="shared" si="11"/>
        <v>o</v>
      </c>
      <c r="AG37" s="304" t="str">
        <f t="shared" si="11"/>
        <v>ô</v>
      </c>
      <c r="AH37" s="304" t="str">
        <f t="shared" si="11"/>
        <v>ò</v>
      </c>
      <c r="AI37" s="304" t="str">
        <f t="shared" si="11"/>
        <v>ō</v>
      </c>
      <c r="AJ37" s="304" t="str">
        <f t="shared" si="11"/>
        <v>o̍</v>
      </c>
    </row>
    <row r="38" spans="13:36" ht="34">
      <c r="M38" s="307">
        <v>34</v>
      </c>
      <c r="N38" s="311" t="s">
        <v>489</v>
      </c>
      <c r="O38" s="315" t="str" cm="1">
        <f t="array" ref="O38">INDEX(韻母對照表, (($M38-1)*2 +1), $O$1)</f>
        <v>inn</v>
      </c>
      <c r="P38" s="315" t="str" cm="1">
        <f t="array" ref="P38">INDEX(韻母對照表, (($M38-1)*2 +2), $O$1)</f>
        <v>innh</v>
      </c>
      <c r="Q38" s="311" t="s">
        <v>432</v>
      </c>
      <c r="R38" s="316" t="str">
        <f t="shared" ref="R38:Y54" si="13" xml:space="preserve"> IF(AND(R$4&lt;&gt;4,R$4&lt;&gt;8),  SUBSTITUTE($O38, $Q38,  INDEX($AC38:$AJ38, 1, R$4)),  SUBSTITUTE($P38, $Q38,  INDEX($AC38:$AJ38, 1, R$4)))</f>
        <v>inn</v>
      </c>
      <c r="S38" s="316" t="str">
        <f t="shared" si="13"/>
        <v>ínn</v>
      </c>
      <c r="T38" s="316" t="str">
        <f t="shared" si="13"/>
        <v>ìnn</v>
      </c>
      <c r="U38" s="317" t="str">
        <f t="shared" si="13"/>
        <v>innh</v>
      </c>
      <c r="V38" s="316" t="str">
        <f t="shared" si="13"/>
        <v>înn</v>
      </c>
      <c r="W38" s="316" t="str">
        <f t="shared" si="13"/>
        <v>ìnn</v>
      </c>
      <c r="X38" s="316" t="str">
        <f t="shared" si="13"/>
        <v>īnn</v>
      </c>
      <c r="Y38" s="317" t="str">
        <f t="shared" si="13"/>
        <v>i̍nnh</v>
      </c>
      <c r="AA38" s="304">
        <f t="shared" si="2"/>
        <v>1</v>
      </c>
      <c r="AB38" s="304">
        <f t="shared" si="12"/>
        <v>3</v>
      </c>
      <c r="AC38" s="304" t="str">
        <f t="shared" si="11"/>
        <v>i</v>
      </c>
      <c r="AD38" s="304" t="str">
        <f t="shared" si="11"/>
        <v>í</v>
      </c>
      <c r="AE38" s="304" t="str">
        <f t="shared" si="11"/>
        <v>ì</v>
      </c>
      <c r="AF38" s="304" t="str">
        <f t="shared" si="11"/>
        <v>i</v>
      </c>
      <c r="AG38" s="304" t="str">
        <f t="shared" si="11"/>
        <v>î</v>
      </c>
      <c r="AH38" s="304" t="str">
        <f t="shared" si="11"/>
        <v>ì</v>
      </c>
      <c r="AI38" s="304" t="str">
        <f t="shared" si="11"/>
        <v>ī</v>
      </c>
      <c r="AJ38" s="304" t="str">
        <f t="shared" si="11"/>
        <v>i̍</v>
      </c>
    </row>
    <row r="39" spans="13:36" ht="34">
      <c r="M39" s="307">
        <v>35</v>
      </c>
      <c r="N39" s="311" t="s">
        <v>1991</v>
      </c>
      <c r="O39" s="315" t="str" cm="1">
        <f t="array" ref="O39">INDEX(韻母對照表, (($M39-1)*2 +1), $O$1)</f>
        <v>ionn</v>
      </c>
      <c r="P39" s="315" t="str" cm="1">
        <f t="array" ref="P39">INDEX(韻母對照表, (($M39-1)*2 +2), $O$1)</f>
        <v>ionnh</v>
      </c>
      <c r="Q39" s="311" t="s">
        <v>299</v>
      </c>
      <c r="R39" s="316" t="str">
        <f t="shared" si="13"/>
        <v>ionn</v>
      </c>
      <c r="S39" s="316" t="str">
        <f t="shared" si="13"/>
        <v>iónn</v>
      </c>
      <c r="T39" s="316" t="str">
        <f t="shared" si="13"/>
        <v>iònn</v>
      </c>
      <c r="U39" s="317" t="str">
        <f t="shared" si="13"/>
        <v>ionnh</v>
      </c>
      <c r="V39" s="316" t="str">
        <f t="shared" si="13"/>
        <v>iônn</v>
      </c>
      <c r="W39" s="316" t="str">
        <f t="shared" si="13"/>
        <v>iònn</v>
      </c>
      <c r="X39" s="316" t="str">
        <f t="shared" si="13"/>
        <v>iōnn</v>
      </c>
      <c r="Y39" s="317" t="str">
        <f t="shared" si="13"/>
        <v>io̍nnh</v>
      </c>
      <c r="AA39" s="304">
        <f t="shared" si="2"/>
        <v>2</v>
      </c>
      <c r="AB39" s="304">
        <f t="shared" si="12"/>
        <v>4</v>
      </c>
      <c r="AC39" s="304" t="str">
        <f t="shared" si="11"/>
        <v>o</v>
      </c>
      <c r="AD39" s="304" t="str">
        <f t="shared" si="11"/>
        <v>ó</v>
      </c>
      <c r="AE39" s="304" t="str">
        <f t="shared" si="11"/>
        <v>ò</v>
      </c>
      <c r="AF39" s="304" t="str">
        <f t="shared" si="11"/>
        <v>o</v>
      </c>
      <c r="AG39" s="304" t="str">
        <f t="shared" si="11"/>
        <v>ô</v>
      </c>
      <c r="AH39" s="304" t="str">
        <f t="shared" si="11"/>
        <v>ò</v>
      </c>
      <c r="AI39" s="304" t="str">
        <f t="shared" si="11"/>
        <v>ō</v>
      </c>
      <c r="AJ39" s="304" t="str">
        <f t="shared" si="11"/>
        <v>o̍</v>
      </c>
    </row>
    <row r="40" spans="13:36" ht="34">
      <c r="M40" s="307">
        <v>36</v>
      </c>
      <c r="N40" s="311" t="s">
        <v>518</v>
      </c>
      <c r="O40" s="315" t="str" cm="1">
        <f t="array" ref="O40">INDEX(韻母對照表, (($M40-1)*2 +1), $O$1)</f>
        <v>iann</v>
      </c>
      <c r="P40" s="315" t="str" cm="1">
        <f t="array" ref="P40">INDEX(韻母對照表, (($M40-1)*2 +2), $O$1)</f>
        <v>iannh</v>
      </c>
      <c r="Q40" s="311" t="s">
        <v>424</v>
      </c>
      <c r="R40" s="316" t="str">
        <f t="shared" si="13"/>
        <v>iann</v>
      </c>
      <c r="S40" s="316" t="str">
        <f t="shared" si="13"/>
        <v>iánn</v>
      </c>
      <c r="T40" s="316" t="str">
        <f t="shared" si="13"/>
        <v>iànn</v>
      </c>
      <c r="U40" s="317" t="str">
        <f t="shared" si="13"/>
        <v>iannh</v>
      </c>
      <c r="V40" s="316" t="str">
        <f t="shared" si="13"/>
        <v>iânn</v>
      </c>
      <c r="W40" s="316" t="str">
        <f t="shared" si="13"/>
        <v>iànn</v>
      </c>
      <c r="X40" s="316" t="str">
        <f t="shared" si="13"/>
        <v>iānn</v>
      </c>
      <c r="Y40" s="317" t="str">
        <f t="shared" si="13"/>
        <v>ia̍nnh</v>
      </c>
      <c r="AA40" s="304">
        <f t="shared" si="2"/>
        <v>2</v>
      </c>
      <c r="AB40" s="304">
        <f t="shared" si="12"/>
        <v>1</v>
      </c>
      <c r="AC40" s="304" t="str">
        <f t="shared" si="11"/>
        <v>a</v>
      </c>
      <c r="AD40" s="304" t="str">
        <f t="shared" si="11"/>
        <v>á</v>
      </c>
      <c r="AE40" s="304" t="str">
        <f t="shared" si="11"/>
        <v>à</v>
      </c>
      <c r="AF40" s="304" t="str">
        <f t="shared" si="11"/>
        <v>a</v>
      </c>
      <c r="AG40" s="304" t="str">
        <f t="shared" si="11"/>
        <v>â</v>
      </c>
      <c r="AH40" s="304" t="str">
        <f t="shared" si="11"/>
        <v>à</v>
      </c>
      <c r="AI40" s="304" t="str">
        <f t="shared" si="11"/>
        <v>ā</v>
      </c>
      <c r="AJ40" s="304" t="str">
        <f t="shared" si="11"/>
        <v>a̍</v>
      </c>
    </row>
    <row r="41" spans="13:36" ht="34">
      <c r="M41" s="307">
        <v>37</v>
      </c>
      <c r="N41" s="311" t="s">
        <v>463</v>
      </c>
      <c r="O41" s="315" t="str" cm="1">
        <f t="array" ref="O41">INDEX(韻母對照表, (($M41-1)*2 +1), $O$1)</f>
        <v>uann</v>
      </c>
      <c r="P41" s="315" t="str" cm="1">
        <f t="array" ref="P41">INDEX(韻母對照表, (($M41-1)*2 +2), $O$1)</f>
        <v>uannh</v>
      </c>
      <c r="Q41" s="311" t="s">
        <v>1619</v>
      </c>
      <c r="R41" s="316" t="str">
        <f t="shared" si="13"/>
        <v>uann</v>
      </c>
      <c r="S41" s="316" t="str">
        <f t="shared" si="13"/>
        <v>úann</v>
      </c>
      <c r="T41" s="316" t="str">
        <f t="shared" si="13"/>
        <v>ùann</v>
      </c>
      <c r="U41" s="317" t="str">
        <f t="shared" si="13"/>
        <v>uannh</v>
      </c>
      <c r="V41" s="316" t="str">
        <f t="shared" si="13"/>
        <v>ûann</v>
      </c>
      <c r="W41" s="316" t="str">
        <f t="shared" si="13"/>
        <v>ùann</v>
      </c>
      <c r="X41" s="316" t="str">
        <f t="shared" si="13"/>
        <v>ūann</v>
      </c>
      <c r="Y41" s="317" t="str">
        <f t="shared" si="13"/>
        <v>u̍annh</v>
      </c>
      <c r="AA41" s="304">
        <f t="shared" si="2"/>
        <v>1</v>
      </c>
      <c r="AB41" s="304">
        <f t="shared" si="12"/>
        <v>6</v>
      </c>
      <c r="AC41" s="304" t="str">
        <f t="shared" si="11"/>
        <v>u</v>
      </c>
      <c r="AD41" s="304" t="str">
        <f t="shared" si="11"/>
        <v>ú</v>
      </c>
      <c r="AE41" s="304" t="str">
        <f t="shared" si="11"/>
        <v>ù</v>
      </c>
      <c r="AF41" s="304" t="str">
        <f t="shared" si="11"/>
        <v>u</v>
      </c>
      <c r="AG41" s="304" t="str">
        <f t="shared" si="11"/>
        <v>û</v>
      </c>
      <c r="AH41" s="304" t="str">
        <f t="shared" si="11"/>
        <v>ù</v>
      </c>
      <c r="AI41" s="304" t="str">
        <f t="shared" si="11"/>
        <v>ū</v>
      </c>
      <c r="AJ41" s="304" t="str">
        <f t="shared" si="11"/>
        <v>u̍</v>
      </c>
    </row>
    <row r="42" spans="13:36" ht="34">
      <c r="M42" s="307">
        <v>38</v>
      </c>
      <c r="N42" s="311" t="s">
        <v>488</v>
      </c>
      <c r="O42" s="315" t="str" cm="1">
        <f t="array" ref="O42">INDEX(韻母對照表, (($M42-1)*2 +1), $O$1)</f>
        <v>ng</v>
      </c>
      <c r="P42" s="315" t="str" cm="1">
        <f t="array" ref="P42">INDEX(韻母對照表, (($M42-1)*2 +2), $O$1)</f>
        <v>ngh</v>
      </c>
      <c r="Q42" s="311" t="s">
        <v>79</v>
      </c>
      <c r="R42" s="316" t="str">
        <f t="shared" si="13"/>
        <v>ng</v>
      </c>
      <c r="S42" s="316" t="str">
        <f t="shared" si="13"/>
        <v>ńg</v>
      </c>
      <c r="T42" s="316" t="str">
        <f t="shared" si="13"/>
        <v xml:space="preserve">ǹ </v>
      </c>
      <c r="U42" s="317" t="str">
        <f t="shared" si="13"/>
        <v>ngh</v>
      </c>
      <c r="V42" s="316" t="str">
        <f t="shared" si="13"/>
        <v>n̂gh</v>
      </c>
      <c r="W42" s="316" t="str">
        <f t="shared" si="13"/>
        <v>0</v>
      </c>
      <c r="X42" s="316" t="str">
        <f t="shared" si="13"/>
        <v>n̄g</v>
      </c>
      <c r="Y42" s="317" t="str">
        <f t="shared" si="13"/>
        <v>n̍gh</v>
      </c>
      <c r="AA42" s="304">
        <f t="shared" si="2"/>
        <v>1</v>
      </c>
      <c r="AB42" s="304">
        <f t="shared" si="12"/>
        <v>8</v>
      </c>
      <c r="AC42" s="304" t="str">
        <f t="shared" si="11"/>
        <v>ng</v>
      </c>
      <c r="AD42" s="304" t="str">
        <f t="shared" si="11"/>
        <v>ńg</v>
      </c>
      <c r="AE42" s="304" t="str">
        <f t="shared" si="11"/>
        <v xml:space="preserve">ǹ </v>
      </c>
      <c r="AF42" s="304" t="str">
        <f t="shared" si="11"/>
        <v>ng</v>
      </c>
      <c r="AG42" s="304" t="str">
        <f t="shared" si="11"/>
        <v>n̂gh</v>
      </c>
      <c r="AH42" s="304">
        <f t="shared" si="11"/>
        <v>0</v>
      </c>
      <c r="AI42" s="304" t="str">
        <f t="shared" si="11"/>
        <v>n̄g</v>
      </c>
      <c r="AJ42" s="304" t="str">
        <f t="shared" si="11"/>
        <v>n̍g</v>
      </c>
    </row>
    <row r="43" spans="13:36" ht="34">
      <c r="M43" s="307">
        <v>39</v>
      </c>
      <c r="N43" s="311" t="s">
        <v>553</v>
      </c>
      <c r="O43" s="315" t="str" cm="1">
        <f t="array" ref="O43">INDEX(韻母對照表, (($M43-1)*2 +1), $O$1)</f>
        <v>e</v>
      </c>
      <c r="P43" s="315" t="str" cm="1">
        <f t="array" ref="P43">INDEX(韻母對照表, (($M43-1)*2 +2), $O$1)</f>
        <v>eh</v>
      </c>
      <c r="Q43" s="311" t="s">
        <v>278</v>
      </c>
      <c r="R43" s="316" t="str">
        <f t="shared" si="13"/>
        <v>e</v>
      </c>
      <c r="S43" s="316" t="str">
        <f t="shared" si="13"/>
        <v>é</v>
      </c>
      <c r="T43" s="316" t="str">
        <f t="shared" si="13"/>
        <v>è</v>
      </c>
      <c r="U43" s="317" t="str">
        <f t="shared" si="13"/>
        <v>eh</v>
      </c>
      <c r="V43" s="316" t="str">
        <f t="shared" si="13"/>
        <v>ê</v>
      </c>
      <c r="W43" s="316" t="str">
        <f t="shared" si="13"/>
        <v>è</v>
      </c>
      <c r="X43" s="316" t="str">
        <f t="shared" si="13"/>
        <v>ē</v>
      </c>
      <c r="Y43" s="317" t="str">
        <f t="shared" si="13"/>
        <v>e̍h</v>
      </c>
      <c r="AA43" s="304">
        <f t="shared" si="2"/>
        <v>1</v>
      </c>
      <c r="AB43" s="304">
        <f t="shared" si="12"/>
        <v>2</v>
      </c>
      <c r="AC43" s="304" t="str">
        <f t="shared" si="11"/>
        <v>e</v>
      </c>
      <c r="AD43" s="304" t="str">
        <f t="shared" si="11"/>
        <v>é</v>
      </c>
      <c r="AE43" s="304" t="str">
        <f t="shared" si="11"/>
        <v>è</v>
      </c>
      <c r="AF43" s="304" t="str">
        <f t="shared" si="11"/>
        <v>e</v>
      </c>
      <c r="AG43" s="304" t="str">
        <f t="shared" si="11"/>
        <v>ê</v>
      </c>
      <c r="AH43" s="304" t="str">
        <f t="shared" si="11"/>
        <v>è</v>
      </c>
      <c r="AI43" s="304" t="str">
        <f t="shared" si="11"/>
        <v>ē</v>
      </c>
      <c r="AJ43" s="304" t="str">
        <f t="shared" si="11"/>
        <v>e̍</v>
      </c>
    </row>
    <row r="44" spans="13:36" ht="34">
      <c r="M44" s="307">
        <v>40</v>
      </c>
      <c r="N44" s="311" t="s">
        <v>705</v>
      </c>
      <c r="O44" s="315" t="str" cm="1">
        <f t="array" ref="O44">INDEX(韻母對照表, (($M44-1)*2 +1), $O$1)</f>
        <v>ainn</v>
      </c>
      <c r="P44" s="315" t="str" cm="1">
        <f t="array" ref="P44">INDEX(韻母對照表, (($M44-1)*2 +2), $O$1)</f>
        <v>ainnh</v>
      </c>
      <c r="Q44" s="311" t="s">
        <v>424</v>
      </c>
      <c r="R44" s="316" t="str">
        <f t="shared" si="13"/>
        <v>ainn</v>
      </c>
      <c r="S44" s="316" t="str">
        <f t="shared" si="13"/>
        <v>áinn</v>
      </c>
      <c r="T44" s="316" t="str">
        <f t="shared" si="13"/>
        <v>àinn</v>
      </c>
      <c r="U44" s="317" t="str">
        <f t="shared" si="13"/>
        <v>ainnh</v>
      </c>
      <c r="V44" s="316" t="str">
        <f t="shared" si="13"/>
        <v>âinn</v>
      </c>
      <c r="W44" s="316" t="str">
        <f t="shared" si="13"/>
        <v>àinn</v>
      </c>
      <c r="X44" s="316" t="str">
        <f t="shared" si="13"/>
        <v>āinn</v>
      </c>
      <c r="Y44" s="317" t="str">
        <f t="shared" si="13"/>
        <v>a̍innh</v>
      </c>
      <c r="AA44" s="304">
        <f t="shared" si="2"/>
        <v>1</v>
      </c>
      <c r="AB44" s="304">
        <f t="shared" si="12"/>
        <v>1</v>
      </c>
      <c r="AC44" s="304" t="str">
        <f t="shared" si="11"/>
        <v>a</v>
      </c>
      <c r="AD44" s="304" t="str">
        <f t="shared" si="11"/>
        <v>á</v>
      </c>
      <c r="AE44" s="304" t="str">
        <f t="shared" si="11"/>
        <v>à</v>
      </c>
      <c r="AF44" s="304" t="str">
        <f t="shared" si="11"/>
        <v>a</v>
      </c>
      <c r="AG44" s="304" t="str">
        <f t="shared" si="11"/>
        <v>â</v>
      </c>
      <c r="AH44" s="304" t="str">
        <f t="shared" si="11"/>
        <v>à</v>
      </c>
      <c r="AI44" s="304" t="str">
        <f t="shared" si="11"/>
        <v>ā</v>
      </c>
      <c r="AJ44" s="304" t="str">
        <f t="shared" si="11"/>
        <v>a̍</v>
      </c>
    </row>
    <row r="45" spans="13:36" ht="34">
      <c r="M45" s="307">
        <v>41</v>
      </c>
      <c r="N45" s="311" t="s">
        <v>572</v>
      </c>
      <c r="O45" s="315" t="str" cm="1">
        <f t="array" ref="O45">INDEX(韻母對照表, (($M45-1)*2 +1), $O$1)</f>
        <v>onn</v>
      </c>
      <c r="P45" s="315" t="str" cm="1">
        <f t="array" ref="P45">INDEX(韻母對照表, (($M45-1)*2 +2), $O$1)</f>
        <v>onnh</v>
      </c>
      <c r="Q45" s="311" t="s">
        <v>299</v>
      </c>
      <c r="R45" s="316" t="str">
        <f t="shared" si="13"/>
        <v>onn</v>
      </c>
      <c r="S45" s="316" t="str">
        <f t="shared" si="13"/>
        <v>ónn</v>
      </c>
      <c r="T45" s="316" t="str">
        <f t="shared" si="13"/>
        <v>ònn</v>
      </c>
      <c r="U45" s="317" t="str">
        <f t="shared" si="13"/>
        <v>onnh</v>
      </c>
      <c r="V45" s="316" t="str">
        <f t="shared" si="13"/>
        <v>ônn</v>
      </c>
      <c r="W45" s="316" t="str">
        <f t="shared" si="13"/>
        <v>ònn</v>
      </c>
      <c r="X45" s="316" t="str">
        <f t="shared" si="13"/>
        <v>ōnn</v>
      </c>
      <c r="Y45" s="317" t="str">
        <f t="shared" si="13"/>
        <v>o̍nnh</v>
      </c>
      <c r="AA45" s="304">
        <f t="shared" si="2"/>
        <v>1</v>
      </c>
      <c r="AB45" s="304">
        <f t="shared" si="12"/>
        <v>4</v>
      </c>
      <c r="AC45" s="304" t="str">
        <f t="shared" ref="AC45:AJ54" si="14">INDEX($D$5:$K$12, $AB45, AC$4)</f>
        <v>o</v>
      </c>
      <c r="AD45" s="304" t="str">
        <f t="shared" si="14"/>
        <v>ó</v>
      </c>
      <c r="AE45" s="304" t="str">
        <f t="shared" si="14"/>
        <v>ò</v>
      </c>
      <c r="AF45" s="304" t="str">
        <f t="shared" si="14"/>
        <v>o</v>
      </c>
      <c r="AG45" s="304" t="str">
        <f t="shared" si="14"/>
        <v>ô</v>
      </c>
      <c r="AH45" s="304" t="str">
        <f t="shared" si="14"/>
        <v>ò</v>
      </c>
      <c r="AI45" s="304" t="str">
        <f t="shared" si="14"/>
        <v>ō</v>
      </c>
      <c r="AJ45" s="304" t="str">
        <f t="shared" si="14"/>
        <v>o̍</v>
      </c>
    </row>
    <row r="46" spans="13:36" ht="34">
      <c r="M46" s="307">
        <v>42</v>
      </c>
      <c r="N46" s="311" t="s">
        <v>544</v>
      </c>
      <c r="O46" s="315" t="str" cm="1">
        <f t="array" ref="O46">INDEX(韻母對照表, (($M46-1)*2 +1), $O$1)</f>
        <v>m</v>
      </c>
      <c r="P46" s="315" t="str" cm="1">
        <f t="array" ref="P46">INDEX(韻母對照表, (($M46-1)*2 +2), $O$1)</f>
        <v>mh</v>
      </c>
      <c r="Q46" s="311" t="s">
        <v>64</v>
      </c>
      <c r="R46" s="316" t="str">
        <f t="shared" si="13"/>
        <v>m</v>
      </c>
      <c r="S46" s="316" t="str">
        <f t="shared" si="13"/>
        <v xml:space="preserve"> ḿ</v>
      </c>
      <c r="T46" s="316" t="str">
        <f t="shared" si="13"/>
        <v>m̀</v>
      </c>
      <c r="U46" s="317" t="str">
        <f t="shared" si="13"/>
        <v>mh</v>
      </c>
      <c r="V46" s="316" t="str">
        <f t="shared" si="13"/>
        <v>m̂</v>
      </c>
      <c r="W46" s="316" t="str">
        <f t="shared" si="13"/>
        <v>m̀</v>
      </c>
      <c r="X46" s="316" t="str">
        <f t="shared" si="13"/>
        <v>m̄</v>
      </c>
      <c r="Y46" s="317" t="str">
        <f t="shared" si="13"/>
        <v>m̍h</v>
      </c>
      <c r="AA46" s="304">
        <f t="shared" si="2"/>
        <v>1</v>
      </c>
      <c r="AB46" s="304">
        <f t="shared" si="12"/>
        <v>7</v>
      </c>
      <c r="AC46" s="304" t="str">
        <f t="shared" si="14"/>
        <v>m</v>
      </c>
      <c r="AD46" s="304" t="str">
        <f t="shared" si="14"/>
        <v xml:space="preserve"> ḿ</v>
      </c>
      <c r="AE46" s="304" t="str">
        <f t="shared" si="14"/>
        <v>m̀</v>
      </c>
      <c r="AF46" s="304" t="str">
        <f t="shared" si="14"/>
        <v>m</v>
      </c>
      <c r="AG46" s="304" t="str">
        <f t="shared" si="14"/>
        <v>m̂</v>
      </c>
      <c r="AH46" s="304" t="str">
        <f t="shared" si="14"/>
        <v>m̀</v>
      </c>
      <c r="AI46" s="304" t="str">
        <f t="shared" si="14"/>
        <v>m̄</v>
      </c>
      <c r="AJ46" s="304" t="str">
        <f t="shared" si="14"/>
        <v>m̍</v>
      </c>
    </row>
    <row r="47" spans="13:36" ht="34">
      <c r="M47" s="307">
        <v>43</v>
      </c>
      <c r="N47" s="311" t="s">
        <v>597</v>
      </c>
      <c r="O47" s="315" t="str" cm="1">
        <f t="array" ref="O47">INDEX(韻母對照表, (($M47-1)*2 +1), $O$1)</f>
        <v>uang</v>
      </c>
      <c r="P47" s="315" t="str" cm="1">
        <f t="array" ref="P47">INDEX(韻母對照表, (($M47-1)*2 +2), $O$1)</f>
        <v>uak</v>
      </c>
      <c r="Q47" s="311" t="s">
        <v>424</v>
      </c>
      <c r="R47" s="316" t="str">
        <f t="shared" si="13"/>
        <v>uang</v>
      </c>
      <c r="S47" s="316" t="str">
        <f t="shared" si="13"/>
        <v>uáng</v>
      </c>
      <c r="T47" s="316" t="str">
        <f t="shared" si="13"/>
        <v>uàng</v>
      </c>
      <c r="U47" s="317" t="str">
        <f t="shared" si="13"/>
        <v>uak</v>
      </c>
      <c r="V47" s="316" t="str">
        <f t="shared" si="13"/>
        <v>uâng</v>
      </c>
      <c r="W47" s="316" t="str">
        <f t="shared" si="13"/>
        <v>uàng</v>
      </c>
      <c r="X47" s="316" t="str">
        <f t="shared" si="13"/>
        <v>uāng</v>
      </c>
      <c r="Y47" s="317" t="str">
        <f t="shared" si="13"/>
        <v>ua̍k</v>
      </c>
      <c r="AA47" s="304">
        <f t="shared" si="2"/>
        <v>2</v>
      </c>
      <c r="AB47" s="304">
        <f t="shared" si="12"/>
        <v>1</v>
      </c>
      <c r="AC47" s="304" t="str">
        <f t="shared" si="14"/>
        <v>a</v>
      </c>
      <c r="AD47" s="304" t="str">
        <f t="shared" si="14"/>
        <v>á</v>
      </c>
      <c r="AE47" s="304" t="str">
        <f t="shared" si="14"/>
        <v>à</v>
      </c>
      <c r="AF47" s="304" t="str">
        <f t="shared" si="14"/>
        <v>a</v>
      </c>
      <c r="AG47" s="304" t="str">
        <f t="shared" si="14"/>
        <v>â</v>
      </c>
      <c r="AH47" s="304" t="str">
        <f t="shared" si="14"/>
        <v>à</v>
      </c>
      <c r="AI47" s="304" t="str">
        <f t="shared" si="14"/>
        <v>ā</v>
      </c>
      <c r="AJ47" s="304" t="str">
        <f t="shared" si="14"/>
        <v>a̍</v>
      </c>
    </row>
    <row r="48" spans="13:36" ht="34">
      <c r="M48" s="307">
        <v>44</v>
      </c>
      <c r="N48" s="311" t="s">
        <v>558</v>
      </c>
      <c r="O48" s="315" t="str" cm="1">
        <f t="array" ref="O48">INDEX(韻母對照表, (($M48-1)*2 +1), $O$1)</f>
        <v>uainn</v>
      </c>
      <c r="P48" s="315" t="str" cm="1">
        <f t="array" ref="P48">INDEX(韻母對照表, (($M48-1)*2 +2), $O$1)</f>
        <v>uainnh</v>
      </c>
      <c r="Q48" s="311" t="s">
        <v>424</v>
      </c>
      <c r="R48" s="316" t="str">
        <f t="shared" si="13"/>
        <v>uainn</v>
      </c>
      <c r="S48" s="316" t="str">
        <f t="shared" si="13"/>
        <v>uáinn</v>
      </c>
      <c r="T48" s="316" t="str">
        <f t="shared" si="13"/>
        <v>uàinn</v>
      </c>
      <c r="U48" s="317" t="str">
        <f t="shared" si="13"/>
        <v>uainnh</v>
      </c>
      <c r="V48" s="316" t="str">
        <f t="shared" si="13"/>
        <v>uâinn</v>
      </c>
      <c r="W48" s="316" t="str">
        <f t="shared" si="13"/>
        <v>uàinn</v>
      </c>
      <c r="X48" s="316" t="str">
        <f t="shared" si="13"/>
        <v>uāinn</v>
      </c>
      <c r="Y48" s="317" t="str">
        <f t="shared" si="13"/>
        <v>ua̍innh</v>
      </c>
      <c r="AA48" s="304">
        <f t="shared" si="2"/>
        <v>2</v>
      </c>
      <c r="AB48" s="304">
        <f t="shared" si="12"/>
        <v>1</v>
      </c>
      <c r="AC48" s="304" t="str">
        <f t="shared" si="14"/>
        <v>a</v>
      </c>
      <c r="AD48" s="304" t="str">
        <f t="shared" si="14"/>
        <v>á</v>
      </c>
      <c r="AE48" s="304" t="str">
        <f t="shared" si="14"/>
        <v>à</v>
      </c>
      <c r="AF48" s="304" t="str">
        <f t="shared" si="14"/>
        <v>a</v>
      </c>
      <c r="AG48" s="304" t="str">
        <f t="shared" si="14"/>
        <v>â</v>
      </c>
      <c r="AH48" s="304" t="str">
        <f t="shared" si="14"/>
        <v>à</v>
      </c>
      <c r="AI48" s="304" t="str">
        <f t="shared" si="14"/>
        <v>ā</v>
      </c>
      <c r="AJ48" s="304" t="str">
        <f t="shared" si="14"/>
        <v>a̍</v>
      </c>
    </row>
    <row r="49" spans="13:36" ht="34">
      <c r="M49" s="307">
        <v>45</v>
      </c>
      <c r="N49" s="311" t="s">
        <v>623</v>
      </c>
      <c r="O49" s="315" t="str" cm="1">
        <f t="array" ref="O49">INDEX(韻母對照表, (($M49-1)*2 +1), $O$1)</f>
        <v>uenn</v>
      </c>
      <c r="P49" s="315" t="str" cm="1">
        <f t="array" ref="P49">INDEX(韻母對照表, (($M49-1)*2 +2), $O$1)</f>
        <v>uennh</v>
      </c>
      <c r="Q49" s="311" t="s">
        <v>1619</v>
      </c>
      <c r="R49" s="316" t="str">
        <f t="shared" si="13"/>
        <v>uenn</v>
      </c>
      <c r="S49" s="316" t="str">
        <f t="shared" si="13"/>
        <v>úenn</v>
      </c>
      <c r="T49" s="316" t="str">
        <f t="shared" si="13"/>
        <v>ùenn</v>
      </c>
      <c r="U49" s="317" t="str">
        <f t="shared" si="13"/>
        <v>uennh</v>
      </c>
      <c r="V49" s="316" t="str">
        <f t="shared" si="13"/>
        <v>ûenn</v>
      </c>
      <c r="W49" s="316" t="str">
        <f t="shared" si="13"/>
        <v>ùenn</v>
      </c>
      <c r="X49" s="316" t="str">
        <f t="shared" si="13"/>
        <v>ūenn</v>
      </c>
      <c r="Y49" s="317" t="str">
        <f t="shared" si="13"/>
        <v>u̍ennh</v>
      </c>
      <c r="AA49" s="304">
        <f t="shared" si="2"/>
        <v>1</v>
      </c>
      <c r="AB49" s="304">
        <f t="shared" si="12"/>
        <v>6</v>
      </c>
      <c r="AC49" s="304" t="str">
        <f t="shared" si="14"/>
        <v>u</v>
      </c>
      <c r="AD49" s="304" t="str">
        <f t="shared" si="14"/>
        <v>ú</v>
      </c>
      <c r="AE49" s="304" t="str">
        <f t="shared" si="14"/>
        <v>ù</v>
      </c>
      <c r="AF49" s="304" t="str">
        <f t="shared" si="14"/>
        <v>u</v>
      </c>
      <c r="AG49" s="304" t="str">
        <f t="shared" si="14"/>
        <v>û</v>
      </c>
      <c r="AH49" s="304" t="str">
        <f t="shared" si="14"/>
        <v>ù</v>
      </c>
      <c r="AI49" s="304" t="str">
        <f t="shared" si="14"/>
        <v>ū</v>
      </c>
      <c r="AJ49" s="304" t="str">
        <f t="shared" si="14"/>
        <v>u̍</v>
      </c>
    </row>
    <row r="50" spans="13:36" ht="34">
      <c r="M50" s="307">
        <v>46</v>
      </c>
      <c r="N50" s="311" t="s">
        <v>636</v>
      </c>
      <c r="O50" s="315" t="str" cm="1">
        <f t="array" ref="O50">INDEX(韻母對照表, (($M50-1)*2 +1), $O$1)</f>
        <v>iaunn</v>
      </c>
      <c r="P50" s="315" t="str" cm="1">
        <f t="array" ref="P50">INDEX(韻母對照表, (($M50-1)*2 +2), $O$1)</f>
        <v>iaunnh</v>
      </c>
      <c r="Q50" s="311" t="s">
        <v>424</v>
      </c>
      <c r="R50" s="316" t="str">
        <f t="shared" si="13"/>
        <v>iaunn</v>
      </c>
      <c r="S50" s="316" t="str">
        <f t="shared" si="13"/>
        <v>iáunn</v>
      </c>
      <c r="T50" s="316" t="str">
        <f t="shared" si="13"/>
        <v>iàunn</v>
      </c>
      <c r="U50" s="317" t="str">
        <f t="shared" si="13"/>
        <v>iaunnh</v>
      </c>
      <c r="V50" s="316" t="str">
        <f t="shared" si="13"/>
        <v>iâunn</v>
      </c>
      <c r="W50" s="316" t="str">
        <f t="shared" si="13"/>
        <v>iàunn</v>
      </c>
      <c r="X50" s="316" t="str">
        <f t="shared" si="13"/>
        <v>iāunn</v>
      </c>
      <c r="Y50" s="317" t="str">
        <f t="shared" si="13"/>
        <v>ia̍unnh</v>
      </c>
      <c r="AA50" s="304">
        <f t="shared" si="2"/>
        <v>2</v>
      </c>
      <c r="AB50" s="304">
        <f t="shared" si="12"/>
        <v>1</v>
      </c>
      <c r="AC50" s="304" t="str">
        <f t="shared" si="14"/>
        <v>a</v>
      </c>
      <c r="AD50" s="304" t="str">
        <f t="shared" si="14"/>
        <v>á</v>
      </c>
      <c r="AE50" s="304" t="str">
        <f t="shared" si="14"/>
        <v>à</v>
      </c>
      <c r="AF50" s="304" t="str">
        <f t="shared" si="14"/>
        <v>a</v>
      </c>
      <c r="AG50" s="304" t="str">
        <f t="shared" si="14"/>
        <v>â</v>
      </c>
      <c r="AH50" s="304" t="str">
        <f t="shared" si="14"/>
        <v>à</v>
      </c>
      <c r="AI50" s="304" t="str">
        <f t="shared" si="14"/>
        <v>ā</v>
      </c>
      <c r="AJ50" s="304" t="str">
        <f t="shared" si="14"/>
        <v>a̍</v>
      </c>
    </row>
    <row r="51" spans="13:36" ht="34">
      <c r="M51" s="307">
        <v>47</v>
      </c>
      <c r="N51" s="311" t="s">
        <v>721</v>
      </c>
      <c r="O51" s="315" t="str" cm="1">
        <f t="array" ref="O51">INDEX(韻母對照表, (($M51-1)*2 +1), $O$1)</f>
        <v>om</v>
      </c>
      <c r="P51" s="315" t="str" cm="1">
        <f t="array" ref="P51">INDEX(韻母對照表, (($M51-1)*2 +2), $O$1)</f>
        <v>op</v>
      </c>
      <c r="Q51" s="311" t="s">
        <v>299</v>
      </c>
      <c r="R51" s="316" t="str">
        <f t="shared" si="13"/>
        <v>om</v>
      </c>
      <c r="S51" s="316" t="str">
        <f t="shared" si="13"/>
        <v>óm</v>
      </c>
      <c r="T51" s="316" t="str">
        <f t="shared" si="13"/>
        <v>òm</v>
      </c>
      <c r="U51" s="317" t="str">
        <f t="shared" si="13"/>
        <v>op</v>
      </c>
      <c r="V51" s="316" t="str">
        <f t="shared" si="13"/>
        <v>ôm</v>
      </c>
      <c r="W51" s="316" t="str">
        <f t="shared" si="13"/>
        <v>òm</v>
      </c>
      <c r="X51" s="316" t="str">
        <f t="shared" si="13"/>
        <v>ōm</v>
      </c>
      <c r="Y51" s="317" t="str">
        <f t="shared" si="13"/>
        <v>o̍p</v>
      </c>
      <c r="AA51" s="304">
        <f t="shared" si="2"/>
        <v>1</v>
      </c>
      <c r="AB51" s="304">
        <f t="shared" si="12"/>
        <v>4</v>
      </c>
      <c r="AC51" s="304" t="str">
        <f t="shared" si="14"/>
        <v>o</v>
      </c>
      <c r="AD51" s="304" t="str">
        <f t="shared" si="14"/>
        <v>ó</v>
      </c>
      <c r="AE51" s="304" t="str">
        <f t="shared" si="14"/>
        <v>ò</v>
      </c>
      <c r="AF51" s="304" t="str">
        <f t="shared" si="14"/>
        <v>o</v>
      </c>
      <c r="AG51" s="304" t="str">
        <f t="shared" si="14"/>
        <v>ô</v>
      </c>
      <c r="AH51" s="304" t="str">
        <f t="shared" si="14"/>
        <v>ò</v>
      </c>
      <c r="AI51" s="304" t="str">
        <f t="shared" si="14"/>
        <v>ō</v>
      </c>
      <c r="AJ51" s="304" t="str">
        <f t="shared" si="14"/>
        <v>o̍</v>
      </c>
    </row>
    <row r="52" spans="13:36" ht="34">
      <c r="M52" s="307">
        <v>48</v>
      </c>
      <c r="N52" s="311" t="s">
        <v>656</v>
      </c>
      <c r="O52" s="315" t="str" cm="1">
        <f t="array" ref="O52">INDEX(韻母對照表, (($M52-1)*2 +1), $O$1)</f>
        <v>aunn</v>
      </c>
      <c r="P52" s="315" t="str" cm="1">
        <f t="array" ref="P52">INDEX(韻母對照表, (($M52-1)*2 +2), $O$1)</f>
        <v>aunnh</v>
      </c>
      <c r="Q52" s="311" t="s">
        <v>424</v>
      </c>
      <c r="R52" s="316" t="str">
        <f t="shared" si="13"/>
        <v>aunn</v>
      </c>
      <c r="S52" s="316" t="str">
        <f t="shared" si="13"/>
        <v>áunn</v>
      </c>
      <c r="T52" s="316" t="str">
        <f t="shared" si="13"/>
        <v>àunn</v>
      </c>
      <c r="U52" s="317" t="str">
        <f t="shared" si="13"/>
        <v>aunnh</v>
      </c>
      <c r="V52" s="316" t="str">
        <f t="shared" si="13"/>
        <v>âunn</v>
      </c>
      <c r="W52" s="316" t="str">
        <f t="shared" si="13"/>
        <v>àunn</v>
      </c>
      <c r="X52" s="316" t="str">
        <f t="shared" si="13"/>
        <v>āunn</v>
      </c>
      <c r="Y52" s="317" t="str">
        <f t="shared" si="13"/>
        <v>a̍unnh</v>
      </c>
      <c r="AA52" s="304">
        <f t="shared" si="2"/>
        <v>1</v>
      </c>
      <c r="AB52" s="304">
        <f t="shared" si="12"/>
        <v>1</v>
      </c>
      <c r="AC52" s="304" t="str">
        <f t="shared" si="14"/>
        <v>a</v>
      </c>
      <c r="AD52" s="304" t="str">
        <f t="shared" si="14"/>
        <v>á</v>
      </c>
      <c r="AE52" s="304" t="str">
        <f t="shared" si="14"/>
        <v>à</v>
      </c>
      <c r="AF52" s="304" t="str">
        <f t="shared" si="14"/>
        <v>a</v>
      </c>
      <c r="AG52" s="304" t="str">
        <f t="shared" si="14"/>
        <v>â</v>
      </c>
      <c r="AH52" s="304" t="str">
        <f t="shared" si="14"/>
        <v>à</v>
      </c>
      <c r="AI52" s="304" t="str">
        <f t="shared" si="14"/>
        <v>ā</v>
      </c>
      <c r="AJ52" s="304" t="str">
        <f t="shared" si="14"/>
        <v>a̍</v>
      </c>
    </row>
    <row r="53" spans="13:36" ht="34">
      <c r="M53" s="307">
        <v>49</v>
      </c>
      <c r="N53" s="311" t="s">
        <v>668</v>
      </c>
      <c r="O53" s="315" t="str" cm="1">
        <f t="array" ref="O53">INDEX(韻母對照表, (($M53-1)*2 +1), $O$1)</f>
        <v>onn</v>
      </c>
      <c r="P53" s="315" t="str" cm="1">
        <f t="array" ref="P53">INDEX(韻母對照表, (($M53-1)*2 +2), $O$1)</f>
        <v>onnh</v>
      </c>
      <c r="Q53" s="311" t="s">
        <v>299</v>
      </c>
      <c r="R53" s="316" t="str">
        <f t="shared" si="13"/>
        <v>onn</v>
      </c>
      <c r="S53" s="316" t="str">
        <f t="shared" si="13"/>
        <v>ónn</v>
      </c>
      <c r="T53" s="316" t="str">
        <f t="shared" si="13"/>
        <v>ònn</v>
      </c>
      <c r="U53" s="317" t="str">
        <f t="shared" si="13"/>
        <v>onnh</v>
      </c>
      <c r="V53" s="316" t="str">
        <f t="shared" si="13"/>
        <v>ônn</v>
      </c>
      <c r="W53" s="316" t="str">
        <f t="shared" si="13"/>
        <v>ònn</v>
      </c>
      <c r="X53" s="316" t="str">
        <f t="shared" si="13"/>
        <v>ōnn</v>
      </c>
      <c r="Y53" s="317" t="str">
        <f t="shared" si="13"/>
        <v>o̍nnh</v>
      </c>
      <c r="AA53" s="304">
        <f t="shared" si="2"/>
        <v>1</v>
      </c>
      <c r="AB53" s="304">
        <f t="shared" si="12"/>
        <v>4</v>
      </c>
      <c r="AC53" s="304" t="str">
        <f t="shared" si="14"/>
        <v>o</v>
      </c>
      <c r="AD53" s="304" t="str">
        <f t="shared" si="14"/>
        <v>ó</v>
      </c>
      <c r="AE53" s="304" t="str">
        <f t="shared" si="14"/>
        <v>ò</v>
      </c>
      <c r="AF53" s="304" t="str">
        <f t="shared" si="14"/>
        <v>o</v>
      </c>
      <c r="AG53" s="304" t="str">
        <f t="shared" si="14"/>
        <v>ô</v>
      </c>
      <c r="AH53" s="304" t="str">
        <f t="shared" si="14"/>
        <v>ò</v>
      </c>
      <c r="AI53" s="304" t="str">
        <f t="shared" si="14"/>
        <v>ō</v>
      </c>
      <c r="AJ53" s="304" t="str">
        <f t="shared" si="14"/>
        <v>o̍</v>
      </c>
    </row>
    <row r="54" spans="13:36" ht="34">
      <c r="M54" s="307">
        <v>50</v>
      </c>
      <c r="N54" s="311" t="s">
        <v>676</v>
      </c>
      <c r="O54" s="315" t="str" cm="1">
        <f t="array" ref="O54">INDEX(韻母對照表, (($M54-1)*2 +1), $O$1)</f>
        <v>iunn</v>
      </c>
      <c r="P54" s="315" t="str" cm="1">
        <f t="array" ref="P54">INDEX(韻母對照表, (($M54-1)*2 +2), $O$1)</f>
        <v>iunnh</v>
      </c>
      <c r="Q54" s="311" t="s">
        <v>415</v>
      </c>
      <c r="R54" s="316" t="str">
        <f t="shared" si="13"/>
        <v>iunn</v>
      </c>
      <c r="S54" s="316" t="str">
        <f t="shared" si="13"/>
        <v>iúnn</v>
      </c>
      <c r="T54" s="316" t="str">
        <f t="shared" si="13"/>
        <v>iùnn</v>
      </c>
      <c r="U54" s="317" t="str">
        <f t="shared" si="13"/>
        <v>iunnh</v>
      </c>
      <c r="V54" s="316" t="str">
        <f t="shared" si="13"/>
        <v>iûnn</v>
      </c>
      <c r="W54" s="316" t="str">
        <f t="shared" si="13"/>
        <v>iùnn</v>
      </c>
      <c r="X54" s="316" t="str">
        <f t="shared" si="13"/>
        <v>iūnn</v>
      </c>
      <c r="Y54" s="317" t="str">
        <f t="shared" si="13"/>
        <v>iu̍nnh</v>
      </c>
      <c r="AA54" s="304">
        <f t="shared" si="2"/>
        <v>2</v>
      </c>
      <c r="AB54" s="304">
        <f t="shared" si="12"/>
        <v>6</v>
      </c>
      <c r="AC54" s="304" t="str">
        <f t="shared" si="14"/>
        <v>u</v>
      </c>
      <c r="AD54" s="304" t="str">
        <f t="shared" si="14"/>
        <v>ú</v>
      </c>
      <c r="AE54" s="304" t="str">
        <f t="shared" si="14"/>
        <v>ù</v>
      </c>
      <c r="AF54" s="304" t="str">
        <f t="shared" si="14"/>
        <v>u</v>
      </c>
      <c r="AG54" s="304" t="str">
        <f t="shared" si="14"/>
        <v>û</v>
      </c>
      <c r="AH54" s="304" t="str">
        <f t="shared" si="14"/>
        <v>ù</v>
      </c>
      <c r="AI54" s="304" t="str">
        <f t="shared" si="14"/>
        <v>ū</v>
      </c>
      <c r="AJ54" s="304" t="str">
        <f t="shared" si="14"/>
        <v>u̍</v>
      </c>
    </row>
  </sheetData>
  <mergeCells count="9">
    <mergeCell ref="Q3:Q4"/>
    <mergeCell ref="AA3:AA4"/>
    <mergeCell ref="AB3:AB4"/>
    <mergeCell ref="B3:B4"/>
    <mergeCell ref="C3:C4"/>
    <mergeCell ref="M3:M4"/>
    <mergeCell ref="N3:N4"/>
    <mergeCell ref="O3:O4"/>
    <mergeCell ref="P3:P4"/>
  </mergeCells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ADD9-9050-0447-A4DF-D99281170600}">
  <sheetPr codeName="工作表34"/>
  <dimension ref="B2:K73"/>
  <sheetViews>
    <sheetView workbookViewId="0"/>
  </sheetViews>
  <sheetFormatPr baseColWidth="10" defaultColWidth="10.8984375" defaultRowHeight="22" outlineLevelCol="1"/>
  <cols>
    <col min="1" max="1" width="3.69921875" customWidth="1"/>
    <col min="2" max="2" width="3.8984375" customWidth="1"/>
    <col min="3" max="5" width="4.19921875" style="6" customWidth="1"/>
    <col min="7" max="7" width="5.09765625" customWidth="1"/>
    <col min="8" max="8" width="65" hidden="1" customWidth="1" outlineLevel="1"/>
    <col min="9" max="9" width="10.69921875" collapsed="1"/>
    <col min="10" max="10" width="10.69921875" style="6"/>
    <col min="11" max="11" width="10.69921875" style="24"/>
  </cols>
  <sheetData>
    <row r="2" spans="2:11">
      <c r="B2" t="s">
        <v>3544</v>
      </c>
      <c r="C2" s="208" t="s">
        <v>3545</v>
      </c>
    </row>
    <row r="3" spans="2:11">
      <c r="C3" s="209"/>
    </row>
    <row r="4" spans="2:11" ht="23">
      <c r="B4" t="s">
        <v>3546</v>
      </c>
      <c r="C4" s="208" t="s">
        <v>3547</v>
      </c>
    </row>
    <row r="6" spans="2:11">
      <c r="H6" s="203" t="str">
        <f xml:space="preserve"> C2</f>
        <v>柳l、邊p、求k、去kh、地t、頗ph、他th、曾ts、入dz、時s、鶯y、門m、語g、出tsh、喜h</v>
      </c>
    </row>
    <row r="7" spans="2:11">
      <c r="B7" s="121" cm="1">
        <f t="array" ref="B7" xml:space="preserve"> ROW() - ROW($6:$6)</f>
        <v>1</v>
      </c>
      <c r="C7" s="6">
        <v>1</v>
      </c>
      <c r="D7" s="6">
        <f t="shared" ref="D7:D20" si="0" xml:space="preserve"> IFERROR( SEARCH("、", H6, C7), "")</f>
        <v>3</v>
      </c>
      <c r="E7" s="6" t="str">
        <f t="shared" ref="E7:E20" si="1" xml:space="preserve"> LEFT(H6)</f>
        <v>柳</v>
      </c>
      <c r="F7" s="202" t="str">
        <f t="shared" ref="F7:F20" si="2" xml:space="preserve"> IFERROR( MID(H6,C7,D7-1), H6)</f>
        <v>柳l</v>
      </c>
      <c r="G7">
        <f xml:space="preserve"> LEN(F7)</f>
        <v>2</v>
      </c>
      <c r="H7" t="str">
        <f t="shared" ref="H7:H20" si="3" xml:space="preserve"> IFERROR( RIGHT(H6, LEN(H6) - D7), "")</f>
        <v>邊p、求k、去kh、地t、頗ph、他th、曾ts、入dz、時s、鶯y、門m、語g、出tsh、喜h</v>
      </c>
      <c r="J7" s="6" t="str">
        <f xml:space="preserve"> LEFT(F7,1)</f>
        <v>柳</v>
      </c>
      <c r="K7" s="24" t="str">
        <f xml:space="preserve"> RIGHT(F7, LEN(F7)-1)</f>
        <v>l</v>
      </c>
    </row>
    <row r="8" spans="2:11">
      <c r="B8" s="121" cm="1">
        <f t="array" ref="B8" xml:space="preserve"> ROW() - ROW($6:$6)</f>
        <v>2</v>
      </c>
      <c r="C8" s="6">
        <v>1</v>
      </c>
      <c r="D8" s="6">
        <f t="shared" si="0"/>
        <v>3</v>
      </c>
      <c r="E8" s="6" t="str">
        <f t="shared" si="1"/>
        <v>邊</v>
      </c>
      <c r="F8" s="202" t="str">
        <f t="shared" si="2"/>
        <v>邊p</v>
      </c>
      <c r="G8">
        <f xml:space="preserve"> LEN(F8)</f>
        <v>2</v>
      </c>
      <c r="H8" t="str">
        <f t="shared" si="3"/>
        <v>求k、去kh、地t、頗ph、他th、曾ts、入dz、時s、鶯y、門m、語g、出tsh、喜h</v>
      </c>
      <c r="J8" s="6" t="str">
        <f t="shared" ref="J8:J20" si="4" xml:space="preserve"> LEFT(F8,1)</f>
        <v>邊</v>
      </c>
      <c r="K8" s="24" t="str">
        <f t="shared" ref="K8:K20" si="5" xml:space="preserve"> RIGHT(F8, LEN(F8)-1)</f>
        <v>p</v>
      </c>
    </row>
    <row r="9" spans="2:11">
      <c r="B9" s="121" cm="1">
        <f t="array" ref="B9" xml:space="preserve"> ROW() - ROW($6:$6)</f>
        <v>3</v>
      </c>
      <c r="C9" s="6">
        <v>1</v>
      </c>
      <c r="D9" s="6">
        <f t="shared" si="0"/>
        <v>3</v>
      </c>
      <c r="E9" s="6" t="str">
        <f t="shared" si="1"/>
        <v>求</v>
      </c>
      <c r="F9" s="202" t="str">
        <f t="shared" si="2"/>
        <v>求k</v>
      </c>
      <c r="G9">
        <f t="shared" ref="G9:G21" si="6" xml:space="preserve"> LEN(F9)</f>
        <v>2</v>
      </c>
      <c r="H9" t="str">
        <f t="shared" si="3"/>
        <v>去kh、地t、頗ph、他th、曾ts、入dz、時s、鶯y、門m、語g、出tsh、喜h</v>
      </c>
      <c r="J9" s="6" t="str">
        <f t="shared" si="4"/>
        <v>求</v>
      </c>
      <c r="K9" s="24" t="str">
        <f t="shared" si="5"/>
        <v>k</v>
      </c>
    </row>
    <row r="10" spans="2:11">
      <c r="B10" s="121" cm="1">
        <f t="array" ref="B10" xml:space="preserve"> ROW() - ROW($6:$6)</f>
        <v>4</v>
      </c>
      <c r="C10" s="6">
        <v>1</v>
      </c>
      <c r="D10" s="6">
        <f t="shared" si="0"/>
        <v>4</v>
      </c>
      <c r="E10" s="6" t="str">
        <f t="shared" si="1"/>
        <v>去</v>
      </c>
      <c r="F10" s="202" t="str">
        <f t="shared" si="2"/>
        <v>去kh</v>
      </c>
      <c r="G10">
        <f t="shared" si="6"/>
        <v>3</v>
      </c>
      <c r="H10" t="str">
        <f t="shared" si="3"/>
        <v>地t、頗ph、他th、曾ts、入dz、時s、鶯y、門m、語g、出tsh、喜h</v>
      </c>
      <c r="J10" s="6" t="str">
        <f t="shared" si="4"/>
        <v>去</v>
      </c>
      <c r="K10" s="24" t="str">
        <f t="shared" si="5"/>
        <v>kh</v>
      </c>
    </row>
    <row r="11" spans="2:11">
      <c r="B11" s="121" cm="1">
        <f t="array" ref="B11" xml:space="preserve"> ROW() - ROW($6:$6)</f>
        <v>5</v>
      </c>
      <c r="C11" s="6">
        <v>1</v>
      </c>
      <c r="D11" s="6">
        <f t="shared" si="0"/>
        <v>3</v>
      </c>
      <c r="E11" s="6" t="str">
        <f t="shared" si="1"/>
        <v>地</v>
      </c>
      <c r="F11" s="202" t="str">
        <f t="shared" si="2"/>
        <v>地t</v>
      </c>
      <c r="G11">
        <f t="shared" si="6"/>
        <v>2</v>
      </c>
      <c r="H11" t="str">
        <f t="shared" si="3"/>
        <v>頗ph、他th、曾ts、入dz、時s、鶯y、門m、語g、出tsh、喜h</v>
      </c>
      <c r="J11" s="6" t="str">
        <f t="shared" si="4"/>
        <v>地</v>
      </c>
      <c r="K11" s="24" t="str">
        <f t="shared" si="5"/>
        <v>t</v>
      </c>
    </row>
    <row r="12" spans="2:11">
      <c r="B12" s="121" cm="1">
        <f t="array" ref="B12" xml:space="preserve"> ROW() - ROW($6:$6)</f>
        <v>6</v>
      </c>
      <c r="C12" s="6">
        <v>1</v>
      </c>
      <c r="D12" s="6">
        <f t="shared" si="0"/>
        <v>4</v>
      </c>
      <c r="E12" s="6" t="str">
        <f t="shared" si="1"/>
        <v>頗</v>
      </c>
      <c r="F12" s="202" t="str">
        <f t="shared" si="2"/>
        <v>頗ph</v>
      </c>
      <c r="G12">
        <f t="shared" si="6"/>
        <v>3</v>
      </c>
      <c r="H12" t="str">
        <f t="shared" si="3"/>
        <v>他th、曾ts、入dz、時s、鶯y、門m、語g、出tsh、喜h</v>
      </c>
      <c r="J12" s="6" t="str">
        <f t="shared" si="4"/>
        <v>頗</v>
      </c>
      <c r="K12" s="24" t="str">
        <f t="shared" si="5"/>
        <v>ph</v>
      </c>
    </row>
    <row r="13" spans="2:11">
      <c r="B13" s="121" cm="1">
        <f t="array" ref="B13" xml:space="preserve"> ROW() - ROW($6:$6)</f>
        <v>7</v>
      </c>
      <c r="C13" s="6">
        <v>1</v>
      </c>
      <c r="D13" s="6">
        <f t="shared" si="0"/>
        <v>4</v>
      </c>
      <c r="E13" s="6" t="str">
        <f t="shared" si="1"/>
        <v>他</v>
      </c>
      <c r="F13" s="202" t="str">
        <f t="shared" si="2"/>
        <v>他th</v>
      </c>
      <c r="G13">
        <f t="shared" si="6"/>
        <v>3</v>
      </c>
      <c r="H13" t="str">
        <f t="shared" si="3"/>
        <v>曾ts、入dz、時s、鶯y、門m、語g、出tsh、喜h</v>
      </c>
      <c r="J13" s="6" t="str">
        <f t="shared" si="4"/>
        <v>他</v>
      </c>
      <c r="K13" s="24" t="str">
        <f t="shared" si="5"/>
        <v>th</v>
      </c>
    </row>
    <row r="14" spans="2:11">
      <c r="B14" s="121" cm="1">
        <f t="array" ref="B14" xml:space="preserve"> ROW() - ROW($6:$6)</f>
        <v>8</v>
      </c>
      <c r="C14" s="6">
        <v>1</v>
      </c>
      <c r="D14" s="6">
        <f t="shared" si="0"/>
        <v>4</v>
      </c>
      <c r="E14" s="6" t="str">
        <f t="shared" si="1"/>
        <v>曾</v>
      </c>
      <c r="F14" s="202" t="str">
        <f t="shared" si="2"/>
        <v>曾ts</v>
      </c>
      <c r="G14">
        <f t="shared" si="6"/>
        <v>3</v>
      </c>
      <c r="H14" t="str">
        <f t="shared" si="3"/>
        <v>入dz、時s、鶯y、門m、語g、出tsh、喜h</v>
      </c>
      <c r="J14" s="6" t="str">
        <f t="shared" si="4"/>
        <v>曾</v>
      </c>
      <c r="K14" s="24" t="str">
        <f t="shared" si="5"/>
        <v>ts</v>
      </c>
    </row>
    <row r="15" spans="2:11">
      <c r="B15" s="121" cm="1">
        <f t="array" ref="B15" xml:space="preserve"> ROW() - ROW($6:$6)</f>
        <v>9</v>
      </c>
      <c r="C15" s="6">
        <v>1</v>
      </c>
      <c r="D15" s="6">
        <f t="shared" si="0"/>
        <v>4</v>
      </c>
      <c r="E15" s="6" t="str">
        <f t="shared" si="1"/>
        <v>入</v>
      </c>
      <c r="F15" s="202" t="str">
        <f t="shared" si="2"/>
        <v>入dz</v>
      </c>
      <c r="G15">
        <f t="shared" si="6"/>
        <v>3</v>
      </c>
      <c r="H15" t="str">
        <f t="shared" si="3"/>
        <v>時s、鶯y、門m、語g、出tsh、喜h</v>
      </c>
      <c r="J15" s="6" t="str">
        <f t="shared" si="4"/>
        <v>入</v>
      </c>
      <c r="K15" s="24" t="str">
        <f t="shared" si="5"/>
        <v>dz</v>
      </c>
    </row>
    <row r="16" spans="2:11">
      <c r="B16" s="121" cm="1">
        <f t="array" ref="B16" xml:space="preserve"> ROW() - ROW($6:$6)</f>
        <v>10</v>
      </c>
      <c r="C16" s="6">
        <v>1</v>
      </c>
      <c r="D16" s="6">
        <f t="shared" si="0"/>
        <v>3</v>
      </c>
      <c r="E16" s="6" t="str">
        <f t="shared" si="1"/>
        <v>時</v>
      </c>
      <c r="F16" s="202" t="str">
        <f t="shared" si="2"/>
        <v>時s</v>
      </c>
      <c r="G16">
        <f t="shared" si="6"/>
        <v>2</v>
      </c>
      <c r="H16" t="str">
        <f t="shared" si="3"/>
        <v>鶯y、門m、語g、出tsh、喜h</v>
      </c>
      <c r="J16" s="6" t="str">
        <f t="shared" si="4"/>
        <v>時</v>
      </c>
      <c r="K16" s="24" t="str">
        <f t="shared" si="5"/>
        <v>s</v>
      </c>
    </row>
    <row r="17" spans="2:11">
      <c r="B17" s="121" cm="1">
        <f t="array" ref="B17" xml:space="preserve"> ROW() - ROW($6:$6)</f>
        <v>11</v>
      </c>
      <c r="C17" s="6">
        <v>1</v>
      </c>
      <c r="D17" s="6">
        <f t="shared" si="0"/>
        <v>3</v>
      </c>
      <c r="E17" s="6" t="str">
        <f t="shared" si="1"/>
        <v>鶯</v>
      </c>
      <c r="F17" s="202" t="str">
        <f t="shared" si="2"/>
        <v>鶯y</v>
      </c>
      <c r="G17">
        <f t="shared" si="6"/>
        <v>2</v>
      </c>
      <c r="H17" t="str">
        <f t="shared" si="3"/>
        <v>門m、語g、出tsh、喜h</v>
      </c>
      <c r="J17" s="6" t="str">
        <f t="shared" si="4"/>
        <v>鶯</v>
      </c>
      <c r="K17" s="24" t="str">
        <f t="shared" si="5"/>
        <v>y</v>
      </c>
    </row>
    <row r="18" spans="2:11">
      <c r="B18" s="121" cm="1">
        <f t="array" ref="B18" xml:space="preserve"> ROW() - ROW($6:$6)</f>
        <v>12</v>
      </c>
      <c r="C18" s="6">
        <v>1</v>
      </c>
      <c r="D18" s="6">
        <f t="shared" si="0"/>
        <v>3</v>
      </c>
      <c r="E18" s="6" t="str">
        <f t="shared" si="1"/>
        <v>門</v>
      </c>
      <c r="F18" s="202" t="str">
        <f t="shared" si="2"/>
        <v>門m</v>
      </c>
      <c r="G18">
        <f t="shared" si="6"/>
        <v>2</v>
      </c>
      <c r="H18" t="str">
        <f t="shared" si="3"/>
        <v>語g、出tsh、喜h</v>
      </c>
      <c r="J18" s="6" t="str">
        <f t="shared" si="4"/>
        <v>門</v>
      </c>
      <c r="K18" s="24" t="str">
        <f t="shared" si="5"/>
        <v>m</v>
      </c>
    </row>
    <row r="19" spans="2:11">
      <c r="B19" s="121" cm="1">
        <f t="array" ref="B19" xml:space="preserve"> ROW() - ROW($6:$6)</f>
        <v>13</v>
      </c>
      <c r="C19" s="6">
        <v>1</v>
      </c>
      <c r="D19" s="6">
        <f t="shared" si="0"/>
        <v>3</v>
      </c>
      <c r="E19" s="6" t="str">
        <f t="shared" si="1"/>
        <v>語</v>
      </c>
      <c r="F19" s="202" t="str">
        <f t="shared" si="2"/>
        <v>語g</v>
      </c>
      <c r="G19">
        <f t="shared" si="6"/>
        <v>2</v>
      </c>
      <c r="H19" t="str">
        <f t="shared" si="3"/>
        <v>出tsh、喜h</v>
      </c>
      <c r="J19" s="6" t="str">
        <f t="shared" si="4"/>
        <v>語</v>
      </c>
      <c r="K19" s="24" t="str">
        <f t="shared" si="5"/>
        <v>g</v>
      </c>
    </row>
    <row r="20" spans="2:11">
      <c r="B20" s="121" cm="1">
        <f t="array" ref="B20" xml:space="preserve"> ROW() - ROW($6:$6)</f>
        <v>14</v>
      </c>
      <c r="C20" s="6">
        <v>1</v>
      </c>
      <c r="D20" s="6">
        <f t="shared" si="0"/>
        <v>5</v>
      </c>
      <c r="E20" s="6" t="str">
        <f t="shared" si="1"/>
        <v>出</v>
      </c>
      <c r="F20" s="202" t="str">
        <f t="shared" si="2"/>
        <v>出tsh</v>
      </c>
      <c r="G20">
        <f t="shared" si="6"/>
        <v>4</v>
      </c>
      <c r="H20" t="str">
        <f t="shared" si="3"/>
        <v>喜h</v>
      </c>
      <c r="J20" s="6" t="str">
        <f t="shared" si="4"/>
        <v>出</v>
      </c>
      <c r="K20" s="24" t="str">
        <f t="shared" si="5"/>
        <v>tsh</v>
      </c>
    </row>
    <row r="21" spans="2:11">
      <c r="B21" s="121" cm="1">
        <f t="array" ref="B21" xml:space="preserve"> ROW() - ROW($6:$6)</f>
        <v>15</v>
      </c>
      <c r="C21" s="6">
        <v>1</v>
      </c>
      <c r="D21" s="6" t="str">
        <f xml:space="preserve"> IFERROR( SEARCH("、", H20, C21), "")</f>
        <v/>
      </c>
      <c r="E21" s="6" t="str">
        <f xml:space="preserve"> LEFT(H20)</f>
        <v>喜</v>
      </c>
      <c r="F21" s="202" t="str">
        <f xml:space="preserve"> IFERROR( MID(H20,C21,D21-1), H20)</f>
        <v>喜h</v>
      </c>
      <c r="G21">
        <f t="shared" si="6"/>
        <v>2</v>
      </c>
      <c r="H21" t="str">
        <f xml:space="preserve"> IFERROR( RIGHT(H20, LEN(H20) - D21), "")</f>
        <v/>
      </c>
    </row>
    <row r="23" spans="2:11">
      <c r="H23" s="204" t="str">
        <f xml:space="preserve"> C4</f>
        <v>君un、堅ian、金im、歸ui、家a、干an、光ong、乖oai、京eng、官oan、姑oo、嬌iau、稽e、宮iong、高o、皆ai、根in、姜iang、甘am、瓜oa、江ang、兼iam、交au、伽ia、檜oe、葩a、龜u、箴om、璣i、丩iu</v>
      </c>
    </row>
    <row r="24" spans="2:11">
      <c r="B24" s="121" cm="1">
        <f t="array" ref="B24" xml:space="preserve"> ROW() - ROW($23:$23)</f>
        <v>1</v>
      </c>
      <c r="C24" s="6">
        <v>1</v>
      </c>
      <c r="D24" s="6">
        <f xml:space="preserve"> IFERROR( SEARCH("、", H23, C24), "")</f>
        <v>4</v>
      </c>
      <c r="E24" s="6" t="str">
        <f xml:space="preserve"> LEFT(H23)</f>
        <v>君</v>
      </c>
      <c r="F24" s="202" t="str">
        <f xml:space="preserve"> IFERROR( MID(H23,C24,D24-1), H23)</f>
        <v>君un</v>
      </c>
      <c r="G24">
        <f xml:space="preserve"> LEN(F24)</f>
        <v>3</v>
      </c>
      <c r="H24" t="str">
        <f xml:space="preserve"> IFERROR( RIGHT(H23, LEN(H23) - D24), "")</f>
        <v>堅ian、金im、歸ui、家a、干an、光ong、乖oai、京eng、官oan、姑oo、嬌iau、稽e、宮iong、高o、皆ai、根in、姜iang、甘am、瓜oa、江ang、兼iam、交au、伽ia、檜oe、葩a、龜u、箴om、璣i、丩iu</v>
      </c>
      <c r="J24" s="210" t="str">
        <f xml:space="preserve"> LEFT(F24,1)</f>
        <v>君</v>
      </c>
      <c r="K24" s="211" t="str">
        <f xml:space="preserve"> RIGHT(F24, LEN(F24)-1)</f>
        <v>un</v>
      </c>
    </row>
    <row r="25" spans="2:11">
      <c r="B25" s="121" cm="1">
        <f t="array" ref="B25" xml:space="preserve"> ROW() - ROW($23:$23)</f>
        <v>2</v>
      </c>
      <c r="C25" s="6">
        <v>1</v>
      </c>
      <c r="D25" s="6">
        <f t="shared" ref="D25:D63" si="7" xml:space="preserve"> IFERROR( SEARCH("、", H24, C25), "")</f>
        <v>5</v>
      </c>
      <c r="E25" s="6" t="str">
        <f t="shared" ref="E25:E63" si="8" xml:space="preserve"> LEFT(H24)</f>
        <v>堅</v>
      </c>
      <c r="F25" s="202" t="str">
        <f t="shared" ref="F25:F63" si="9" xml:space="preserve"> IFERROR( MID(H24,C25,D25-1), H24)</f>
        <v>堅ian</v>
      </c>
      <c r="G25">
        <f t="shared" ref="G25:G63" si="10" xml:space="preserve"> LEN(F25)</f>
        <v>4</v>
      </c>
      <c r="H25" t="str">
        <f t="shared" ref="H25:H63" si="11" xml:space="preserve"> IFERROR( RIGHT(H24, LEN(H24) - D25), "")</f>
        <v>金im、歸ui、家a、干an、光ong、乖oai、京eng、官oan、姑oo、嬌iau、稽e、宮iong、高o、皆ai、根in、姜iang、甘am、瓜oa、江ang、兼iam、交au、伽ia、檜oe、葩a、龜u、箴om、璣i、丩iu</v>
      </c>
      <c r="J25" s="210" t="str">
        <f t="shared" ref="J25:J52" si="12" xml:space="preserve"> LEFT(F25,1)</f>
        <v>堅</v>
      </c>
      <c r="K25" s="211" t="str">
        <f t="shared" ref="K25:K52" si="13" xml:space="preserve"> RIGHT(F25, LEN(F25)-1)</f>
        <v>ian</v>
      </c>
    </row>
    <row r="26" spans="2:11">
      <c r="B26" s="121" cm="1">
        <f t="array" ref="B26" xml:space="preserve"> ROW() - ROW($23:$23)</f>
        <v>3</v>
      </c>
      <c r="C26" s="6">
        <v>1</v>
      </c>
      <c r="D26" s="6">
        <f t="shared" si="7"/>
        <v>4</v>
      </c>
      <c r="E26" s="6" t="str">
        <f t="shared" si="8"/>
        <v>金</v>
      </c>
      <c r="F26" s="202" t="str">
        <f t="shared" si="9"/>
        <v>金im</v>
      </c>
      <c r="G26">
        <f t="shared" si="10"/>
        <v>3</v>
      </c>
      <c r="H26" t="str">
        <f t="shared" si="11"/>
        <v>歸ui、家a、干an、光ong、乖oai、京eng、官oan、姑oo、嬌iau、稽e、宮iong、高o、皆ai、根in、姜iang、甘am、瓜oa、江ang、兼iam、交au、伽ia、檜oe、葩a、龜u、箴om、璣i、丩iu</v>
      </c>
      <c r="J26" s="210" t="str">
        <f t="shared" si="12"/>
        <v>金</v>
      </c>
      <c r="K26" s="211" t="str">
        <f t="shared" si="13"/>
        <v>im</v>
      </c>
    </row>
    <row r="27" spans="2:11">
      <c r="B27" s="121" cm="1">
        <f t="array" ref="B27" xml:space="preserve"> ROW() - ROW($23:$23)</f>
        <v>4</v>
      </c>
      <c r="C27" s="6">
        <v>1</v>
      </c>
      <c r="D27" s="6">
        <f t="shared" si="7"/>
        <v>4</v>
      </c>
      <c r="E27" s="6" t="str">
        <f t="shared" si="8"/>
        <v>歸</v>
      </c>
      <c r="F27" s="202" t="str">
        <f t="shared" si="9"/>
        <v>歸ui</v>
      </c>
      <c r="G27">
        <f t="shared" si="10"/>
        <v>3</v>
      </c>
      <c r="H27" t="str">
        <f t="shared" si="11"/>
        <v>家a、干an、光ong、乖oai、京eng、官oan、姑oo、嬌iau、稽e、宮iong、高o、皆ai、根in、姜iang、甘am、瓜oa、江ang、兼iam、交au、伽ia、檜oe、葩a、龜u、箴om、璣i、丩iu</v>
      </c>
      <c r="J27" s="210" t="str">
        <f t="shared" si="12"/>
        <v>歸</v>
      </c>
      <c r="K27" s="211" t="str">
        <f t="shared" si="13"/>
        <v>ui</v>
      </c>
    </row>
    <row r="28" spans="2:11">
      <c r="B28" s="121" cm="1">
        <f t="array" ref="B28" xml:space="preserve"> ROW() - ROW($23:$23)</f>
        <v>5</v>
      </c>
      <c r="C28" s="6">
        <v>1</v>
      </c>
      <c r="D28" s="6">
        <f t="shared" si="7"/>
        <v>3</v>
      </c>
      <c r="E28" s="6" t="str">
        <f t="shared" si="8"/>
        <v>家</v>
      </c>
      <c r="F28" s="202" t="str">
        <f t="shared" si="9"/>
        <v>家a</v>
      </c>
      <c r="G28">
        <f t="shared" si="10"/>
        <v>2</v>
      </c>
      <c r="H28" t="str">
        <f t="shared" si="11"/>
        <v>干an、光ong、乖oai、京eng、官oan、姑oo、嬌iau、稽e、宮iong、高o、皆ai、根in、姜iang、甘am、瓜oa、江ang、兼iam、交au、伽ia、檜oe、葩a、龜u、箴om、璣i、丩iu</v>
      </c>
      <c r="J28" s="210" t="str">
        <f t="shared" si="12"/>
        <v>家</v>
      </c>
      <c r="K28" s="211" t="str">
        <f t="shared" si="13"/>
        <v>a</v>
      </c>
    </row>
    <row r="29" spans="2:11">
      <c r="B29" s="121" cm="1">
        <f t="array" ref="B29" xml:space="preserve"> ROW() - ROW($23:$23)</f>
        <v>6</v>
      </c>
      <c r="C29" s="6">
        <v>1</v>
      </c>
      <c r="D29" s="6">
        <f t="shared" si="7"/>
        <v>4</v>
      </c>
      <c r="E29" s="6" t="str">
        <f t="shared" si="8"/>
        <v>干</v>
      </c>
      <c r="F29" s="202" t="str">
        <f t="shared" si="9"/>
        <v>干an</v>
      </c>
      <c r="G29">
        <f t="shared" si="10"/>
        <v>3</v>
      </c>
      <c r="H29" t="str">
        <f t="shared" si="11"/>
        <v>光ong、乖oai、京eng、官oan、姑oo、嬌iau、稽e、宮iong、高o、皆ai、根in、姜iang、甘am、瓜oa、江ang、兼iam、交au、伽ia、檜oe、葩a、龜u、箴om、璣i、丩iu</v>
      </c>
      <c r="J29" s="6" t="str">
        <f t="shared" si="12"/>
        <v>干</v>
      </c>
      <c r="K29" s="24" t="str">
        <f t="shared" si="13"/>
        <v>an</v>
      </c>
    </row>
    <row r="30" spans="2:11">
      <c r="B30" s="121" cm="1">
        <f t="array" ref="B30" xml:space="preserve"> ROW() - ROW($23:$23)</f>
        <v>7</v>
      </c>
      <c r="C30" s="6">
        <v>1</v>
      </c>
      <c r="D30" s="6">
        <f t="shared" si="7"/>
        <v>5</v>
      </c>
      <c r="E30" s="6" t="str">
        <f t="shared" si="8"/>
        <v>光</v>
      </c>
      <c r="F30" s="202" t="str">
        <f t="shared" si="9"/>
        <v>光ong</v>
      </c>
      <c r="G30">
        <f t="shared" si="10"/>
        <v>4</v>
      </c>
      <c r="H30" t="str">
        <f t="shared" si="11"/>
        <v>乖oai、京eng、官oan、姑oo、嬌iau、稽e、宮iong、高o、皆ai、根in、姜iang、甘am、瓜oa、江ang、兼iam、交au、伽ia、檜oe、葩a、龜u、箴om、璣i、丩iu</v>
      </c>
      <c r="J30" s="6" t="str">
        <f t="shared" si="12"/>
        <v>光</v>
      </c>
      <c r="K30" s="24" t="str">
        <f t="shared" si="13"/>
        <v>ong</v>
      </c>
    </row>
    <row r="31" spans="2:11">
      <c r="B31" s="121" cm="1">
        <f t="array" ref="B31" xml:space="preserve"> ROW() - ROW($23:$23)</f>
        <v>8</v>
      </c>
      <c r="C31" s="6">
        <v>1</v>
      </c>
      <c r="D31" s="6">
        <f t="shared" si="7"/>
        <v>5</v>
      </c>
      <c r="E31" s="6" t="str">
        <f t="shared" si="8"/>
        <v>乖</v>
      </c>
      <c r="F31" s="202" t="str">
        <f t="shared" si="9"/>
        <v>乖oai</v>
      </c>
      <c r="G31">
        <f t="shared" si="10"/>
        <v>4</v>
      </c>
      <c r="H31" t="str">
        <f t="shared" si="11"/>
        <v>京eng、官oan、姑oo、嬌iau、稽e、宮iong、高o、皆ai、根in、姜iang、甘am、瓜oa、江ang、兼iam、交au、伽ia、檜oe、葩a、龜u、箴om、璣i、丩iu</v>
      </c>
      <c r="J31" s="6" t="str">
        <f t="shared" si="12"/>
        <v>乖</v>
      </c>
      <c r="K31" s="24" t="str">
        <f t="shared" si="13"/>
        <v>oai</v>
      </c>
    </row>
    <row r="32" spans="2:11">
      <c r="B32" s="121" cm="1">
        <f t="array" ref="B32" xml:space="preserve"> ROW() - ROW($23:$23)</f>
        <v>9</v>
      </c>
      <c r="C32" s="6">
        <v>1</v>
      </c>
      <c r="D32" s="6">
        <f t="shared" si="7"/>
        <v>5</v>
      </c>
      <c r="E32" s="6" t="str">
        <f t="shared" si="8"/>
        <v>京</v>
      </c>
      <c r="F32" s="202" t="str">
        <f t="shared" si="9"/>
        <v>京eng</v>
      </c>
      <c r="G32">
        <f t="shared" si="10"/>
        <v>4</v>
      </c>
      <c r="H32" t="str">
        <f t="shared" si="11"/>
        <v>官oan、姑oo、嬌iau、稽e、宮iong、高o、皆ai、根in、姜iang、甘am、瓜oa、江ang、兼iam、交au、伽ia、檜oe、葩a、龜u、箴om、璣i、丩iu</v>
      </c>
      <c r="J32" s="6" t="str">
        <f t="shared" si="12"/>
        <v>京</v>
      </c>
      <c r="K32" s="24" t="str">
        <f t="shared" si="13"/>
        <v>eng</v>
      </c>
    </row>
    <row r="33" spans="2:11">
      <c r="B33" s="121" cm="1">
        <f t="array" ref="B33" xml:space="preserve"> ROW() - ROW($23:$23)</f>
        <v>10</v>
      </c>
      <c r="C33" s="6">
        <v>1</v>
      </c>
      <c r="D33" s="6">
        <f t="shared" si="7"/>
        <v>5</v>
      </c>
      <c r="E33" s="6" t="str">
        <f t="shared" si="8"/>
        <v>官</v>
      </c>
      <c r="F33" s="202" t="str">
        <f t="shared" si="9"/>
        <v>官oan</v>
      </c>
      <c r="G33">
        <f t="shared" si="10"/>
        <v>4</v>
      </c>
      <c r="H33" t="str">
        <f t="shared" si="11"/>
        <v>姑oo、嬌iau、稽e、宮iong、高o、皆ai、根in、姜iang、甘am、瓜oa、江ang、兼iam、交au、伽ia、檜oe、葩a、龜u、箴om、璣i、丩iu</v>
      </c>
      <c r="J33" s="6" t="str">
        <f t="shared" si="12"/>
        <v>官</v>
      </c>
      <c r="K33" s="24" t="str">
        <f t="shared" si="13"/>
        <v>oan</v>
      </c>
    </row>
    <row r="34" spans="2:11">
      <c r="B34" s="121" cm="1">
        <f t="array" ref="B34" xml:space="preserve"> ROW() - ROW($23:$23)</f>
        <v>11</v>
      </c>
      <c r="C34" s="6">
        <v>1</v>
      </c>
      <c r="D34" s="6">
        <f t="shared" si="7"/>
        <v>4</v>
      </c>
      <c r="E34" s="6" t="str">
        <f t="shared" si="8"/>
        <v>姑</v>
      </c>
      <c r="F34" s="202" t="str">
        <f t="shared" si="9"/>
        <v>姑oo</v>
      </c>
      <c r="G34">
        <f t="shared" si="10"/>
        <v>3</v>
      </c>
      <c r="H34" t="str">
        <f t="shared" si="11"/>
        <v>嬌iau、稽e、宮iong、高o、皆ai、根in、姜iang、甘am、瓜oa、江ang、兼iam、交au、伽ia、檜oe、葩a、龜u、箴om、璣i、丩iu</v>
      </c>
      <c r="J34" s="210" t="str">
        <f t="shared" si="12"/>
        <v>姑</v>
      </c>
      <c r="K34" s="211" t="str">
        <f t="shared" si="13"/>
        <v>oo</v>
      </c>
    </row>
    <row r="35" spans="2:11">
      <c r="B35" s="121" cm="1">
        <f t="array" ref="B35" xml:space="preserve"> ROW() - ROW($23:$23)</f>
        <v>12</v>
      </c>
      <c r="C35" s="6">
        <v>1</v>
      </c>
      <c r="D35" s="6">
        <f t="shared" si="7"/>
        <v>5</v>
      </c>
      <c r="E35" s="6" t="str">
        <f t="shared" si="8"/>
        <v>嬌</v>
      </c>
      <c r="F35" s="202" t="str">
        <f t="shared" si="9"/>
        <v>嬌iau</v>
      </c>
      <c r="G35">
        <f t="shared" si="10"/>
        <v>4</v>
      </c>
      <c r="H35" t="str">
        <f t="shared" si="11"/>
        <v>稽e、宮iong、高o、皆ai、根in、姜iang、甘am、瓜oa、江ang、兼iam、交au、伽ia、檜oe、葩a、龜u、箴om、璣i、丩iu</v>
      </c>
      <c r="J35" s="210" t="str">
        <f t="shared" si="12"/>
        <v>嬌</v>
      </c>
      <c r="K35" s="211" t="str">
        <f t="shared" si="13"/>
        <v>iau</v>
      </c>
    </row>
    <row r="36" spans="2:11">
      <c r="B36" s="121" cm="1">
        <f t="array" ref="B36" xml:space="preserve"> ROW() - ROW($23:$23)</f>
        <v>13</v>
      </c>
      <c r="C36" s="6">
        <v>1</v>
      </c>
      <c r="D36" s="6">
        <f t="shared" si="7"/>
        <v>3</v>
      </c>
      <c r="E36" s="6" t="str">
        <f t="shared" si="8"/>
        <v>稽</v>
      </c>
      <c r="F36" s="202" t="str">
        <f t="shared" si="9"/>
        <v>稽e</v>
      </c>
      <c r="G36">
        <f t="shared" si="10"/>
        <v>2</v>
      </c>
      <c r="H36" t="str">
        <f t="shared" si="11"/>
        <v>宮iong、高o、皆ai、根in、姜iang、甘am、瓜oa、江ang、兼iam、交au、伽ia、檜oe、葩a、龜u、箴om、璣i、丩iu</v>
      </c>
      <c r="J36" s="210" t="str">
        <f t="shared" si="12"/>
        <v>稽</v>
      </c>
      <c r="K36" s="211" t="str">
        <f t="shared" si="13"/>
        <v>e</v>
      </c>
    </row>
    <row r="37" spans="2:11">
      <c r="B37" s="121" cm="1">
        <f t="array" ref="B37" xml:space="preserve"> ROW() - ROW($23:$23)</f>
        <v>14</v>
      </c>
      <c r="C37" s="6">
        <v>1</v>
      </c>
      <c r="D37" s="6">
        <f t="shared" si="7"/>
        <v>6</v>
      </c>
      <c r="E37" s="6" t="str">
        <f t="shared" si="8"/>
        <v>宮</v>
      </c>
      <c r="F37" s="202" t="str">
        <f t="shared" si="9"/>
        <v>宮iong</v>
      </c>
      <c r="G37">
        <f t="shared" si="10"/>
        <v>5</v>
      </c>
      <c r="H37" t="str">
        <f t="shared" si="11"/>
        <v>高o、皆ai、根in、姜iang、甘am、瓜oa、江ang、兼iam、交au、伽ia、檜oe、葩a、龜u、箴om、璣i、丩iu</v>
      </c>
      <c r="J37" s="210" t="str">
        <f t="shared" si="12"/>
        <v>宮</v>
      </c>
      <c r="K37" s="211" t="str">
        <f t="shared" si="13"/>
        <v>iong</v>
      </c>
    </row>
    <row r="38" spans="2:11">
      <c r="B38" s="121" cm="1">
        <f t="array" ref="B38" xml:space="preserve"> ROW() - ROW($23:$23)</f>
        <v>15</v>
      </c>
      <c r="C38" s="6">
        <v>1</v>
      </c>
      <c r="D38" s="6">
        <f t="shared" si="7"/>
        <v>3</v>
      </c>
      <c r="E38" s="6" t="str">
        <f t="shared" si="8"/>
        <v>高</v>
      </c>
      <c r="F38" s="202" t="str">
        <f t="shared" si="9"/>
        <v>高o</v>
      </c>
      <c r="G38">
        <f t="shared" si="10"/>
        <v>2</v>
      </c>
      <c r="H38" t="str">
        <f t="shared" si="11"/>
        <v>皆ai、根in、姜iang、甘am、瓜oa、江ang、兼iam、交au、伽ia、檜oe、葩a、龜u、箴om、璣i、丩iu</v>
      </c>
      <c r="J38" s="210" t="str">
        <f t="shared" si="12"/>
        <v>高</v>
      </c>
      <c r="K38" s="211" t="str">
        <f t="shared" si="13"/>
        <v>o</v>
      </c>
    </row>
    <row r="39" spans="2:11">
      <c r="B39" s="121" cm="1">
        <f t="array" ref="B39" xml:space="preserve"> ROW() - ROW($23:$23)</f>
        <v>16</v>
      </c>
      <c r="C39" s="6">
        <v>1</v>
      </c>
      <c r="D39" s="6">
        <f t="shared" si="7"/>
        <v>4</v>
      </c>
      <c r="E39" s="6" t="str">
        <f t="shared" si="8"/>
        <v>皆</v>
      </c>
      <c r="F39" s="202" t="str">
        <f t="shared" si="9"/>
        <v>皆ai</v>
      </c>
      <c r="G39">
        <f t="shared" si="10"/>
        <v>3</v>
      </c>
      <c r="H39" t="str">
        <f t="shared" si="11"/>
        <v>根in、姜iang、甘am、瓜oa、江ang、兼iam、交au、伽ia、檜oe、葩a、龜u、箴om、璣i、丩iu</v>
      </c>
      <c r="J39" s="6" t="str">
        <f t="shared" si="12"/>
        <v>皆</v>
      </c>
      <c r="K39" s="24" t="str">
        <f t="shared" si="13"/>
        <v>ai</v>
      </c>
    </row>
    <row r="40" spans="2:11">
      <c r="B40" s="121" cm="1">
        <f t="array" ref="B40" xml:space="preserve"> ROW() - ROW($23:$23)</f>
        <v>17</v>
      </c>
      <c r="C40" s="6">
        <v>1</v>
      </c>
      <c r="D40" s="6">
        <f t="shared" si="7"/>
        <v>4</v>
      </c>
      <c r="E40" s="6" t="str">
        <f t="shared" si="8"/>
        <v>根</v>
      </c>
      <c r="F40" s="202" t="str">
        <f t="shared" si="9"/>
        <v>根in</v>
      </c>
      <c r="G40">
        <f t="shared" si="10"/>
        <v>3</v>
      </c>
      <c r="H40" t="str">
        <f t="shared" si="11"/>
        <v>姜iang、甘am、瓜oa、江ang、兼iam、交au、伽ia、檜oe、葩a、龜u、箴om、璣i、丩iu</v>
      </c>
      <c r="J40" s="6" t="str">
        <f t="shared" si="12"/>
        <v>根</v>
      </c>
      <c r="K40" s="24" t="str">
        <f t="shared" si="13"/>
        <v>in</v>
      </c>
    </row>
    <row r="41" spans="2:11">
      <c r="B41" s="121" cm="1">
        <f t="array" ref="B41" xml:space="preserve"> ROW() - ROW($23:$23)</f>
        <v>18</v>
      </c>
      <c r="C41" s="6">
        <v>1</v>
      </c>
      <c r="D41" s="6">
        <f t="shared" si="7"/>
        <v>6</v>
      </c>
      <c r="E41" s="6" t="str">
        <f t="shared" si="8"/>
        <v>姜</v>
      </c>
      <c r="F41" s="202" t="str">
        <f t="shared" si="9"/>
        <v>姜iang</v>
      </c>
      <c r="G41">
        <f t="shared" si="10"/>
        <v>5</v>
      </c>
      <c r="H41" t="str">
        <f t="shared" si="11"/>
        <v>甘am、瓜oa、江ang、兼iam、交au、伽ia、檜oe、葩a、龜u、箴om、璣i、丩iu</v>
      </c>
      <c r="J41" s="6" t="str">
        <f t="shared" si="12"/>
        <v>姜</v>
      </c>
      <c r="K41" s="24" t="str">
        <f t="shared" si="13"/>
        <v>iang</v>
      </c>
    </row>
    <row r="42" spans="2:11">
      <c r="B42" s="121" cm="1">
        <f t="array" ref="B42" xml:space="preserve"> ROW() - ROW($23:$23)</f>
        <v>19</v>
      </c>
      <c r="C42" s="6">
        <v>1</v>
      </c>
      <c r="D42" s="6">
        <f t="shared" si="7"/>
        <v>4</v>
      </c>
      <c r="E42" s="6" t="str">
        <f t="shared" si="8"/>
        <v>甘</v>
      </c>
      <c r="F42" s="202" t="str">
        <f t="shared" si="9"/>
        <v>甘am</v>
      </c>
      <c r="G42">
        <f t="shared" si="10"/>
        <v>3</v>
      </c>
      <c r="H42" t="str">
        <f t="shared" si="11"/>
        <v>瓜oa、江ang、兼iam、交au、伽ia、檜oe、葩a、龜u、箴om、璣i、丩iu</v>
      </c>
      <c r="J42" s="6" t="str">
        <f t="shared" si="12"/>
        <v>甘</v>
      </c>
      <c r="K42" s="24" t="str">
        <f t="shared" si="13"/>
        <v>am</v>
      </c>
    </row>
    <row r="43" spans="2:11">
      <c r="B43" s="121" cm="1">
        <f t="array" ref="B43" xml:space="preserve"> ROW() - ROW($23:$23)</f>
        <v>20</v>
      </c>
      <c r="C43" s="6">
        <v>1</v>
      </c>
      <c r="D43" s="6">
        <f t="shared" si="7"/>
        <v>4</v>
      </c>
      <c r="E43" s="6" t="str">
        <f t="shared" si="8"/>
        <v>瓜</v>
      </c>
      <c r="F43" s="202" t="str">
        <f t="shared" si="9"/>
        <v>瓜oa</v>
      </c>
      <c r="G43">
        <f t="shared" si="10"/>
        <v>3</v>
      </c>
      <c r="H43" t="str">
        <f t="shared" si="11"/>
        <v>江ang、兼iam、交au、伽ia、檜oe、葩a、龜u、箴om、璣i、丩iu</v>
      </c>
      <c r="J43" s="6" t="str">
        <f t="shared" si="12"/>
        <v>瓜</v>
      </c>
      <c r="K43" s="24" t="str">
        <f t="shared" si="13"/>
        <v>oa</v>
      </c>
    </row>
    <row r="44" spans="2:11">
      <c r="B44" s="121" cm="1">
        <f t="array" ref="B44" xml:space="preserve"> ROW() - ROW($23:$23)</f>
        <v>21</v>
      </c>
      <c r="C44" s="6">
        <v>1</v>
      </c>
      <c r="D44" s="6">
        <f t="shared" si="7"/>
        <v>5</v>
      </c>
      <c r="E44" s="6" t="str">
        <f t="shared" si="8"/>
        <v>江</v>
      </c>
      <c r="F44" s="202" t="str">
        <f t="shared" si="9"/>
        <v>江ang</v>
      </c>
      <c r="G44">
        <f t="shared" si="10"/>
        <v>4</v>
      </c>
      <c r="H44" t="str">
        <f t="shared" si="11"/>
        <v>兼iam、交au、伽ia、檜oe、葩a、龜u、箴om、璣i、丩iu</v>
      </c>
      <c r="J44" s="210" t="str">
        <f t="shared" si="12"/>
        <v>江</v>
      </c>
      <c r="K44" s="211" t="str">
        <f t="shared" si="13"/>
        <v>ang</v>
      </c>
    </row>
    <row r="45" spans="2:11">
      <c r="B45" s="121" cm="1">
        <f t="array" ref="B45" xml:space="preserve"> ROW() - ROW($23:$23)</f>
        <v>22</v>
      </c>
      <c r="C45" s="6">
        <v>1</v>
      </c>
      <c r="D45" s="6">
        <f t="shared" si="7"/>
        <v>5</v>
      </c>
      <c r="E45" s="6" t="str">
        <f t="shared" si="8"/>
        <v>兼</v>
      </c>
      <c r="F45" s="202" t="str">
        <f t="shared" si="9"/>
        <v>兼iam</v>
      </c>
      <c r="G45">
        <f t="shared" si="10"/>
        <v>4</v>
      </c>
      <c r="H45" t="str">
        <f t="shared" si="11"/>
        <v>交au、伽ia、檜oe、葩a、龜u、箴om、璣i、丩iu</v>
      </c>
      <c r="J45" s="210" t="str">
        <f t="shared" si="12"/>
        <v>兼</v>
      </c>
      <c r="K45" s="211" t="str">
        <f t="shared" si="13"/>
        <v>iam</v>
      </c>
    </row>
    <row r="46" spans="2:11">
      <c r="B46" s="121" cm="1">
        <f t="array" ref="B46" xml:space="preserve"> ROW() - ROW($23:$23)</f>
        <v>23</v>
      </c>
      <c r="C46" s="6">
        <v>1</v>
      </c>
      <c r="D46" s="6">
        <f t="shared" si="7"/>
        <v>4</v>
      </c>
      <c r="E46" s="6" t="str">
        <f t="shared" si="8"/>
        <v>交</v>
      </c>
      <c r="F46" s="202" t="str">
        <f t="shared" si="9"/>
        <v>交au</v>
      </c>
      <c r="G46">
        <f t="shared" si="10"/>
        <v>3</v>
      </c>
      <c r="H46" t="str">
        <f t="shared" si="11"/>
        <v>伽ia、檜oe、葩a、龜u、箴om、璣i、丩iu</v>
      </c>
      <c r="J46" s="210" t="str">
        <f t="shared" si="12"/>
        <v>交</v>
      </c>
      <c r="K46" s="211" t="str">
        <f t="shared" si="13"/>
        <v>au</v>
      </c>
    </row>
    <row r="47" spans="2:11">
      <c r="B47" s="121" cm="1">
        <f t="array" ref="B47" xml:space="preserve"> ROW() - ROW($23:$23)</f>
        <v>24</v>
      </c>
      <c r="C47" s="6">
        <v>1</v>
      </c>
      <c r="D47" s="6">
        <f t="shared" si="7"/>
        <v>4</v>
      </c>
      <c r="E47" s="6" t="str">
        <f t="shared" si="8"/>
        <v>伽</v>
      </c>
      <c r="F47" s="202" t="str">
        <f t="shared" si="9"/>
        <v>伽ia</v>
      </c>
      <c r="G47">
        <f t="shared" si="10"/>
        <v>3</v>
      </c>
      <c r="H47" t="str">
        <f t="shared" si="11"/>
        <v>檜oe、葩a、龜u、箴om、璣i、丩iu</v>
      </c>
      <c r="J47" s="210" t="str">
        <f t="shared" si="12"/>
        <v>伽</v>
      </c>
      <c r="K47" s="211" t="str">
        <f t="shared" si="13"/>
        <v>ia</v>
      </c>
    </row>
    <row r="48" spans="2:11">
      <c r="B48" s="121" cm="1">
        <f t="array" ref="B48" xml:space="preserve"> ROW() - ROW($23:$23)</f>
        <v>25</v>
      </c>
      <c r="C48" s="6">
        <v>1</v>
      </c>
      <c r="D48" s="6">
        <f t="shared" si="7"/>
        <v>4</v>
      </c>
      <c r="E48" s="6" t="str">
        <f t="shared" si="8"/>
        <v>檜</v>
      </c>
      <c r="F48" s="202" t="str">
        <f t="shared" si="9"/>
        <v>檜oe</v>
      </c>
      <c r="G48">
        <f t="shared" si="10"/>
        <v>3</v>
      </c>
      <c r="H48" t="str">
        <f t="shared" si="11"/>
        <v>葩a、龜u、箴om、璣i、丩iu</v>
      </c>
      <c r="J48" s="210" t="str">
        <f t="shared" si="12"/>
        <v>檜</v>
      </c>
      <c r="K48" s="211" t="str">
        <f t="shared" si="13"/>
        <v>oe</v>
      </c>
    </row>
    <row r="49" spans="2:11">
      <c r="B49" s="121" cm="1">
        <f t="array" ref="B49" xml:space="preserve"> ROW() - ROW($23:$23)</f>
        <v>26</v>
      </c>
      <c r="C49" s="6">
        <v>1</v>
      </c>
      <c r="D49" s="6">
        <f t="shared" si="7"/>
        <v>3</v>
      </c>
      <c r="E49" s="6" t="str">
        <f t="shared" si="8"/>
        <v>葩</v>
      </c>
      <c r="F49" s="202" t="str">
        <f t="shared" si="9"/>
        <v>葩a</v>
      </c>
      <c r="G49">
        <f t="shared" si="10"/>
        <v>2</v>
      </c>
      <c r="H49" t="str">
        <f t="shared" si="11"/>
        <v>龜u、箴om、璣i、丩iu</v>
      </c>
      <c r="J49" s="6" t="str">
        <f t="shared" si="12"/>
        <v>葩</v>
      </c>
      <c r="K49" s="24" t="str">
        <f t="shared" si="13"/>
        <v>a</v>
      </c>
    </row>
    <row r="50" spans="2:11">
      <c r="B50" s="121" cm="1">
        <f t="array" ref="B50" xml:space="preserve"> ROW() - ROW($23:$23)</f>
        <v>27</v>
      </c>
      <c r="C50" s="6">
        <v>1</v>
      </c>
      <c r="D50" s="6">
        <f t="shared" si="7"/>
        <v>3</v>
      </c>
      <c r="E50" s="6" t="str">
        <f t="shared" si="8"/>
        <v>龜</v>
      </c>
      <c r="F50" s="202" t="str">
        <f t="shared" si="9"/>
        <v>龜u</v>
      </c>
      <c r="G50">
        <f t="shared" si="10"/>
        <v>2</v>
      </c>
      <c r="H50" t="str">
        <f t="shared" si="11"/>
        <v>箴om、璣i、丩iu</v>
      </c>
      <c r="J50" s="6" t="str">
        <f t="shared" si="12"/>
        <v>龜</v>
      </c>
      <c r="K50" s="24" t="str">
        <f t="shared" si="13"/>
        <v>u</v>
      </c>
    </row>
    <row r="51" spans="2:11">
      <c r="B51" s="121" cm="1">
        <f t="array" ref="B51" xml:space="preserve"> ROW() - ROW($23:$23)</f>
        <v>28</v>
      </c>
      <c r="C51" s="6">
        <v>1</v>
      </c>
      <c r="D51" s="6">
        <f t="shared" si="7"/>
        <v>4</v>
      </c>
      <c r="E51" s="6" t="str">
        <f t="shared" si="8"/>
        <v>箴</v>
      </c>
      <c r="F51" s="202" t="str">
        <f t="shared" si="9"/>
        <v>箴om</v>
      </c>
      <c r="G51">
        <f t="shared" si="10"/>
        <v>3</v>
      </c>
      <c r="H51" t="str">
        <f t="shared" si="11"/>
        <v>璣i、丩iu</v>
      </c>
      <c r="J51" s="6" t="str">
        <f t="shared" si="12"/>
        <v>箴</v>
      </c>
      <c r="K51" s="24" t="str">
        <f t="shared" si="13"/>
        <v>om</v>
      </c>
    </row>
    <row r="52" spans="2:11">
      <c r="B52" s="121" cm="1">
        <f t="array" ref="B52" xml:space="preserve"> ROW() - ROW($23:$23)</f>
        <v>29</v>
      </c>
      <c r="C52" s="6">
        <v>1</v>
      </c>
      <c r="D52" s="6">
        <f t="shared" si="7"/>
        <v>3</v>
      </c>
      <c r="E52" s="6" t="str">
        <f t="shared" si="8"/>
        <v>璣</v>
      </c>
      <c r="F52" s="202" t="str">
        <f t="shared" si="9"/>
        <v>璣i</v>
      </c>
      <c r="G52">
        <f t="shared" si="10"/>
        <v>2</v>
      </c>
      <c r="H52" t="str">
        <f t="shared" si="11"/>
        <v>丩iu</v>
      </c>
      <c r="J52" s="6" t="str">
        <f t="shared" si="12"/>
        <v>璣</v>
      </c>
      <c r="K52" s="24" t="str">
        <f t="shared" si="13"/>
        <v>i</v>
      </c>
    </row>
    <row r="53" spans="2:11">
      <c r="B53" s="121" cm="1">
        <f t="array" ref="B53" xml:space="preserve"> ROW() - ROW($23:$23)</f>
        <v>30</v>
      </c>
      <c r="C53" s="6">
        <v>1</v>
      </c>
      <c r="D53" s="6" t="str">
        <f t="shared" si="7"/>
        <v/>
      </c>
      <c r="E53" s="6" t="str">
        <f t="shared" si="8"/>
        <v>丩</v>
      </c>
      <c r="F53" s="202" t="str">
        <f t="shared" si="9"/>
        <v>丩iu</v>
      </c>
      <c r="G53">
        <f t="shared" si="10"/>
        <v>3</v>
      </c>
      <c r="H53" t="str">
        <f t="shared" si="11"/>
        <v/>
      </c>
      <c r="J53" s="6" t="str">
        <f xml:space="preserve"> LEFT(F53,1)</f>
        <v>丩</v>
      </c>
      <c r="K53" s="24" t="str">
        <f xml:space="preserve"> RIGHT(F53, LEN(F53)-1)</f>
        <v>iu</v>
      </c>
    </row>
    <row r="54" spans="2:11">
      <c r="B54" s="6" cm="1">
        <f t="array" ref="B54" xml:space="preserve"> ROW() - ROW($23:$23)</f>
        <v>31</v>
      </c>
      <c r="C54" s="6">
        <v>1</v>
      </c>
      <c r="D54" s="6" t="str">
        <f t="shared" si="7"/>
        <v/>
      </c>
      <c r="E54" s="6" t="str">
        <f t="shared" si="8"/>
        <v/>
      </c>
      <c r="F54" s="202" t="str">
        <f t="shared" si="9"/>
        <v/>
      </c>
      <c r="G54">
        <f t="shared" si="10"/>
        <v>0</v>
      </c>
      <c r="H54" t="str">
        <f t="shared" si="11"/>
        <v/>
      </c>
    </row>
    <row r="55" spans="2:11">
      <c r="B55" s="6" cm="1">
        <f t="array" ref="B55" xml:space="preserve"> ROW() - ROW($23:$23)</f>
        <v>32</v>
      </c>
      <c r="C55" s="6">
        <v>1</v>
      </c>
      <c r="D55" s="6" t="str">
        <f t="shared" si="7"/>
        <v/>
      </c>
      <c r="E55" s="6" t="str">
        <f t="shared" si="8"/>
        <v/>
      </c>
      <c r="F55" s="202" t="str">
        <f t="shared" si="9"/>
        <v/>
      </c>
      <c r="G55">
        <f t="shared" si="10"/>
        <v>0</v>
      </c>
      <c r="H55" t="str">
        <f t="shared" si="11"/>
        <v/>
      </c>
    </row>
    <row r="56" spans="2:11">
      <c r="B56" s="6" cm="1">
        <f t="array" ref="B56" xml:space="preserve"> ROW() - ROW($23:$23)</f>
        <v>33</v>
      </c>
      <c r="C56" s="6">
        <v>1</v>
      </c>
      <c r="D56" s="6" t="str">
        <f t="shared" si="7"/>
        <v/>
      </c>
      <c r="E56" s="6" t="str">
        <f t="shared" si="8"/>
        <v/>
      </c>
      <c r="F56" s="202" t="str">
        <f t="shared" si="9"/>
        <v/>
      </c>
      <c r="G56">
        <f t="shared" si="10"/>
        <v>0</v>
      </c>
      <c r="H56" t="str">
        <f t="shared" si="11"/>
        <v/>
      </c>
    </row>
    <row r="57" spans="2:11">
      <c r="B57" s="6" cm="1">
        <f t="array" ref="B57" xml:space="preserve"> ROW() - ROW($23:$23)</f>
        <v>34</v>
      </c>
      <c r="C57" s="6">
        <v>1</v>
      </c>
      <c r="D57" s="6" t="str">
        <f t="shared" si="7"/>
        <v/>
      </c>
      <c r="E57" s="6" t="str">
        <f t="shared" si="8"/>
        <v/>
      </c>
      <c r="F57" s="202" t="str">
        <f t="shared" si="9"/>
        <v/>
      </c>
      <c r="G57">
        <f t="shared" si="10"/>
        <v>0</v>
      </c>
      <c r="H57" t="str">
        <f t="shared" si="11"/>
        <v/>
      </c>
    </row>
    <row r="58" spans="2:11">
      <c r="B58" s="6" cm="1">
        <f t="array" ref="B58" xml:space="preserve"> ROW() - ROW($23:$23)</f>
        <v>35</v>
      </c>
      <c r="C58" s="6">
        <v>1</v>
      </c>
      <c r="D58" s="6" t="str">
        <f t="shared" si="7"/>
        <v/>
      </c>
      <c r="E58" s="6" t="str">
        <f t="shared" si="8"/>
        <v/>
      </c>
      <c r="F58" s="202" t="str">
        <f t="shared" si="9"/>
        <v/>
      </c>
      <c r="G58">
        <f t="shared" si="10"/>
        <v>0</v>
      </c>
      <c r="H58" t="str">
        <f t="shared" si="11"/>
        <v/>
      </c>
    </row>
    <row r="59" spans="2:11">
      <c r="B59" s="6" cm="1">
        <f t="array" ref="B59" xml:space="preserve"> ROW() - ROW($23:$23)</f>
        <v>36</v>
      </c>
      <c r="C59" s="6">
        <v>1</v>
      </c>
      <c r="D59" s="6" t="str">
        <f t="shared" si="7"/>
        <v/>
      </c>
      <c r="E59" s="6" t="str">
        <f t="shared" si="8"/>
        <v/>
      </c>
      <c r="F59" s="202" t="str">
        <f t="shared" si="9"/>
        <v/>
      </c>
      <c r="G59">
        <f t="shared" si="10"/>
        <v>0</v>
      </c>
      <c r="H59" t="str">
        <f t="shared" si="11"/>
        <v/>
      </c>
    </row>
    <row r="60" spans="2:11">
      <c r="B60" s="6" cm="1">
        <f t="array" ref="B60" xml:space="preserve"> ROW() - ROW($23:$23)</f>
        <v>37</v>
      </c>
      <c r="C60" s="6">
        <v>1</v>
      </c>
      <c r="D60" s="6" t="str">
        <f t="shared" si="7"/>
        <v/>
      </c>
      <c r="E60" s="6" t="str">
        <f t="shared" si="8"/>
        <v/>
      </c>
      <c r="F60" s="202" t="str">
        <f t="shared" si="9"/>
        <v/>
      </c>
      <c r="G60">
        <f t="shared" si="10"/>
        <v>0</v>
      </c>
      <c r="H60" t="str">
        <f t="shared" si="11"/>
        <v/>
      </c>
    </row>
    <row r="61" spans="2:11">
      <c r="B61" s="6" cm="1">
        <f t="array" ref="B61" xml:space="preserve"> ROW() - ROW($23:$23)</f>
        <v>38</v>
      </c>
      <c r="C61" s="6">
        <v>1</v>
      </c>
      <c r="D61" s="6" t="str">
        <f t="shared" si="7"/>
        <v/>
      </c>
      <c r="E61" s="6" t="str">
        <f t="shared" si="8"/>
        <v/>
      </c>
      <c r="F61" s="202" t="str">
        <f t="shared" si="9"/>
        <v/>
      </c>
      <c r="G61">
        <f t="shared" si="10"/>
        <v>0</v>
      </c>
      <c r="H61" t="str">
        <f t="shared" si="11"/>
        <v/>
      </c>
    </row>
    <row r="62" spans="2:11">
      <c r="B62" s="6" cm="1">
        <f t="array" ref="B62" xml:space="preserve"> ROW() - ROW($23:$23)</f>
        <v>39</v>
      </c>
      <c r="C62" s="6">
        <v>1</v>
      </c>
      <c r="D62" s="6" t="str">
        <f t="shared" si="7"/>
        <v/>
      </c>
      <c r="E62" s="6" t="str">
        <f t="shared" si="8"/>
        <v/>
      </c>
      <c r="F62" s="202" t="str">
        <f t="shared" si="9"/>
        <v/>
      </c>
      <c r="G62">
        <f t="shared" si="10"/>
        <v>0</v>
      </c>
      <c r="H62" t="str">
        <f t="shared" si="11"/>
        <v/>
      </c>
    </row>
    <row r="63" spans="2:11">
      <c r="B63" s="6" cm="1">
        <f t="array" ref="B63" xml:space="preserve"> ROW() - ROW($23:$23)</f>
        <v>40</v>
      </c>
      <c r="C63" s="6">
        <v>1</v>
      </c>
      <c r="D63" s="6" t="str">
        <f t="shared" si="7"/>
        <v/>
      </c>
      <c r="E63" s="6" t="str">
        <f t="shared" si="8"/>
        <v/>
      </c>
      <c r="F63" s="202" t="str">
        <f t="shared" si="9"/>
        <v/>
      </c>
      <c r="G63">
        <f t="shared" si="10"/>
        <v>0</v>
      </c>
      <c r="H63" t="str">
        <f t="shared" si="11"/>
        <v/>
      </c>
    </row>
    <row r="64" spans="2:11">
      <c r="B64" s="6" cm="1">
        <f t="array" ref="B64" xml:space="preserve"> ROW() - ROW($23:$23)</f>
        <v>41</v>
      </c>
    </row>
    <row r="65" spans="2:2">
      <c r="B65" s="6" cm="1">
        <f t="array" ref="B65" xml:space="preserve"> ROW() - ROW($23:$23)</f>
        <v>42</v>
      </c>
    </row>
    <row r="66" spans="2:2">
      <c r="B66" s="6" cm="1">
        <f t="array" ref="B66" xml:space="preserve"> ROW() - ROW($23:$23)</f>
        <v>43</v>
      </c>
    </row>
    <row r="67" spans="2:2">
      <c r="B67" s="6" cm="1">
        <f t="array" ref="B67" xml:space="preserve"> ROW() - ROW($23:$23)</f>
        <v>44</v>
      </c>
    </row>
    <row r="68" spans="2:2">
      <c r="B68" s="6" cm="1">
        <f t="array" ref="B68" xml:space="preserve"> ROW() - ROW($23:$23)</f>
        <v>45</v>
      </c>
    </row>
    <row r="69" spans="2:2">
      <c r="B69" s="6" cm="1">
        <f t="array" ref="B69" xml:space="preserve"> ROW() - ROW($23:$23)</f>
        <v>46</v>
      </c>
    </row>
    <row r="70" spans="2:2">
      <c r="B70" s="6" cm="1">
        <f t="array" ref="B70" xml:space="preserve"> ROW() - ROW($23:$23)</f>
        <v>47</v>
      </c>
    </row>
    <row r="71" spans="2:2">
      <c r="B71" s="6" cm="1">
        <f t="array" ref="B71" xml:space="preserve"> ROW() - ROW($23:$23)</f>
        <v>48</v>
      </c>
    </row>
    <row r="72" spans="2:2">
      <c r="B72" s="6" cm="1">
        <f t="array" ref="B72" xml:space="preserve"> ROW() - ROW($23:$23)</f>
        <v>49</v>
      </c>
    </row>
    <row r="73" spans="2:2">
      <c r="B73" s="6" cm="1">
        <f t="array" ref="B73" xml:space="preserve"> ROW() - ROW($23:$23)</f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40</vt:i4>
      </vt:variant>
      <vt:variant>
        <vt:lpstr>具名範圍</vt:lpstr>
      </vt:variant>
      <vt:variant>
        <vt:i4>31</vt:i4>
      </vt:variant>
    </vt:vector>
  </HeadingPairs>
  <TitlesOfParts>
    <vt:vector size="71" baseType="lpstr">
      <vt:lpstr>聲母碼</vt:lpstr>
      <vt:lpstr>韻母碼</vt:lpstr>
      <vt:lpstr>調號表</vt:lpstr>
      <vt:lpstr>十五音-聲母</vt:lpstr>
      <vt:lpstr>十五音-韻母</vt:lpstr>
      <vt:lpstr>十五音-韻母八音反切</vt:lpstr>
      <vt:lpstr>十五音聲母清單</vt:lpstr>
      <vt:lpstr>十五音韻母清單</vt:lpstr>
      <vt:lpstr>台語十五音-聲母（切音）</vt:lpstr>
      <vt:lpstr>彙音妙悟-韻母 (字祖)</vt:lpstr>
      <vt:lpstr>台語彙音-韻母 (字祖)</vt:lpstr>
      <vt:lpstr>台語十五音-。韻母 (字祖)</vt:lpstr>
      <vt:lpstr>彙音寶鑑-韻母 (字祖)</vt:lpstr>
      <vt:lpstr>十五音聲母排序</vt:lpstr>
      <vt:lpstr>台羅韻母排序</vt:lpstr>
      <vt:lpstr>閩拼-聲母</vt:lpstr>
      <vt:lpstr>閩拼-韻母</vt:lpstr>
      <vt:lpstr>閩拼-聲調</vt:lpstr>
      <vt:lpstr>閩拼-韻母八音反切</vt:lpstr>
      <vt:lpstr>方音聲母排序</vt:lpstr>
      <vt:lpstr>方音韻母排序</vt:lpstr>
      <vt:lpstr>方音-音節表</vt:lpstr>
      <vt:lpstr>台語ㄅㄆㄇ-聲母碼</vt:lpstr>
      <vt:lpstr>台語ㄅㄆㄇ-韻母碼</vt:lpstr>
      <vt:lpstr>台語ㄅㄆㄇ轉換對照表</vt:lpstr>
      <vt:lpstr>韻母碼 (台羅)</vt:lpstr>
      <vt:lpstr>十五音-聲母(BoPoMo)</vt:lpstr>
      <vt:lpstr>十五音韻母比較表</vt:lpstr>
      <vt:lpstr>方音-聲母</vt:lpstr>
      <vt:lpstr>方音-韻母</vt:lpstr>
      <vt:lpstr>方音．組合韻母表</vt:lpstr>
      <vt:lpstr>方音符號表</vt:lpstr>
      <vt:lpstr>方音符號．鍵盤</vt:lpstr>
      <vt:lpstr>聲母對照表（舊）</vt:lpstr>
      <vt:lpstr>韻母對照表（舊）</vt:lpstr>
      <vt:lpstr>白話字-音節表</vt:lpstr>
      <vt:lpstr>白話字-韻母八音反切</vt:lpstr>
      <vt:lpstr>台羅拼音-音節表</vt:lpstr>
      <vt:lpstr>台羅-韻母八音反切</vt:lpstr>
      <vt:lpstr>增補彙音</vt:lpstr>
      <vt:lpstr>韻母碼!Criteria</vt:lpstr>
      <vt:lpstr>韻母碼!Extract</vt:lpstr>
      <vt:lpstr>十五音聲母</vt:lpstr>
      <vt:lpstr>'台語十五音-。韻母 (字祖)'!十五音韻母</vt:lpstr>
      <vt:lpstr>十五音韻母</vt:lpstr>
      <vt:lpstr>'台語十五音-。韻母 (字祖)'!十五音韻母對照表</vt:lpstr>
      <vt:lpstr>十五音韻母對照表</vt:lpstr>
      <vt:lpstr>方音入聲韻母</vt:lpstr>
      <vt:lpstr>方音舒聲韻母</vt:lpstr>
      <vt:lpstr>台羅入聲韻母</vt:lpstr>
      <vt:lpstr>台羅舒聲韻母</vt:lpstr>
      <vt:lpstr>'韻母碼 (台羅)'!台羅韻母</vt:lpstr>
      <vt:lpstr>台羅韻母八音反切</vt:lpstr>
      <vt:lpstr>白話字入聲韻母</vt:lpstr>
      <vt:lpstr>白話字舒聲韻母</vt:lpstr>
      <vt:lpstr>國際音標入聲韻母</vt:lpstr>
      <vt:lpstr>國際音標舒聲韻母</vt:lpstr>
      <vt:lpstr>麥氏都入聲韻母</vt:lpstr>
      <vt:lpstr>麥氏舒聲韻母</vt:lpstr>
      <vt:lpstr>閩拼入聲韻母</vt:lpstr>
      <vt:lpstr>閩拼舒聲韻母</vt:lpstr>
      <vt:lpstr>閩拼聲母</vt:lpstr>
      <vt:lpstr>'韻母碼 (台羅)'!閩拼韻母</vt:lpstr>
      <vt:lpstr>聲母碼</vt:lpstr>
      <vt:lpstr>聲母碼表</vt:lpstr>
      <vt:lpstr>韻母入聲碼</vt:lpstr>
      <vt:lpstr>韻母國際音標</vt:lpstr>
      <vt:lpstr>韻母舒聲碼</vt:lpstr>
      <vt:lpstr>韻母對照表</vt:lpstr>
      <vt:lpstr>'韻母碼 (台羅)'!韻母碼表</vt:lpstr>
      <vt:lpstr>韻母碼表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居正中</dc:creator>
  <cp:keywords/>
  <dc:description/>
  <cp:lastModifiedBy>居正中</cp:lastModifiedBy>
  <cp:revision/>
  <dcterms:created xsi:type="dcterms:W3CDTF">2022-09-19T01:33:33Z</dcterms:created>
  <dcterms:modified xsi:type="dcterms:W3CDTF">2023-08-14T08:29:51Z</dcterms:modified>
  <cp:category/>
  <cp:contentStatus/>
</cp:coreProperties>
</file>