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A12F442D-D4CE-47AD-B7BD-0B2C00703711}" xr6:coauthVersionLast="47" xr6:coauthVersionMax="47" xr10:uidLastSave="{00000000-0000-0000-0000-000000000000}"/>
  <bookViews>
    <workbookView xWindow="-120" yWindow="-120" windowWidth="38640" windowHeight="15720" tabRatio="762" activeTab="1" xr2:uid="{E87E5C8B-EACA-42E9-8621-62DDB8F02212}"/>
  </bookViews>
  <sheets>
    <sheet name="原鍵盤設計" sheetId="16" r:id="rId1"/>
    <sheet name="注音編碼對照表" sheetId="12" r:id="rId2"/>
    <sheet name="鍵盤設計" sheetId="5" r:id="rId3"/>
    <sheet name="注音符號、電腦鍵盤與音標編碼" sheetId="4" r:id="rId4"/>
    <sheet name="RIME設定解析" sheetId="10" r:id="rId5"/>
    <sheet name="台語方音字典編碼" sheetId="3" r:id="rId6"/>
    <sheet name="RIME對映編碼 (台語方音)" sheetId="1" r:id="rId7"/>
    <sheet name=" 所有入聲韻" sheetId="15" r:id="rId8"/>
    <sheet name="使用按鍵解析" sheetId="9" r:id="rId9"/>
    <sheet name="參考鍵盤" sheetId="2" r:id="rId10"/>
    <sheet name="方音符號" sheetId="7" r:id="rId11"/>
    <sheet name="方音聲母" sheetId="13" r:id="rId12"/>
    <sheet name="方音韻母" sheetId="14" r:id="rId13"/>
  </sheets>
  <externalReferences>
    <externalReference r:id="rId14"/>
    <externalReference r:id="rId15"/>
  </externalReferences>
  <definedNames>
    <definedName name="_xlnm._FilterDatabase" localSheetId="4" hidden="1">RIME設定解析!$Z$2:$AE$58</definedName>
    <definedName name="_xlnm._FilterDatabase" localSheetId="10" hidden="1">方音符號!$Q$2:$U$54</definedName>
    <definedName name="_xlnm._FilterDatabase" localSheetId="3" hidden="1">'注音符號、電腦鍵盤與音標編碼'!$B$2:$K$56</definedName>
    <definedName name="方音符號" localSheetId="4">RIME設定解析!$W$3:$W$53</definedName>
    <definedName name="方音符號" localSheetId="6">'RIME對映編碼 (台語方音)'!$U$3:$U$44</definedName>
    <definedName name="方音符號" localSheetId="10">#REF!</definedName>
    <definedName name="方音符號" localSheetId="3">#REF!</definedName>
    <definedName name="方音符號" localSheetId="2">#REF!</definedName>
    <definedName name="方音符號">[1]RIME編碼!$AA$3:$AA$45</definedName>
    <definedName name="字典編碼" localSheetId="10">#REF!</definedName>
    <definedName name="字典編碼" localSheetId="3">#REF!</definedName>
    <definedName name="字典編碼" localSheetId="2">#REF!</definedName>
    <definedName name="字典編碼">[1]RIME編碼!$AB$3:$AB$45</definedName>
    <definedName name="注音符號" localSheetId="4">RIME設定解析!$W$3:$W$53</definedName>
    <definedName name="注音符號" localSheetId="10">#REF!</definedName>
    <definedName name="注音符號">#REF!</definedName>
    <definedName name="注音編碼" localSheetId="4">RIME設定解析!$V$3:$V$53</definedName>
    <definedName name="注音編碼" localSheetId="8">[2]RIME設定解析!$W$3:$W$54</definedName>
    <definedName name="注音編碼">#REF!</definedName>
    <definedName name="拼音字母" localSheetId="4">RIME設定解析!$X$3:$X$53</definedName>
    <definedName name="拼音字母" localSheetId="6">'RIME對映編碼 (台語方音)'!#REF!</definedName>
    <definedName name="拼音字母" localSheetId="10">#REF!</definedName>
    <definedName name="拼音字母" localSheetId="3">#REF!</definedName>
    <definedName name="拼音字母" localSheetId="2">#REF!</definedName>
    <definedName name="拼音字母">[1]RIME編碼!$AC$3:$AC$45</definedName>
    <definedName name="按鍵編碼" localSheetId="4">RIME設定解析!$V$3:$V$53</definedName>
    <definedName name="按鍵編碼" localSheetId="6">'RIME對映編碼 (台語方音)'!$T$3:$T$44</definedName>
    <definedName name="國際音標" localSheetId="6">'RIME對映編碼 (台語方音)'!#REF!</definedName>
    <definedName name="鍵盤位置" localSheetId="4">RIME設定解析!$U$3:$U$53</definedName>
    <definedName name="鍵盤位置" localSheetId="6">'RIME對映編碼 (台語方音)'!$S$3:$S$44</definedName>
    <definedName name="鍵盤位置" localSheetId="10">#REF!</definedName>
    <definedName name="鍵盤位置" localSheetId="3">#REF!</definedName>
    <definedName name="鍵盤位置" localSheetId="2">#REF!</definedName>
    <definedName name="鍵盤位置">[1]RIME編碼!$W$3:$W$40</definedName>
    <definedName name="鍵盤按鍵" localSheetId="4">RIME設定解析!$U$3:$U$53</definedName>
    <definedName name="鍵盤按鍵" localSheetId="8">[2]RIME設定解析!$U$3:$U$54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R5" i="5" l="1" a="1"/>
  <c r="BR5" i="5" s="1"/>
  <c r="BR6" i="5" a="1"/>
  <c r="BR6" i="5" s="1"/>
  <c r="BR7" i="5" a="1"/>
  <c r="BR7" i="5" s="1"/>
  <c r="BR8" i="5" a="1"/>
  <c r="BR8" i="5" s="1"/>
  <c r="BR9" i="5" a="1"/>
  <c r="BR9" i="5" s="1"/>
  <c r="BR10" i="5" a="1"/>
  <c r="BR10" i="5" s="1"/>
  <c r="BR11" i="5" a="1"/>
  <c r="BR11" i="5" s="1"/>
  <c r="BR12" i="5" a="1"/>
  <c r="BR12" i="5" s="1"/>
  <c r="BR13" i="5" a="1"/>
  <c r="BR13" i="5" s="1"/>
  <c r="BR14" i="5" a="1"/>
  <c r="BR14" i="5" s="1"/>
  <c r="BR15" i="5" a="1"/>
  <c r="BR15" i="5" s="1"/>
  <c r="BR16" i="5" a="1"/>
  <c r="BR16" i="5" s="1"/>
  <c r="BR17" i="5" a="1"/>
  <c r="BR17" i="5" s="1"/>
  <c r="BR18" i="5" a="1"/>
  <c r="BR18" i="5" s="1"/>
  <c r="BR19" i="5" a="1"/>
  <c r="BR19" i="5" s="1"/>
  <c r="BR20" i="5" a="1"/>
  <c r="BR20" i="5" s="1"/>
  <c r="BR21" i="5" a="1"/>
  <c r="BR21" i="5" s="1"/>
  <c r="BR22" i="5" a="1"/>
  <c r="BR22" i="5" s="1"/>
  <c r="BR23" i="5" a="1"/>
  <c r="BR23" i="5" s="1"/>
  <c r="BR24" i="5" a="1"/>
  <c r="BR24" i="5" s="1"/>
  <c r="BR25" i="5" a="1"/>
  <c r="BR25" i="5" s="1"/>
  <c r="BR26" i="5" a="1"/>
  <c r="BR26" i="5" s="1"/>
  <c r="BR27" i="5" a="1"/>
  <c r="BR27" i="5" s="1"/>
  <c r="BR28" i="5" a="1"/>
  <c r="BR28" i="5" s="1"/>
  <c r="BR29" i="5" a="1"/>
  <c r="BR29" i="5" s="1"/>
  <c r="BR30" i="5" a="1"/>
  <c r="BR30" i="5" s="1"/>
  <c r="BR31" i="5" a="1"/>
  <c r="BR31" i="5" s="1"/>
  <c r="BR32" i="5" a="1"/>
  <c r="BR32" i="5" s="1"/>
  <c r="BR33" i="5" a="1"/>
  <c r="BR33" i="5" s="1"/>
  <c r="BR34" i="5" a="1"/>
  <c r="BR34" i="5" s="1"/>
  <c r="BR35" i="5" a="1"/>
  <c r="BR35" i="5" s="1"/>
  <c r="BR36" i="5" a="1"/>
  <c r="BR36" i="5" s="1"/>
  <c r="BR37" i="5" a="1"/>
  <c r="BR37" i="5" s="1"/>
  <c r="BR38" i="5" a="1"/>
  <c r="BR38" i="5" s="1"/>
  <c r="BR39" i="5" a="1"/>
  <c r="BR39" i="5" s="1"/>
  <c r="BR40" i="5" a="1"/>
  <c r="BR40" i="5" s="1"/>
  <c r="BR41" i="5" a="1"/>
  <c r="BR41" i="5" s="1"/>
  <c r="BR42" i="5" a="1"/>
  <c r="BR42" i="5" s="1"/>
  <c r="BR43" i="5" a="1"/>
  <c r="BR43" i="5" s="1"/>
  <c r="BR44" i="5" a="1"/>
  <c r="BR44" i="5" s="1"/>
  <c r="BR45" i="5" a="1"/>
  <c r="BR45" i="5" s="1"/>
  <c r="BR46" i="5" a="1"/>
  <c r="BR46" i="5" s="1"/>
  <c r="BR47" i="5" a="1"/>
  <c r="BR47" i="5" s="1"/>
  <c r="BR48" i="5" a="1"/>
  <c r="BR48" i="5" s="1"/>
  <c r="BR49" i="5" a="1"/>
  <c r="BR49" i="5" s="1"/>
  <c r="BR50" i="5" a="1"/>
  <c r="BR50" i="5" s="1"/>
  <c r="BR51" i="5" a="1"/>
  <c r="BR51" i="5" s="1"/>
  <c r="BR52" i="5" a="1"/>
  <c r="BR52" i="5" s="1"/>
  <c r="BR53" i="5" a="1"/>
  <c r="BR53" i="5" s="1"/>
  <c r="BR54" i="5" a="1"/>
  <c r="BR54" i="5" s="1"/>
  <c r="BR55" i="5" a="1"/>
  <c r="BR55" i="5" s="1"/>
  <c r="BR56" i="5" a="1"/>
  <c r="BR56" i="5" s="1"/>
  <c r="BR57" i="5" a="1"/>
  <c r="BR57" i="5" s="1"/>
  <c r="BR58" i="5" a="1"/>
  <c r="BR58" i="5" s="1"/>
  <c r="BR59" i="5" a="1"/>
  <c r="BR59" i="5" s="1"/>
  <c r="BR60" i="5" a="1"/>
  <c r="BR60" i="5" s="1"/>
  <c r="BR61" i="5" a="1"/>
  <c r="BR61" i="5" s="1"/>
  <c r="BR4" i="5" a="1"/>
  <c r="BR4" i="5" s="1"/>
  <c r="BP5" i="5" a="1"/>
  <c r="BP5" i="5"/>
  <c r="BQ5" i="5" a="1"/>
  <c r="BQ5" i="5" s="1"/>
  <c r="BT5" i="5" s="1"/>
  <c r="BP6" i="5" a="1"/>
  <c r="BP6" i="5"/>
  <c r="BQ6" i="5" a="1"/>
  <c r="BQ6" i="5" s="1"/>
  <c r="BT6" i="5" s="1"/>
  <c r="BP7" i="5" a="1"/>
  <c r="BP7" i="5"/>
  <c r="BQ7" i="5" a="1"/>
  <c r="BQ7" i="5" s="1"/>
  <c r="BT7" i="5" s="1"/>
  <c r="BP8" i="5" a="1"/>
  <c r="BP8" i="5"/>
  <c r="BQ8" i="5" a="1"/>
  <c r="BQ8" i="5" s="1"/>
  <c r="BT8" i="5" s="1"/>
  <c r="BP9" i="5" a="1"/>
  <c r="BP9" i="5"/>
  <c r="BQ9" i="5" a="1"/>
  <c r="BQ9" i="5" s="1"/>
  <c r="BT9" i="5" s="1"/>
  <c r="BP10" i="5" a="1"/>
  <c r="BP10" i="5"/>
  <c r="BQ10" i="5" a="1"/>
  <c r="BQ10" i="5" s="1"/>
  <c r="BT10" i="5" s="1"/>
  <c r="BP11" i="5" a="1"/>
  <c r="BP11" i="5"/>
  <c r="BQ11" i="5" a="1"/>
  <c r="BQ11" i="5" s="1"/>
  <c r="BT11" i="5" s="1"/>
  <c r="BP12" i="5" a="1"/>
  <c r="BP12" i="5"/>
  <c r="BQ12" i="5" a="1"/>
  <c r="BQ12" i="5" s="1"/>
  <c r="BT12" i="5" s="1"/>
  <c r="BP13" i="5" a="1"/>
  <c r="BP13" i="5"/>
  <c r="BQ13" i="5" a="1"/>
  <c r="BQ13" i="5" s="1"/>
  <c r="BT13" i="5" s="1"/>
  <c r="BP14" i="5" a="1"/>
  <c r="BP14" i="5"/>
  <c r="BQ14" i="5" a="1"/>
  <c r="BQ14" i="5" s="1"/>
  <c r="BT14" i="5" s="1"/>
  <c r="BP15" i="5" a="1"/>
  <c r="BP15" i="5"/>
  <c r="BQ15" i="5" a="1"/>
  <c r="BQ15" i="5" s="1"/>
  <c r="BT15" i="5" s="1"/>
  <c r="BP16" i="5" a="1"/>
  <c r="BP16" i="5"/>
  <c r="BQ16" i="5" a="1"/>
  <c r="BQ16" i="5" s="1"/>
  <c r="BT16" i="5" s="1"/>
  <c r="BP17" i="5" a="1"/>
  <c r="BP17" i="5"/>
  <c r="BQ17" i="5" a="1"/>
  <c r="BQ17" i="5" s="1"/>
  <c r="BT17" i="5" s="1"/>
  <c r="BP18" i="5" a="1"/>
  <c r="BP18" i="5"/>
  <c r="BQ18" i="5" a="1"/>
  <c r="BQ18" i="5" s="1"/>
  <c r="BT18" i="5" s="1"/>
  <c r="BP19" i="5" a="1"/>
  <c r="BP19" i="5"/>
  <c r="BQ19" i="5" a="1"/>
  <c r="BQ19" i="5" s="1"/>
  <c r="BT19" i="5" s="1"/>
  <c r="BP20" i="5" a="1"/>
  <c r="BP20" i="5"/>
  <c r="BQ20" i="5" a="1"/>
  <c r="BQ20" i="5" s="1"/>
  <c r="BT20" i="5" s="1"/>
  <c r="BP21" i="5" a="1"/>
  <c r="BP21" i="5"/>
  <c r="BQ21" i="5" a="1"/>
  <c r="BQ21" i="5" s="1"/>
  <c r="BT21" i="5" s="1"/>
  <c r="BP22" i="5" a="1"/>
  <c r="BP22" i="5"/>
  <c r="BQ22" i="5" a="1"/>
  <c r="BQ22" i="5" s="1"/>
  <c r="BT22" i="5" s="1"/>
  <c r="BP23" i="5" a="1"/>
  <c r="BP23" i="5"/>
  <c r="BQ23" i="5" a="1"/>
  <c r="BQ23" i="5" s="1"/>
  <c r="BT23" i="5" s="1"/>
  <c r="BP24" i="5" a="1"/>
  <c r="BP24" i="5"/>
  <c r="BQ24" i="5" a="1"/>
  <c r="BQ24" i="5" s="1"/>
  <c r="BT24" i="5" s="1"/>
  <c r="BP25" i="5" a="1"/>
  <c r="BP25" i="5"/>
  <c r="BQ25" i="5" a="1"/>
  <c r="BQ25" i="5" s="1"/>
  <c r="BT25" i="5" s="1"/>
  <c r="BP26" i="5" a="1"/>
  <c r="BP26" i="5"/>
  <c r="BQ26" i="5" a="1"/>
  <c r="BQ26" i="5" s="1"/>
  <c r="BT26" i="5" s="1"/>
  <c r="BP27" i="5" a="1"/>
  <c r="BP27" i="5"/>
  <c r="BQ27" i="5" a="1"/>
  <c r="BQ27" i="5" s="1"/>
  <c r="BT27" i="5" s="1"/>
  <c r="BP28" i="5" a="1"/>
  <c r="BP28" i="5"/>
  <c r="BQ28" i="5" a="1"/>
  <c r="BQ28" i="5" s="1"/>
  <c r="BT28" i="5" s="1"/>
  <c r="BP29" i="5" a="1"/>
  <c r="BP29" i="5"/>
  <c r="BQ29" i="5" a="1"/>
  <c r="BQ29" i="5" s="1"/>
  <c r="BT29" i="5" s="1"/>
  <c r="BP30" i="5" a="1"/>
  <c r="BP30" i="5"/>
  <c r="BQ30" i="5" a="1"/>
  <c r="BQ30" i="5" s="1"/>
  <c r="BT30" i="5" s="1"/>
  <c r="BP31" i="5" a="1"/>
  <c r="BP31" i="5"/>
  <c r="BQ31" i="5" a="1"/>
  <c r="BQ31" i="5" s="1"/>
  <c r="BT31" i="5" s="1"/>
  <c r="BP32" i="5" a="1"/>
  <c r="BP32" i="5"/>
  <c r="BQ32" i="5" a="1"/>
  <c r="BQ32" i="5" s="1"/>
  <c r="BT32" i="5" s="1"/>
  <c r="BP33" i="5" a="1"/>
  <c r="BP33" i="5"/>
  <c r="BQ33" i="5" a="1"/>
  <c r="BQ33" i="5" s="1"/>
  <c r="BT33" i="5" s="1"/>
  <c r="BP34" i="5" a="1"/>
  <c r="BP34" i="5"/>
  <c r="BQ34" i="5" a="1"/>
  <c r="BQ34" i="5" s="1"/>
  <c r="BT34" i="5" s="1"/>
  <c r="BP35" i="5" a="1"/>
  <c r="BP35" i="5"/>
  <c r="BQ35" i="5" a="1"/>
  <c r="BQ35" i="5" s="1"/>
  <c r="BT35" i="5" s="1"/>
  <c r="BP36" i="5" a="1"/>
  <c r="BP36" i="5"/>
  <c r="BQ36" i="5" a="1"/>
  <c r="BQ36" i="5" s="1"/>
  <c r="BT36" i="5" s="1"/>
  <c r="BP37" i="5" a="1"/>
  <c r="BP37" i="5"/>
  <c r="BQ37" i="5" a="1"/>
  <c r="BQ37" i="5" s="1"/>
  <c r="BT37" i="5" s="1"/>
  <c r="BP38" i="5" a="1"/>
  <c r="BP38" i="5"/>
  <c r="BQ38" i="5" a="1"/>
  <c r="BQ38" i="5" s="1"/>
  <c r="BT38" i="5" s="1"/>
  <c r="BP39" i="5" a="1"/>
  <c r="BP39" i="5"/>
  <c r="BQ39" i="5" a="1"/>
  <c r="BQ39" i="5" s="1"/>
  <c r="BT39" i="5" s="1"/>
  <c r="BP40" i="5" a="1"/>
  <c r="BP40" i="5"/>
  <c r="BQ40" i="5" a="1"/>
  <c r="BQ40" i="5" s="1"/>
  <c r="BT40" i="5" s="1"/>
  <c r="BP41" i="5" a="1"/>
  <c r="BP41" i="5"/>
  <c r="BQ41" i="5" a="1"/>
  <c r="BQ41" i="5" s="1"/>
  <c r="BT41" i="5" s="1"/>
  <c r="BP42" i="5" a="1"/>
  <c r="BP42" i="5"/>
  <c r="BQ42" i="5" a="1"/>
  <c r="BQ42" i="5" s="1"/>
  <c r="BT42" i="5" s="1"/>
  <c r="BP43" i="5" a="1"/>
  <c r="BP43" i="5"/>
  <c r="BQ43" i="5" a="1"/>
  <c r="BQ43" i="5" s="1"/>
  <c r="BT43" i="5" s="1"/>
  <c r="BP44" i="5" a="1"/>
  <c r="BP44" i="5"/>
  <c r="BQ44" i="5" a="1"/>
  <c r="BQ44" i="5" s="1"/>
  <c r="BT44" i="5" s="1"/>
  <c r="BP45" i="5" a="1"/>
  <c r="BP45" i="5"/>
  <c r="BQ45" i="5" a="1"/>
  <c r="BQ45" i="5" s="1"/>
  <c r="BT45" i="5" s="1"/>
  <c r="BP46" i="5" a="1"/>
  <c r="BP46" i="5"/>
  <c r="BQ46" i="5" a="1"/>
  <c r="BQ46" i="5" s="1"/>
  <c r="BT46" i="5" s="1"/>
  <c r="BP47" i="5" a="1"/>
  <c r="BP47" i="5"/>
  <c r="BQ47" i="5" a="1"/>
  <c r="BQ47" i="5" s="1"/>
  <c r="BT47" i="5" s="1"/>
  <c r="BP48" i="5" a="1"/>
  <c r="BP48" i="5"/>
  <c r="BQ48" i="5" a="1"/>
  <c r="BQ48" i="5" s="1"/>
  <c r="BT48" i="5" s="1"/>
  <c r="BP49" i="5" a="1"/>
  <c r="BP49" i="5"/>
  <c r="BQ49" i="5" a="1"/>
  <c r="BQ49" i="5" s="1"/>
  <c r="BT49" i="5" s="1"/>
  <c r="B19" i="12"/>
  <c r="B20" i="12"/>
  <c r="B21" i="12"/>
  <c r="B22" i="12"/>
  <c r="AA13" i="5"/>
  <c r="AA12" i="5" s="1"/>
  <c r="B39" i="12"/>
  <c r="B47" i="12"/>
  <c r="B43" i="12"/>
  <c r="AA3" i="5"/>
  <c r="AD4" i="5"/>
  <c r="K10" i="5"/>
  <c r="J7" i="5"/>
  <c r="BB8" i="10" a="1"/>
  <c r="BB8" i="10" s="1"/>
  <c r="BB13" i="10" a="1"/>
  <c r="BB13" i="10" s="1"/>
  <c r="AA16" i="10"/>
  <c r="AE16" i="10" s="1" a="1"/>
  <c r="AE16" i="10" s="1"/>
  <c r="AA17" i="10"/>
  <c r="AB17" i="10" s="1" a="1"/>
  <c r="AB17" i="10" s="1"/>
  <c r="AA18" i="10"/>
  <c r="AB18" i="10" s="1" a="1"/>
  <c r="AB18" i="10" s="1"/>
  <c r="AA19" i="10"/>
  <c r="AC19" i="10" s="1" a="1"/>
  <c r="AC19" i="10" s="1"/>
  <c r="AA20" i="10"/>
  <c r="AB20" i="10" s="1" a="1"/>
  <c r="AB20" i="10" s="1"/>
  <c r="AA21" i="10"/>
  <c r="AA22" i="10"/>
  <c r="AB22" i="10" s="1" a="1"/>
  <c r="AB22" i="10" s="1"/>
  <c r="AA23" i="10"/>
  <c r="AB23" i="10" s="1" a="1"/>
  <c r="AB23" i="10" s="1"/>
  <c r="AA24" i="10"/>
  <c r="AD24" i="10" s="1" a="1"/>
  <c r="AD24" i="10" s="1"/>
  <c r="AA25" i="10"/>
  <c r="AB25" i="10" s="1" a="1"/>
  <c r="AB25" i="10" s="1"/>
  <c r="AA26" i="10"/>
  <c r="AB26" i="10" s="1" a="1"/>
  <c r="AB26" i="10" s="1"/>
  <c r="AA27" i="10"/>
  <c r="AB27" i="10" s="1" a="1"/>
  <c r="AB27" i="10" s="1"/>
  <c r="AA28" i="10"/>
  <c r="AB28" i="10" s="1" a="1"/>
  <c r="AB28" i="10" s="1"/>
  <c r="AA29" i="10"/>
  <c r="AD29" i="10" s="1" a="1"/>
  <c r="AD29" i="10" s="1"/>
  <c r="AA30" i="10"/>
  <c r="AB30" i="10" s="1" a="1"/>
  <c r="AB30" i="10" s="1"/>
  <c r="AA31" i="10"/>
  <c r="AB31" i="10" s="1" a="1"/>
  <c r="AB31" i="10" s="1"/>
  <c r="AA32" i="10"/>
  <c r="AC32" i="10" s="1" a="1"/>
  <c r="AC32" i="10" s="1"/>
  <c r="AA33" i="10"/>
  <c r="AB33" i="10" s="1" a="1"/>
  <c r="AB33" i="10" s="1"/>
  <c r="AA34" i="10"/>
  <c r="AE34" i="10" s="1" a="1"/>
  <c r="AE34" i="10" s="1"/>
  <c r="AA35" i="10"/>
  <c r="AA36" i="10"/>
  <c r="AA37" i="10"/>
  <c r="AA38" i="10"/>
  <c r="AA39" i="10"/>
  <c r="AA40" i="10"/>
  <c r="AA41" i="10"/>
  <c r="AA42" i="10"/>
  <c r="AA43" i="10"/>
  <c r="AA45" i="10"/>
  <c r="AA46" i="10"/>
  <c r="AA47" i="10"/>
  <c r="AA48" i="10"/>
  <c r="AA49" i="10"/>
  <c r="AA4" i="10"/>
  <c r="AB4" i="10" s="1" a="1"/>
  <c r="AB4" i="10" s="1"/>
  <c r="AA5" i="10"/>
  <c r="AB5" i="10" s="1" a="1"/>
  <c r="AB5" i="10" s="1"/>
  <c r="AA6" i="10"/>
  <c r="AD6" i="10" s="1" a="1"/>
  <c r="AD6" i="10" s="1"/>
  <c r="AA7" i="10"/>
  <c r="AB7" i="10" s="1" a="1"/>
  <c r="AB7" i="10" s="1"/>
  <c r="AA8" i="10"/>
  <c r="AB8" i="10" s="1" a="1"/>
  <c r="AB8" i="10" s="1"/>
  <c r="AA9" i="10"/>
  <c r="AB9" i="10" s="1" a="1"/>
  <c r="AB9" i="10" s="1"/>
  <c r="AA10" i="10"/>
  <c r="AB10" i="10" s="1" a="1"/>
  <c r="AB10" i="10" s="1"/>
  <c r="AA11" i="10"/>
  <c r="AD11" i="10" s="1" a="1"/>
  <c r="AD11" i="10" s="1"/>
  <c r="AA12" i="10"/>
  <c r="AB12" i="10" s="1" a="1"/>
  <c r="AB12" i="10" s="1"/>
  <c r="AA13" i="10"/>
  <c r="AB13" i="10" s="1" a="1"/>
  <c r="AB13" i="10" s="1"/>
  <c r="AA14" i="10"/>
  <c r="AC14" i="10" s="1" a="1"/>
  <c r="AC14" i="10" s="1"/>
  <c r="AA15" i="10"/>
  <c r="AB15" i="10" s="1" a="1"/>
  <c r="AB15" i="10" s="1"/>
  <c r="AA3" i="10"/>
  <c r="B66" i="12"/>
  <c r="B67" i="12"/>
  <c r="B68" i="12"/>
  <c r="B70" i="12"/>
  <c r="B71" i="12"/>
  <c r="B69" i="12"/>
  <c r="AB21" i="10" a="1"/>
  <c r="AB21" i="10" s="1"/>
  <c r="B56" i="9"/>
  <c r="AI4" i="10" l="1"/>
  <c r="AC37" i="10" a="1"/>
  <c r="AC37" i="10" s="1"/>
  <c r="AB36" i="10" a="1"/>
  <c r="AB36" i="10" s="1"/>
  <c r="AB35" i="10" a="1"/>
  <c r="AB35" i="10" s="1"/>
  <c r="AD41" i="10" a="1"/>
  <c r="AD41" i="10" s="1"/>
  <c r="AE41" i="10" a="1"/>
  <c r="AE41" i="10" s="1"/>
  <c r="AC40" i="10" a="1"/>
  <c r="AC40" i="10" s="1"/>
  <c r="AE39" i="10" a="1"/>
  <c r="AE39" i="10" s="1"/>
  <c r="AE40" i="10" a="1"/>
  <c r="AE40" i="10" s="1"/>
  <c r="AB40" i="10" a="1"/>
  <c r="AB40" i="10" s="1"/>
  <c r="AB43" i="10" a="1"/>
  <c r="AB43" i="10" s="1"/>
  <c r="AD42" i="10" a="1"/>
  <c r="AD42" i="10" s="1"/>
  <c r="AB41" i="10" a="1"/>
  <c r="AB41" i="10" s="1"/>
  <c r="AC42" i="10" a="1"/>
  <c r="AC42" i="10" s="1"/>
  <c r="AB42" i="10" a="1"/>
  <c r="AB42" i="10" s="1"/>
  <c r="AE43" i="10" a="1"/>
  <c r="AE43" i="10" s="1"/>
  <c r="AD43" i="10" a="1"/>
  <c r="AD43" i="10" s="1"/>
  <c r="AD39" i="10" a="1"/>
  <c r="AD39" i="10" s="1"/>
  <c r="AC43" i="10" a="1"/>
  <c r="AC43" i="10" s="1"/>
  <c r="AC39" i="10" a="1"/>
  <c r="AC39" i="10" s="1"/>
  <c r="AB39" i="10" a="1"/>
  <c r="AB39" i="10" s="1"/>
  <c r="AC41" i="10" a="1"/>
  <c r="AC41" i="10" s="1"/>
  <c r="AE42" i="10" a="1"/>
  <c r="AE42" i="10" s="1"/>
  <c r="AD40" i="10" a="1"/>
  <c r="AD40" i="10" s="1"/>
  <c r="AB37" i="10" a="1"/>
  <c r="AB37" i="10" s="1"/>
  <c r="AD34" i="10" a="1"/>
  <c r="AD34" i="10" s="1"/>
  <c r="AB32" i="10" a="1"/>
  <c r="AB32" i="10" s="1"/>
  <c r="AE26" i="10" a="1"/>
  <c r="AE26" i="10" s="1"/>
  <c r="AC24" i="10" a="1"/>
  <c r="AC24" i="10" s="1"/>
  <c r="AE21" i="10" a="1"/>
  <c r="AE21" i="10" s="1"/>
  <c r="AB19" i="10" a="1"/>
  <c r="AB19" i="10" s="1"/>
  <c r="AD16" i="10" a="1"/>
  <c r="AD16" i="10" s="1"/>
  <c r="AB14" i="10" a="1"/>
  <c r="AB14" i="10" s="1"/>
  <c r="AE8" i="10" a="1"/>
  <c r="AE8" i="10" s="1"/>
  <c r="AC6" i="10" a="1"/>
  <c r="AC6" i="10" s="1"/>
  <c r="AC34" i="10" a="1"/>
  <c r="AC34" i="10" s="1"/>
  <c r="AE31" i="10" a="1"/>
  <c r="AE31" i="10" s="1"/>
  <c r="AC29" i="10" a="1"/>
  <c r="AC29" i="10" s="1"/>
  <c r="AD26" i="10" a="1"/>
  <c r="AD26" i="10" s="1"/>
  <c r="AB24" i="10" a="1"/>
  <c r="AB24" i="10" s="1"/>
  <c r="AD21" i="10" a="1"/>
  <c r="AD21" i="10" s="1"/>
  <c r="AC16" i="10" a="1"/>
  <c r="AC16" i="10" s="1"/>
  <c r="AE13" i="10" a="1"/>
  <c r="AE13" i="10" s="1"/>
  <c r="AC11" i="10" a="1"/>
  <c r="AC11" i="10" s="1"/>
  <c r="AD8" i="10" a="1"/>
  <c r="AD8" i="10" s="1"/>
  <c r="AB6" i="10" a="1"/>
  <c r="AB6" i="10" s="1"/>
  <c r="AE36" i="10" a="1"/>
  <c r="AE36" i="10" s="1"/>
  <c r="AB34" i="10" a="1"/>
  <c r="AB34" i="10" s="1"/>
  <c r="AD31" i="10" a="1"/>
  <c r="AD31" i="10" s="1"/>
  <c r="AB29" i="10" a="1"/>
  <c r="AB29" i="10" s="1"/>
  <c r="AE23" i="10" a="1"/>
  <c r="AE23" i="10" s="1"/>
  <c r="AC21" i="10" a="1"/>
  <c r="AC21" i="10" s="1"/>
  <c r="AE18" i="10" a="1"/>
  <c r="AE18" i="10" s="1"/>
  <c r="AB16" i="10" a="1"/>
  <c r="AB16" i="10" s="1"/>
  <c r="AD13" i="10" a="1"/>
  <c r="AD13" i="10" s="1"/>
  <c r="AB11" i="10" a="1"/>
  <c r="AB11" i="10" s="1"/>
  <c r="AE5" i="10" a="1"/>
  <c r="AE5" i="10" s="1"/>
  <c r="AD36" i="10" a="1"/>
  <c r="AD36" i="10" s="1"/>
  <c r="AC31" i="10" a="1"/>
  <c r="AC31" i="10" s="1"/>
  <c r="AE28" i="10" a="1"/>
  <c r="AE28" i="10" s="1"/>
  <c r="AC26" i="10" a="1"/>
  <c r="AC26" i="10" s="1"/>
  <c r="AD23" i="10" a="1"/>
  <c r="AD23" i="10" s="1"/>
  <c r="AD18" i="10" a="1"/>
  <c r="AD18" i="10" s="1"/>
  <c r="AC13" i="10" a="1"/>
  <c r="AC13" i="10" s="1"/>
  <c r="AE10" i="10" a="1"/>
  <c r="AE10" i="10" s="1"/>
  <c r="AC8" i="10" a="1"/>
  <c r="AC8" i="10" s="1"/>
  <c r="AD5" i="10" a="1"/>
  <c r="AD5" i="10" s="1"/>
  <c r="AC36" i="10" a="1"/>
  <c r="AC36" i="10" s="1"/>
  <c r="AE33" i="10" a="1"/>
  <c r="AE33" i="10" s="1"/>
  <c r="AD28" i="10" a="1"/>
  <c r="AD28" i="10" s="1"/>
  <c r="AE20" i="10" a="1"/>
  <c r="AE20" i="10" s="1"/>
  <c r="AC18" i="10" a="1"/>
  <c r="AC18" i="10" s="1"/>
  <c r="AE15" i="10" a="1"/>
  <c r="AE15" i="10" s="1"/>
  <c r="AD10" i="10" a="1"/>
  <c r="AD10" i="10" s="1"/>
  <c r="AD33" i="10" a="1"/>
  <c r="AD33" i="10" s="1"/>
  <c r="AC28" i="10" a="1"/>
  <c r="AC28" i="10" s="1"/>
  <c r="AE25" i="10" a="1"/>
  <c r="AE25" i="10" s="1"/>
  <c r="AC23" i="10" a="1"/>
  <c r="AC23" i="10" s="1"/>
  <c r="AD20" i="10" a="1"/>
  <c r="AD20" i="10" s="1"/>
  <c r="AD15" i="10" a="1"/>
  <c r="AD15" i="10" s="1"/>
  <c r="AC10" i="10" a="1"/>
  <c r="AC10" i="10" s="1"/>
  <c r="AE7" i="10" a="1"/>
  <c r="AE7" i="10" s="1"/>
  <c r="AC5" i="10" a="1"/>
  <c r="AC5" i="10" s="1"/>
  <c r="AE35" i="10" a="1"/>
  <c r="AE35" i="10" s="1"/>
  <c r="AC33" i="10" a="1"/>
  <c r="AC33" i="10" s="1"/>
  <c r="AE30" i="10" a="1"/>
  <c r="AE30" i="10" s="1"/>
  <c r="AD25" i="10" a="1"/>
  <c r="AD25" i="10" s="1"/>
  <c r="AE17" i="10" a="1"/>
  <c r="AE17" i="10" s="1"/>
  <c r="AC15" i="10" a="1"/>
  <c r="AC15" i="10" s="1"/>
  <c r="AE12" i="10" a="1"/>
  <c r="AE12" i="10" s="1"/>
  <c r="AD7" i="10" a="1"/>
  <c r="AD7" i="10" s="1"/>
  <c r="AD35" i="10" a="1"/>
  <c r="AD35" i="10" s="1"/>
  <c r="AD30" i="10" a="1"/>
  <c r="AD30" i="10" s="1"/>
  <c r="AC25" i="10" a="1"/>
  <c r="AC25" i="10" s="1"/>
  <c r="AE22" i="10" a="1"/>
  <c r="AE22" i="10" s="1"/>
  <c r="AC20" i="10" a="1"/>
  <c r="AC20" i="10" s="1"/>
  <c r="AD17" i="10" a="1"/>
  <c r="AD17" i="10" s="1"/>
  <c r="AD12" i="10" a="1"/>
  <c r="AD12" i="10" s="1"/>
  <c r="AC7" i="10" a="1"/>
  <c r="AC7" i="10" s="1"/>
  <c r="AE4" i="10" a="1"/>
  <c r="AE4" i="10" s="1"/>
  <c r="AE32" i="10" a="1"/>
  <c r="AE32" i="10" s="1"/>
  <c r="AC30" i="10" a="1"/>
  <c r="AC30" i="10" s="1"/>
  <c r="AE27" i="10" a="1"/>
  <c r="AE27" i="10" s="1"/>
  <c r="AD22" i="10" a="1"/>
  <c r="AD22" i="10" s="1"/>
  <c r="AE14" i="10" a="1"/>
  <c r="AE14" i="10" s="1"/>
  <c r="AC12" i="10" a="1"/>
  <c r="AC12" i="10" s="1"/>
  <c r="AE9" i="10" a="1"/>
  <c r="AE9" i="10" s="1"/>
  <c r="AD4" i="10" a="1"/>
  <c r="AD4" i="10" s="1"/>
  <c r="AE37" i="10" a="1"/>
  <c r="AE37" i="10" s="1"/>
  <c r="AC35" i="10" a="1"/>
  <c r="AC35" i="10" s="1"/>
  <c r="AD32" i="10" a="1"/>
  <c r="AD32" i="10" s="1"/>
  <c r="AD27" i="10" a="1"/>
  <c r="AD27" i="10" s="1"/>
  <c r="AC22" i="10" a="1"/>
  <c r="AC22" i="10" s="1"/>
  <c r="AE19" i="10" a="1"/>
  <c r="AE19" i="10" s="1"/>
  <c r="AC17" i="10" a="1"/>
  <c r="AC17" i="10" s="1"/>
  <c r="AD14" i="10" a="1"/>
  <c r="AD14" i="10" s="1"/>
  <c r="AD9" i="10" a="1"/>
  <c r="AD9" i="10" s="1"/>
  <c r="AC4" i="10" a="1"/>
  <c r="AC4" i="10" s="1"/>
  <c r="AD37" i="10" a="1"/>
  <c r="AD37" i="10" s="1"/>
  <c r="AE29" i="10" a="1"/>
  <c r="AE29" i="10" s="1"/>
  <c r="AC27" i="10" a="1"/>
  <c r="AC27" i="10" s="1"/>
  <c r="AE24" i="10" a="1"/>
  <c r="AE24" i="10" s="1"/>
  <c r="AD19" i="10" a="1"/>
  <c r="AD19" i="10" s="1"/>
  <c r="AE11" i="10" a="1"/>
  <c r="AE11" i="10" s="1"/>
  <c r="AC9" i="10" a="1"/>
  <c r="AC9" i="10" s="1"/>
  <c r="AE6" i="10" a="1"/>
  <c r="AE6" i="10" s="1"/>
  <c r="G50" i="12"/>
  <c r="BP51" i="5" l="1" a="1"/>
  <c r="BP51" i="5" s="1"/>
  <c r="BP55" i="5" a="1"/>
  <c r="BP55" i="5" s="1"/>
  <c r="BP59" i="5" a="1"/>
  <c r="BP59" i="5" s="1"/>
  <c r="BQ53" i="5" a="1"/>
  <c r="BQ53" i="5" s="1"/>
  <c r="BT53" i="5" s="1"/>
  <c r="BQ57" i="5" a="1"/>
  <c r="BQ57" i="5" s="1"/>
  <c r="BQ61" i="5" a="1"/>
  <c r="BQ61" i="5" s="1"/>
  <c r="BQ51" i="5" a="1"/>
  <c r="BQ51" i="5" s="1"/>
  <c r="BT51" i="5" s="1"/>
  <c r="BQ55" i="5" a="1"/>
  <c r="BQ55" i="5" s="1"/>
  <c r="BT55" i="5" s="1"/>
  <c r="BQ59" i="5" a="1"/>
  <c r="BQ59" i="5" s="1"/>
  <c r="BP52" i="5" a="1"/>
  <c r="BP52" i="5" s="1"/>
  <c r="BP54" i="5" a="1"/>
  <c r="BP54" i="5" s="1"/>
  <c r="BP58" i="5" a="1"/>
  <c r="BP58" i="5" s="1"/>
  <c r="BP50" i="5" a="1"/>
  <c r="BP50" i="5" s="1"/>
  <c r="BP56" i="5" a="1"/>
  <c r="BP56" i="5" s="1"/>
  <c r="BP60" i="5" a="1"/>
  <c r="BP60" i="5" s="1"/>
  <c r="BQ60" i="5" a="1"/>
  <c r="BQ60" i="5" s="1"/>
  <c r="BQ52" i="5" a="1"/>
  <c r="BQ52" i="5" s="1"/>
  <c r="BT52" i="5" s="1"/>
  <c r="BQ56" i="5" a="1"/>
  <c r="BQ56" i="5" s="1"/>
  <c r="BQ50" i="5" a="1"/>
  <c r="BQ50" i="5" s="1"/>
  <c r="BT50" i="5" s="1"/>
  <c r="BQ54" i="5" a="1"/>
  <c r="BQ54" i="5" s="1"/>
  <c r="BT54" i="5" s="1"/>
  <c r="BQ58" i="5" a="1"/>
  <c r="BQ58" i="5" s="1"/>
  <c r="BP53" i="5" a="1"/>
  <c r="BP53" i="5" s="1"/>
  <c r="BP57" i="5" a="1"/>
  <c r="BP57" i="5" s="1"/>
  <c r="BP61" i="5" a="1"/>
  <c r="BP61" i="5" s="1"/>
  <c r="AE47" i="10" a="1"/>
  <c r="AE47" i="10" s="1"/>
  <c r="AA44" i="10"/>
  <c r="AD44" i="10" s="1" a="1"/>
  <c r="AD44" i="10" s="1"/>
  <c r="AB45" i="10" a="1"/>
  <c r="AB45" i="10" s="1"/>
  <c r="AC47" i="10" a="1"/>
  <c r="AC47" i="10" s="1"/>
  <c r="AE48" i="10" a="1"/>
  <c r="AE48" i="10" s="1"/>
  <c r="AD46" i="10" a="1"/>
  <c r="AD46" i="10" s="1"/>
  <c r="AB47" i="10" a="1"/>
  <c r="AB47" i="10" s="1"/>
  <c r="AB46" i="10" a="1"/>
  <c r="AB46" i="10" s="1"/>
  <c r="AD45" i="10" a="1"/>
  <c r="AD45" i="10" s="1"/>
  <c r="AD48" i="10" a="1"/>
  <c r="AD48" i="10" s="1"/>
  <c r="AB44" i="10" a="1"/>
  <c r="AB44" i="10" s="1"/>
  <c r="AC46" i="10" a="1"/>
  <c r="AC46" i="10" s="1"/>
  <c r="AB48" i="10" a="1"/>
  <c r="AB48" i="10" s="1"/>
  <c r="AC48" i="10" a="1"/>
  <c r="AC48" i="10" s="1"/>
  <c r="AD47" i="10" a="1"/>
  <c r="AD47" i="10" s="1"/>
  <c r="AC44" i="10" a="1"/>
  <c r="AC44" i="10" s="1"/>
  <c r="AE45" i="10" a="1"/>
  <c r="AE45" i="10" s="1"/>
  <c r="AE46" i="10" a="1"/>
  <c r="AE46" i="10" s="1"/>
  <c r="AC45" i="10" a="1"/>
  <c r="AC45" i="10" s="1"/>
  <c r="AE44" i="10" a="1"/>
  <c r="AE44" i="10" s="1"/>
  <c r="B59" i="12"/>
  <c r="B58" i="12"/>
  <c r="B57" i="12"/>
  <c r="B56" i="12"/>
  <c r="B55" i="12"/>
  <c r="B54" i="12"/>
  <c r="B53" i="12"/>
  <c r="B52" i="12"/>
  <c r="B51" i="12"/>
  <c r="B50" i="12"/>
  <c r="B44" i="12"/>
  <c r="B42" i="12"/>
  <c r="B72" i="12"/>
  <c r="B37" i="12"/>
  <c r="B35" i="12"/>
  <c r="B33" i="12"/>
  <c r="B30" i="12"/>
  <c r="B28" i="12"/>
  <c r="B26" i="12"/>
  <c r="B24" i="12"/>
  <c r="B41" i="12"/>
  <c r="B46" i="12"/>
  <c r="B40" i="12"/>
  <c r="B38" i="12"/>
  <c r="B49" i="12"/>
  <c r="B36" i="12"/>
  <c r="B34" i="12"/>
  <c r="B32" i="12"/>
  <c r="B31" i="12"/>
  <c r="B29" i="12"/>
  <c r="B27" i="12"/>
  <c r="B48" i="12"/>
  <c r="B25" i="12"/>
  <c r="B23" i="12"/>
  <c r="B63" i="12"/>
  <c r="B64" i="12"/>
  <c r="B62" i="12"/>
  <c r="B61" i="12"/>
  <c r="B17" i="12"/>
  <c r="B18" i="12"/>
  <c r="B16" i="12"/>
  <c r="B15" i="12"/>
  <c r="B14" i="12"/>
  <c r="B45" i="12"/>
  <c r="B12" i="12"/>
  <c r="B13" i="12"/>
  <c r="B11" i="12"/>
  <c r="B10" i="12"/>
  <c r="B9" i="12"/>
  <c r="B8" i="12"/>
  <c r="B7" i="12"/>
  <c r="B6" i="12"/>
  <c r="B4" i="12"/>
  <c r="B5" i="12"/>
  <c r="B3" i="12"/>
  <c r="AI5" i="10" l="1"/>
  <c r="AK14" i="10"/>
  <c r="AK10" i="10"/>
  <c r="AI3" i="10"/>
  <c r="AC49" i="10" a="1"/>
  <c r="AC49" i="10" s="1"/>
  <c r="AD49" i="10" a="1"/>
  <c r="AD49" i="10" s="1"/>
  <c r="AB49" i="10" a="1"/>
  <c r="AB49" i="10" s="1"/>
  <c r="AE49" i="10" a="1"/>
  <c r="AE49" i="10" s="1"/>
  <c r="Z45" i="10"/>
  <c r="Z46" i="10"/>
  <c r="DA8" i="10" a="1"/>
  <c r="DA8" i="10" s="1"/>
  <c r="CZ8" i="10" a="1"/>
  <c r="CZ8" i="10" s="1"/>
  <c r="CY8" i="10" a="1"/>
  <c r="CY8" i="10" s="1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BE8" i="10" a="1"/>
  <c r="BE8" i="10" s="1"/>
  <c r="BD8" i="10" a="1"/>
  <c r="BD8" i="10" s="1"/>
  <c r="BC8" i="10" a="1"/>
  <c r="BC8" i="10" s="1"/>
  <c r="CZ13" i="10" a="1"/>
  <c r="CZ13" i="10" s="1"/>
  <c r="DA13" i="10" a="1"/>
  <c r="DA13" i="10" s="1"/>
  <c r="CV13" i="10" a="1"/>
  <c r="CV13" i="10" s="1"/>
  <c r="CW13" i="10" a="1"/>
  <c r="CW13" i="10" s="1"/>
  <c r="CX13" i="10" a="1"/>
  <c r="CX13" i="10" s="1"/>
  <c r="CY13" i="10" a="1"/>
  <c r="CY13" i="10" s="1"/>
  <c r="BC13" i="10" a="1"/>
  <c r="BC13" i="10" s="1"/>
  <c r="BD13" i="10" a="1"/>
  <c r="BD13" i="10" s="1"/>
  <c r="BE13" i="10" a="1"/>
  <c r="BE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CS13" i="10" a="1"/>
  <c r="CS13" i="10" s="1"/>
  <c r="CT13" i="10" a="1"/>
  <c r="CT13" i="10" s="1"/>
  <c r="CU13" i="10" a="1"/>
  <c r="CU13" i="10" s="1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Z58" i="10"/>
  <c r="D58" i="10"/>
  <c r="Z57" i="10"/>
  <c r="D57" i="10"/>
  <c r="Z55" i="10"/>
  <c r="D56" i="10"/>
  <c r="Z54" i="10"/>
  <c r="D55" i="10"/>
  <c r="Z53" i="10"/>
  <c r="H54" i="10"/>
  <c r="D54" i="10"/>
  <c r="Z52" i="10"/>
  <c r="H53" i="10"/>
  <c r="D53" i="10"/>
  <c r="Z51" i="10"/>
  <c r="H52" i="10"/>
  <c r="D52" i="10"/>
  <c r="Z50" i="10"/>
  <c r="H51" i="10"/>
  <c r="D51" i="10"/>
  <c r="Z49" i="10"/>
  <c r="H50" i="10"/>
  <c r="D50" i="10"/>
  <c r="Z48" i="10"/>
  <c r="H49" i="10"/>
  <c r="D49" i="10"/>
  <c r="Z44" i="10"/>
  <c r="H48" i="10"/>
  <c r="D48" i="10"/>
  <c r="Z43" i="10"/>
  <c r="H47" i="10"/>
  <c r="D47" i="10"/>
  <c r="Z42" i="10"/>
  <c r="H46" i="10"/>
  <c r="Z41" i="10"/>
  <c r="H45" i="10"/>
  <c r="H44" i="10"/>
  <c r="H43" i="10"/>
  <c r="Z40" i="10"/>
  <c r="H42" i="10"/>
  <c r="Z56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7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AY18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Z3" i="10"/>
  <c r="H3" i="10"/>
  <c r="B3" i="10"/>
  <c r="B4" i="10" s="1"/>
  <c r="B63" i="9"/>
  <c r="B62" i="9"/>
  <c r="B61" i="9"/>
  <c r="B60" i="9"/>
  <c r="B59" i="9"/>
  <c r="B58" i="9"/>
  <c r="B57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C5" i="9"/>
  <c r="C6" i="9" s="1"/>
  <c r="BE10" i="10" l="1"/>
  <c r="BQ10" i="10"/>
  <c r="CC10" i="10"/>
  <c r="CO10" i="10"/>
  <c r="BF10" i="10"/>
  <c r="BR10" i="10"/>
  <c r="CD10" i="10"/>
  <c r="CP10" i="10"/>
  <c r="BP10" i="10"/>
  <c r="BG10" i="10"/>
  <c r="BS10" i="10"/>
  <c r="CE10" i="10"/>
  <c r="CQ10" i="10"/>
  <c r="BH10" i="10"/>
  <c r="BT10" i="10"/>
  <c r="CF10" i="10"/>
  <c r="CR10" i="10"/>
  <c r="BD10" i="10"/>
  <c r="BI10" i="10"/>
  <c r="BU10" i="10"/>
  <c r="CG10" i="10"/>
  <c r="CS10" i="10"/>
  <c r="BJ10" i="10"/>
  <c r="BV10" i="10"/>
  <c r="CH10" i="10"/>
  <c r="CT10" i="10"/>
  <c r="CB10" i="10"/>
  <c r="BK10" i="10"/>
  <c r="BW10" i="10"/>
  <c r="CI10" i="10"/>
  <c r="CU10" i="10"/>
  <c r="BL10" i="10"/>
  <c r="BX10" i="10"/>
  <c r="CJ10" i="10"/>
  <c r="CV10" i="10"/>
  <c r="BM10" i="10"/>
  <c r="BY10" i="10"/>
  <c r="CK10" i="10"/>
  <c r="CW10" i="10"/>
  <c r="CN10" i="10"/>
  <c r="BN10" i="10"/>
  <c r="BZ10" i="10"/>
  <c r="CL10" i="10"/>
  <c r="CX10" i="10"/>
  <c r="BO10" i="10"/>
  <c r="CA10" i="10"/>
  <c r="CM10" i="10"/>
  <c r="BC10" i="10"/>
  <c r="AJ14" i="10"/>
  <c r="B16" i="10"/>
  <c r="Q26" i="10"/>
  <c r="Q9" i="10"/>
  <c r="B15" i="10"/>
  <c r="Q18" i="10"/>
  <c r="Q41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Q38" i="10"/>
  <c r="C7" i="9"/>
  <c r="J53" i="10" l="1"/>
  <c r="U53" i="10" s="1"/>
  <c r="J51" i="10"/>
  <c r="U51" i="10" s="1"/>
  <c r="J22" i="10"/>
  <c r="J38" i="10"/>
  <c r="U38" i="10" s="1"/>
  <c r="J35" i="10"/>
  <c r="U35" i="10" s="1"/>
  <c r="J32" i="10"/>
  <c r="U32" i="10" s="1"/>
  <c r="J29" i="10"/>
  <c r="U29" i="10" s="1"/>
  <c r="J26" i="10"/>
  <c r="U26" i="10" s="1"/>
  <c r="J10" i="10"/>
  <c r="U10" i="10" s="1"/>
  <c r="J9" i="10"/>
  <c r="U9" i="10" s="1"/>
  <c r="J41" i="10"/>
  <c r="U41" i="10" s="1"/>
  <c r="J46" i="10"/>
  <c r="U46" i="10" s="1"/>
  <c r="J20" i="10"/>
  <c r="J44" i="10"/>
  <c r="U44" i="10" s="1"/>
  <c r="J19" i="10"/>
  <c r="U19" i="10" s="1"/>
  <c r="J6" i="10"/>
  <c r="U6" i="10" s="1"/>
  <c r="J3" i="10"/>
  <c r="U3" i="10" s="1"/>
  <c r="J36" i="10"/>
  <c r="U36" i="10" s="1"/>
  <c r="J33" i="10"/>
  <c r="U33" i="10" s="1"/>
  <c r="J30" i="10"/>
  <c r="U30" i="10" s="1"/>
  <c r="J27" i="10"/>
  <c r="U27" i="10" s="1"/>
  <c r="J18" i="10"/>
  <c r="U18" i="10" s="1"/>
  <c r="J15" i="10"/>
  <c r="U15" i="10" s="1"/>
  <c r="J12" i="10"/>
  <c r="U12" i="10" s="1"/>
  <c r="J54" i="10"/>
  <c r="J52" i="10"/>
  <c r="U52" i="10" s="1"/>
  <c r="J50" i="10"/>
  <c r="U50" i="10" s="1"/>
  <c r="J47" i="10"/>
  <c r="U47" i="10" s="1"/>
  <c r="J39" i="10"/>
  <c r="U39" i="10" s="1"/>
  <c r="J17" i="10"/>
  <c r="U17" i="10" s="1"/>
  <c r="J14" i="10"/>
  <c r="U14" i="10" s="1"/>
  <c r="J7" i="10"/>
  <c r="U7" i="10" s="1"/>
  <c r="J5" i="10"/>
  <c r="U5" i="10" s="1"/>
  <c r="J4" i="10"/>
  <c r="U4" i="10" s="1"/>
  <c r="J42" i="10"/>
  <c r="U42" i="10" s="1"/>
  <c r="J16" i="10"/>
  <c r="U16" i="10" s="1"/>
  <c r="J13" i="10"/>
  <c r="U13" i="10" s="1"/>
  <c r="J48" i="10"/>
  <c r="U48" i="10" s="1"/>
  <c r="J24" i="10"/>
  <c r="U24" i="10" s="1"/>
  <c r="J45" i="10"/>
  <c r="U45" i="10" s="1"/>
  <c r="J37" i="10"/>
  <c r="U37" i="10" s="1"/>
  <c r="J34" i="10"/>
  <c r="U34" i="10" s="1"/>
  <c r="J31" i="10"/>
  <c r="U31" i="10" s="1"/>
  <c r="J28" i="10"/>
  <c r="U28" i="10" s="1"/>
  <c r="C7" i="10"/>
  <c r="J40" i="10"/>
  <c r="U40" i="10" s="1"/>
  <c r="J23" i="10"/>
  <c r="U23" i="10" s="1"/>
  <c r="J11" i="10"/>
  <c r="U11" i="10" s="1"/>
  <c r="J25" i="10"/>
  <c r="U25" i="10" s="1"/>
  <c r="J21" i="10"/>
  <c r="J8" i="10"/>
  <c r="U8" i="10" s="1"/>
  <c r="J49" i="10"/>
  <c r="U49" i="10" s="1"/>
  <c r="J43" i="10"/>
  <c r="U43" i="10" s="1"/>
  <c r="I49" i="10"/>
  <c r="V49" i="10" s="1"/>
  <c r="W49" i="10" s="1" a="1"/>
  <c r="W49" i="10" s="1"/>
  <c r="I43" i="10"/>
  <c r="V43" i="10" s="1"/>
  <c r="W43" i="10" s="1" a="1"/>
  <c r="W43" i="10" s="1"/>
  <c r="I53" i="10"/>
  <c r="V53" i="10" s="1"/>
  <c r="W53" i="10" s="1" a="1"/>
  <c r="W53" i="10" s="1"/>
  <c r="I51" i="10"/>
  <c r="V51" i="10" s="1"/>
  <c r="W51" i="10" s="1" a="1"/>
  <c r="W51" i="10" s="1"/>
  <c r="I22" i="10"/>
  <c r="V22" i="10" s="1"/>
  <c r="W22" i="10" s="1" a="1"/>
  <c r="W22" i="10" s="1"/>
  <c r="I38" i="10"/>
  <c r="V38" i="10" s="1"/>
  <c r="W38" i="10" s="1" a="1"/>
  <c r="W38" i="10" s="1"/>
  <c r="I35" i="10"/>
  <c r="V35" i="10" s="1"/>
  <c r="I32" i="10"/>
  <c r="V32" i="10" s="1"/>
  <c r="W32" i="10" s="1" a="1"/>
  <c r="W32" i="10" s="1"/>
  <c r="I29" i="10"/>
  <c r="V29" i="10" s="1"/>
  <c r="W29" i="10" s="1" a="1"/>
  <c r="W29" i="10" s="1"/>
  <c r="I26" i="10"/>
  <c r="V26" i="10" s="1"/>
  <c r="W26" i="10" s="1" a="1"/>
  <c r="W26" i="10" s="1"/>
  <c r="I41" i="10"/>
  <c r="V41" i="10" s="1"/>
  <c r="W41" i="10" s="1" a="1"/>
  <c r="W41" i="10" s="1"/>
  <c r="I21" i="10"/>
  <c r="V21" i="10" s="1"/>
  <c r="I11" i="10"/>
  <c r="V11" i="10" s="1"/>
  <c r="W11" i="10" s="1" a="1"/>
  <c r="W11" i="10" s="1"/>
  <c r="I46" i="10"/>
  <c r="V46" i="10" s="1"/>
  <c r="I20" i="10"/>
  <c r="V20" i="10" s="1"/>
  <c r="I3" i="10"/>
  <c r="V3" i="10" s="1"/>
  <c r="W3" i="10" s="1" a="1"/>
  <c r="W3" i="10" s="1"/>
  <c r="I44" i="10"/>
  <c r="V44" i="10" s="1"/>
  <c r="W44" i="10" s="1" a="1"/>
  <c r="W44" i="10" s="1"/>
  <c r="I19" i="10"/>
  <c r="V19" i="10" s="1"/>
  <c r="I6" i="10"/>
  <c r="V6" i="10" s="1"/>
  <c r="W6" i="10" s="1" a="1"/>
  <c r="W6" i="10" s="1"/>
  <c r="I36" i="10"/>
  <c r="V36" i="10" s="1"/>
  <c r="W36" i="10" s="1" a="1"/>
  <c r="W36" i="10" s="1"/>
  <c r="I33" i="10"/>
  <c r="V33" i="10" s="1"/>
  <c r="W33" i="10" s="1" a="1"/>
  <c r="W33" i="10" s="1"/>
  <c r="I30" i="10"/>
  <c r="V30" i="10" s="1"/>
  <c r="W30" i="10" s="1" a="1"/>
  <c r="W30" i="10" s="1"/>
  <c r="I27" i="10"/>
  <c r="V27" i="10" s="1"/>
  <c r="W27" i="10" s="1" a="1"/>
  <c r="W27" i="10" s="1"/>
  <c r="I18" i="10"/>
  <c r="V18" i="10" s="1"/>
  <c r="W18" i="10" s="1" a="1"/>
  <c r="W18" i="10" s="1"/>
  <c r="I15" i="10"/>
  <c r="V15" i="10" s="1"/>
  <c r="W15" i="10" s="1" a="1"/>
  <c r="W15" i="10" s="1"/>
  <c r="I12" i="10"/>
  <c r="V12" i="10" s="1"/>
  <c r="W12" i="10" s="1" a="1"/>
  <c r="W12" i="10" s="1"/>
  <c r="I54" i="10"/>
  <c r="I52" i="10"/>
  <c r="V52" i="10" s="1"/>
  <c r="W52" i="10" s="1" a="1"/>
  <c r="W52" i="10" s="1"/>
  <c r="I50" i="10"/>
  <c r="V50" i="10" s="1"/>
  <c r="W50" i="10" s="1" a="1"/>
  <c r="W50" i="10" s="1"/>
  <c r="I47" i="10"/>
  <c r="V47" i="10" s="1"/>
  <c r="I39" i="10"/>
  <c r="V39" i="10" s="1"/>
  <c r="W39" i="10" s="1" a="1"/>
  <c r="W39" i="10" s="1"/>
  <c r="I17" i="10"/>
  <c r="V17" i="10" s="1"/>
  <c r="W17" i="10" s="1" a="1"/>
  <c r="W17" i="10" s="1"/>
  <c r="I14" i="10"/>
  <c r="V14" i="10" s="1"/>
  <c r="W14" i="10" s="1" a="1"/>
  <c r="W14" i="10" s="1"/>
  <c r="I7" i="10"/>
  <c r="V7" i="10" s="1"/>
  <c r="W7" i="10" s="1" a="1"/>
  <c r="W7" i="10" s="1"/>
  <c r="C6" i="10"/>
  <c r="I5" i="10"/>
  <c r="V5" i="10" s="1"/>
  <c r="W5" i="10" s="1" a="1"/>
  <c r="W5" i="10" s="1"/>
  <c r="I4" i="10"/>
  <c r="V4" i="10" s="1"/>
  <c r="W4" i="10" s="1" a="1"/>
  <c r="W4" i="10" s="1"/>
  <c r="I42" i="10"/>
  <c r="V42" i="10" s="1"/>
  <c r="W42" i="10" s="1" a="1"/>
  <c r="W42" i="10" s="1"/>
  <c r="I16" i="10"/>
  <c r="V16" i="10" s="1"/>
  <c r="W16" i="10" s="1" a="1"/>
  <c r="W16" i="10" s="1"/>
  <c r="I13" i="10"/>
  <c r="V13" i="10" s="1"/>
  <c r="W13" i="10" s="1" a="1"/>
  <c r="W13" i="10" s="1"/>
  <c r="I48" i="10"/>
  <c r="V48" i="10" s="1"/>
  <c r="W48" i="10" s="1" a="1"/>
  <c r="W48" i="10" s="1"/>
  <c r="I24" i="10"/>
  <c r="V24" i="10" s="1"/>
  <c r="W24" i="10" s="1" a="1"/>
  <c r="W24" i="10" s="1"/>
  <c r="I10" i="10"/>
  <c r="V10" i="10" s="1"/>
  <c r="W10" i="10" s="1" a="1"/>
  <c r="W10" i="10" s="1"/>
  <c r="I40" i="10"/>
  <c r="V40" i="10" s="1"/>
  <c r="W40" i="10" s="1" a="1"/>
  <c r="W40" i="10" s="1"/>
  <c r="I28" i="10"/>
  <c r="V28" i="10" s="1"/>
  <c r="W28" i="10" s="1" a="1"/>
  <c r="W28" i="10" s="1"/>
  <c r="I23" i="10"/>
  <c r="V23" i="10" s="1"/>
  <c r="W23" i="10" s="1" a="1"/>
  <c r="W23" i="10" s="1"/>
  <c r="I9" i="10"/>
  <c r="V9" i="10" s="1"/>
  <c r="W9" i="10" s="1" a="1"/>
  <c r="W9" i="10" s="1"/>
  <c r="I34" i="10"/>
  <c r="V34" i="10" s="1"/>
  <c r="I31" i="10"/>
  <c r="V31" i="10" s="1"/>
  <c r="W31" i="10" s="1" a="1"/>
  <c r="W31" i="10" s="1"/>
  <c r="I25" i="10"/>
  <c r="V25" i="10" s="1"/>
  <c r="W25" i="10" s="1" a="1"/>
  <c r="W25" i="10" s="1"/>
  <c r="I8" i="10"/>
  <c r="V8" i="10" s="1"/>
  <c r="W8" i="10" s="1" a="1"/>
  <c r="W8" i="10" s="1"/>
  <c r="I37" i="10"/>
  <c r="V37" i="10" s="1"/>
  <c r="W37" i="10" s="1" a="1"/>
  <c r="W37" i="10" s="1"/>
  <c r="I45" i="10"/>
  <c r="V45" i="10" s="1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54" i="10"/>
  <c r="N52" i="10"/>
  <c r="N50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9" i="10"/>
  <c r="N43" i="10"/>
  <c r="N32" i="10"/>
  <c r="N38" i="10"/>
  <c r="N19" i="10"/>
  <c r="N10" i="10"/>
  <c r="N26" i="10"/>
  <c r="N53" i="10"/>
  <c r="N51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54" i="10"/>
  <c r="M52" i="10"/>
  <c r="M50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53" i="10"/>
  <c r="M51" i="10"/>
  <c r="M49" i="10"/>
  <c r="M43" i="10"/>
  <c r="C63" i="9"/>
  <c r="C57" i="9"/>
  <c r="C50" i="9"/>
  <c r="C44" i="9"/>
  <c r="C38" i="9"/>
  <c r="C32" i="9"/>
  <c r="C26" i="9"/>
  <c r="C20" i="9"/>
  <c r="C14" i="9"/>
  <c r="C15" i="9"/>
  <c r="C62" i="9"/>
  <c r="C55" i="9"/>
  <c r="C49" i="9"/>
  <c r="C43" i="9"/>
  <c r="C37" i="9"/>
  <c r="C31" i="9"/>
  <c r="C25" i="9"/>
  <c r="C19" i="9"/>
  <c r="C13" i="9"/>
  <c r="C27" i="9"/>
  <c r="C61" i="9"/>
  <c r="C54" i="9"/>
  <c r="C48" i="9"/>
  <c r="C42" i="9"/>
  <c r="C36" i="9"/>
  <c r="C30" i="9"/>
  <c r="C24" i="9"/>
  <c r="C18" i="9"/>
  <c r="C12" i="9"/>
  <c r="C21" i="9"/>
  <c r="C33" i="9"/>
  <c r="C60" i="9"/>
  <c r="C53" i="9"/>
  <c r="C47" i="9"/>
  <c r="C41" i="9"/>
  <c r="C35" i="9"/>
  <c r="C29" i="9"/>
  <c r="C23" i="9"/>
  <c r="C17" i="9"/>
  <c r="C11" i="9"/>
  <c r="C39" i="9"/>
  <c r="C58" i="9"/>
  <c r="C59" i="9"/>
  <c r="C52" i="9"/>
  <c r="C46" i="9"/>
  <c r="C40" i="9"/>
  <c r="C34" i="9"/>
  <c r="C28" i="9"/>
  <c r="C22" i="9"/>
  <c r="C16" i="9"/>
  <c r="C8" i="9"/>
  <c r="C45" i="9"/>
  <c r="C51" i="9"/>
  <c r="AG47" i="10" l="1"/>
  <c r="AG27" i="10"/>
  <c r="AG26" i="10"/>
  <c r="AG33" i="10"/>
  <c r="AG40" i="10"/>
  <c r="AG51" i="10"/>
  <c r="AG19" i="10"/>
  <c r="AG12" i="10"/>
  <c r="AG20" i="10"/>
  <c r="AG45" i="10"/>
  <c r="AG50" i="10"/>
  <c r="AG25" i="10"/>
  <c r="AG5" i="10"/>
  <c r="AG18" i="10"/>
  <c r="AG7" i="10"/>
  <c r="AG49" i="10"/>
  <c r="AG13" i="10"/>
  <c r="AG11" i="10"/>
  <c r="AG24" i="10"/>
  <c r="AG46" i="10"/>
  <c r="AG44" i="10"/>
  <c r="AG43" i="10"/>
  <c r="AG31" i="10"/>
  <c r="AG4" i="10"/>
  <c r="AG17" i="10"/>
  <c r="AG30" i="10"/>
  <c r="AG34" i="10"/>
  <c r="AC3" i="10" a="1"/>
  <c r="AC3" i="10" s="1"/>
  <c r="AD3" i="10" a="1"/>
  <c r="AD3" i="10" s="1"/>
  <c r="AG3" i="10" s="1"/>
  <c r="AB3" i="10" a="1"/>
  <c r="AB3" i="10" s="1"/>
  <c r="AE3" i="10" a="1"/>
  <c r="AE3" i="10" s="1"/>
  <c r="AG10" i="10"/>
  <c r="AG23" i="10"/>
  <c r="AG36" i="10"/>
  <c r="AG52" i="10"/>
  <c r="AG37" i="10"/>
  <c r="AG9" i="10"/>
  <c r="AG16" i="10"/>
  <c r="AG29" i="10"/>
  <c r="AG42" i="10"/>
  <c r="AG6" i="10"/>
  <c r="AG8" i="10"/>
  <c r="AG15" i="10"/>
  <c r="AG22" i="10"/>
  <c r="AG35" i="10"/>
  <c r="AG48" i="10"/>
  <c r="AG39" i="10"/>
  <c r="AG14" i="10"/>
  <c r="AG21" i="10"/>
  <c r="AG28" i="10"/>
  <c r="AG41" i="10"/>
  <c r="X10" i="10" a="1"/>
  <c r="X10" i="10" s="1"/>
  <c r="X39" i="10" a="1"/>
  <c r="X39" i="10" s="1"/>
  <c r="X6" i="10" a="1"/>
  <c r="X6" i="10" s="1"/>
  <c r="X35" i="10" a="1"/>
  <c r="X35" i="10" s="1"/>
  <c r="X24" i="10" a="1"/>
  <c r="X24" i="10" s="1"/>
  <c r="X47" i="10" a="1"/>
  <c r="X47" i="10" s="1"/>
  <c r="X19" i="10" a="1"/>
  <c r="X19" i="10" s="1"/>
  <c r="X38" i="10" a="1"/>
  <c r="X38" i="10" s="1"/>
  <c r="X45" i="10" a="1"/>
  <c r="X45" i="10" s="1"/>
  <c r="X48" i="10" a="1"/>
  <c r="X48" i="10" s="1"/>
  <c r="X50" i="10" a="1"/>
  <c r="X50" i="10" s="1"/>
  <c r="X44" i="10" a="1"/>
  <c r="X44" i="10" s="1"/>
  <c r="X22" i="10" a="1"/>
  <c r="X22" i="10" s="1"/>
  <c r="X37" i="10" a="1"/>
  <c r="X37" i="10" s="1"/>
  <c r="X13" i="10" a="1"/>
  <c r="X13" i="10" s="1"/>
  <c r="X52" i="10" a="1"/>
  <c r="X52" i="10" s="1"/>
  <c r="X3" i="10" a="1"/>
  <c r="X3" i="10" s="1"/>
  <c r="X51" i="10" a="1"/>
  <c r="X51" i="10" s="1"/>
  <c r="X8" i="10" a="1"/>
  <c r="X8" i="10" s="1"/>
  <c r="X16" i="10" a="1"/>
  <c r="X16" i="10" s="1"/>
  <c r="X20" i="10" a="1"/>
  <c r="X20" i="10" s="1"/>
  <c r="X53" i="10" a="1"/>
  <c r="X53" i="10" s="1"/>
  <c r="X25" i="10" a="1"/>
  <c r="X25" i="10" s="1"/>
  <c r="X42" i="10" a="1"/>
  <c r="X42" i="10" s="1"/>
  <c r="X12" i="10" a="1"/>
  <c r="X12" i="10" s="1"/>
  <c r="X46" i="10" a="1"/>
  <c r="X46" i="10" s="1"/>
  <c r="X43" i="10" a="1"/>
  <c r="X43" i="10" s="1"/>
  <c r="X31" i="10" a="1"/>
  <c r="X31" i="10" s="1"/>
  <c r="X4" i="10" a="1"/>
  <c r="X4" i="10" s="1"/>
  <c r="X15" i="10" a="1"/>
  <c r="X15" i="10" s="1"/>
  <c r="X11" i="10" a="1"/>
  <c r="X11" i="10" s="1"/>
  <c r="X49" i="10" a="1"/>
  <c r="X49" i="10" s="1"/>
  <c r="X34" i="10" a="1"/>
  <c r="X34" i="10" s="1"/>
  <c r="X5" i="10" a="1"/>
  <c r="X5" i="10" s="1"/>
  <c r="X18" i="10" a="1"/>
  <c r="X18" i="10" s="1"/>
  <c r="X21" i="10" a="1"/>
  <c r="X21" i="10" s="1"/>
  <c r="X9" i="10" a="1"/>
  <c r="X9" i="10" s="1"/>
  <c r="X27" i="10" a="1"/>
  <c r="X27" i="10" s="1"/>
  <c r="X41" i="10" a="1"/>
  <c r="X41" i="10" s="1"/>
  <c r="X23" i="10" a="1"/>
  <c r="X23" i="10" s="1"/>
  <c r="X7" i="10" a="1"/>
  <c r="X7" i="10" s="1"/>
  <c r="X30" i="10" a="1"/>
  <c r="X30" i="10" s="1"/>
  <c r="X26" i="10" a="1"/>
  <c r="X26" i="10" s="1"/>
  <c r="M22" i="10"/>
  <c r="U22" i="10"/>
  <c r="X28" i="10" a="1"/>
  <c r="X28" i="10" s="1"/>
  <c r="X14" i="10" a="1"/>
  <c r="X14" i="10" s="1"/>
  <c r="X33" i="10" a="1"/>
  <c r="X33" i="10" s="1"/>
  <c r="X29" i="10" a="1"/>
  <c r="X29" i="10" s="1"/>
  <c r="M21" i="10"/>
  <c r="U21" i="10"/>
  <c r="X40" i="10" a="1"/>
  <c r="X40" i="10" s="1"/>
  <c r="X17" i="10" a="1"/>
  <c r="X17" i="10" s="1"/>
  <c r="X36" i="10" a="1"/>
  <c r="X36" i="10" s="1"/>
  <c r="X32" i="10" a="1"/>
  <c r="X32" i="10" s="1"/>
  <c r="M20" i="10"/>
  <c r="U20" i="10"/>
  <c r="E49" i="10"/>
  <c r="E54" i="10"/>
  <c r="E52" i="10"/>
  <c r="E56" i="10"/>
  <c r="E63" i="10"/>
  <c r="E47" i="10"/>
  <c r="E66" i="10"/>
  <c r="E57" i="10"/>
  <c r="E48" i="10"/>
  <c r="E53" i="10"/>
  <c r="E55" i="10"/>
  <c r="E64" i="10"/>
  <c r="E51" i="10"/>
  <c r="E65" i="10"/>
  <c r="F49" i="10"/>
  <c r="F53" i="10"/>
  <c r="F51" i="10"/>
  <c r="F48" i="10"/>
  <c r="F70" i="10"/>
  <c r="F58" i="10"/>
  <c r="F65" i="10"/>
  <c r="F71" i="10"/>
  <c r="F87" i="10"/>
  <c r="F81" i="10"/>
  <c r="F78" i="10"/>
  <c r="F63" i="10"/>
  <c r="F66" i="10"/>
  <c r="F88" i="10"/>
  <c r="F52" i="10"/>
  <c r="F73" i="10"/>
  <c r="F64" i="10"/>
  <c r="F76" i="10"/>
  <c r="F59" i="10"/>
  <c r="F79" i="10"/>
  <c r="F77" i="10"/>
  <c r="F56" i="10"/>
  <c r="F84" i="10"/>
  <c r="F82" i="10"/>
  <c r="F62" i="10"/>
  <c r="F67" i="10"/>
  <c r="F85" i="10"/>
  <c r="F47" i="10"/>
  <c r="F68" i="10"/>
  <c r="F60" i="10"/>
  <c r="F72" i="10"/>
  <c r="F57" i="10"/>
  <c r="F50" i="10"/>
  <c r="F75" i="10"/>
  <c r="F69" i="10"/>
  <c r="F83" i="10"/>
  <c r="F80" i="10"/>
  <c r="F74" i="10"/>
  <c r="F54" i="10"/>
  <c r="F55" i="10"/>
  <c r="F86" i="10"/>
  <c r="F61" i="10"/>
  <c r="E75" i="10" l="1"/>
  <c r="E83" i="10"/>
  <c r="B48" i="10"/>
  <c r="E62" i="10"/>
  <c r="E78" i="10"/>
  <c r="E67" i="10"/>
  <c r="E86" i="10"/>
  <c r="E77" i="10"/>
  <c r="E60" i="10"/>
  <c r="E59" i="10"/>
  <c r="E61" i="10"/>
  <c r="E71" i="10"/>
  <c r="E58" i="10"/>
  <c r="E69" i="10"/>
  <c r="E81" i="10"/>
  <c r="E82" i="10"/>
  <c r="E79" i="10"/>
  <c r="E74" i="10"/>
  <c r="E87" i="10"/>
  <c r="E70" i="10"/>
  <c r="E88" i="10"/>
  <c r="E73" i="10"/>
  <c r="E84" i="10"/>
  <c r="E80" i="10"/>
  <c r="E85" i="10"/>
  <c r="E72" i="10"/>
  <c r="E68" i="10"/>
  <c r="E50" i="10"/>
  <c r="E76" i="10"/>
  <c r="CZ10" i="10" l="1"/>
  <c r="CY10" i="10"/>
  <c r="AJ10" i="10"/>
  <c r="DA10" i="10"/>
  <c r="CL14" i="10"/>
  <c r="CJ14" i="10"/>
  <c r="BK14" i="10"/>
  <c r="BR14" i="10"/>
  <c r="CE14" i="10"/>
  <c r="BM14" i="10"/>
  <c r="BW14" i="10"/>
  <c r="CD14" i="10"/>
  <c r="CQ14" i="10"/>
  <c r="CI14" i="10"/>
  <c r="BE14" i="10"/>
  <c r="CP14" i="10"/>
  <c r="BZ14" i="10"/>
  <c r="CX14" i="10"/>
  <c r="CU14" i="10"/>
  <c r="BQ14" i="10"/>
  <c r="BN14" i="10"/>
  <c r="CK14" i="10"/>
  <c r="BI14" i="10"/>
  <c r="CA14" i="10"/>
  <c r="CC14" i="10"/>
  <c r="BF14" i="10"/>
  <c r="BU14" i="10"/>
  <c r="BD14" i="10"/>
  <c r="CO14" i="10"/>
  <c r="CF14" i="10"/>
  <c r="CG14" i="10"/>
  <c r="BP14" i="10"/>
  <c r="DA14" i="10"/>
  <c r="BS14" i="10"/>
  <c r="BY14" i="10"/>
  <c r="CS14" i="10"/>
  <c r="CB14" i="10"/>
  <c r="BO14" i="10"/>
  <c r="CW14" i="10"/>
  <c r="BX14" i="10"/>
  <c r="CV14" i="10"/>
  <c r="BJ14" i="10"/>
  <c r="CN14" i="10"/>
  <c r="BC14" i="10"/>
  <c r="CY14" i="10"/>
  <c r="BV14" i="10"/>
  <c r="CZ14" i="10"/>
  <c r="CM14" i="10"/>
  <c r="BH14" i="10"/>
  <c r="CT14" i="10"/>
  <c r="CR14" i="10"/>
  <c r="BL14" i="10"/>
  <c r="CH14" i="10"/>
  <c r="BG14" i="10"/>
  <c r="BT14" i="10"/>
  <c r="W34" i="10" l="1" a="1"/>
  <c r="W34" i="10" s="1"/>
  <c r="AD38" i="10" a="1"/>
  <c r="AD38" i="10" s="1"/>
  <c r="AG38" i="10" s="1"/>
  <c r="AE38" i="10" a="1"/>
  <c r="AE38" i="10" s="1"/>
  <c r="AC38" i="10" a="1"/>
  <c r="AC38" i="10" s="1"/>
  <c r="AB38" i="10" a="1"/>
  <c r="AB38" i="10" s="1"/>
  <c r="W19" i="10" a="1"/>
  <c r="W19" i="10" s="1"/>
  <c r="W20" i="10" a="1"/>
  <c r="W20" i="10" s="1"/>
  <c r="W21" i="10" a="1"/>
  <c r="W21" i="10" s="1"/>
  <c r="AG53" i="10"/>
  <c r="AG32" i="10"/>
  <c r="W45" i="10" a="1"/>
  <c r="W45" i="10" s="1"/>
  <c r="W47" i="10" a="1"/>
  <c r="W47" i="10" s="1"/>
  <c r="W35" i="10" a="1"/>
  <c r="W35" i="10" s="1"/>
  <c r="W46" i="10" a="1"/>
  <c r="W46" i="10" s="1"/>
  <c r="AK18" i="10" l="1"/>
  <c r="AZ18" i="10" s="1"/>
  <c r="AK9" i="10"/>
  <c r="AK19" i="10"/>
  <c r="AK15" i="10"/>
  <c r="U3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J49" i="7"/>
  <c r="J50" i="7"/>
  <c r="J51" i="7"/>
  <c r="J52" i="7"/>
  <c r="J53" i="7"/>
  <c r="J54" i="7"/>
  <c r="F25" i="7"/>
  <c r="F26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B25" i="7"/>
  <c r="B26" i="7"/>
  <c r="B28" i="7"/>
  <c r="B29" i="7"/>
  <c r="B30" i="7"/>
  <c r="B31" i="7"/>
  <c r="B32" i="7"/>
  <c r="B33" i="7"/>
  <c r="B34" i="7"/>
  <c r="B35" i="7"/>
  <c r="B36" i="7"/>
  <c r="B37" i="7"/>
  <c r="B38" i="7"/>
  <c r="B39" i="7"/>
  <c r="F23" i="7"/>
  <c r="F24" i="7"/>
  <c r="B22" i="7"/>
  <c r="B23" i="7"/>
  <c r="B24" i="7"/>
  <c r="G49" i="7"/>
  <c r="D49" i="7"/>
  <c r="B54" i="7"/>
  <c r="F53" i="7"/>
  <c r="F54" i="7"/>
  <c r="J48" i="7"/>
  <c r="Q54" i="7"/>
  <c r="Q53" i="7"/>
  <c r="Q52" i="7"/>
  <c r="Q51" i="7"/>
  <c r="Q50" i="7"/>
  <c r="Q49" i="7"/>
  <c r="Q48" i="7"/>
  <c r="Q47" i="7"/>
  <c r="J47" i="7"/>
  <c r="B53" i="7"/>
  <c r="Q46" i="7"/>
  <c r="J46" i="7"/>
  <c r="B52" i="7"/>
  <c r="Q45" i="7"/>
  <c r="J45" i="7"/>
  <c r="F52" i="7"/>
  <c r="B51" i="7"/>
  <c r="Q44" i="7"/>
  <c r="J44" i="7"/>
  <c r="F51" i="7"/>
  <c r="B50" i="7"/>
  <c r="Q43" i="7"/>
  <c r="J43" i="7"/>
  <c r="F50" i="7"/>
  <c r="B49" i="7"/>
  <c r="Q42" i="7"/>
  <c r="J42" i="7"/>
  <c r="F49" i="7"/>
  <c r="B48" i="7"/>
  <c r="Q41" i="7"/>
  <c r="J41" i="7"/>
  <c r="F48" i="7"/>
  <c r="B47" i="7"/>
  <c r="Q40" i="7"/>
  <c r="J40" i="7"/>
  <c r="F45" i="7"/>
  <c r="B44" i="7"/>
  <c r="Q39" i="7"/>
  <c r="J39" i="7"/>
  <c r="F44" i="7"/>
  <c r="B43" i="7"/>
  <c r="Q38" i="7"/>
  <c r="J38" i="7"/>
  <c r="F43" i="7"/>
  <c r="B27" i="7"/>
  <c r="Q37" i="7"/>
  <c r="J37" i="7"/>
  <c r="F42" i="7"/>
  <c r="B41" i="7"/>
  <c r="Q36" i="7"/>
  <c r="J36" i="7"/>
  <c r="F41" i="7"/>
  <c r="B40" i="7"/>
  <c r="Q35" i="7"/>
  <c r="J35" i="7"/>
  <c r="Q34" i="7"/>
  <c r="J34" i="7"/>
  <c r="Q33" i="7"/>
  <c r="J33" i="7"/>
  <c r="Q32" i="7"/>
  <c r="J32" i="7"/>
  <c r="Q31" i="7"/>
  <c r="J31" i="7"/>
  <c r="Q30" i="7"/>
  <c r="J30" i="7"/>
  <c r="Q29" i="7"/>
  <c r="J29" i="7"/>
  <c r="Q28" i="7"/>
  <c r="J28" i="7"/>
  <c r="Q27" i="7"/>
  <c r="J27" i="7"/>
  <c r="F27" i="7"/>
  <c r="B42" i="7"/>
  <c r="Q26" i="7"/>
  <c r="J26" i="7"/>
  <c r="Q25" i="7"/>
  <c r="J25" i="7"/>
  <c r="Q24" i="7"/>
  <c r="J24" i="7"/>
  <c r="F21" i="7"/>
  <c r="B17" i="7"/>
  <c r="Q23" i="7"/>
  <c r="J23" i="7"/>
  <c r="F20" i="7"/>
  <c r="B16" i="7"/>
  <c r="Q22" i="7"/>
  <c r="J22" i="7"/>
  <c r="F19" i="7"/>
  <c r="B15" i="7"/>
  <c r="Q21" i="7"/>
  <c r="J21" i="7"/>
  <c r="F22" i="7"/>
  <c r="Q20" i="7"/>
  <c r="J20" i="7"/>
  <c r="F17" i="7"/>
  <c r="B20" i="7"/>
  <c r="Q19" i="7"/>
  <c r="J19" i="7"/>
  <c r="F16" i="7"/>
  <c r="B19" i="7"/>
  <c r="Q18" i="7"/>
  <c r="J18" i="7"/>
  <c r="F15" i="7"/>
  <c r="B18" i="7"/>
  <c r="Q17" i="7"/>
  <c r="J17" i="7"/>
  <c r="F18" i="7"/>
  <c r="B21" i="7"/>
  <c r="Q16" i="7"/>
  <c r="J16" i="7"/>
  <c r="F14" i="7"/>
  <c r="B14" i="7"/>
  <c r="Q15" i="7"/>
  <c r="J15" i="7"/>
  <c r="F12" i="7"/>
  <c r="B12" i="7"/>
  <c r="Q14" i="7"/>
  <c r="J14" i="7"/>
  <c r="F13" i="7"/>
  <c r="B13" i="7"/>
  <c r="Q13" i="7"/>
  <c r="J13" i="7"/>
  <c r="F11" i="7"/>
  <c r="B11" i="7"/>
  <c r="Q12" i="7"/>
  <c r="J12" i="7"/>
  <c r="F10" i="7"/>
  <c r="B10" i="7"/>
  <c r="Q11" i="7"/>
  <c r="J11" i="7"/>
  <c r="F9" i="7"/>
  <c r="B9" i="7"/>
  <c r="Q10" i="7"/>
  <c r="J10" i="7"/>
  <c r="F8" i="7"/>
  <c r="B8" i="7"/>
  <c r="Q9" i="7"/>
  <c r="J9" i="7"/>
  <c r="F7" i="7"/>
  <c r="B7" i="7"/>
  <c r="Q8" i="7"/>
  <c r="J8" i="7"/>
  <c r="F47" i="7"/>
  <c r="B46" i="7"/>
  <c r="Q7" i="7"/>
  <c r="J7" i="7"/>
  <c r="F46" i="7"/>
  <c r="B45" i="7"/>
  <c r="Q6" i="7"/>
  <c r="J6" i="7"/>
  <c r="F6" i="7"/>
  <c r="B6" i="7"/>
  <c r="Q5" i="7"/>
  <c r="J5" i="7"/>
  <c r="F4" i="7"/>
  <c r="B4" i="7"/>
  <c r="Q4" i="7"/>
  <c r="J4" i="7"/>
  <c r="F5" i="7"/>
  <c r="B5" i="7"/>
  <c r="Q3" i="7"/>
  <c r="J3" i="7"/>
  <c r="F3" i="7"/>
  <c r="B3" i="7"/>
  <c r="K9" i="7" a="1"/>
  <c r="K15" i="7" a="1"/>
  <c r="K42" i="7" a="1"/>
  <c r="K54" i="7" a="1"/>
  <c r="K40" i="7" a="1"/>
  <c r="K10" i="7" a="1"/>
  <c r="K31" i="7" a="1"/>
  <c r="K17" i="7" a="1"/>
  <c r="K4" i="7" a="1"/>
  <c r="K51" i="7" a="1"/>
  <c r="K3" i="7" a="1"/>
  <c r="K43" i="7" a="1"/>
  <c r="K7" i="7" a="1"/>
  <c r="K36" i="7" a="1"/>
  <c r="K20" i="7" a="1"/>
  <c r="K12" i="7" a="1"/>
  <c r="K50" i="7" a="1"/>
  <c r="K26" i="7" a="1"/>
  <c r="K38" i="7" a="1"/>
  <c r="K21" i="7" a="1"/>
  <c r="K18" i="7" a="1"/>
  <c r="K23" i="7" a="1"/>
  <c r="K47" i="7" a="1"/>
  <c r="K48" i="7" a="1"/>
  <c r="K25" i="7" a="1"/>
  <c r="K6" i="7" a="1"/>
  <c r="K45" i="7" a="1"/>
  <c r="K53" i="7" a="1"/>
  <c r="K13" i="7" a="1"/>
  <c r="K28" i="7" a="1"/>
  <c r="K29" i="7" a="1"/>
  <c r="K22" i="7" a="1"/>
  <c r="K37" i="7" a="1"/>
  <c r="K33" i="7" a="1"/>
  <c r="K27" i="7" a="1"/>
  <c r="K39" i="7" a="1"/>
  <c r="K32" i="7" a="1"/>
  <c r="K24" i="7" a="1"/>
  <c r="K46" i="7" a="1"/>
  <c r="K44" i="7" a="1"/>
  <c r="K30" i="7" a="1"/>
  <c r="K16" i="7" a="1"/>
  <c r="K5" i="7" a="1"/>
  <c r="K49" i="7" a="1"/>
  <c r="K35" i="7" a="1"/>
  <c r="K11" i="7" a="1"/>
  <c r="K34" i="7" a="1"/>
  <c r="K14" i="7" a="1"/>
  <c r="K52" i="7" a="1"/>
  <c r="K19" i="7" a="1"/>
  <c r="K8" i="7" a="1"/>
  <c r="K41" i="7" a="1"/>
  <c r="CU9" i="10" l="1"/>
  <c r="BY9" i="10"/>
  <c r="CV9" i="10"/>
  <c r="BR9" i="10"/>
  <c r="BV9" i="10"/>
  <c r="BE9" i="10"/>
  <c r="CD9" i="10"/>
  <c r="CQ9" i="10"/>
  <c r="BI9" i="10"/>
  <c r="CH9" i="10"/>
  <c r="CL9" i="10"/>
  <c r="BX9" i="10"/>
  <c r="BO9" i="10"/>
  <c r="CF9" i="10"/>
  <c r="BU9" i="10"/>
  <c r="CX9" i="10"/>
  <c r="CG9" i="10"/>
  <c r="CB9" i="10"/>
  <c r="CC9" i="10"/>
  <c r="BK9" i="10"/>
  <c r="CR9" i="10"/>
  <c r="BN9" i="10"/>
  <c r="BD9" i="10"/>
  <c r="BM9" i="10"/>
  <c r="CE9" i="10"/>
  <c r="BZ9" i="10"/>
  <c r="BC9" i="10"/>
  <c r="BQ9" i="10"/>
  <c r="CP9" i="10"/>
  <c r="BH9" i="10"/>
  <c r="CT9" i="10"/>
  <c r="BL9" i="10"/>
  <c r="CK9" i="10"/>
  <c r="BP9" i="10"/>
  <c r="BT9" i="10"/>
  <c r="CW9" i="10"/>
  <c r="BG9" i="10"/>
  <c r="BW9" i="10"/>
  <c r="BS9" i="10"/>
  <c r="CM9" i="10"/>
  <c r="CO9" i="10"/>
  <c r="BJ9" i="10"/>
  <c r="CS9" i="10"/>
  <c r="CN9" i="10"/>
  <c r="CA9" i="10"/>
  <c r="CJ9" i="10"/>
  <c r="BF9" i="10"/>
  <c r="CI9" i="10"/>
  <c r="AJ18" i="10"/>
  <c r="AK8" i="10"/>
  <c r="AZ9" i="10"/>
  <c r="AY10" i="10" s="1"/>
  <c r="AY14" i="10" s="1"/>
  <c r="AZ14" i="10" s="1"/>
  <c r="AY15" i="10" s="1"/>
  <c r="DA9" i="10"/>
  <c r="AJ9" i="10"/>
  <c r="AT10" i="10" s="1"/>
  <c r="CY9" i="10"/>
  <c r="CZ9" i="10"/>
  <c r="AK17" i="10"/>
  <c r="AJ19" i="10"/>
  <c r="AY19" i="10"/>
  <c r="CE15" i="10"/>
  <c r="CU15" i="10"/>
  <c r="BU15" i="10"/>
  <c r="BX15" i="10"/>
  <c r="CQ15" i="10"/>
  <c r="BC15" i="10"/>
  <c r="BR15" i="10"/>
  <c r="DA15" i="10"/>
  <c r="AK13" i="10"/>
  <c r="CW15" i="10"/>
  <c r="BP15" i="10"/>
  <c r="CJ15" i="10"/>
  <c r="CP15" i="10"/>
  <c r="BQ15" i="10"/>
  <c r="CO15" i="10"/>
  <c r="CR15" i="10"/>
  <c r="BS15" i="10"/>
  <c r="BJ15" i="10"/>
  <c r="CF15" i="10"/>
  <c r="CM15" i="10"/>
  <c r="CD15" i="10"/>
  <c r="BV15" i="10"/>
  <c r="BO15" i="10"/>
  <c r="CZ15" i="10"/>
  <c r="CS15" i="10"/>
  <c r="CH15" i="10"/>
  <c r="CB15" i="10"/>
  <c r="BF15" i="10"/>
  <c r="CL15" i="10"/>
  <c r="BT15" i="10"/>
  <c r="BI15" i="10"/>
  <c r="BL15" i="10"/>
  <c r="BK15" i="10"/>
  <c r="CI15" i="10"/>
  <c r="CT15" i="10"/>
  <c r="BD15" i="10"/>
  <c r="BW15" i="10"/>
  <c r="BN15" i="10"/>
  <c r="CV15" i="10"/>
  <c r="CK15" i="10"/>
  <c r="CC15" i="10"/>
  <c r="CG15" i="10"/>
  <c r="CY15" i="10"/>
  <c r="BM15" i="10"/>
  <c r="BE15" i="10"/>
  <c r="BY15" i="10"/>
  <c r="CA15" i="10"/>
  <c r="CX15" i="10"/>
  <c r="BH15" i="10"/>
  <c r="BG15" i="10"/>
  <c r="CN15" i="10"/>
  <c r="BZ15" i="10"/>
  <c r="AJ15" i="10"/>
  <c r="K27" i="7"/>
  <c r="R27" i="7" s="1"/>
  <c r="K20" i="7"/>
  <c r="R20" i="7" s="1"/>
  <c r="K14" i="7"/>
  <c r="R14" i="7" s="1"/>
  <c r="K8" i="7"/>
  <c r="R8" i="7" s="1"/>
  <c r="K26" i="7"/>
  <c r="R26" i="7" s="1"/>
  <c r="K9" i="7"/>
  <c r="R9" i="7" s="1"/>
  <c r="K32" i="7"/>
  <c r="R32" i="7" s="1"/>
  <c r="K49" i="7"/>
  <c r="R49" i="7" s="1"/>
  <c r="K43" i="7"/>
  <c r="R43" i="7" s="1"/>
  <c r="K37" i="7"/>
  <c r="R37" i="7" s="1"/>
  <c r="K31" i="7"/>
  <c r="R31" i="7" s="1"/>
  <c r="K25" i="7"/>
  <c r="R25" i="7" s="1"/>
  <c r="K19" i="7"/>
  <c r="R19" i="7" s="1"/>
  <c r="K13" i="7"/>
  <c r="R13" i="7" s="1"/>
  <c r="K7" i="7"/>
  <c r="R7" i="7" s="1"/>
  <c r="K38" i="7"/>
  <c r="R38" i="7" s="1"/>
  <c r="K45" i="7"/>
  <c r="R45" i="7" s="1"/>
  <c r="K21" i="7"/>
  <c r="R21" i="7" s="1"/>
  <c r="K44" i="7"/>
  <c r="R44" i="7" s="1"/>
  <c r="K54" i="7"/>
  <c r="R54" i="7" s="1"/>
  <c r="K48" i="7"/>
  <c r="R48" i="7" s="1"/>
  <c r="K42" i="7"/>
  <c r="R42" i="7" s="1"/>
  <c r="K36" i="7"/>
  <c r="R36" i="7" s="1"/>
  <c r="K30" i="7"/>
  <c r="R30" i="7" s="1"/>
  <c r="K24" i="7"/>
  <c r="R24" i="7" s="1"/>
  <c r="K18" i="7"/>
  <c r="R18" i="7" s="1"/>
  <c r="K12" i="7"/>
  <c r="R12" i="7" s="1"/>
  <c r="K6" i="7"/>
  <c r="R6" i="7" s="1"/>
  <c r="K50" i="7"/>
  <c r="R50" i="7" s="1"/>
  <c r="K51" i="7"/>
  <c r="R51" i="7" s="1"/>
  <c r="K15" i="7"/>
  <c r="R15" i="7" s="1"/>
  <c r="K53" i="7"/>
  <c r="R53" i="7" s="1"/>
  <c r="K47" i="7"/>
  <c r="R47" i="7" s="1"/>
  <c r="K41" i="7"/>
  <c r="K35" i="7"/>
  <c r="R35" i="7" s="1"/>
  <c r="K29" i="7"/>
  <c r="R29" i="7" s="1"/>
  <c r="K23" i="7"/>
  <c r="R23" i="7" s="1"/>
  <c r="K17" i="7"/>
  <c r="R17" i="7" s="1"/>
  <c r="K11" i="7"/>
  <c r="R11" i="7" s="1"/>
  <c r="K5" i="7"/>
  <c r="R5" i="7" s="1"/>
  <c r="K39" i="7"/>
  <c r="R39" i="7" s="1"/>
  <c r="K33" i="7"/>
  <c r="R33" i="7" s="1"/>
  <c r="K52" i="7"/>
  <c r="R52" i="7" s="1"/>
  <c r="K46" i="7"/>
  <c r="R46" i="7" s="1"/>
  <c r="K40" i="7"/>
  <c r="R40" i="7" s="1"/>
  <c r="K34" i="7"/>
  <c r="R34" i="7" s="1"/>
  <c r="K28" i="7"/>
  <c r="R28" i="7" s="1"/>
  <c r="K22" i="7"/>
  <c r="R22" i="7" s="1"/>
  <c r="K16" i="7"/>
  <c r="R16" i="7" s="1"/>
  <c r="K10" i="7"/>
  <c r="R10" i="7" s="1"/>
  <c r="K4" i="7"/>
  <c r="R4" i="7" s="1"/>
  <c r="K3" i="7"/>
  <c r="R3" i="7" s="1"/>
  <c r="R41" i="7" l="1"/>
  <c r="N41" i="7" a="1"/>
  <c r="N41" i="7" s="1"/>
  <c r="T41" i="7" s="1"/>
  <c r="L39" i="7" a="1"/>
  <c r="L39" i="7" s="1"/>
  <c r="S39" i="7" s="1"/>
  <c r="N39" i="7" a="1"/>
  <c r="N39" i="7" s="1"/>
  <c r="T39" i="7" s="1"/>
  <c r="L41" i="7" a="1"/>
  <c r="L41" i="7" s="1"/>
  <c r="S41" i="7" s="1"/>
  <c r="N24" i="7" a="1"/>
  <c r="N24" i="7" s="1"/>
  <c r="T24" i="7" s="1"/>
  <c r="L24" i="7" a="1"/>
  <c r="L24" i="7" s="1"/>
  <c r="S24" i="7" s="1"/>
  <c r="N4" i="7" a="1"/>
  <c r="N4" i="7" s="1"/>
  <c r="T4" i="7" s="1"/>
  <c r="L4" i="7" a="1"/>
  <c r="L4" i="7" s="1"/>
  <c r="S4" i="7" s="1"/>
  <c r="N29" i="7" a="1"/>
  <c r="N29" i="7" s="1"/>
  <c r="T29" i="7" s="1"/>
  <c r="L29" i="7" a="1"/>
  <c r="L29" i="7" s="1"/>
  <c r="S29" i="7" s="1"/>
  <c r="N30" i="7" a="1"/>
  <c r="N30" i="7" s="1"/>
  <c r="T30" i="7" s="1"/>
  <c r="L30" i="7" a="1"/>
  <c r="L30" i="7" s="1"/>
  <c r="S30" i="7" s="1"/>
  <c r="N8" i="7" a="1"/>
  <c r="N8" i="7" s="1"/>
  <c r="T8" i="7" s="1"/>
  <c r="L8" i="7" a="1"/>
  <c r="L8" i="7" s="1"/>
  <c r="S8" i="7" s="1"/>
  <c r="L35" i="7" a="1"/>
  <c r="L35" i="7" s="1"/>
  <c r="S35" i="7" s="1"/>
  <c r="N35" i="7" a="1"/>
  <c r="N35" i="7" s="1"/>
  <c r="T35" i="7" s="1"/>
  <c r="L43" i="7" a="1"/>
  <c r="L43" i="7" s="1"/>
  <c r="S43" i="7" s="1"/>
  <c r="N43" i="7" a="1"/>
  <c r="N43" i="7" s="1"/>
  <c r="T43" i="7" s="1"/>
  <c r="N12" i="7" a="1"/>
  <c r="N12" i="7" s="1"/>
  <c r="T12" i="7" s="1"/>
  <c r="L12" i="7" a="1"/>
  <c r="L12" i="7" s="1"/>
  <c r="S12" i="7" s="1"/>
  <c r="N36" i="7" a="1"/>
  <c r="N36" i="7" s="1"/>
  <c r="T36" i="7" s="1"/>
  <c r="L36" i="7" a="1"/>
  <c r="L36" i="7" s="1"/>
  <c r="S36" i="7" s="1"/>
  <c r="N19" i="7" a="1"/>
  <c r="N19" i="7" s="1"/>
  <c r="T19" i="7" s="1"/>
  <c r="L19" i="7" a="1"/>
  <c r="L19" i="7" s="1"/>
  <c r="S19" i="7" s="1"/>
  <c r="N17" i="7" a="1"/>
  <c r="N17" i="7" s="1"/>
  <c r="T17" i="7" s="1"/>
  <c r="L17" i="7" a="1"/>
  <c r="L17" i="7" s="1"/>
  <c r="S17" i="7" s="1"/>
  <c r="N6" i="7" a="1"/>
  <c r="N6" i="7" s="1"/>
  <c r="T6" i="7" s="1"/>
  <c r="L6" i="7" a="1"/>
  <c r="L6" i="7" s="1"/>
  <c r="S6" i="7" s="1"/>
  <c r="N7" i="7" a="1"/>
  <c r="N7" i="7" s="1"/>
  <c r="T7" i="7" s="1"/>
  <c r="L7" i="7" a="1"/>
  <c r="L7" i="7" s="1"/>
  <c r="S7" i="7" s="1"/>
  <c r="N32" i="7" a="1"/>
  <c r="N32" i="7" s="1"/>
  <c r="T32" i="7" s="1"/>
  <c r="L32" i="7" a="1"/>
  <c r="L32" i="7" s="1"/>
  <c r="S32" i="7" s="1"/>
  <c r="N14" i="7" a="1"/>
  <c r="N14" i="7" s="1"/>
  <c r="T14" i="7" s="1"/>
  <c r="L14" i="7" a="1"/>
  <c r="L14" i="7" s="1"/>
  <c r="S14" i="7" s="1"/>
  <c r="N38" i="7" a="1"/>
  <c r="N38" i="7" s="1"/>
  <c r="T38" i="7" s="1"/>
  <c r="L38" i="7" a="1"/>
  <c r="L38" i="7" s="1"/>
  <c r="S38" i="7" s="1"/>
  <c r="N45" i="7" a="1"/>
  <c r="N45" i="7" s="1"/>
  <c r="T45" i="7" s="1"/>
  <c r="L45" i="7" a="1"/>
  <c r="L45" i="7" s="1"/>
  <c r="S45" i="7" s="1"/>
  <c r="N23" i="7" a="1"/>
  <c r="N23" i="7" s="1"/>
  <c r="T23" i="7" s="1"/>
  <c r="L23" i="7" a="1"/>
  <c r="L23" i="7" s="1"/>
  <c r="S23" i="7" s="1"/>
  <c r="N22" i="7" a="1"/>
  <c r="N22" i="7" s="1"/>
  <c r="T22" i="7" s="1"/>
  <c r="L22" i="7" a="1"/>
  <c r="L22" i="7" s="1"/>
  <c r="S22" i="7" s="1"/>
  <c r="N26" i="7" a="1"/>
  <c r="N26" i="7" s="1"/>
  <c r="T26" i="7" s="1"/>
  <c r="L26" i="7" a="1"/>
  <c r="L26" i="7" s="1"/>
  <c r="S26" i="7" s="1"/>
  <c r="N16" i="7" a="1"/>
  <c r="N16" i="7" s="1"/>
  <c r="T16" i="7" s="1"/>
  <c r="L16" i="7" a="1"/>
  <c r="L16" i="7" s="1"/>
  <c r="S16" i="7" s="1"/>
  <c r="N40" i="7" a="1"/>
  <c r="N40" i="7" s="1"/>
  <c r="T40" i="7" s="1"/>
  <c r="L40" i="7" a="1"/>
  <c r="L40" i="7" s="1"/>
  <c r="S40" i="7" s="1"/>
  <c r="N27" i="7" a="1"/>
  <c r="N27" i="7" s="1"/>
  <c r="T27" i="7" s="1"/>
  <c r="L27" i="7" a="1"/>
  <c r="L27" i="7" s="1"/>
  <c r="S27" i="7" s="1"/>
  <c r="L31" i="7" a="1"/>
  <c r="L31" i="7" s="1"/>
  <c r="S31" i="7" s="1"/>
  <c r="N31" i="7" a="1"/>
  <c r="N31" i="7" s="1"/>
  <c r="T31" i="7" s="1"/>
  <c r="N48" i="7" a="1"/>
  <c r="N48" i="7" s="1"/>
  <c r="T48" i="7" s="1"/>
  <c r="L48" i="7" a="1"/>
  <c r="L48" i="7" s="1"/>
  <c r="S48" i="7" s="1"/>
  <c r="N15" i="7" a="1"/>
  <c r="N15" i="7" s="1"/>
  <c r="T15" i="7" s="1"/>
  <c r="L15" i="7" a="1"/>
  <c r="L15" i="7" s="1"/>
  <c r="S15" i="7" s="1"/>
  <c r="N5" i="7" a="1"/>
  <c r="N5" i="7" s="1"/>
  <c r="T5" i="7" s="1"/>
  <c r="L5" i="7" a="1"/>
  <c r="L5" i="7" s="1"/>
  <c r="S5" i="7" s="1"/>
  <c r="N18" i="7" a="1"/>
  <c r="N18" i="7" s="1"/>
  <c r="T18" i="7" s="1"/>
  <c r="L18" i="7" a="1"/>
  <c r="L18" i="7" s="1"/>
  <c r="S18" i="7" s="1"/>
  <c r="N42" i="7" a="1"/>
  <c r="N42" i="7" s="1"/>
  <c r="T42" i="7" s="1"/>
  <c r="L42" i="7" a="1"/>
  <c r="L42" i="7" s="1"/>
  <c r="S42" i="7" s="1"/>
  <c r="N25" i="7" a="1"/>
  <c r="N25" i="7" s="1"/>
  <c r="T25" i="7" s="1"/>
  <c r="L25" i="7" a="1"/>
  <c r="L25" i="7" s="1"/>
  <c r="S25" i="7" s="1"/>
  <c r="N37" i="7" a="1"/>
  <c r="N37" i="7" s="1"/>
  <c r="T37" i="7" s="1"/>
  <c r="L37" i="7" a="1"/>
  <c r="L37" i="7" s="1"/>
  <c r="S37" i="7" s="1"/>
  <c r="L46" i="7" a="1"/>
  <c r="L46" i="7" s="1"/>
  <c r="S46" i="7" s="1"/>
  <c r="N46" i="7" a="1"/>
  <c r="N46" i="7" s="1"/>
  <c r="T46" i="7" s="1"/>
  <c r="N9" i="7" a="1"/>
  <c r="N9" i="7" s="1"/>
  <c r="T9" i="7" s="1"/>
  <c r="L9" i="7" a="1"/>
  <c r="L9" i="7" s="1"/>
  <c r="S9" i="7" s="1"/>
  <c r="N28" i="7" a="1"/>
  <c r="N28" i="7" s="1"/>
  <c r="T28" i="7" s="1"/>
  <c r="L28" i="7" a="1"/>
  <c r="L28" i="7" s="1"/>
  <c r="S28" i="7" s="1"/>
  <c r="N33" i="7" a="1"/>
  <c r="N33" i="7" s="1"/>
  <c r="T33" i="7" s="1"/>
  <c r="L33" i="7" a="1"/>
  <c r="L33" i="7" s="1"/>
  <c r="S33" i="7" s="1"/>
  <c r="N11" i="7" a="1"/>
  <c r="N11" i="7" s="1"/>
  <c r="T11" i="7" s="1"/>
  <c r="L11" i="7" a="1"/>
  <c r="L11" i="7" s="1"/>
  <c r="S11" i="7" s="1"/>
  <c r="N10" i="7" a="1"/>
  <c r="N10" i="7" s="1"/>
  <c r="T10" i="7" s="1"/>
  <c r="L10" i="7" a="1"/>
  <c r="L10" i="7" s="1"/>
  <c r="S10" i="7" s="1"/>
  <c r="N34" i="7" a="1"/>
  <c r="N34" i="7" s="1"/>
  <c r="T34" i="7" s="1"/>
  <c r="L34" i="7" a="1"/>
  <c r="L34" i="7" s="1"/>
  <c r="S34" i="7" s="1"/>
  <c r="N13" i="7" a="1"/>
  <c r="N13" i="7" s="1"/>
  <c r="T13" i="7" s="1"/>
  <c r="L13" i="7" a="1"/>
  <c r="L13" i="7" s="1"/>
  <c r="S13" i="7" s="1"/>
  <c r="N20" i="7" a="1"/>
  <c r="N20" i="7" s="1"/>
  <c r="T20" i="7" s="1"/>
  <c r="L20" i="7" a="1"/>
  <c r="L20" i="7" s="1"/>
  <c r="S20" i="7" s="1"/>
  <c r="N44" i="7" a="1"/>
  <c r="N44" i="7" s="1"/>
  <c r="T44" i="7" s="1"/>
  <c r="L44" i="7" a="1"/>
  <c r="L44" i="7" s="1"/>
  <c r="S44" i="7" s="1"/>
  <c r="N21" i="7" a="1"/>
  <c r="N21" i="7" s="1"/>
  <c r="T21" i="7" s="1"/>
  <c r="L21" i="7" a="1"/>
  <c r="L21" i="7" s="1"/>
  <c r="S21" i="7" s="1"/>
  <c r="L47" i="7" a="1"/>
  <c r="L47" i="7" s="1"/>
  <c r="S47" i="7" s="1"/>
  <c r="N47" i="7" a="1"/>
  <c r="N47" i="7" s="1"/>
  <c r="T47" i="7" s="1"/>
  <c r="L50" i="7" a="1"/>
  <c r="L50" i="7" s="1"/>
  <c r="S50" i="7" s="1"/>
  <c r="N50" i="7" a="1"/>
  <c r="N50" i="7" s="1"/>
  <c r="T50" i="7" s="1"/>
  <c r="N52" i="7" a="1"/>
  <c r="N52" i="7" s="1"/>
  <c r="T52" i="7" s="1"/>
  <c r="L52" i="7" a="1"/>
  <c r="L52" i="7" s="1"/>
  <c r="S52" i="7" s="1"/>
  <c r="L49" i="7" a="1"/>
  <c r="L49" i="7" s="1"/>
  <c r="S49" i="7" s="1"/>
  <c r="N49" i="7" a="1"/>
  <c r="N49" i="7" s="1"/>
  <c r="T49" i="7" s="1"/>
  <c r="N54" i="7" a="1"/>
  <c r="N54" i="7" s="1"/>
  <c r="T54" i="7" s="1"/>
  <c r="L54" i="7" a="1"/>
  <c r="L54" i="7" s="1"/>
  <c r="S54" i="7" s="1"/>
  <c r="L51" i="7" a="1"/>
  <c r="L51" i="7" s="1"/>
  <c r="S51" i="7" s="1"/>
  <c r="N51" i="7" a="1"/>
  <c r="N51" i="7" s="1"/>
  <c r="T51" i="7" s="1"/>
  <c r="N53" i="7" a="1"/>
  <c r="N53" i="7" s="1"/>
  <c r="T53" i="7" s="1"/>
  <c r="L53" i="7" a="1"/>
  <c r="L53" i="7" s="1"/>
  <c r="S53" i="7" s="1"/>
  <c r="N3" i="7" a="1"/>
  <c r="N3" i="7" s="1"/>
  <c r="T3" i="7" s="1"/>
  <c r="L3" i="7" a="1"/>
  <c r="L3" i="7" s="1"/>
  <c r="S3" i="7" s="1"/>
  <c r="W2" i="7" l="1"/>
  <c r="W3" i="7"/>
  <c r="W8" i="7"/>
  <c r="W16" i="7"/>
  <c r="W12" i="7"/>
  <c r="BO57" i="5"/>
  <c r="BO58" i="5"/>
  <c r="BO59" i="5"/>
  <c r="BO60" i="5"/>
  <c r="BO61" i="5"/>
  <c r="BQ4" i="5" a="1"/>
  <c r="BQ4" i="5" s="1"/>
  <c r="BT4" i="5" s="1"/>
  <c r="W16" i="5" a="1"/>
  <c r="W16" i="5" s="1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6" i="4"/>
  <c r="K15" i="4"/>
  <c r="K14" i="4"/>
  <c r="K13" i="4"/>
  <c r="K8" i="4"/>
  <c r="K7" i="4"/>
  <c r="K6" i="4"/>
  <c r="K5" i="4"/>
  <c r="B23" i="4"/>
  <c r="BN62" i="5"/>
  <c r="BV63" i="5" s="1"/>
  <c r="BN61" i="5"/>
  <c r="BV62" i="5" s="1"/>
  <c r="BN60" i="5"/>
  <c r="BV61" i="5" s="1"/>
  <c r="BN59" i="5"/>
  <c r="BV60" i="5" s="1"/>
  <c r="BN58" i="5"/>
  <c r="BV59" i="5" s="1"/>
  <c r="BN57" i="5"/>
  <c r="BV58" i="5" s="1"/>
  <c r="BN56" i="5"/>
  <c r="BV57" i="5" s="1"/>
  <c r="BN55" i="5"/>
  <c r="BV56" i="5" s="1"/>
  <c r="BN54" i="5"/>
  <c r="BV55" i="5" s="1"/>
  <c r="BN53" i="5"/>
  <c r="BV54" i="5" s="1"/>
  <c r="BN52" i="5"/>
  <c r="BV53" i="5" s="1"/>
  <c r="BN51" i="5"/>
  <c r="BV52" i="5" s="1"/>
  <c r="BN50" i="5"/>
  <c r="BV51" i="5" s="1"/>
  <c r="BN49" i="5"/>
  <c r="BV50" i="5" s="1"/>
  <c r="BN48" i="5"/>
  <c r="BV49" i="5" s="1"/>
  <c r="BN47" i="5"/>
  <c r="BV48" i="5" s="1"/>
  <c r="BN46" i="5"/>
  <c r="BV47" i="5" s="1"/>
  <c r="BN45" i="5"/>
  <c r="BV46" i="5" s="1"/>
  <c r="BN44" i="5"/>
  <c r="BV45" i="5" s="1"/>
  <c r="BN43" i="5"/>
  <c r="BV44" i="5" s="1"/>
  <c r="BN42" i="5"/>
  <c r="BV43" i="5" s="1"/>
  <c r="BN41" i="5"/>
  <c r="BV42" i="5" s="1"/>
  <c r="BN40" i="5"/>
  <c r="BV41" i="5" s="1"/>
  <c r="BN39" i="5"/>
  <c r="BV40" i="5" s="1"/>
  <c r="BN38" i="5"/>
  <c r="BV39" i="5" s="1"/>
  <c r="BN37" i="5"/>
  <c r="BV38" i="5" s="1"/>
  <c r="BN36" i="5"/>
  <c r="BV37" i="5" s="1"/>
  <c r="BN35" i="5"/>
  <c r="BV36" i="5" s="1"/>
  <c r="BN34" i="5"/>
  <c r="BV35" i="5" s="1"/>
  <c r="BN33" i="5"/>
  <c r="BV34" i="5" s="1"/>
  <c r="BN32" i="5"/>
  <c r="BV33" i="5" s="1"/>
  <c r="BN31" i="5"/>
  <c r="BV32" i="5" s="1"/>
  <c r="BN30" i="5"/>
  <c r="BV31" i="5" s="1"/>
  <c r="BN29" i="5"/>
  <c r="BV30" i="5" s="1"/>
  <c r="BN28" i="5"/>
  <c r="BV29" i="5" s="1"/>
  <c r="BN27" i="5"/>
  <c r="BV28" i="5" s="1"/>
  <c r="BN26" i="5"/>
  <c r="BV27" i="5" s="1"/>
  <c r="BN25" i="5"/>
  <c r="BV26" i="5" s="1"/>
  <c r="BN24" i="5"/>
  <c r="BV25" i="5" s="1"/>
  <c r="BN23" i="5"/>
  <c r="BV24" i="5" s="1"/>
  <c r="BN22" i="5"/>
  <c r="BV22" i="5" s="1"/>
  <c r="BN21" i="5"/>
  <c r="BV21" i="5" s="1"/>
  <c r="BN20" i="5"/>
  <c r="BV20" i="5" s="1"/>
  <c r="BN19" i="5"/>
  <c r="BV19" i="5" s="1"/>
  <c r="BN18" i="5"/>
  <c r="BV18" i="5" s="1"/>
  <c r="BN17" i="5"/>
  <c r="BV17" i="5" s="1"/>
  <c r="BN16" i="5"/>
  <c r="BV16" i="5" s="1"/>
  <c r="BC16" i="5" a="1"/>
  <c r="BC16" i="5" s="1"/>
  <c r="BB16" i="5" a="1"/>
  <c r="BB16" i="5" s="1"/>
  <c r="BA16" i="5" a="1"/>
  <c r="BA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BN15" i="5"/>
  <c r="BV15" i="5" s="1"/>
  <c r="BN14" i="5"/>
  <c r="BV14" i="5" s="1"/>
  <c r="BN13" i="5"/>
  <c r="BV13" i="5" s="1"/>
  <c r="BN12" i="5"/>
  <c r="BV12" i="5" s="1"/>
  <c r="BN11" i="5"/>
  <c r="BV11" i="5" s="1"/>
  <c r="BN10" i="5"/>
  <c r="BV10" i="5" s="1"/>
  <c r="BN9" i="5"/>
  <c r="BV9" i="5" s="1"/>
  <c r="BN8" i="5"/>
  <c r="BV8" i="5" s="1"/>
  <c r="BN7" i="5"/>
  <c r="BV7" i="5" s="1"/>
  <c r="BN6" i="5"/>
  <c r="BV6" i="5" s="1"/>
  <c r="BN5" i="5"/>
  <c r="BV5" i="5" s="1"/>
  <c r="BN4" i="5"/>
  <c r="BV4" i="5" s="1"/>
  <c r="B71" i="4"/>
  <c r="B70" i="4"/>
  <c r="B69" i="4"/>
  <c r="B68" i="4"/>
  <c r="B67" i="4"/>
  <c r="C66" i="4"/>
  <c r="B66" i="4"/>
  <c r="B65" i="4"/>
  <c r="B56" i="4"/>
  <c r="B55" i="4"/>
  <c r="B54" i="4"/>
  <c r="B53" i="4"/>
  <c r="B52" i="4"/>
  <c r="I51" i="4"/>
  <c r="Z48" i="4" a="1"/>
  <c r="Z48" i="4" s="1"/>
  <c r="B51" i="4"/>
  <c r="B50" i="4"/>
  <c r="AB49" i="4"/>
  <c r="D49" i="4"/>
  <c r="R43" i="4" s="1" a="1"/>
  <c r="R43" i="4" s="1"/>
  <c r="B49" i="4"/>
  <c r="AB48" i="4"/>
  <c r="B48" i="4"/>
  <c r="AB47" i="4"/>
  <c r="M47" i="4"/>
  <c r="L47" i="4"/>
  <c r="B47" i="4"/>
  <c r="AR46" i="4"/>
  <c r="AB46" i="4"/>
  <c r="N46" i="4"/>
  <c r="J46" i="4"/>
  <c r="I46" i="4"/>
  <c r="B46" i="4"/>
  <c r="AR45" i="4"/>
  <c r="AB45" i="4"/>
  <c r="Z45" i="4" a="1"/>
  <c r="Z45" i="4" s="1"/>
  <c r="Y45" i="4" a="1"/>
  <c r="Y45" i="4" s="1"/>
  <c r="X45" i="4" a="1"/>
  <c r="X45" i="4" s="1"/>
  <c r="T45" i="4" a="1"/>
  <c r="T45" i="4" s="1"/>
  <c r="S45" i="4" a="1"/>
  <c r="S45" i="4" s="1"/>
  <c r="R45" i="4" a="1"/>
  <c r="R45" i="4" s="1"/>
  <c r="D45" i="4"/>
  <c r="X41" i="4" s="1" a="1"/>
  <c r="X41" i="4" s="1"/>
  <c r="B45" i="4"/>
  <c r="AR44" i="4"/>
  <c r="AB44" i="4"/>
  <c r="Z44" i="4" a="1"/>
  <c r="Z44" i="4" s="1"/>
  <c r="Y44" i="4" a="1"/>
  <c r="Y44" i="4" s="1"/>
  <c r="X44" i="4" a="1"/>
  <c r="X44" i="4" s="1"/>
  <c r="T44" i="4" a="1"/>
  <c r="T44" i="4" s="1"/>
  <c r="S44" i="4" a="1"/>
  <c r="S44" i="4" s="1"/>
  <c r="B44" i="4"/>
  <c r="AR43" i="4"/>
  <c r="AB43" i="4"/>
  <c r="T43" i="4" a="1"/>
  <c r="T43" i="4" s="1"/>
  <c r="S43" i="4" a="1"/>
  <c r="S43" i="4" s="1"/>
  <c r="B43" i="4"/>
  <c r="AR42" i="4"/>
  <c r="AB42" i="4"/>
  <c r="Z42" i="4" a="1"/>
  <c r="Z42" i="4" s="1"/>
  <c r="Y42" i="4" a="1"/>
  <c r="Y42" i="4" s="1"/>
  <c r="X42" i="4" a="1"/>
  <c r="X42" i="4" s="1"/>
  <c r="T42" i="4" a="1"/>
  <c r="T42" i="4" s="1"/>
  <c r="S42" i="4" a="1"/>
  <c r="S42" i="4" s="1"/>
  <c r="M42" i="4"/>
  <c r="L42" i="4"/>
  <c r="B42" i="4"/>
  <c r="AR41" i="4"/>
  <c r="AB41" i="4"/>
  <c r="Z41" i="4" a="1"/>
  <c r="Z41" i="4" s="1"/>
  <c r="T41" i="4" a="1"/>
  <c r="T41" i="4" s="1"/>
  <c r="N41" i="4"/>
  <c r="D41" i="4"/>
  <c r="X40" i="4" s="1" a="1"/>
  <c r="X40" i="4" s="1"/>
  <c r="B41" i="4"/>
  <c r="AR40" i="4"/>
  <c r="AB40" i="4"/>
  <c r="Z40" i="4" a="1"/>
  <c r="Z40" i="4" s="1"/>
  <c r="Y40" i="4" a="1"/>
  <c r="Y40" i="4" s="1"/>
  <c r="T40" i="4" a="1"/>
  <c r="T40" i="4" s="1"/>
  <c r="S40" i="4" a="1"/>
  <c r="S40" i="4" s="1"/>
  <c r="D40" i="4"/>
  <c r="B40" i="4"/>
  <c r="AR39" i="4"/>
  <c r="AB39" i="4"/>
  <c r="Z39" i="4" a="1"/>
  <c r="Z39" i="4" s="1"/>
  <c r="Y39" i="4" a="1"/>
  <c r="Y39" i="4" s="1"/>
  <c r="X39" i="4" a="1"/>
  <c r="X39" i="4" s="1"/>
  <c r="T39" i="4" a="1"/>
  <c r="T39" i="4" s="1"/>
  <c r="S39" i="4" a="1"/>
  <c r="S39" i="4" s="1"/>
  <c r="D39" i="4"/>
  <c r="B39" i="4"/>
  <c r="AR38" i="4"/>
  <c r="AB38" i="4"/>
  <c r="Z38" i="4" a="1"/>
  <c r="Z38" i="4" s="1"/>
  <c r="Y38" i="4" a="1"/>
  <c r="Y38" i="4" s="1"/>
  <c r="T38" i="4" a="1"/>
  <c r="T38" i="4" s="1"/>
  <c r="S38" i="4" a="1"/>
  <c r="S38" i="4" s="1"/>
  <c r="D38" i="4"/>
  <c r="R38" i="4" s="1" a="1"/>
  <c r="R38" i="4" s="1"/>
  <c r="B38" i="4"/>
  <c r="AR37" i="4"/>
  <c r="AB37" i="4"/>
  <c r="Z37" i="4" a="1"/>
  <c r="Z37" i="4" s="1"/>
  <c r="Y37" i="4" a="1"/>
  <c r="Y37" i="4" s="1"/>
  <c r="T37" i="4" a="1"/>
  <c r="T37" i="4" s="1"/>
  <c r="S37" i="4" a="1"/>
  <c r="S37" i="4" s="1"/>
  <c r="R37" i="4" a="1"/>
  <c r="R37" i="4" s="1"/>
  <c r="M37" i="4"/>
  <c r="L37" i="4"/>
  <c r="J37" i="4"/>
  <c r="I37" i="4"/>
  <c r="D37" i="4"/>
  <c r="B37" i="4"/>
  <c r="AR36" i="4"/>
  <c r="AB36" i="4"/>
  <c r="Z36" i="4" a="1"/>
  <c r="Z36" i="4" s="1"/>
  <c r="Y36" i="4" a="1"/>
  <c r="Y36" i="4" s="1"/>
  <c r="T36" i="4" a="1"/>
  <c r="T36" i="4" s="1"/>
  <c r="S36" i="4" a="1"/>
  <c r="S36" i="4" s="1"/>
  <c r="N36" i="4"/>
  <c r="D36" i="4"/>
  <c r="R36" i="4" s="1" a="1"/>
  <c r="R36" i="4" s="1"/>
  <c r="B36" i="4"/>
  <c r="AR35" i="4"/>
  <c r="AB35" i="4"/>
  <c r="Z35" i="4" a="1"/>
  <c r="Z35" i="4" s="1"/>
  <c r="Y35" i="4" a="1"/>
  <c r="Y35" i="4" s="1"/>
  <c r="T35" i="4" a="1"/>
  <c r="T35" i="4" s="1"/>
  <c r="S35" i="4" a="1"/>
  <c r="S35" i="4" s="1"/>
  <c r="R35" i="4" a="1"/>
  <c r="R35" i="4" s="1"/>
  <c r="D35" i="4"/>
  <c r="B35" i="4"/>
  <c r="AR34" i="4"/>
  <c r="AB34" i="4"/>
  <c r="Z34" i="4" a="1"/>
  <c r="Z34" i="4" s="1"/>
  <c r="Y34" i="4" a="1"/>
  <c r="Y34" i="4" s="1"/>
  <c r="T34" i="4" a="1"/>
  <c r="T34" i="4" s="1"/>
  <c r="S34" i="4" a="1"/>
  <c r="S34" i="4" s="1"/>
  <c r="B34" i="4"/>
  <c r="AR33" i="4"/>
  <c r="AB33" i="4"/>
  <c r="Z33" i="4" a="1"/>
  <c r="Z33" i="4" s="1"/>
  <c r="Y33" i="4" a="1"/>
  <c r="Y33" i="4" s="1"/>
  <c r="X33" i="4" a="1"/>
  <c r="X33" i="4" s="1"/>
  <c r="T33" i="4" a="1"/>
  <c r="T33" i="4" s="1"/>
  <c r="S33" i="4" a="1"/>
  <c r="S33" i="4" s="1"/>
  <c r="R33" i="4" a="1"/>
  <c r="R33" i="4" s="1"/>
  <c r="B33" i="4"/>
  <c r="AR32" i="4"/>
  <c r="AB32" i="4"/>
  <c r="Z32" i="4" a="1"/>
  <c r="Z32" i="4" s="1"/>
  <c r="Y32" i="4" a="1"/>
  <c r="Y32" i="4" s="1"/>
  <c r="T32" i="4" a="1"/>
  <c r="T32" i="4" s="1"/>
  <c r="S32" i="4" a="1"/>
  <c r="S32" i="4" s="1"/>
  <c r="B32" i="4"/>
  <c r="AR31" i="4"/>
  <c r="AB31" i="4"/>
  <c r="Z31" i="4" a="1"/>
  <c r="Z31" i="4" s="1"/>
  <c r="Y31" i="4" a="1"/>
  <c r="Y31" i="4" s="1"/>
  <c r="T31" i="4" a="1"/>
  <c r="T31" i="4" s="1"/>
  <c r="S31" i="4" a="1"/>
  <c r="S31" i="4" s="1"/>
  <c r="D31" i="4"/>
  <c r="B31" i="4"/>
  <c r="AR30" i="4"/>
  <c r="AB30" i="4"/>
  <c r="Z30" i="4" a="1"/>
  <c r="Z30" i="4" s="1"/>
  <c r="Y30" i="4" a="1"/>
  <c r="Y30" i="4" s="1"/>
  <c r="X30" i="4" a="1"/>
  <c r="X30" i="4" s="1"/>
  <c r="J30" i="4"/>
  <c r="I30" i="4"/>
  <c r="D30" i="4"/>
  <c r="B30" i="4"/>
  <c r="AR29" i="4"/>
  <c r="AB29" i="4"/>
  <c r="Z29" i="4" a="1"/>
  <c r="Z29" i="4" s="1"/>
  <c r="Y29" i="4" a="1"/>
  <c r="Y29" i="4" s="1"/>
  <c r="X29" i="4" a="1"/>
  <c r="X29" i="4" s="1"/>
  <c r="T29" i="4" a="1"/>
  <c r="T29" i="4" s="1"/>
  <c r="S29" i="4" a="1"/>
  <c r="S29" i="4" s="1"/>
  <c r="R29" i="4" a="1"/>
  <c r="R29" i="4" s="1"/>
  <c r="D29" i="4"/>
  <c r="X32" i="4" s="1" a="1"/>
  <c r="X32" i="4" s="1"/>
  <c r="B29" i="4"/>
  <c r="AR28" i="4"/>
  <c r="AB28" i="4"/>
  <c r="Z28" i="4" a="1"/>
  <c r="Z28" i="4" s="1"/>
  <c r="Y28" i="4" a="1"/>
  <c r="Y28" i="4" s="1"/>
  <c r="X28" i="4" a="1"/>
  <c r="X28" i="4" s="1"/>
  <c r="T28" i="4" a="1"/>
  <c r="T28" i="4" s="1"/>
  <c r="S28" i="4" a="1"/>
  <c r="S28" i="4" s="1"/>
  <c r="R28" i="4" a="1"/>
  <c r="R28" i="4" s="1"/>
  <c r="D28" i="4"/>
  <c r="B28" i="4"/>
  <c r="AR27" i="4"/>
  <c r="AB27" i="4"/>
  <c r="Z27" i="4" a="1"/>
  <c r="Z27" i="4" s="1"/>
  <c r="Y27" i="4" a="1"/>
  <c r="Y27" i="4" s="1"/>
  <c r="X27" i="4" a="1"/>
  <c r="X27" i="4" s="1"/>
  <c r="T27" i="4" a="1"/>
  <c r="T27" i="4" s="1"/>
  <c r="S27" i="4" a="1"/>
  <c r="S27" i="4" s="1"/>
  <c r="D27" i="4"/>
  <c r="X31" i="4" s="1" a="1"/>
  <c r="X31" i="4" s="1"/>
  <c r="B27" i="4"/>
  <c r="AR26" i="4"/>
  <c r="AB26" i="4"/>
  <c r="R26" i="4" a="1"/>
  <c r="R26" i="4" s="1"/>
  <c r="M26" i="4"/>
  <c r="L26" i="4"/>
  <c r="J26" i="4"/>
  <c r="I26" i="4"/>
  <c r="D26" i="4"/>
  <c r="R31" i="4" s="1" a="1"/>
  <c r="R31" i="4" s="1"/>
  <c r="B26" i="4"/>
  <c r="AR25" i="4"/>
  <c r="AB25" i="4"/>
  <c r="Z25" i="4" a="1"/>
  <c r="Z25" i="4" s="1"/>
  <c r="Y25" i="4" a="1"/>
  <c r="Y25" i="4" s="1"/>
  <c r="X25" i="4" a="1"/>
  <c r="X25" i="4" s="1"/>
  <c r="T25" i="4" a="1"/>
  <c r="T25" i="4" s="1"/>
  <c r="S25" i="4" a="1"/>
  <c r="S25" i="4" s="1"/>
  <c r="R25" i="4" a="1"/>
  <c r="R25" i="4" s="1"/>
  <c r="N25" i="4"/>
  <c r="B25" i="4"/>
  <c r="AR24" i="4"/>
  <c r="AB24" i="4"/>
  <c r="R24" i="4" a="1"/>
  <c r="R24" i="4" s="1"/>
  <c r="B24" i="4"/>
  <c r="AR22" i="4"/>
  <c r="AB22" i="4"/>
  <c r="B22" i="4"/>
  <c r="AR21" i="4"/>
  <c r="AB21" i="4"/>
  <c r="Z21" i="4" a="1"/>
  <c r="Z21" i="4" s="1"/>
  <c r="Y21" i="4" a="1"/>
  <c r="Y21" i="4" s="1"/>
  <c r="X21" i="4" a="1"/>
  <c r="X21" i="4" s="1"/>
  <c r="J21" i="4"/>
  <c r="I21" i="4"/>
  <c r="B21" i="4"/>
  <c r="AR20" i="4"/>
  <c r="AB20" i="4"/>
  <c r="Z20" i="4" a="1"/>
  <c r="Z20" i="4" s="1"/>
  <c r="Y20" i="4" a="1"/>
  <c r="Y20" i="4" s="1"/>
  <c r="X20" i="4" a="1"/>
  <c r="X20" i="4" s="1"/>
  <c r="T20" i="4" a="1"/>
  <c r="T20" i="4" s="1"/>
  <c r="B20" i="4"/>
  <c r="AR19" i="4"/>
  <c r="AB19" i="4"/>
  <c r="T19" i="4" a="1"/>
  <c r="T19" i="4" s="1"/>
  <c r="S19" i="4" a="1"/>
  <c r="S19" i="4" s="1"/>
  <c r="R19" i="4" a="1"/>
  <c r="R19" i="4" s="1"/>
  <c r="E19" i="4"/>
  <c r="K19" i="4" s="1"/>
  <c r="B19" i="4"/>
  <c r="AR18" i="4"/>
  <c r="AB18" i="4"/>
  <c r="R18" i="4" a="1"/>
  <c r="R18" i="4" s="1"/>
  <c r="E18" i="4"/>
  <c r="K18" i="4" s="1"/>
  <c r="B18" i="4"/>
  <c r="AR17" i="4"/>
  <c r="AB17" i="4"/>
  <c r="J17" i="4"/>
  <c r="I17" i="4"/>
  <c r="E17" i="4"/>
  <c r="K17" i="4" s="1"/>
  <c r="B17" i="4"/>
  <c r="AR16" i="4"/>
  <c r="AB16" i="4"/>
  <c r="T16" i="4" a="1"/>
  <c r="T16" i="4" s="1"/>
  <c r="S16" i="4" a="1"/>
  <c r="S16" i="4" s="1"/>
  <c r="R16" i="4" a="1"/>
  <c r="R16" i="4" s="1"/>
  <c r="B16" i="4"/>
  <c r="AR15" i="4"/>
  <c r="AI15" i="4"/>
  <c r="AH15" i="4" s="1"/>
  <c r="AB15" i="4"/>
  <c r="Z15" i="4" a="1"/>
  <c r="Z15" i="4" s="1"/>
  <c r="T15" i="4" a="1"/>
  <c r="T15" i="4" s="1"/>
  <c r="S15" i="4" a="1"/>
  <c r="S15" i="4" s="1"/>
  <c r="D15" i="4"/>
  <c r="R15" i="4" s="1" a="1"/>
  <c r="R15" i="4" s="1"/>
  <c r="B15" i="4"/>
  <c r="AR14" i="4"/>
  <c r="AI14" i="4"/>
  <c r="AH14" i="4" s="1"/>
  <c r="AB14" i="4"/>
  <c r="Z14" i="4" a="1"/>
  <c r="Z14" i="4" s="1"/>
  <c r="Y14" i="4" a="1"/>
  <c r="Y14" i="4" s="1"/>
  <c r="X14" i="4" a="1"/>
  <c r="X14" i="4" s="1"/>
  <c r="T14" i="4" a="1"/>
  <c r="T14" i="4" s="1"/>
  <c r="S14" i="4" a="1"/>
  <c r="S14" i="4" s="1"/>
  <c r="B14" i="4"/>
  <c r="AR13" i="4"/>
  <c r="AB13" i="4"/>
  <c r="X13" i="4" a="1"/>
  <c r="X13" i="4" s="1"/>
  <c r="T13" i="4" a="1"/>
  <c r="T13" i="4" s="1"/>
  <c r="S13" i="4" a="1"/>
  <c r="S13" i="4" s="1"/>
  <c r="R13" i="4" a="1"/>
  <c r="R13" i="4" s="1"/>
  <c r="J13" i="4"/>
  <c r="I13" i="4"/>
  <c r="D13" i="4"/>
  <c r="R14" i="4" s="1" a="1"/>
  <c r="R14" i="4" s="1"/>
  <c r="B13" i="4"/>
  <c r="AR12" i="4"/>
  <c r="AB12" i="4"/>
  <c r="X12" i="4" a="1"/>
  <c r="X12" i="4" s="1"/>
  <c r="T12" i="4" a="1"/>
  <c r="T12" i="4" s="1"/>
  <c r="S12" i="4" a="1"/>
  <c r="S12" i="4" s="1"/>
  <c r="R12" i="4" a="1"/>
  <c r="R12" i="4" s="1"/>
  <c r="E12" i="4"/>
  <c r="K12" i="4" s="1"/>
  <c r="B12" i="4"/>
  <c r="AR11" i="4"/>
  <c r="AI11" i="4"/>
  <c r="AH11" i="4" s="1"/>
  <c r="AB11" i="4"/>
  <c r="T11" i="4" a="1"/>
  <c r="T11" i="4" s="1"/>
  <c r="S11" i="4" a="1"/>
  <c r="S11" i="4" s="1"/>
  <c r="R11" i="4" a="1"/>
  <c r="R11" i="4" s="1"/>
  <c r="E11" i="4"/>
  <c r="K11" i="4" s="1"/>
  <c r="B11" i="4"/>
  <c r="AR10" i="4"/>
  <c r="AI10" i="4"/>
  <c r="AH10" i="4" s="1"/>
  <c r="AB10" i="4"/>
  <c r="T10" i="4" a="1"/>
  <c r="T10" i="4" s="1"/>
  <c r="S10" i="4" a="1"/>
  <c r="S10" i="4" s="1"/>
  <c r="R10" i="4" a="1"/>
  <c r="R10" i="4" s="1"/>
  <c r="E10" i="4"/>
  <c r="K10" i="4" s="1"/>
  <c r="B10" i="4"/>
  <c r="AR9" i="4"/>
  <c r="AB9" i="4"/>
  <c r="T9" i="4" a="1"/>
  <c r="T9" i="4" s="1"/>
  <c r="S9" i="4" a="1"/>
  <c r="S9" i="4" s="1"/>
  <c r="R9" i="4" a="1"/>
  <c r="R9" i="4" s="1"/>
  <c r="J9" i="4"/>
  <c r="I9" i="4"/>
  <c r="E9" i="4"/>
  <c r="K9" i="4" s="1"/>
  <c r="B9" i="4"/>
  <c r="AR8" i="4"/>
  <c r="AB8" i="4"/>
  <c r="D8" i="4"/>
  <c r="R7" i="4" s="1" a="1"/>
  <c r="R7" i="4" s="1"/>
  <c r="B8" i="4"/>
  <c r="AR7" i="4"/>
  <c r="AI7" i="4"/>
  <c r="AH7" i="4" s="1"/>
  <c r="AB7" i="4"/>
  <c r="Z7" i="4" a="1"/>
  <c r="Z7" i="4" s="1"/>
  <c r="Y7" i="4" a="1"/>
  <c r="Y7" i="4" s="1"/>
  <c r="X7" i="4" a="1"/>
  <c r="X7" i="4" s="1"/>
  <c r="T7" i="4" a="1"/>
  <c r="T7" i="4" s="1"/>
  <c r="S7" i="4" a="1"/>
  <c r="S7" i="4" s="1"/>
  <c r="D7" i="4"/>
  <c r="X5" i="4" s="1" a="1"/>
  <c r="X5" i="4" s="1"/>
  <c r="B7" i="4"/>
  <c r="AR6" i="4"/>
  <c r="AI6" i="4"/>
  <c r="AH6" i="4" s="1"/>
  <c r="AB6" i="4"/>
  <c r="V6" i="4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T6" i="4" a="1"/>
  <c r="T6" i="4" s="1"/>
  <c r="S6" i="4" a="1"/>
  <c r="S6" i="4" s="1"/>
  <c r="P6" i="4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B6" i="4"/>
  <c r="AR5" i="4"/>
  <c r="AB5" i="4"/>
  <c r="Z5" i="4" a="1"/>
  <c r="Z5" i="4" s="1"/>
  <c r="Y5" i="4" a="1"/>
  <c r="Y5" i="4" s="1"/>
  <c r="T5" i="4" a="1"/>
  <c r="T5" i="4" s="1"/>
  <c r="S5" i="4" a="1"/>
  <c r="S5" i="4" s="1"/>
  <c r="R5" i="4" a="1"/>
  <c r="R5" i="4" s="1"/>
  <c r="J5" i="4"/>
  <c r="I5" i="4"/>
  <c r="B5" i="4"/>
  <c r="AR4" i="4"/>
  <c r="AJ2" i="4"/>
  <c r="AJ1" i="4"/>
  <c r="AO1" i="4" s="1"/>
  <c r="M17" i="5" a="1"/>
  <c r="J17" i="5" a="1"/>
  <c r="G17" i="5" a="1"/>
  <c r="AO17" i="5" a="1"/>
  <c r="AC17" i="5" a="1"/>
  <c r="D17" i="5" a="1"/>
  <c r="I17" i="5" a="1"/>
  <c r="AS17" i="5" a="1"/>
  <c r="BB17" i="5" a="1"/>
  <c r="AY17" i="5" a="1"/>
  <c r="E17" i="5" a="1"/>
  <c r="AT17" i="5" a="1"/>
  <c r="BC17" i="5" a="1"/>
  <c r="AV17" i="5" a="1"/>
  <c r="AH17" i="5" a="1"/>
  <c r="AQ17" i="5" a="1"/>
  <c r="P17" i="5" a="1"/>
  <c r="AE17" i="5" a="1"/>
  <c r="R17" i="5" a="1"/>
  <c r="F17" i="5" a="1"/>
  <c r="AP17" i="5" a="1"/>
  <c r="AU17" i="5" a="1"/>
  <c r="AA17" i="5" a="1"/>
  <c r="U17" i="5" a="1"/>
  <c r="AN17" i="5" a="1"/>
  <c r="AB17" i="5" a="1"/>
  <c r="AJ17" i="5" a="1"/>
  <c r="O17" i="5" a="1"/>
  <c r="X17" i="5" a="1"/>
  <c r="Q17" i="5" a="1"/>
  <c r="AL17" i="5" a="1"/>
  <c r="N17" i="5" a="1"/>
  <c r="H17" i="5" a="1"/>
  <c r="AD17" i="5" a="1"/>
  <c r="AR17" i="5" a="1"/>
  <c r="AM17" i="5" a="1"/>
  <c r="AI17" i="5" a="1"/>
  <c r="K17" i="5" a="1"/>
  <c r="AF17" i="5" a="1"/>
  <c r="Z17" i="5" a="1"/>
  <c r="V17" i="5" a="1"/>
  <c r="S17" i="5" a="1"/>
  <c r="W17" i="5" a="1"/>
  <c r="AG17" i="5" a="1"/>
  <c r="T17" i="5" a="1"/>
  <c r="Y17" i="5" a="1"/>
  <c r="AK17" i="5" a="1"/>
  <c r="L17" i="5" a="1"/>
  <c r="AW17" i="5" a="1"/>
  <c r="X35" i="4" l="1" a="1"/>
  <c r="X35" i="4" s="1"/>
  <c r="R41" i="4" a="1"/>
  <c r="R41" i="4" s="1"/>
  <c r="X37" i="4" a="1"/>
  <c r="X37" i="4" s="1"/>
  <c r="R27" i="4" a="1"/>
  <c r="R27" i="4" s="1"/>
  <c r="X38" i="4" a="1"/>
  <c r="X38" i="4" s="1"/>
  <c r="X34" i="4" a="1"/>
  <c r="X34" i="4" s="1"/>
  <c r="R39" i="4" a="1"/>
  <c r="R39" i="4" s="1"/>
  <c r="N17" i="5"/>
  <c r="AA17" i="5"/>
  <c r="AM17" i="5"/>
  <c r="AY17" i="5"/>
  <c r="O17" i="5"/>
  <c r="AB17" i="5"/>
  <c r="AN17" i="5"/>
  <c r="D17" i="5"/>
  <c r="P17" i="5"/>
  <c r="AC17" i="5"/>
  <c r="AO17" i="5"/>
  <c r="W17" i="5"/>
  <c r="E17" i="5"/>
  <c r="Q17" i="5"/>
  <c r="AD17" i="5"/>
  <c r="AP17" i="5"/>
  <c r="BB17" i="5"/>
  <c r="F17" i="5"/>
  <c r="R17" i="5"/>
  <c r="AE17" i="5"/>
  <c r="AQ17" i="5"/>
  <c r="BC17" i="5"/>
  <c r="G17" i="5"/>
  <c r="S17" i="5"/>
  <c r="AF17" i="5"/>
  <c r="AR17" i="5"/>
  <c r="H17" i="5"/>
  <c r="T17" i="5"/>
  <c r="AG17" i="5"/>
  <c r="AS17" i="5"/>
  <c r="I17" i="5"/>
  <c r="U17" i="5"/>
  <c r="AH17" i="5"/>
  <c r="AT17" i="5"/>
  <c r="J17" i="5"/>
  <c r="V17" i="5"/>
  <c r="AI17" i="5"/>
  <c r="AU17" i="5"/>
  <c r="K17" i="5"/>
  <c r="X17" i="5"/>
  <c r="AJ17" i="5"/>
  <c r="AV17" i="5"/>
  <c r="L17" i="5"/>
  <c r="Y17" i="5"/>
  <c r="AK17" i="5"/>
  <c r="AW17" i="5"/>
  <c r="M17" i="5"/>
  <c r="Z17" i="5"/>
  <c r="AL17" i="5"/>
  <c r="BY45" i="5"/>
  <c r="BY55" i="5"/>
  <c r="BY54" i="5"/>
  <c r="BY5" i="5"/>
  <c r="BP4" i="5" a="1"/>
  <c r="BP4" i="5" s="1"/>
  <c r="BY15" i="5"/>
  <c r="BY51" i="5"/>
  <c r="BY13" i="5"/>
  <c r="BY12" i="5"/>
  <c r="BW4" i="5"/>
  <c r="X47" i="4" a="1"/>
  <c r="X47" i="4" s="1"/>
  <c r="BY23" i="5"/>
  <c r="S50" i="4" a="1"/>
  <c r="S50" i="4" s="1"/>
  <c r="T50" i="4" a="1"/>
  <c r="T50" i="4" s="1"/>
  <c r="BY32" i="5"/>
  <c r="BY30" i="5"/>
  <c r="BY41" i="5"/>
  <c r="Y13" i="4" a="1"/>
  <c r="Y13" i="4" s="1"/>
  <c r="T26" i="4" a="1"/>
  <c r="T26" i="4" s="1"/>
  <c r="R48" i="4" a="1"/>
  <c r="R48" i="4" s="1"/>
  <c r="X11" i="4" a="1"/>
  <c r="X11" i="4" s="1"/>
  <c r="X19" i="4" a="1"/>
  <c r="X19" i="4" s="1"/>
  <c r="Z13" i="4" a="1"/>
  <c r="Z13" i="4" s="1"/>
  <c r="T8" i="4" a="1"/>
  <c r="T8" i="4" s="1"/>
  <c r="Y10" i="4" a="1"/>
  <c r="Y10" i="4" s="1"/>
  <c r="Z11" i="4" a="1"/>
  <c r="Z11" i="4" s="1"/>
  <c r="S17" i="4" a="1"/>
  <c r="S17" i="4" s="1"/>
  <c r="X18" i="4" a="1"/>
  <c r="X18" i="4" s="1"/>
  <c r="Z19" i="4" a="1"/>
  <c r="Z19" i="4" s="1"/>
  <c r="R22" i="4" a="1"/>
  <c r="R22" i="4" s="1"/>
  <c r="X24" i="4" a="1"/>
  <c r="X24" i="4" s="1"/>
  <c r="X26" i="4" a="1"/>
  <c r="X26" i="4" s="1"/>
  <c r="R8" i="4" a="1"/>
  <c r="R8" i="4" s="1"/>
  <c r="S18" i="4" a="1"/>
  <c r="S18" i="4" s="1"/>
  <c r="Z12" i="4" a="1"/>
  <c r="Z12" i="4" s="1"/>
  <c r="T24" i="4" a="1"/>
  <c r="T24" i="4" s="1"/>
  <c r="X9" i="4" a="1"/>
  <c r="X9" i="4" s="1"/>
  <c r="Y18" i="4" a="1"/>
  <c r="Y18" i="4" s="1"/>
  <c r="Y26" i="4" a="1"/>
  <c r="Y26" i="4" s="1"/>
  <c r="S26" i="4" a="1"/>
  <c r="S26" i="4" s="1"/>
  <c r="X10" i="4" a="1"/>
  <c r="X10" i="4" s="1"/>
  <c r="T18" i="4" a="1"/>
  <c r="T18" i="4" s="1"/>
  <c r="Y8" i="4" a="1"/>
  <c r="Y8" i="4" s="1"/>
  <c r="Y9" i="4" a="1"/>
  <c r="Y9" i="4" s="1"/>
  <c r="X16" i="4" a="1"/>
  <c r="X16" i="4" s="1"/>
  <c r="X17" i="4" a="1"/>
  <c r="X17" i="4" s="1"/>
  <c r="Z18" i="4" a="1"/>
  <c r="Z18" i="4" s="1"/>
  <c r="T22" i="4" a="1"/>
  <c r="T22" i="4" s="1"/>
  <c r="Z24" i="4" a="1"/>
  <c r="Z24" i="4" s="1"/>
  <c r="Z26" i="4" a="1"/>
  <c r="Z26" i="4" s="1"/>
  <c r="T46" i="4" a="1"/>
  <c r="T46" i="4" s="1"/>
  <c r="Y12" i="4" a="1"/>
  <c r="Y12" i="4" s="1"/>
  <c r="Y11" i="4" a="1"/>
  <c r="Y11" i="4" s="1"/>
  <c r="Y19" i="4" a="1"/>
  <c r="Y19" i="4" s="1"/>
  <c r="Y24" i="4" a="1"/>
  <c r="Y24" i="4" s="1"/>
  <c r="X6" i="4" a="1"/>
  <c r="X6" i="4" s="1"/>
  <c r="Z8" i="4" a="1"/>
  <c r="Z8" i="4" s="1"/>
  <c r="Z9" i="4" a="1"/>
  <c r="Z9" i="4" s="1"/>
  <c r="Y16" i="4" a="1"/>
  <c r="Y16" i="4" s="1"/>
  <c r="Y17" i="4" a="1"/>
  <c r="Y17" i="4" s="1"/>
  <c r="R21" i="4" a="1"/>
  <c r="R21" i="4" s="1"/>
  <c r="X22" i="4" a="1"/>
  <c r="X22" i="4" s="1"/>
  <c r="R30" i="4" a="1"/>
  <c r="R30" i="4" s="1"/>
  <c r="X49" i="4" a="1"/>
  <c r="X49" i="4" s="1"/>
  <c r="S24" i="4" a="1"/>
  <c r="S24" i="4" s="1"/>
  <c r="S8" i="4" a="1"/>
  <c r="S8" i="4" s="1"/>
  <c r="R17" i="4" a="1"/>
  <c r="R17" i="4" s="1"/>
  <c r="Z10" i="4" a="1"/>
  <c r="Z10" i="4" s="1"/>
  <c r="AL13" i="4"/>
  <c r="S22" i="4" a="1"/>
  <c r="S22" i="4" s="1"/>
  <c r="X15" i="4" a="1"/>
  <c r="X15" i="4" s="1"/>
  <c r="Z16" i="4" a="1"/>
  <c r="Z16" i="4" s="1"/>
  <c r="Z17" i="4" a="1"/>
  <c r="Z17" i="4" s="1"/>
  <c r="R20" i="4" a="1"/>
  <c r="R20" i="4" s="1"/>
  <c r="S21" i="4" a="1"/>
  <c r="S21" i="4" s="1"/>
  <c r="Y22" i="4" a="1"/>
  <c r="Y22" i="4" s="1"/>
  <c r="S30" i="4" a="1"/>
  <c r="S30" i="4" s="1"/>
  <c r="N37" i="4"/>
  <c r="X8" i="4" a="1"/>
  <c r="X8" i="4" s="1"/>
  <c r="T17" i="4" a="1"/>
  <c r="T17" i="4" s="1"/>
  <c r="Y6" i="4" a="1"/>
  <c r="Y6" i="4" s="1"/>
  <c r="Z6" i="4" a="1"/>
  <c r="Z6" i="4" s="1"/>
  <c r="Y15" i="4" a="1"/>
  <c r="Y15" i="4" s="1"/>
  <c r="S20" i="4" a="1"/>
  <c r="S20" i="4" s="1"/>
  <c r="T21" i="4" a="1"/>
  <c r="T21" i="4" s="1"/>
  <c r="Z22" i="4" a="1"/>
  <c r="Z22" i="4" s="1"/>
  <c r="T30" i="4" a="1"/>
  <c r="T30" i="4" s="1"/>
  <c r="BW51" i="5"/>
  <c r="BY37" i="5"/>
  <c r="N26" i="4"/>
  <c r="BY48" i="5"/>
  <c r="BY7" i="5"/>
  <c r="BW43" i="5"/>
  <c r="BY26" i="5"/>
  <c r="BV23" i="5"/>
  <c r="BO56" i="5"/>
  <c r="BW23" i="5"/>
  <c r="BY40" i="5"/>
  <c r="BY28" i="5"/>
  <c r="BW34" i="5"/>
  <c r="BW38" i="5"/>
  <c r="BY20" i="5"/>
  <c r="BW19" i="5"/>
  <c r="BW26" i="5"/>
  <c r="BY19" i="5"/>
  <c r="BW36" i="5"/>
  <c r="BY22" i="5"/>
  <c r="BY31" i="5"/>
  <c r="BW10" i="5"/>
  <c r="BW14" i="5"/>
  <c r="BY18" i="5"/>
  <c r="BW32" i="5"/>
  <c r="BW16" i="5"/>
  <c r="BW18" i="5"/>
  <c r="BW42" i="5"/>
  <c r="BW9" i="5"/>
  <c r="BW41" i="5"/>
  <c r="BW31" i="5"/>
  <c r="BW52" i="5"/>
  <c r="BY9" i="5"/>
  <c r="BW5" i="5"/>
  <c r="BY44" i="5"/>
  <c r="BW30" i="5"/>
  <c r="BY4" i="5"/>
  <c r="BW11" i="5"/>
  <c r="BY27" i="5"/>
  <c r="BW44" i="5"/>
  <c r="BW48" i="5"/>
  <c r="BW39" i="5"/>
  <c r="BW13" i="5"/>
  <c r="BW15" i="5"/>
  <c r="BY29" i="5"/>
  <c r="BW29" i="5"/>
  <c r="BW54" i="5"/>
  <c r="BY21" i="5"/>
  <c r="BW8" i="5"/>
  <c r="BW17" i="5"/>
  <c r="BW20" i="5"/>
  <c r="BW33" i="5"/>
  <c r="BW40" i="5"/>
  <c r="BY11" i="5"/>
  <c r="BW22" i="5"/>
  <c r="BW25" i="5"/>
  <c r="BW28" i="5"/>
  <c r="BW53" i="5"/>
  <c r="BW55" i="5"/>
  <c r="BY16" i="5"/>
  <c r="BY33" i="5"/>
  <c r="BY8" i="5"/>
  <c r="BY43" i="5"/>
  <c r="BW49" i="5"/>
  <c r="BY10" i="5"/>
  <c r="BW27" i="5"/>
  <c r="BW7" i="5"/>
  <c r="BW12" i="5"/>
  <c r="BY42" i="5"/>
  <c r="BY52" i="5"/>
  <c r="N47" i="4"/>
  <c r="S48" i="4" a="1"/>
  <c r="S48" i="4" s="1"/>
  <c r="AL5" i="4"/>
  <c r="S46" i="4" a="1"/>
  <c r="S46" i="4" s="1"/>
  <c r="R34" i="4" a="1"/>
  <c r="R34" i="4" s="1"/>
  <c r="N42" i="4"/>
  <c r="Z59" i="4"/>
  <c r="R40" i="4" a="1"/>
  <c r="R40" i="4" s="1"/>
  <c r="J51" i="4"/>
  <c r="J3" i="4" s="1"/>
  <c r="I2" i="4" s="1"/>
  <c r="AL9" i="4"/>
  <c r="R32" i="4" a="1"/>
  <c r="R32" i="4" s="1"/>
  <c r="BY6" i="5"/>
  <c r="BW45" i="5"/>
  <c r="BY49" i="5"/>
  <c r="BW6" i="5"/>
  <c r="BW47" i="5"/>
  <c r="BW35" i="5"/>
  <c r="BW37" i="5"/>
  <c r="BY17" i="5"/>
  <c r="BY46" i="5"/>
  <c r="BY24" i="5"/>
  <c r="BY34" i="5"/>
  <c r="BY36" i="5"/>
  <c r="BY47" i="5"/>
  <c r="BW46" i="5"/>
  <c r="BW24" i="5"/>
  <c r="BW21" i="5"/>
  <c r="X51" i="4" a="1"/>
  <c r="X51" i="4" s="1"/>
  <c r="Y51" i="4" a="1"/>
  <c r="Y51" i="4" s="1"/>
  <c r="Y57" i="4"/>
  <c r="Y60" i="4"/>
  <c r="Y49" i="4" a="1"/>
  <c r="Y49" i="4" s="1"/>
  <c r="Z57" i="4"/>
  <c r="Z60" i="4"/>
  <c r="Y47" i="4" a="1"/>
  <c r="Y47" i="4" s="1"/>
  <c r="T48" i="4" a="1"/>
  <c r="T48" i="4" s="1"/>
  <c r="Z51" i="4" a="1"/>
  <c r="Z51" i="4" s="1"/>
  <c r="Y53" i="4"/>
  <c r="Y55" i="4"/>
  <c r="X46" i="4" a="1"/>
  <c r="X46" i="4" s="1"/>
  <c r="Z49" i="4" a="1"/>
  <c r="Z49" i="4" s="1"/>
  <c r="X50" i="4" a="1"/>
  <c r="X50" i="4" s="1"/>
  <c r="R51" i="4" a="1"/>
  <c r="R51" i="4" s="1"/>
  <c r="Z53" i="4"/>
  <c r="Z55" i="4"/>
  <c r="Y41" i="4" a="1"/>
  <c r="Y41" i="4" s="1"/>
  <c r="R42" i="4" a="1"/>
  <c r="R42" i="4" s="1"/>
  <c r="R44" i="4" a="1"/>
  <c r="R44" i="4" s="1"/>
  <c r="Z47" i="4" a="1"/>
  <c r="Z47" i="4" s="1"/>
  <c r="R49" i="4" a="1"/>
  <c r="R49" i="4" s="1"/>
  <c r="Y58" i="4"/>
  <c r="X43" i="4" a="1"/>
  <c r="X43" i="4" s="1"/>
  <c r="Y46" i="4" a="1"/>
  <c r="Y46" i="4" s="1"/>
  <c r="R47" i="4" a="1"/>
  <c r="R47" i="4" s="1"/>
  <c r="X48" i="4" a="1"/>
  <c r="X48" i="4" s="1"/>
  <c r="Y50" i="4" a="1"/>
  <c r="Y50" i="4" s="1"/>
  <c r="S51" i="4" a="1"/>
  <c r="S51" i="4" s="1"/>
  <c r="Z58" i="4"/>
  <c r="S49" i="4" a="1"/>
  <c r="S49" i="4" s="1"/>
  <c r="R6" i="4" a="1"/>
  <c r="R6" i="4" s="1"/>
  <c r="Y43" i="4" a="1"/>
  <c r="Y43" i="4" s="1"/>
  <c r="Z46" i="4" a="1"/>
  <c r="Z46" i="4" s="1"/>
  <c r="S47" i="4" a="1"/>
  <c r="S47" i="4" s="1"/>
  <c r="Y48" i="4" a="1"/>
  <c r="Y48" i="4" s="1"/>
  <c r="Z50" i="4" a="1"/>
  <c r="Z50" i="4" s="1"/>
  <c r="T51" i="4" a="1"/>
  <c r="T51" i="4" s="1"/>
  <c r="R46" i="4" a="1"/>
  <c r="R46" i="4" s="1"/>
  <c r="T49" i="4" a="1"/>
  <c r="T49" i="4" s="1"/>
  <c r="R50" i="4" a="1"/>
  <c r="R50" i="4" s="1"/>
  <c r="Y52" i="4"/>
  <c r="Y54" i="4"/>
  <c r="Y56" i="4"/>
  <c r="Y59" i="4"/>
  <c r="X36" i="4" a="1"/>
  <c r="X36" i="4" s="1"/>
  <c r="S41" i="4" a="1"/>
  <c r="S41" i="4" s="1"/>
  <c r="Z43" i="4" a="1"/>
  <c r="Z43" i="4" s="1"/>
  <c r="T47" i="4" a="1"/>
  <c r="T47" i="4" s="1"/>
  <c r="Z52" i="4"/>
  <c r="Z54" i="4"/>
  <c r="Z56" i="4"/>
  <c r="AZ17" i="5" a="1"/>
  <c r="AX17" i="5" a="1"/>
  <c r="BA17" i="5" a="1"/>
  <c r="BA17" i="5" l="1"/>
  <c r="AZ17" i="5"/>
  <c r="D18" i="5" a="1"/>
  <c r="D18" i="5" s="1"/>
  <c r="AH19" i="5" a="1"/>
  <c r="AH19" i="5" s="1"/>
  <c r="AB9" i="5" s="1"/>
  <c r="AH20" i="5" a="1"/>
  <c r="AH20" i="5" s="1"/>
  <c r="AD9" i="5" s="1"/>
  <c r="AH18" i="5" a="1"/>
  <c r="AH18" i="5" s="1"/>
  <c r="U20" i="5" a="1"/>
  <c r="U20" i="5" s="1"/>
  <c r="W6" i="5" s="1"/>
  <c r="U19" i="5" a="1"/>
  <c r="U19" i="5" s="1"/>
  <c r="U6" i="5" s="1"/>
  <c r="U18" i="5" a="1"/>
  <c r="U18" i="5" s="1"/>
  <c r="AW18" i="5" a="1"/>
  <c r="AW18" i="5" s="1"/>
  <c r="AW20" i="5" a="1"/>
  <c r="AW20" i="5" s="1"/>
  <c r="P13" i="5" s="1"/>
  <c r="AW19" i="5" a="1"/>
  <c r="AW19" i="5" s="1"/>
  <c r="N13" i="5" s="1"/>
  <c r="AT20" i="5" a="1"/>
  <c r="AT20" i="5" s="1"/>
  <c r="N7" i="5" s="1"/>
  <c r="AT19" i="5" a="1"/>
  <c r="AT19" i="5" s="1"/>
  <c r="L7" i="5" s="1"/>
  <c r="AT18" i="5" a="1"/>
  <c r="AT18" i="5" s="1"/>
  <c r="BC18" i="5" a="1"/>
  <c r="BC18" i="5" s="1"/>
  <c r="AO18" i="5" a="1"/>
  <c r="AO18" i="5" s="1"/>
  <c r="AO20" i="5" a="1"/>
  <c r="AO20" i="5" s="1"/>
  <c r="AJ10" i="5" s="1"/>
  <c r="AO19" i="5" a="1"/>
  <c r="AO19" i="5" s="1"/>
  <c r="AH10" i="5" s="1"/>
  <c r="P19" i="5" a="1"/>
  <c r="P19" i="5" s="1"/>
  <c r="R7" i="5" s="1"/>
  <c r="P18" i="5" a="1"/>
  <c r="P18" i="5" s="1"/>
  <c r="P20" i="5" a="1"/>
  <c r="P20" i="5" s="1"/>
  <c r="T7" i="5" s="1"/>
  <c r="AV18" i="5" a="1"/>
  <c r="AV18" i="5" s="1"/>
  <c r="AV20" i="5" a="1"/>
  <c r="AV20" i="5" s="1"/>
  <c r="N6" i="5" s="1"/>
  <c r="AV19" i="5" a="1"/>
  <c r="AV19" i="5" s="1"/>
  <c r="L6" i="5" s="1"/>
  <c r="AS18" i="5" a="1"/>
  <c r="AS18" i="5" s="1"/>
  <c r="AS19" i="5" a="1"/>
  <c r="AS19" i="5" s="1"/>
  <c r="W13" i="5" s="1"/>
  <c r="AS20" i="5" a="1"/>
  <c r="AS20" i="5" s="1"/>
  <c r="Y13" i="5" s="1"/>
  <c r="F19" i="5" a="1"/>
  <c r="F19" i="5" s="1"/>
  <c r="B3" i="5" s="1"/>
  <c r="F18" i="5" a="1"/>
  <c r="F18" i="5" s="1"/>
  <c r="F20" i="5" a="1"/>
  <c r="F20" i="5" s="1"/>
  <c r="AZ18" i="5" a="1"/>
  <c r="AZ18" i="5" s="1"/>
  <c r="AE19" i="5" a="1"/>
  <c r="AE19" i="5" s="1"/>
  <c r="Z4" i="5" s="1"/>
  <c r="AE18" i="5" a="1"/>
  <c r="AE18" i="5" s="1"/>
  <c r="AE20" i="5" a="1"/>
  <c r="AE20" i="5" s="1"/>
  <c r="AB4" i="5" s="1"/>
  <c r="AJ18" i="5" a="1"/>
  <c r="AJ18" i="5" s="1"/>
  <c r="AJ20" i="5" a="1"/>
  <c r="AJ20" i="5" s="1"/>
  <c r="AF7" i="5" s="1"/>
  <c r="AJ19" i="5" a="1"/>
  <c r="AJ19" i="5" s="1"/>
  <c r="AD7" i="5" s="1"/>
  <c r="AG18" i="5" a="1"/>
  <c r="AG18" i="5" s="1"/>
  <c r="AG20" i="5" a="1"/>
  <c r="AG20" i="5" s="1"/>
  <c r="AD10" i="5" s="1"/>
  <c r="AG19" i="5" a="1"/>
  <c r="AG19" i="5" s="1"/>
  <c r="AB10" i="5" s="1"/>
  <c r="BB19" i="5" a="1"/>
  <c r="BB19" i="5" s="1"/>
  <c r="BB18" i="5" a="1"/>
  <c r="BB18" i="5" s="1"/>
  <c r="BB20" i="5" a="1"/>
  <c r="BB20" i="5" s="1"/>
  <c r="AN20" i="5" a="1"/>
  <c r="AN20" i="5" s="1"/>
  <c r="AL7" i="5" s="1"/>
  <c r="AN19" i="5" a="1"/>
  <c r="AN19" i="5" s="1"/>
  <c r="AJ7" i="5" s="1"/>
  <c r="AN18" i="5" a="1"/>
  <c r="AN18" i="5" s="1"/>
  <c r="AK19" i="5" a="1"/>
  <c r="AK19" i="5" s="1"/>
  <c r="AE10" i="5" s="1"/>
  <c r="AK18" i="5" a="1"/>
  <c r="AK18" i="5" s="1"/>
  <c r="AK20" i="5" a="1"/>
  <c r="AK20" i="5" s="1"/>
  <c r="AG10" i="5" s="1"/>
  <c r="R18" i="5" a="1"/>
  <c r="R18" i="5" s="1"/>
  <c r="R20" i="5" a="1"/>
  <c r="R20" i="5" s="1"/>
  <c r="T6" i="5" s="1"/>
  <c r="R19" i="5" a="1"/>
  <c r="R19" i="5" s="1"/>
  <c r="R6" i="5" s="1"/>
  <c r="X18" i="5" a="1"/>
  <c r="X18" i="5" s="1"/>
  <c r="X20" i="5" a="1"/>
  <c r="X20" i="5" s="1"/>
  <c r="Y4" i="5" s="1"/>
  <c r="X19" i="5" a="1"/>
  <c r="X19" i="5" s="1"/>
  <c r="W4" i="5" s="1"/>
  <c r="T19" i="5" a="1"/>
  <c r="T19" i="5" s="1"/>
  <c r="U7" i="5" s="1"/>
  <c r="T18" i="5" a="1"/>
  <c r="T18" i="5" s="1"/>
  <c r="T20" i="5" a="1"/>
  <c r="T20" i="5" s="1"/>
  <c r="W7" i="5" s="1"/>
  <c r="AP18" i="5" a="1"/>
  <c r="AP18" i="5" s="1"/>
  <c r="AP20" i="5" a="1"/>
  <c r="AP20" i="5" s="1"/>
  <c r="AH12" i="5" s="1"/>
  <c r="AP19" i="5" a="1"/>
  <c r="AP19" i="5" s="1"/>
  <c r="AF12" i="5" s="1"/>
  <c r="AB19" i="5" a="1"/>
  <c r="AB19" i="5" s="1"/>
  <c r="Y10" i="5" s="1"/>
  <c r="AB20" i="5" a="1"/>
  <c r="AB20" i="5" s="1"/>
  <c r="AA10" i="5" s="1"/>
  <c r="AB18" i="5" a="1"/>
  <c r="AB18" i="5" s="1"/>
  <c r="L19" i="5" a="1"/>
  <c r="L19" i="5" s="1"/>
  <c r="I7" i="5" s="1"/>
  <c r="L18" i="5" a="1"/>
  <c r="L18" i="5" s="1"/>
  <c r="L20" i="5" a="1"/>
  <c r="L20" i="5" s="1"/>
  <c r="K7" i="5" s="1"/>
  <c r="K18" i="5" a="1"/>
  <c r="K18" i="5" s="1"/>
  <c r="K20" i="5" a="1"/>
  <c r="K20" i="5" s="1"/>
  <c r="K19" i="5" a="1"/>
  <c r="K19" i="5" s="1"/>
  <c r="H13" i="5" s="1"/>
  <c r="H19" i="5" a="1"/>
  <c r="H19" i="5" s="1"/>
  <c r="E4" i="5" s="1"/>
  <c r="H18" i="5" a="1"/>
  <c r="H18" i="5" s="1"/>
  <c r="H20" i="5" a="1"/>
  <c r="H20" i="5" s="1"/>
  <c r="AD19" i="5" a="1"/>
  <c r="AD19" i="5" s="1"/>
  <c r="Z12" i="5" s="1"/>
  <c r="AD18" i="5" a="1"/>
  <c r="AD18" i="5" s="1"/>
  <c r="AD20" i="5" a="1"/>
  <c r="AD20" i="5" s="1"/>
  <c r="AB12" i="5" s="1"/>
  <c r="O19" i="5" a="1"/>
  <c r="O19" i="5" s="1"/>
  <c r="K13" i="5" s="1"/>
  <c r="O20" i="5" a="1"/>
  <c r="O20" i="5" s="1"/>
  <c r="M13" i="5" s="1"/>
  <c r="O18" i="5" a="1"/>
  <c r="O18" i="5" s="1"/>
  <c r="Y18" i="5" a="1"/>
  <c r="Y18" i="5" s="1"/>
  <c r="Y20" i="5" a="1"/>
  <c r="Y20" i="5" s="1"/>
  <c r="Y3" i="5" s="1"/>
  <c r="Y19" i="5" a="1"/>
  <c r="Y19" i="5" s="1"/>
  <c r="W3" i="5" s="1"/>
  <c r="AU18" i="5" a="1"/>
  <c r="AU18" i="5" s="1"/>
  <c r="AU20" i="5" a="1"/>
  <c r="AU20" i="5" s="1"/>
  <c r="O10" i="5" s="1"/>
  <c r="AU19" i="5" a="1"/>
  <c r="AU19" i="5" s="1"/>
  <c r="M10" i="5" s="1"/>
  <c r="AR19" i="5" a="1"/>
  <c r="AR19" i="5" s="1"/>
  <c r="AF13" i="5" s="1"/>
  <c r="AR18" i="5" a="1"/>
  <c r="AR18" i="5" s="1"/>
  <c r="AR20" i="5" a="1"/>
  <c r="AR20" i="5" s="1"/>
  <c r="AH13" i="5" s="1"/>
  <c r="Q18" i="5" a="1"/>
  <c r="Q18" i="5" s="1"/>
  <c r="Q20" i="5" a="1"/>
  <c r="Q20" i="5" s="1"/>
  <c r="U10" i="5" s="1"/>
  <c r="Q19" i="5" a="1"/>
  <c r="Q19" i="5" s="1"/>
  <c r="S10" i="5" s="1"/>
  <c r="AY19" i="5" a="1"/>
  <c r="AY19" i="5" s="1"/>
  <c r="AY18" i="5" a="1"/>
  <c r="AY18" i="5" s="1"/>
  <c r="AY20" i="5" a="1"/>
  <c r="AY20" i="5" s="1"/>
  <c r="AQ18" i="5" a="1"/>
  <c r="AQ18" i="5" s="1"/>
  <c r="AQ20" i="5" a="1"/>
  <c r="AQ20" i="5" s="1"/>
  <c r="AQ19" i="5" a="1"/>
  <c r="AQ19" i="5" s="1"/>
  <c r="AL19" i="5" a="1"/>
  <c r="AL19" i="5" s="1"/>
  <c r="AF4" i="5" s="1"/>
  <c r="AL18" i="5" a="1"/>
  <c r="AL18" i="5" s="1"/>
  <c r="AL20" i="5" a="1"/>
  <c r="AL20" i="5" s="1"/>
  <c r="AH4" i="5" s="1"/>
  <c r="AI18" i="5" a="1"/>
  <c r="AI18" i="5" s="1"/>
  <c r="AI20" i="5" a="1"/>
  <c r="AI20" i="5" s="1"/>
  <c r="AI19" i="5" a="1"/>
  <c r="AI19" i="5" s="1"/>
  <c r="AF19" i="5" a="1"/>
  <c r="AF19" i="5" s="1"/>
  <c r="Z3" i="5" s="1"/>
  <c r="AF18" i="5" a="1"/>
  <c r="AF18" i="5" s="1"/>
  <c r="AF20" i="5" a="1"/>
  <c r="AF20" i="5" s="1"/>
  <c r="AB3" i="5" s="1"/>
  <c r="E18" i="5" a="1"/>
  <c r="E18" i="5" s="1"/>
  <c r="E20" i="5" a="1"/>
  <c r="E20" i="5" s="1"/>
  <c r="E19" i="5" a="1"/>
  <c r="E19" i="5" s="1"/>
  <c r="C7" i="5" s="1"/>
  <c r="AM19" i="5" a="1"/>
  <c r="AM19" i="5" s="1"/>
  <c r="AG7" i="5" s="1"/>
  <c r="AM18" i="5" a="1"/>
  <c r="AM18" i="5" s="1"/>
  <c r="AM20" i="5" a="1"/>
  <c r="AM20" i="5" s="1"/>
  <c r="AI7" i="5" s="1"/>
  <c r="I19" i="5" a="1"/>
  <c r="I19" i="5" s="1"/>
  <c r="F7" i="5" s="1"/>
  <c r="I20" i="5" a="1"/>
  <c r="I20" i="5" s="1"/>
  <c r="I18" i="5" a="1"/>
  <c r="I18" i="5" s="1"/>
  <c r="Z19" i="5" a="1"/>
  <c r="Z19" i="5" s="1"/>
  <c r="X7" i="5" s="1"/>
  <c r="Z18" i="5" a="1"/>
  <c r="Z18" i="5" s="1"/>
  <c r="Z20" i="5" a="1"/>
  <c r="Z20" i="5" s="1"/>
  <c r="Z7" i="5" s="1"/>
  <c r="V20" i="5" a="1"/>
  <c r="V20" i="5" s="1"/>
  <c r="X10" i="5" s="1"/>
  <c r="V19" i="5" a="1"/>
  <c r="V19" i="5" s="1"/>
  <c r="V10" i="5" s="1"/>
  <c r="V18" i="5" a="1"/>
  <c r="V18" i="5" s="1"/>
  <c r="S18" i="5" a="1"/>
  <c r="S18" i="5" s="1"/>
  <c r="S20" i="5" a="1"/>
  <c r="S20" i="5" s="1"/>
  <c r="V13" i="5" s="1"/>
  <c r="S19" i="5" a="1"/>
  <c r="S19" i="5" s="1"/>
  <c r="T13" i="5" s="1"/>
  <c r="W18" i="5" a="1"/>
  <c r="W18" i="5" s="1"/>
  <c r="W20" i="5" a="1"/>
  <c r="W20" i="5" s="1"/>
  <c r="X9" i="5" s="1"/>
  <c r="W19" i="5" a="1"/>
  <c r="W19" i="5" s="1"/>
  <c r="V9" i="5" s="1"/>
  <c r="AA19" i="5" a="1"/>
  <c r="AA19" i="5" s="1"/>
  <c r="X6" i="5" s="1"/>
  <c r="AA18" i="5" a="1"/>
  <c r="AA18" i="5" s="1"/>
  <c r="AA20" i="5" a="1"/>
  <c r="AA20" i="5" s="1"/>
  <c r="Z6" i="5" s="1"/>
  <c r="AC18" i="5" a="1"/>
  <c r="AC18" i="5" s="1"/>
  <c r="AC20" i="5" a="1"/>
  <c r="AC20" i="5" s="1"/>
  <c r="AB13" i="5" s="1"/>
  <c r="AC19" i="5" a="1"/>
  <c r="AC19" i="5" s="1"/>
  <c r="Z13" i="5" s="1"/>
  <c r="M19" i="5" a="1"/>
  <c r="M19" i="5" s="1"/>
  <c r="J10" i="5" s="1"/>
  <c r="M18" i="5" a="1"/>
  <c r="M18" i="5" s="1"/>
  <c r="M20" i="5" a="1"/>
  <c r="M20" i="5" s="1"/>
  <c r="L10" i="5" s="1"/>
  <c r="J20" i="5" a="1"/>
  <c r="J20" i="5" s="1"/>
  <c r="J19" i="5" a="1"/>
  <c r="J19" i="5" s="1"/>
  <c r="G10" i="5" s="1"/>
  <c r="J18" i="5" a="1"/>
  <c r="J18" i="5" s="1"/>
  <c r="G18" i="5" a="1"/>
  <c r="G18" i="5" s="1"/>
  <c r="G20" i="5" a="1"/>
  <c r="G20" i="5" s="1"/>
  <c r="G19" i="5" a="1"/>
  <c r="G19" i="5" s="1"/>
  <c r="D10" i="5" s="1"/>
  <c r="BA18" i="5" a="1"/>
  <c r="BA18" i="5" s="1"/>
  <c r="BA20" i="5" a="1"/>
  <c r="BA20" i="5" s="1"/>
  <c r="M12" i="5" s="1"/>
  <c r="BA19" i="5" a="1"/>
  <c r="BA19" i="5" s="1"/>
  <c r="K12" i="5" s="1"/>
  <c r="N19" i="5" a="1"/>
  <c r="N19" i="5" s="1"/>
  <c r="N18" i="5" a="1"/>
  <c r="N18" i="5" s="1"/>
  <c r="N20" i="5" a="1"/>
  <c r="N20" i="5" s="1"/>
  <c r="K6" i="5" s="1"/>
  <c r="D19" i="5" a="1"/>
  <c r="D19" i="5" s="1"/>
  <c r="D20" i="5" a="1"/>
  <c r="D20" i="5" s="1"/>
  <c r="AX17" i="5"/>
  <c r="BC20" i="5" a="1"/>
  <c r="BC20" i="5" s="1"/>
  <c r="BY53" i="5"/>
  <c r="BY14" i="5"/>
  <c r="BY39" i="5"/>
  <c r="BY50" i="5"/>
  <c r="BC19" i="5" a="1"/>
  <c r="BC19" i="5" s="1"/>
  <c r="BY35" i="5"/>
  <c r="BW50" i="5"/>
  <c r="BY25" i="5"/>
  <c r="BY38" i="5"/>
  <c r="Q7" i="5" l="1"/>
  <c r="O7" i="5"/>
  <c r="G13" i="5"/>
  <c r="E13" i="5"/>
  <c r="AE4" i="5"/>
  <c r="AC4" i="5"/>
  <c r="W9" i="5"/>
  <c r="AZ20" i="5" a="1"/>
  <c r="AZ20" i="5" s="1"/>
  <c r="AZ19" i="5" a="1"/>
  <c r="AZ19" i="5" s="1"/>
  <c r="I6" i="5"/>
  <c r="AX19" i="5" a="1"/>
  <c r="AX19" i="5" s="1"/>
  <c r="Q13" i="5" s="1"/>
  <c r="AX18" i="5" a="1"/>
  <c r="AX18" i="5" s="1"/>
  <c r="AX20" i="5" a="1"/>
  <c r="AX20" i="5" s="1"/>
  <c r="S13" i="5" s="1"/>
  <c r="F9" i="5"/>
  <c r="E25" i="5"/>
  <c r="D25" i="5" s="1"/>
  <c r="E34" i="5"/>
  <c r="AN36" i="5" s="1"/>
  <c r="M22" i="5"/>
  <c r="B4" i="5"/>
  <c r="R10" i="5" l="1"/>
  <c r="P10" i="5"/>
  <c r="E35" i="5"/>
  <c r="AL39" i="5" s="1"/>
  <c r="E44" i="5"/>
  <c r="D44" i="5" s="1"/>
  <c r="E29" i="5"/>
  <c r="D29" i="5" s="1"/>
  <c r="E24" i="5"/>
  <c r="B26" i="5" s="1"/>
  <c r="E45" i="5"/>
  <c r="D45" i="5" s="1"/>
  <c r="AO36" i="5"/>
  <c r="AQ36" i="5"/>
  <c r="AP36" i="5"/>
  <c r="AP37" i="5" s="1"/>
  <c r="E38" i="5"/>
  <c r="D38" i="5" s="1"/>
  <c r="AL38" i="5"/>
  <c r="AM38" i="5" s="1"/>
  <c r="AN38" i="5" s="1"/>
  <c r="AO38" i="5" s="1"/>
  <c r="AP38" i="5" s="1"/>
  <c r="AQ38" i="5" s="1"/>
  <c r="AM41" i="5" s="1"/>
  <c r="D34" i="5"/>
  <c r="AM36" i="5"/>
  <c r="AQ37" i="5" l="1"/>
  <c r="AO37" i="5"/>
  <c r="B36" i="5"/>
  <c r="AN37" i="5"/>
  <c r="D35" i="5"/>
  <c r="AM37" i="5"/>
  <c r="B46" i="5"/>
  <c r="E28" i="5"/>
  <c r="B30" i="5" s="1"/>
  <c r="D24" i="5"/>
  <c r="AM39" i="5"/>
  <c r="D28" i="5" l="1"/>
  <c r="AN39" i="5"/>
  <c r="AO39" i="5" s="1"/>
  <c r="AP39" i="5" s="1"/>
  <c r="AQ39" i="5" s="1"/>
  <c r="AM42" i="5" s="1"/>
  <c r="E39" i="5" l="1"/>
  <c r="D39" i="5" l="1"/>
  <c r="B40" i="5"/>
  <c r="AG14" i="1" l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 s="1"/>
  <c r="B4" i="3"/>
  <c r="H4" i="3"/>
  <c r="N4" i="3"/>
  <c r="N5" i="3" s="1"/>
  <c r="N6" i="3" s="1"/>
  <c r="N7" i="3" s="1"/>
  <c r="N8" i="3" s="1"/>
  <c r="N9" i="3" s="1"/>
  <c r="N10" i="3" s="1"/>
  <c r="N11" i="3" s="1"/>
  <c r="N12" i="3" s="1"/>
  <c r="B5" i="3"/>
  <c r="H5" i="3"/>
  <c r="B6" i="3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6" i="3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24" i="3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V3" i="3" a="1"/>
  <c r="V6" i="3" a="1"/>
  <c r="W6" i="3" a="1"/>
  <c r="W4" i="3" a="1"/>
  <c r="W5" i="3" a="1"/>
  <c r="V4" i="3" a="1"/>
  <c r="V5" i="3" a="1"/>
  <c r="W3" i="3" a="1"/>
  <c r="Y2" i="3" l="1"/>
  <c r="W6" i="3"/>
  <c r="V6" i="3"/>
  <c r="W4" i="3"/>
  <c r="V5" i="3"/>
  <c r="W3" i="3"/>
  <c r="V4" i="3"/>
  <c r="W5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3" i="1"/>
  <c r="A4" i="1" s="1"/>
  <c r="X4" i="3" a="1"/>
  <c r="X5" i="3" a="1"/>
  <c r="X6" i="3" a="1"/>
  <c r="X3" i="3" a="1"/>
  <c r="X6" i="3" l="1"/>
  <c r="X5" i="3"/>
  <c r="X3" i="3"/>
  <c r="X4" i="3"/>
  <c r="Z2" i="3"/>
  <c r="A5" i="1"/>
  <c r="A7" i="1" s="1"/>
  <c r="AF10" i="1"/>
  <c r="A6" i="1"/>
  <c r="A14" i="1"/>
  <c r="A16" i="1" s="1"/>
  <c r="A15" i="1"/>
  <c r="A23" i="1"/>
  <c r="Y4" i="3" a="1"/>
  <c r="Y5" i="3" a="1"/>
  <c r="Y3" i="3" a="1"/>
  <c r="Y6" i="3" a="1"/>
  <c r="Y5" i="3" l="1"/>
  <c r="Y3" i="3"/>
  <c r="Y4" i="3"/>
  <c r="Y6" i="3"/>
  <c r="AA2" i="3"/>
  <c r="L5" i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T5" i="1" s="1"/>
  <c r="G8" i="1"/>
  <c r="T8" i="1" s="1"/>
  <c r="G10" i="1"/>
  <c r="T10" i="1" s="1"/>
  <c r="G13" i="1"/>
  <c r="T13" i="1" s="1"/>
  <c r="G16" i="1"/>
  <c r="T16" i="1" s="1"/>
  <c r="G18" i="1"/>
  <c r="T18" i="1" s="1"/>
  <c r="G21" i="1"/>
  <c r="T21" i="1" s="1"/>
  <c r="G24" i="1"/>
  <c r="T24" i="1" s="1"/>
  <c r="G26" i="1"/>
  <c r="G29" i="1"/>
  <c r="T29" i="1" s="1"/>
  <c r="G32" i="1"/>
  <c r="T32" i="1" s="1"/>
  <c r="G34" i="1"/>
  <c r="T34" i="1" s="1"/>
  <c r="G37" i="1"/>
  <c r="T37" i="1" s="1"/>
  <c r="G40" i="1"/>
  <c r="T40" i="1" s="1"/>
  <c r="G42" i="1"/>
  <c r="T42" i="1" s="1"/>
  <c r="G4" i="1"/>
  <c r="T4" i="1" s="1"/>
  <c r="G6" i="1"/>
  <c r="T6" i="1" s="1"/>
  <c r="G9" i="1"/>
  <c r="T9" i="1" s="1"/>
  <c r="G12" i="1"/>
  <c r="T12" i="1" s="1"/>
  <c r="G14" i="1"/>
  <c r="T14" i="1" s="1"/>
  <c r="G17" i="1"/>
  <c r="G20" i="1"/>
  <c r="T20" i="1" s="1"/>
  <c r="G22" i="1"/>
  <c r="T22" i="1" s="1"/>
  <c r="G25" i="1"/>
  <c r="T25" i="1" s="1"/>
  <c r="G28" i="1"/>
  <c r="T28" i="1" s="1"/>
  <c r="G30" i="1"/>
  <c r="T30" i="1" s="1"/>
  <c r="G33" i="1"/>
  <c r="T33" i="1" s="1"/>
  <c r="G36" i="1"/>
  <c r="T36" i="1" s="1"/>
  <c r="G38" i="1"/>
  <c r="T38" i="1" s="1"/>
  <c r="G41" i="1"/>
  <c r="T41" i="1" s="1"/>
  <c r="G44" i="1"/>
  <c r="T44" i="1" s="1"/>
  <c r="G43" i="1"/>
  <c r="T43" i="1" s="1"/>
  <c r="G27" i="1"/>
  <c r="G11" i="1"/>
  <c r="T11" i="1" s="1"/>
  <c r="G19" i="1"/>
  <c r="T19" i="1" s="1"/>
  <c r="G15" i="1"/>
  <c r="T15" i="1" s="1"/>
  <c r="G39" i="1"/>
  <c r="T39" i="1" s="1"/>
  <c r="G23" i="1"/>
  <c r="T23" i="1" s="1"/>
  <c r="G7" i="1"/>
  <c r="T7" i="1" s="1"/>
  <c r="G35" i="1"/>
  <c r="T35" i="1" s="1"/>
  <c r="G31" i="1"/>
  <c r="T31" i="1" s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S16" i="1" s="1"/>
  <c r="H21" i="1"/>
  <c r="S21" i="1" s="1"/>
  <c r="H26" i="1"/>
  <c r="S26" i="1" s="1"/>
  <c r="H32" i="1"/>
  <c r="S32" i="1" s="1"/>
  <c r="H37" i="1"/>
  <c r="S37" i="1" s="1"/>
  <c r="H42" i="1"/>
  <c r="S42" i="1" s="1"/>
  <c r="H18" i="1"/>
  <c r="S18" i="1" s="1"/>
  <c r="H29" i="1"/>
  <c r="S29" i="1" s="1"/>
  <c r="H40" i="1"/>
  <c r="S40" i="1" s="1"/>
  <c r="H4" i="1"/>
  <c r="S4" i="1" s="1"/>
  <c r="H14" i="1"/>
  <c r="S14" i="1" s="1"/>
  <c r="H25" i="1"/>
  <c r="S25" i="1" s="1"/>
  <c r="H36" i="1"/>
  <c r="S36" i="1" s="1"/>
  <c r="H6" i="1"/>
  <c r="S6" i="1" s="1"/>
  <c r="H12" i="1"/>
  <c r="S12" i="1" s="1"/>
  <c r="H17" i="1"/>
  <c r="S17" i="1" s="1"/>
  <c r="H22" i="1"/>
  <c r="S22" i="1" s="1"/>
  <c r="H28" i="1"/>
  <c r="S28" i="1" s="1"/>
  <c r="H33" i="1"/>
  <c r="S33" i="1" s="1"/>
  <c r="H38" i="1"/>
  <c r="S38" i="1" s="1"/>
  <c r="H44" i="1"/>
  <c r="S44" i="1" s="1"/>
  <c r="H8" i="1"/>
  <c r="S8" i="1" s="1"/>
  <c r="H13" i="1"/>
  <c r="S13" i="1" s="1"/>
  <c r="H24" i="1"/>
  <c r="S24" i="1" s="1"/>
  <c r="H34" i="1"/>
  <c r="S34" i="1" s="1"/>
  <c r="H9" i="1"/>
  <c r="S9" i="1" s="1"/>
  <c r="H20" i="1"/>
  <c r="S20" i="1" s="1"/>
  <c r="H30" i="1"/>
  <c r="S30" i="1" s="1"/>
  <c r="H41" i="1"/>
  <c r="S41" i="1" s="1"/>
  <c r="H35" i="1"/>
  <c r="S35" i="1" s="1"/>
  <c r="H19" i="1"/>
  <c r="S19" i="1" s="1"/>
  <c r="H31" i="1"/>
  <c r="S31" i="1" s="1"/>
  <c r="H15" i="1"/>
  <c r="S15" i="1" s="1"/>
  <c r="H43" i="1"/>
  <c r="S43" i="1" s="1"/>
  <c r="H27" i="1"/>
  <c r="S27" i="1" s="1"/>
  <c r="H11" i="1"/>
  <c r="S11" i="1" s="1"/>
  <c r="H39" i="1"/>
  <c r="S39" i="1" s="1"/>
  <c r="H23" i="1"/>
  <c r="S23" i="1" s="1"/>
  <c r="H7" i="1"/>
  <c r="S7" i="1" s="1"/>
  <c r="B16" i="1"/>
  <c r="L3" i="1"/>
  <c r="B7" i="1"/>
  <c r="H3" i="1"/>
  <c r="T27" i="1"/>
  <c r="T26" i="1"/>
  <c r="T17" i="1"/>
  <c r="B6" i="1"/>
  <c r="G3" i="1"/>
  <c r="T3" i="1" s="1"/>
  <c r="A24" i="1"/>
  <c r="A26" i="1" s="1"/>
  <c r="B15" i="1"/>
  <c r="K3" i="1"/>
  <c r="Z6" i="3" a="1"/>
  <c r="Z3" i="3" a="1"/>
  <c r="Z5" i="3" a="1"/>
  <c r="Z4" i="3" a="1"/>
  <c r="Z3" i="3" l="1"/>
  <c r="Z5" i="3"/>
  <c r="Z6" i="3"/>
  <c r="Z4" i="3"/>
  <c r="AB2" i="3"/>
  <c r="P4" i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A48" i="1" s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18" i="1"/>
  <c r="U22" i="1"/>
  <c r="U14" i="1"/>
  <c r="U44" i="1"/>
  <c r="U24" i="1"/>
  <c r="U30" i="1"/>
  <c r="U34" i="1"/>
  <c r="U38" i="1"/>
  <c r="AA5" i="3" a="1"/>
  <c r="AA3" i="3" a="1"/>
  <c r="AA4" i="3" a="1"/>
  <c r="AA6" i="3" a="1"/>
  <c r="AA5" i="3" l="1"/>
  <c r="AA6" i="3"/>
  <c r="AA4" i="3"/>
  <c r="AA3" i="3"/>
  <c r="AC2" i="3"/>
  <c r="U3" i="1"/>
  <c r="AC49" i="1" s="1"/>
  <c r="O4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AC58" i="1"/>
  <c r="B25" i="1"/>
  <c r="O3" i="1"/>
  <c r="AB3" i="3" a="1"/>
  <c r="AB4" i="3" a="1"/>
  <c r="AB6" i="3" a="1"/>
  <c r="AB5" i="3" a="1"/>
  <c r="AC12" i="1" l="1"/>
  <c r="AA13" i="1"/>
  <c r="AB13" i="1" s="1"/>
  <c r="AC26" i="1"/>
  <c r="AA20" i="1"/>
  <c r="AB20" i="1" s="1"/>
  <c r="AA22" i="1"/>
  <c r="AA4" i="1"/>
  <c r="AB4" i="1" s="1"/>
  <c r="AC22" i="1"/>
  <c r="AA24" i="1"/>
  <c r="AB24" i="1" s="1"/>
  <c r="AC43" i="1"/>
  <c r="AC24" i="1"/>
  <c r="AA29" i="1"/>
  <c r="AB29" i="1" s="1"/>
  <c r="AC29" i="1"/>
  <c r="AA30" i="1"/>
  <c r="AB30" i="1" s="1"/>
  <c r="AC21" i="1"/>
  <c r="AC20" i="1"/>
  <c r="AA26" i="1"/>
  <c r="AB26" i="1" s="1"/>
  <c r="AA31" i="1"/>
  <c r="AB31" i="1" s="1"/>
  <c r="AC38" i="1"/>
  <c r="AA42" i="1"/>
  <c r="AB42" i="1" s="1"/>
  <c r="AA9" i="1"/>
  <c r="AB9" i="1" s="1"/>
  <c r="AC9" i="1"/>
  <c r="AA35" i="1"/>
  <c r="AB35" i="1" s="1"/>
  <c r="AA34" i="1"/>
  <c r="AB34" i="1" s="1"/>
  <c r="AA12" i="1"/>
  <c r="AB12" i="1" s="1"/>
  <c r="AC7" i="1"/>
  <c r="AA36" i="1"/>
  <c r="AB36" i="1" s="1"/>
  <c r="AA43" i="1"/>
  <c r="AB43" i="1" s="1"/>
  <c r="AA33" i="1"/>
  <c r="AB33" i="1" s="1"/>
  <c r="AC45" i="1"/>
  <c r="AA32" i="1"/>
  <c r="AB32" i="1" s="1"/>
  <c r="AC8" i="1"/>
  <c r="AC11" i="1"/>
  <c r="AA47" i="1"/>
  <c r="AA41" i="1"/>
  <c r="AB41" i="1" s="1"/>
  <c r="AC16" i="1"/>
  <c r="AC42" i="1"/>
  <c r="AC18" i="1"/>
  <c r="AA11" i="1"/>
  <c r="AB11" i="1" s="1"/>
  <c r="AC3" i="1"/>
  <c r="AC14" i="1"/>
  <c r="AA14" i="1"/>
  <c r="AB14" i="1" s="1"/>
  <c r="AA58" i="1"/>
  <c r="AC15" i="1"/>
  <c r="AA6" i="1"/>
  <c r="AB6" i="1" s="1"/>
  <c r="AC47" i="1"/>
  <c r="AA15" i="1"/>
  <c r="AB15" i="1" s="1"/>
  <c r="AA49" i="1"/>
  <c r="AC34" i="1"/>
  <c r="AC48" i="1"/>
  <c r="AA45" i="1"/>
  <c r="AC5" i="1"/>
  <c r="AA52" i="1"/>
  <c r="AA17" i="1"/>
  <c r="AB17" i="1" s="1"/>
  <c r="AA53" i="1"/>
  <c r="AC35" i="1"/>
  <c r="AC50" i="1"/>
  <c r="AA16" i="1"/>
  <c r="AB16" i="1" s="1"/>
  <c r="AA3" i="1"/>
  <c r="AB3" i="1" s="1"/>
  <c r="AC6" i="1"/>
  <c r="AA54" i="1"/>
  <c r="AA18" i="1"/>
  <c r="AB18" i="1" s="1"/>
  <c r="AA55" i="1"/>
  <c r="AC36" i="1"/>
  <c r="AC52" i="1"/>
  <c r="AA38" i="1"/>
  <c r="AB38" i="1" s="1"/>
  <c r="AC30" i="1"/>
  <c r="AA50" i="1"/>
  <c r="AC4" i="1"/>
  <c r="AC19" i="1"/>
  <c r="AA56" i="1"/>
  <c r="AA19" i="1"/>
  <c r="AB19" i="1" s="1"/>
  <c r="AA8" i="1"/>
  <c r="AB8" i="1" s="1"/>
  <c r="AC37" i="1"/>
  <c r="AC54" i="1"/>
  <c r="AC51" i="1"/>
  <c r="AC53" i="1"/>
  <c r="AA27" i="1"/>
  <c r="AB27" i="1" s="1"/>
  <c r="AA57" i="1"/>
  <c r="AC31" i="1"/>
  <c r="AA46" i="1"/>
  <c r="AC55" i="1"/>
  <c r="AC10" i="1"/>
  <c r="U47" i="1"/>
  <c r="S48" i="1" s="1"/>
  <c r="AA25" i="1"/>
  <c r="AB25" i="1" s="1"/>
  <c r="AC32" i="1"/>
  <c r="AC23" i="1"/>
  <c r="AC56" i="1"/>
  <c r="AC40" i="1"/>
  <c r="AA23" i="1"/>
  <c r="AB23" i="1" s="1"/>
  <c r="AA10" i="1"/>
  <c r="AB10" i="1" s="1"/>
  <c r="AA37" i="1"/>
  <c r="AB37" i="1" s="1"/>
  <c r="AA5" i="1"/>
  <c r="AB5" i="1" s="1"/>
  <c r="AC13" i="1"/>
  <c r="AC17" i="1"/>
  <c r="AA48" i="1"/>
  <c r="AC41" i="1"/>
  <c r="AC27" i="1"/>
  <c r="AA7" i="1"/>
  <c r="AB7" i="1" s="1"/>
  <c r="AC33" i="1"/>
  <c r="AC46" i="1"/>
  <c r="AC57" i="1"/>
  <c r="AB5" i="3"/>
  <c r="AB3" i="3"/>
  <c r="AB4" i="3"/>
  <c r="AB6" i="3"/>
  <c r="AD2" i="3"/>
  <c r="AA21" i="1"/>
  <c r="AA51" i="1"/>
  <c r="AC25" i="1"/>
  <c r="AA40" i="1"/>
  <c r="AB40" i="1" s="1"/>
  <c r="AC4" i="3" a="1"/>
  <c r="AC5" i="3" a="1"/>
  <c r="AC3" i="3" a="1"/>
  <c r="AC6" i="3" a="1"/>
  <c r="AG13" i="1" l="1"/>
  <c r="AG12" i="1" s="1"/>
  <c r="AG5" i="1"/>
  <c r="AF5" i="1" s="1"/>
  <c r="AG4" i="1"/>
  <c r="AV4" i="1" s="1"/>
  <c r="AU5" i="1" s="1"/>
  <c r="AU9" i="1" s="1"/>
  <c r="AC6" i="3"/>
  <c r="AC5" i="3"/>
  <c r="AC3" i="3"/>
  <c r="AC4" i="3"/>
  <c r="AE2" i="3"/>
  <c r="AG9" i="1"/>
  <c r="AF9" i="1" s="1"/>
  <c r="AF13" i="1"/>
  <c r="AV13" i="1"/>
  <c r="AU14" i="1" s="1"/>
  <c r="AD4" i="3" a="1"/>
  <c r="AD5" i="3" a="1"/>
  <c r="AD6" i="3" a="1"/>
  <c r="AD3" i="3" a="1"/>
  <c r="AG3" i="1" l="1"/>
  <c r="AF4" i="1"/>
  <c r="AP5" i="1" s="1"/>
  <c r="AD3" i="3"/>
  <c r="AD4" i="3"/>
  <c r="AD6" i="3"/>
  <c r="AD5" i="3"/>
  <c r="AF2" i="3"/>
  <c r="AG8" i="1"/>
  <c r="AV9" i="1"/>
  <c r="AU10" i="1" s="1"/>
  <c r="AE4" i="3" a="1"/>
  <c r="AE5" i="3" a="1"/>
  <c r="AE3" i="3" a="1"/>
  <c r="AE6" i="3" a="1"/>
  <c r="AE4" i="3" l="1"/>
  <c r="AE3" i="3"/>
  <c r="AE5" i="3"/>
  <c r="AE6" i="3"/>
  <c r="AG2" i="3"/>
  <c r="AF6" i="3" a="1"/>
  <c r="AF5" i="3" a="1"/>
  <c r="AF4" i="3" a="1"/>
  <c r="AF3" i="3" a="1"/>
  <c r="AF5" i="3" l="1"/>
  <c r="AF3" i="3"/>
  <c r="AF6" i="3"/>
  <c r="AF4" i="3"/>
  <c r="AH2" i="3"/>
  <c r="AG3" i="3" a="1"/>
  <c r="AG6" i="3" a="1"/>
  <c r="AG4" i="3" a="1"/>
  <c r="AG5" i="3" a="1"/>
  <c r="AG5" i="3" l="1"/>
  <c r="AG6" i="3"/>
  <c r="AG3" i="3"/>
  <c r="AG4" i="3"/>
  <c r="AI2" i="3"/>
  <c r="AH3" i="3" a="1"/>
  <c r="AH6" i="3" a="1"/>
  <c r="AH4" i="3" a="1"/>
  <c r="AH5" i="3" a="1"/>
  <c r="AH6" i="3" l="1"/>
  <c r="AH4" i="3"/>
  <c r="AH5" i="3"/>
  <c r="AH3" i="3"/>
  <c r="AJ2" i="3"/>
  <c r="AI5" i="3" a="1"/>
  <c r="AI4" i="3" a="1"/>
  <c r="AI3" i="3" a="1"/>
  <c r="AI6" i="3" a="1"/>
  <c r="AI3" i="3" l="1"/>
  <c r="AI4" i="3"/>
  <c r="AI6" i="3"/>
  <c r="AI5" i="3"/>
  <c r="AK2" i="3"/>
  <c r="AJ5" i="3" a="1"/>
  <c r="AJ6" i="3" a="1"/>
  <c r="AJ4" i="3" a="1"/>
  <c r="AJ3" i="3" a="1"/>
  <c r="AJ6" i="3" l="1"/>
  <c r="AJ4" i="3"/>
  <c r="AJ3" i="3"/>
  <c r="AJ5" i="3"/>
  <c r="AL2" i="3"/>
  <c r="AK5" i="3" a="1"/>
  <c r="AK6" i="3" a="1"/>
  <c r="AK4" i="3" a="1"/>
  <c r="AK3" i="3" a="1"/>
  <c r="AK3" i="3" l="1"/>
  <c r="AK6" i="3"/>
  <c r="AK5" i="3"/>
  <c r="AK4" i="3"/>
  <c r="AM2" i="3"/>
  <c r="AL3" i="3" a="1"/>
  <c r="AL4" i="3" a="1"/>
  <c r="AL6" i="3" a="1"/>
  <c r="AL5" i="3" a="1"/>
  <c r="AL6" i="3" l="1"/>
  <c r="AL4" i="3"/>
  <c r="AL5" i="3"/>
  <c r="AL3" i="3"/>
  <c r="AN2" i="3"/>
  <c r="AM4" i="3" a="1"/>
  <c r="AM3" i="3" a="1"/>
  <c r="AM6" i="3" a="1"/>
  <c r="AM5" i="3" a="1"/>
  <c r="AM5" i="3" l="1"/>
  <c r="AM6" i="3"/>
  <c r="AM3" i="3"/>
  <c r="AM4" i="3"/>
  <c r="AO2" i="3"/>
  <c r="AN3" i="3" a="1"/>
  <c r="AN5" i="3" a="1"/>
  <c r="AN6" i="3" a="1"/>
  <c r="AN4" i="3" a="1"/>
  <c r="AN6" i="3" l="1"/>
  <c r="AN5" i="3"/>
  <c r="AN4" i="3"/>
  <c r="AN3" i="3"/>
  <c r="AP2" i="3"/>
  <c r="AO6" i="3" a="1"/>
  <c r="AO3" i="3" a="1"/>
  <c r="AO4" i="3" a="1"/>
  <c r="AO5" i="3" a="1"/>
  <c r="AO4" i="3" l="1"/>
  <c r="AO3" i="3"/>
  <c r="AO5" i="3"/>
  <c r="AO6" i="3"/>
  <c r="AQ2" i="3"/>
  <c r="AP4" i="3" a="1"/>
  <c r="AP3" i="3" a="1"/>
  <c r="AP5" i="3" a="1"/>
  <c r="AP6" i="3" a="1"/>
  <c r="AP4" i="3" l="1"/>
  <c r="AP6" i="3"/>
  <c r="AP3" i="3"/>
  <c r="AP5" i="3"/>
  <c r="AR2" i="3"/>
  <c r="AQ4" i="3" a="1"/>
  <c r="AQ5" i="3" a="1"/>
  <c r="AQ3" i="3" a="1"/>
  <c r="AQ6" i="3" a="1"/>
  <c r="AQ5" i="3" l="1"/>
  <c r="AQ6" i="3"/>
  <c r="AQ3" i="3"/>
  <c r="AQ4" i="3"/>
  <c r="AS2" i="3"/>
  <c r="AR3" i="3" a="1"/>
  <c r="AR4" i="3" a="1"/>
  <c r="AR6" i="3" a="1"/>
  <c r="AR5" i="3" a="1"/>
  <c r="AR6" i="3" l="1"/>
  <c r="AR4" i="3"/>
  <c r="AR3" i="3"/>
  <c r="AR5" i="3"/>
  <c r="AT2" i="3"/>
  <c r="AS6" i="3" a="1"/>
  <c r="AS4" i="3" a="1"/>
  <c r="AS3" i="3" a="1"/>
  <c r="AS5" i="3" a="1"/>
  <c r="AS3" i="3" l="1"/>
  <c r="AS5" i="3"/>
  <c r="AS4" i="3"/>
  <c r="AS6" i="3"/>
  <c r="AU2" i="3"/>
  <c r="AT6" i="3" a="1"/>
  <c r="AT3" i="3" a="1"/>
  <c r="AT4" i="3" a="1"/>
  <c r="AT5" i="3" a="1"/>
  <c r="AT5" i="3" l="1"/>
  <c r="AT4" i="3"/>
  <c r="AT6" i="3"/>
  <c r="AT3" i="3"/>
  <c r="AV2" i="3"/>
  <c r="AU5" i="3" a="1"/>
  <c r="AU3" i="3" a="1"/>
  <c r="AU6" i="3" a="1"/>
  <c r="AU4" i="3" a="1"/>
  <c r="AU5" i="3" l="1"/>
  <c r="AU4" i="3"/>
  <c r="AU6" i="3"/>
  <c r="AU3" i="3"/>
  <c r="AW2" i="3"/>
  <c r="AV5" i="3" a="1"/>
  <c r="AV3" i="3" a="1"/>
  <c r="AV6" i="3" a="1"/>
  <c r="AV4" i="3" a="1"/>
  <c r="AV4" i="3" l="1"/>
  <c r="AV6" i="3"/>
  <c r="AV3" i="3"/>
  <c r="AV5" i="3"/>
  <c r="AX2" i="3"/>
  <c r="AW4" i="3" a="1"/>
  <c r="AW3" i="3" a="1"/>
  <c r="AW6" i="3" a="1"/>
  <c r="AW5" i="3" a="1"/>
  <c r="AW5" i="3" l="1"/>
  <c r="AW6" i="3"/>
  <c r="AW3" i="3"/>
  <c r="AW4" i="3"/>
  <c r="AY2" i="3"/>
  <c r="AX4" i="3" a="1"/>
  <c r="AX6" i="3" a="1"/>
  <c r="AX3" i="3" a="1"/>
  <c r="AX5" i="3" a="1"/>
  <c r="AX3" i="3" l="1"/>
  <c r="AX5" i="3"/>
  <c r="AX4" i="3"/>
  <c r="AX6" i="3"/>
  <c r="AZ2" i="3"/>
  <c r="AY6" i="3" a="1"/>
  <c r="AY5" i="3" a="1"/>
  <c r="AY4" i="3" a="1"/>
  <c r="AY3" i="3" a="1"/>
  <c r="AY5" i="3" l="1"/>
  <c r="AY4" i="3"/>
  <c r="AY3" i="3"/>
  <c r="AY6" i="3"/>
  <c r="BA2" i="3"/>
  <c r="AZ3" i="3" a="1"/>
  <c r="AZ5" i="3" a="1"/>
  <c r="AZ6" i="3" a="1"/>
  <c r="AZ4" i="3" a="1"/>
  <c r="AZ6" i="3" l="1"/>
  <c r="AZ5" i="3"/>
  <c r="AZ3" i="3"/>
  <c r="AZ4" i="3"/>
  <c r="BB2" i="3"/>
  <c r="BA6" i="3" a="1"/>
  <c r="BA5" i="3" a="1"/>
  <c r="BA3" i="3" a="1"/>
  <c r="BA4" i="3" a="1"/>
  <c r="BA3" i="3" l="1"/>
  <c r="BA4" i="3"/>
  <c r="BA5" i="3"/>
  <c r="BA6" i="3"/>
  <c r="BC2" i="3"/>
  <c r="BB4" i="3" a="1"/>
  <c r="BB3" i="3" a="1"/>
  <c r="BB5" i="3" a="1"/>
  <c r="BB6" i="3" a="1"/>
  <c r="BB3" i="3" l="1"/>
  <c r="BB6" i="3"/>
  <c r="BB5" i="3"/>
  <c r="BB4" i="3"/>
  <c r="BD2" i="3"/>
  <c r="BC3" i="3" a="1"/>
  <c r="BC4" i="3" a="1"/>
  <c r="BC6" i="3" a="1"/>
  <c r="BC5" i="3" a="1"/>
  <c r="BC5" i="3" l="1"/>
  <c r="BC6" i="3"/>
  <c r="BC4" i="3"/>
  <c r="BC3" i="3"/>
  <c r="BE2" i="3"/>
  <c r="BD6" i="3" a="1"/>
  <c r="BD5" i="3" a="1"/>
  <c r="BD4" i="3" a="1"/>
  <c r="BD3" i="3" a="1"/>
  <c r="BD3" i="3" l="1"/>
  <c r="BD5" i="3"/>
  <c r="BD4" i="3"/>
  <c r="BD6" i="3"/>
  <c r="BF2" i="3"/>
  <c r="BE3" i="3" a="1"/>
  <c r="BE4" i="3" a="1"/>
  <c r="BE6" i="3" a="1"/>
  <c r="BE5" i="3" a="1"/>
  <c r="BE5" i="3" l="1"/>
  <c r="BE4" i="3"/>
  <c r="BE6" i="3"/>
  <c r="BE3" i="3"/>
  <c r="BG2" i="3"/>
  <c r="BF6" i="3" a="1"/>
  <c r="BF3" i="3" a="1"/>
  <c r="BF5" i="3" a="1"/>
  <c r="BF4" i="3" a="1"/>
  <c r="BF4" i="3" l="1"/>
  <c r="BF5" i="3"/>
  <c r="BF3" i="3"/>
  <c r="BF6" i="3"/>
  <c r="BH2" i="3"/>
  <c r="BG3" i="3" a="1"/>
  <c r="BG5" i="3" a="1"/>
  <c r="BG4" i="3" a="1"/>
  <c r="BG6" i="3" a="1"/>
  <c r="BG6" i="3" l="1"/>
  <c r="BG5" i="3"/>
  <c r="BG4" i="3"/>
  <c r="BG3" i="3"/>
  <c r="BI2" i="3"/>
  <c r="BH3" i="3" a="1"/>
  <c r="BH6" i="3" a="1"/>
  <c r="BH4" i="3" a="1"/>
  <c r="BH5" i="3" a="1"/>
  <c r="BH4" i="3" l="1"/>
  <c r="BH5" i="3"/>
  <c r="BH6" i="3"/>
  <c r="BH3" i="3"/>
  <c r="BJ2" i="3"/>
  <c r="BI3" i="3" a="1"/>
  <c r="BI6" i="3" a="1"/>
  <c r="BI4" i="3" a="1"/>
  <c r="BI5" i="3" a="1"/>
  <c r="BI4" i="3" l="1"/>
  <c r="BI6" i="3"/>
  <c r="BI5" i="3"/>
  <c r="BI3" i="3"/>
  <c r="BK2" i="3"/>
  <c r="BJ4" i="3" a="1"/>
  <c r="BJ5" i="3" a="1"/>
  <c r="BJ6" i="3" a="1"/>
  <c r="BJ3" i="3" a="1"/>
  <c r="BJ6" i="3" l="1"/>
  <c r="BJ3" i="3"/>
  <c r="BJ5" i="3"/>
  <c r="BJ4" i="3"/>
  <c r="BL2" i="3"/>
  <c r="BK3" i="3" a="1"/>
  <c r="BK4" i="3" a="1"/>
  <c r="BK6" i="3" a="1"/>
  <c r="BK5" i="3" a="1"/>
  <c r="BK6" i="3" l="1"/>
  <c r="BK3" i="3"/>
  <c r="BK4" i="3"/>
  <c r="BK5" i="3"/>
  <c r="BM2" i="3"/>
  <c r="BL4" i="3" a="1"/>
  <c r="BL3" i="3" a="1"/>
  <c r="BL6" i="3" a="1"/>
  <c r="BL5" i="3" a="1"/>
  <c r="BL5" i="3" l="1"/>
  <c r="BL6" i="3"/>
  <c r="BL3" i="3"/>
  <c r="BL4" i="3"/>
  <c r="BN2" i="3"/>
  <c r="BM3" i="3" a="1"/>
  <c r="BM6" i="3" a="1"/>
  <c r="BM5" i="3" a="1"/>
  <c r="BM4" i="3" a="1"/>
  <c r="BM5" i="3" l="1"/>
  <c r="BM6" i="3"/>
  <c r="BM4" i="3"/>
  <c r="BM3" i="3"/>
  <c r="BO2" i="3"/>
  <c r="BN5" i="3" a="1"/>
  <c r="BN3" i="3" a="1"/>
  <c r="BN6" i="3" a="1"/>
  <c r="BN4" i="3" a="1"/>
  <c r="BN4" i="3" l="1"/>
  <c r="BN3" i="3"/>
  <c r="BN6" i="3"/>
  <c r="BN5" i="3"/>
  <c r="BP2" i="3"/>
  <c r="BO4" i="3" a="1"/>
  <c r="BO6" i="3" a="1"/>
  <c r="BO5" i="3" a="1"/>
  <c r="BO3" i="3" a="1"/>
  <c r="BO6" i="3" l="1"/>
  <c r="BO3" i="3"/>
  <c r="BO4" i="3"/>
  <c r="BO5" i="3"/>
  <c r="BQ2" i="3"/>
  <c r="BP3" i="3" a="1"/>
  <c r="BP6" i="3" a="1"/>
  <c r="BP4" i="3" a="1"/>
  <c r="BP5" i="3" a="1"/>
  <c r="BP4" i="3" l="1"/>
  <c r="BP6" i="3"/>
  <c r="BP5" i="3"/>
  <c r="BP3" i="3"/>
  <c r="BR2" i="3"/>
  <c r="BQ3" i="3" a="1"/>
  <c r="BQ4" i="3" a="1"/>
  <c r="BQ6" i="3" a="1"/>
  <c r="BQ5" i="3" a="1"/>
  <c r="BQ3" i="3" l="1"/>
  <c r="BQ6" i="3"/>
  <c r="BQ5" i="3"/>
  <c r="BQ4" i="3"/>
  <c r="BS2" i="3"/>
  <c r="BR5" i="3" a="1"/>
  <c r="BR6" i="3" a="1"/>
  <c r="BR3" i="3" a="1"/>
  <c r="BR4" i="3" a="1"/>
  <c r="BR3" i="3" l="1"/>
  <c r="BR4" i="3"/>
  <c r="BR6" i="3"/>
  <c r="BR5" i="3"/>
  <c r="BT2" i="3"/>
  <c r="BS3" i="3" a="1"/>
  <c r="BS5" i="3" a="1"/>
  <c r="BS6" i="3" a="1"/>
  <c r="BS4" i="3" a="1"/>
  <c r="BS4" i="3" l="1"/>
  <c r="BS5" i="3"/>
  <c r="BS6" i="3"/>
  <c r="BS3" i="3"/>
  <c r="BU2" i="3"/>
  <c r="BT5" i="3" a="1"/>
  <c r="BT4" i="3" a="1"/>
  <c r="BT3" i="3" a="1"/>
  <c r="BT6" i="3" a="1"/>
  <c r="BT4" i="3" l="1"/>
  <c r="BT6" i="3"/>
  <c r="BT3" i="3"/>
  <c r="BT5" i="3"/>
  <c r="BV2" i="3"/>
  <c r="BU6" i="3" a="1"/>
  <c r="BU5" i="3" a="1"/>
  <c r="BU4" i="3" a="1"/>
  <c r="BU3" i="3" a="1"/>
  <c r="BU3" i="3" l="1"/>
  <c r="BU4" i="3"/>
  <c r="BU6" i="3"/>
  <c r="BU5" i="3"/>
  <c r="BW2" i="3"/>
  <c r="BV3" i="3" a="1"/>
  <c r="BV6" i="3" a="1"/>
  <c r="BV5" i="3" a="1"/>
  <c r="BV4" i="3" a="1"/>
  <c r="BV4" i="3" l="1"/>
  <c r="BV6" i="3"/>
  <c r="BV3" i="3"/>
  <c r="BV5" i="3"/>
  <c r="BX2" i="3"/>
  <c r="BW5" i="3" a="1"/>
  <c r="BW3" i="3" a="1"/>
  <c r="BW4" i="3" a="1"/>
  <c r="BW6" i="3" a="1"/>
  <c r="BW6" i="3" l="1"/>
  <c r="BW3" i="3"/>
  <c r="BW5" i="3"/>
  <c r="BW4" i="3"/>
  <c r="BX5" i="3" a="1"/>
  <c r="BX3" i="3" a="1"/>
  <c r="BX4" i="3" a="1"/>
  <c r="BX6" i="3" a="1"/>
  <c r="BX4" i="3" l="1"/>
  <c r="BX3" i="3"/>
  <c r="BX6" i="3"/>
  <c r="BX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<sst xmlns="http://schemas.openxmlformats.org/spreadsheetml/2006/main" count="2321" uniqueCount="920">
  <si>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</si>
  <si>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</si>
  <si>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</si>
  <si>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</si>
  <si>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</si>
  <si>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</si>
  <si>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</si>
  <si>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</si>
  <si>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</si>
  <si>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</si>
  <si>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</si>
  <si>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</si>
  <si>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</si>
  <si>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</si>
  <si>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</si>
  <si>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</si>
  <si>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</si>
  <si>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</si>
  <si>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</si>
  <si>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</si>
  <si>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</si>
  <si>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</si>
  <si>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</si>
  <si>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</si>
  <si>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</si>
  <si>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</si>
  <si>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</si>
  <si>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</si>
  <si>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</si>
  <si>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</si>
  <si>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</si>
  <si>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</si>
  <si>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</si>
  <si>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</si>
  <si>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</si>
  <si>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</si>
  <si>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</si>
  <si>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</si>
  <si>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</si>
  <si>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</si>
  <si>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</si>
  <si>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</si>
  <si>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</si>
  <si>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</si>
  <si>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</si>
  <si>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</si>
  <si>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</si>
  <si>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</si>
  <si>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</si>
  <si>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</si>
  <si>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</si>
  <si>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</si>
  <si>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</si>
  <si>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</si>
  <si>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</si>
  <si>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</si>
  <si>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</si>
  <si>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</si>
  <si>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</si>
  <si>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</si>
  <si>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</si>
  <si>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</si>
  <si>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</si>
  <si>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</si>
  <si>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</si>
  <si>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</si>
  <si>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</si>
  <si>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</si>
  <si>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</si>
  <si>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</si>
  <si>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</si>
  <si>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</si>
  <si>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</si>
  <si>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</si>
  <si>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</si>
  <si>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</si>
  <si>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</si>
  <si>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</si>
  <si>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</si>
  <si>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</si>
  <si>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</si>
  <si>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</si>
  <si>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</si>
  <si>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</si>
  <si>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</si>
  <si>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</si>
  <si>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</si>
  <si>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</si>
  <si>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</si>
  <si>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</si>
  <si>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</si>
  <si>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</si>
  <si>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</si>
  <si>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</si>
  <si>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</si>
  <si>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</si>
  <si>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</si>
  <si>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</si>
  <si>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</si>
  <si>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</si>
  <si>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</si>
  <si>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</si>
  <si>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</si>
  <si>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</si>
  <si>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</si>
  <si>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</si>
  <si>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</si>
  <si>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</si>
  <si>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</si>
  <si>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</si>
  <si>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</si>
  <si>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</si>
  <si>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</si>
  <si>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</si>
  <si>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</si>
  <si>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</si>
  <si>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</si>
  <si>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</si>
  <si>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</si>
  <si>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</si>
  <si>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</si>
  <si>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</si>
  <si>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</si>
  <si>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</si>
  <si>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</si>
  <si>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</si>
  <si>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</si>
  <si>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</si>
  <si>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</si>
  <si>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</si>
  <si>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</si>
  <si>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</si>
  <si>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</si>
  <si>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</si>
  <si>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</si>
  <si>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</si>
  <si>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</si>
  <si>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</si>
  <si>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</si>
  <si>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</si>
  <si>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</si>
  <si>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</si>
  <si>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</si>
  <si>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</si>
  <si>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</si>
  <si>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</si>
  <si>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</si>
  <si>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</si>
  <si>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</si>
  <si>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</si>
  <si>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</si>
  <si>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</si>
  <si>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</si>
  <si>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</si>
  <si>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</si>
  <si>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</si>
  <si>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</si>
  <si>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</si>
  <si>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</si>
  <si>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</si>
  <si>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</si>
  <si>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</si>
  <si>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</si>
  <si>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</si>
  <si>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</si>
  <si>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</si>
  <si>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</si>
  <si>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</si>
  <si>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</si>
  <si>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</si>
  <si>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</si>
  <si>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</si>
  <si>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</si>
  <si>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</si>
  <si>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</si>
  <si>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</si>
  <si>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</si>
  <si>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</si>
  <si>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</si>
  <si>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</si>
  <si>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</si>
  <si>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</si>
  <si>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</si>
  <si>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</si>
  <si>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</si>
  <si>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</si>
  <si>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</si>
  <si>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</si>
  <si>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</si>
  <si>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</si>
  <si>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</si>
  <si>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</si>
  <si>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</si>
  <si>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</si>
  <si>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</si>
  <si>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</si>
  <si>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</si>
  <si>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</si>
  <si>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</si>
  <si>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</si>
  <si>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</si>
  <si>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</si>
  <si>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</si>
  <si>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</si>
  <si>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</si>
  <si>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</si>
  <si>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</si>
  <si>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</si>
  <si>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</si>
  <si>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</si>
  <si>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</si>
  <si>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</si>
  <si>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</si>
  <si>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</si>
  <si>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</si>
  <si>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</si>
  <si>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</si>
  <si>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</si>
  <si>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</si>
  <si>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</si>
  <si>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</si>
  <si>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</si>
  <si>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</si>
  <si>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</si>
  <si>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</si>
  <si>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</si>
  <si>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</si>
  <si>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</si>
  <si>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</si>
  <si>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</si>
  <si>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</si>
  <si>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</si>
  <si>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</si>
  <si>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</si>
  <si>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</si>
  <si>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</si>
  <si>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</si>
  <si>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</si>
  <si>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</si>
  <si>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</si>
  <si>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</si>
  <si>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</si>
  <si>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</si>
  <si>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</si>
  <si>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</si>
  <si>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</si>
  <si>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</si>
  <si>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</si>
  <si>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</si>
  <si>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</si>
  <si>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</si>
  <si>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</si>
  <si>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</si>
  <si>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</si>
  <si>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</si>
  <si>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</si>
  <si>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</si>
  <si>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</si>
  <si>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</si>
  <si>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</si>
  <si>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</si>
  <si>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</si>
  <si>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</si>
  <si>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</si>
  <si>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</si>
  <si>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</si>
  <si>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</si>
  <si>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</si>
  <si>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</si>
  <si>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</si>
  <si>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</si>
  <si>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</si>
  <si>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</si>
  <si>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</si>
  <si>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</si>
  <si>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</si>
  <si>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</si>
  <si>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</si>
  <si>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</si>
  <si>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</si>
  <si>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</si>
  <si>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</si>
  <si>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</si>
  <si>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</si>
  <si>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ㄒ</t>
  </si>
  <si>
    <t>韻母</t>
    <phoneticPr fontId="9" type="noConversion"/>
  </si>
  <si>
    <t>C</t>
    <phoneticPr fontId="9" type="noConversion"/>
  </si>
  <si>
    <t>c</t>
    <phoneticPr fontId="9" type="noConversion"/>
  </si>
  <si>
    <t>uai</t>
  </si>
  <si>
    <t>uI</t>
  </si>
  <si>
    <t>ㄨㄞㆷ</t>
  </si>
  <si>
    <t>ㄨㄞ</t>
  </si>
  <si>
    <t>ue</t>
  </si>
  <si>
    <t>ㄨㆤㆷ</t>
    <phoneticPr fontId="9" type="noConversion"/>
  </si>
  <si>
    <t>ㄨㆤ</t>
    <phoneticPr fontId="9" type="noConversion"/>
  </si>
  <si>
    <t>ua</t>
  </si>
  <si>
    <t>ㄨㄚㆷ</t>
  </si>
  <si>
    <t>ㄨㄚ</t>
  </si>
  <si>
    <t>ui</t>
  </si>
  <si>
    <t>ㄨㄧㆷ</t>
  </si>
  <si>
    <t>ㄨㄧ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</si>
  <si>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</si>
  <si>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</si>
  <si>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</si>
  <si>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</si>
  <si>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</si>
  <si>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</si>
  <si>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</si>
  <si>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</si>
  <si>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</si>
  <si>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</si>
  <si>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</si>
  <si>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</si>
  <si>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</si>
  <si>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</si>
  <si>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</si>
  <si>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</si>
  <si>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</si>
  <si>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</si>
  <si>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</si>
  <si>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</si>
  <si>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</si>
  <si>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</si>
  <si>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</si>
  <si>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</si>
  <si>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</si>
  <si>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</si>
  <si>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</si>
  <si>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</si>
  <si>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</si>
  <si>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</si>
  <si>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</si>
  <si>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</si>
  <si>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</si>
  <si>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</si>
  <si>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</si>
  <si>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</si>
  <si>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</si>
  <si>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</si>
  <si>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</si>
  <si>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</si>
  <si>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</si>
  <si>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</si>
  <si>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</si>
  <si>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</si>
  <si>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</si>
  <si>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</si>
  <si>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</si>
  <si>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</si>
  <si>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</si>
  <si>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</si>
  <si>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</si>
  <si>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</si>
  <si>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</si>
  <si>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</si>
  <si>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</si>
  <si>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</si>
  <si>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</si>
  <si>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</si>
  <si>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</si>
  <si>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</si>
  <si>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</si>
  <si>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</si>
  <si>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</si>
  <si>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</si>
  <si>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</si>
  <si>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</si>
  <si>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</si>
  <si>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</si>
  <si>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</si>
  <si>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y</t>
    <phoneticPr fontId="9" type="noConversion"/>
  </si>
  <si>
    <t>h</t>
    <phoneticPr fontId="9" type="noConversion"/>
  </si>
  <si>
    <t>n</t>
    <phoneticPr fontId="9" type="noConversion"/>
  </si>
  <si>
    <t>b</t>
    <phoneticPr fontId="9" type="noConversion"/>
  </si>
  <si>
    <t>Y</t>
    <phoneticPr fontId="9" type="noConversion"/>
  </si>
  <si>
    <t>H</t>
    <phoneticPr fontId="9" type="noConversion"/>
  </si>
  <si>
    <t>B</t>
    <phoneticPr fontId="9" type="noConversion"/>
  </si>
  <si>
    <t>N</t>
    <phoneticPr fontId="9" type="noConversion"/>
  </si>
  <si>
    <t>alphabet</t>
    <phoneticPr fontId="9" type="noConversion"/>
  </si>
  <si>
    <t>使用之注音符號</t>
    <phoneticPr fontId="9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</si>
  <si>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9" type="noConversion"/>
  </si>
  <si>
    <t>篩選</t>
    <phoneticPr fontId="9" type="noConversion"/>
  </si>
  <si>
    <t>finals</t>
    <phoneticPr fontId="9" type="noConversion"/>
  </si>
  <si>
    <t>拼音字母</t>
    <phoneticPr fontId="16" type="noConversion"/>
  </si>
  <si>
    <t>國際音標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</si>
  <si>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</si>
  <si>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</si>
  <si>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</si>
  <si>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</si>
  <si>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</si>
  <si>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</si>
  <si>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字典編碼對映按鍵字元</t>
    <phoneticPr fontId="9" type="noConversion"/>
  </si>
  <si>
    <t>ph</t>
  </si>
  <si>
    <t>[pʰ]</t>
  </si>
  <si>
    <t>!</t>
  </si>
  <si>
    <t>ㄅㄏ</t>
  </si>
  <si>
    <t>q</t>
    <phoneticPr fontId="9" type="noConversion"/>
  </si>
  <si>
    <t>Q</t>
    <phoneticPr fontId="9" type="noConversion"/>
  </si>
  <si>
    <t>[m]</t>
  </si>
  <si>
    <t>ㄆ</t>
    <phoneticPr fontId="9" type="noConversion"/>
  </si>
  <si>
    <t>P</t>
  </si>
  <si>
    <t>A</t>
    <phoneticPr fontId="9" type="noConversion"/>
  </si>
  <si>
    <t>[b]</t>
  </si>
  <si>
    <t>[t]</t>
  </si>
  <si>
    <t>@</t>
    <phoneticPr fontId="9" type="noConversion"/>
  </si>
  <si>
    <t>按鍵字元對映注音符號</t>
    <phoneticPr fontId="9" type="noConversion"/>
  </si>
  <si>
    <t>[tʰ]</t>
  </si>
  <si>
    <t>ㄊ</t>
    <phoneticPr fontId="9" type="noConversion"/>
  </si>
  <si>
    <t>T</t>
  </si>
  <si>
    <t>w</t>
    <phoneticPr fontId="9" type="noConversion"/>
  </si>
  <si>
    <t>W</t>
    <phoneticPr fontId="9" type="noConversion"/>
  </si>
  <si>
    <t>[n]</t>
  </si>
  <si>
    <t>[l]</t>
  </si>
  <si>
    <t>x</t>
    <phoneticPr fontId="9" type="noConversion"/>
  </si>
  <si>
    <t>X</t>
    <phoneticPr fontId="9" type="noConversion"/>
  </si>
  <si>
    <t>[k]</t>
  </si>
  <si>
    <t>#</t>
    <phoneticPr fontId="9" type="noConversion"/>
  </si>
  <si>
    <t>字典編碼對映注音符號</t>
    <phoneticPr fontId="9" type="noConversion"/>
  </si>
  <si>
    <t>kh</t>
  </si>
  <si>
    <t>[kʰ]</t>
  </si>
  <si>
    <t>ㄍㄏ</t>
  </si>
  <si>
    <t>E</t>
    <phoneticPr fontId="9" type="noConversion"/>
  </si>
  <si>
    <t>h</t>
  </si>
  <si>
    <t>[h]</t>
  </si>
  <si>
    <t>ㄎ</t>
    <phoneticPr fontId="9" type="noConversion"/>
  </si>
  <si>
    <t>K</t>
  </si>
  <si>
    <t>D</t>
    <phoneticPr fontId="9" type="noConversion"/>
  </si>
  <si>
    <t>ci</t>
  </si>
  <si>
    <t>[t͡ɕ]</t>
  </si>
  <si>
    <t>?</t>
  </si>
  <si>
    <t>chi</t>
  </si>
  <si>
    <t>[t͡ɕʰ]</t>
  </si>
  <si>
    <t>$</t>
    <phoneticPr fontId="9" type="noConversion"/>
  </si>
  <si>
    <t>si</t>
  </si>
  <si>
    <t>[ɕ]</t>
  </si>
  <si>
    <t>r</t>
    <phoneticPr fontId="9" type="noConversion"/>
  </si>
  <si>
    <t>R</t>
    <phoneticPr fontId="9" type="noConversion"/>
  </si>
  <si>
    <t>[g]</t>
  </si>
  <si>
    <t>f</t>
    <phoneticPr fontId="9" type="noConversion"/>
  </si>
  <si>
    <t>F</t>
    <phoneticPr fontId="9" type="noConversion"/>
  </si>
  <si>
    <t>[ŋ]</t>
  </si>
  <si>
    <t>ㄖ</t>
    <phoneticPr fontId="9" type="noConversion"/>
  </si>
  <si>
    <t>ㆡ</t>
    <phoneticPr fontId="9" type="noConversion"/>
  </si>
  <si>
    <t>v</t>
    <phoneticPr fontId="9" type="noConversion"/>
  </si>
  <si>
    <t>V</t>
    <phoneticPr fontId="9" type="noConversion"/>
  </si>
  <si>
    <t>ji</t>
  </si>
  <si>
    <t>[d͡ʑ]</t>
  </si>
  <si>
    <t>Y</t>
  </si>
  <si>
    <t>ㄐ</t>
    <phoneticPr fontId="9" type="noConversion"/>
  </si>
  <si>
    <t>Z</t>
  </si>
  <si>
    <t>zi-</t>
    <phoneticPr fontId="9" type="noConversion"/>
  </si>
  <si>
    <t>ㄗㄧ</t>
  </si>
  <si>
    <t>%</t>
    <phoneticPr fontId="9" type="noConversion"/>
  </si>
  <si>
    <t>[d͡z]</t>
  </si>
  <si>
    <t>H</t>
  </si>
  <si>
    <t>ㄑ</t>
    <phoneticPr fontId="9" type="noConversion"/>
  </si>
  <si>
    <t>C</t>
  </si>
  <si>
    <t>ci-</t>
    <phoneticPr fontId="9" type="noConversion"/>
  </si>
  <si>
    <t>ㄘㄧ</t>
  </si>
  <si>
    <t>[t͡s]</t>
  </si>
  <si>
    <t>S</t>
  </si>
  <si>
    <t>si-</t>
  </si>
  <si>
    <t>ㄙㄧ</t>
  </si>
  <si>
    <t>ch</t>
  </si>
  <si>
    <t>[t͡sʰ]</t>
  </si>
  <si>
    <t>[s]</t>
  </si>
  <si>
    <t>ㄧ</t>
    <phoneticPr fontId="9" type="noConversion"/>
  </si>
  <si>
    <t>^</t>
    <phoneticPr fontId="9" type="noConversion"/>
  </si>
  <si>
    <t>[i]</t>
  </si>
  <si>
    <t>[u]</t>
  </si>
  <si>
    <t>[m̩]</t>
  </si>
  <si>
    <t>[a]</t>
  </si>
  <si>
    <t>&amp;</t>
    <phoneticPr fontId="9" type="noConversion"/>
  </si>
  <si>
    <t>ㄜ</t>
  </si>
  <si>
    <t>[ɔ]</t>
  </si>
  <si>
    <t>[ə]</t>
  </si>
  <si>
    <t>,</t>
    <phoneticPr fontId="9" type="noConversion"/>
  </si>
  <si>
    <t>ㄝ</t>
    <phoneticPr fontId="9" type="noConversion"/>
  </si>
  <si>
    <t>ㆤ</t>
    <phoneticPr fontId="9" type="noConversion"/>
  </si>
  <si>
    <t>[ai]</t>
  </si>
  <si>
    <t>ㄥㄝ</t>
    <phoneticPr fontId="9" type="noConversion"/>
  </si>
  <si>
    <t>M</t>
    <phoneticPr fontId="9" type="noConversion"/>
  </si>
  <si>
    <t>[e]</t>
  </si>
  <si>
    <t>ㄛ</t>
  </si>
  <si>
    <t>*</t>
    <phoneticPr fontId="9" type="noConversion"/>
  </si>
  <si>
    <t>[au]</t>
  </si>
  <si>
    <t>Noo</t>
    <phoneticPr fontId="9" type="noConversion"/>
  </si>
  <si>
    <t>[ɔŋ]</t>
  </si>
  <si>
    <t>[an]</t>
  </si>
  <si>
    <t>-n</t>
  </si>
  <si>
    <t>[ən]</t>
  </si>
  <si>
    <t>(</t>
    <phoneticPr fontId="9" type="noConversion"/>
  </si>
  <si>
    <t>[aŋ]</t>
  </si>
  <si>
    <t>Nai</t>
    <phoneticPr fontId="9" type="noConversion"/>
  </si>
  <si>
    <t>-ng</t>
  </si>
  <si>
    <t>[əŋ]</t>
  </si>
  <si>
    <t>l</t>
    <phoneticPr fontId="9" type="noConversion"/>
  </si>
  <si>
    <t>L</t>
    <phoneticPr fontId="9" type="noConversion"/>
  </si>
  <si>
    <t>[ŋ̍]</t>
  </si>
  <si>
    <t>Nau</t>
    <phoneticPr fontId="9" type="noConversion"/>
  </si>
  <si>
    <t>.</t>
    <phoneticPr fontId="9" type="noConversion"/>
  </si>
  <si>
    <t>[am]</t>
  </si>
  <si>
    <t>ㄛㄇ</t>
  </si>
  <si>
    <t>}</t>
    <phoneticPr fontId="9" type="noConversion"/>
  </si>
  <si>
    <t>)</t>
    <phoneticPr fontId="9" type="noConversion"/>
  </si>
  <si>
    <t>[ɔm]</t>
  </si>
  <si>
    <t>ㄚㄇ</t>
  </si>
  <si>
    <t>{</t>
    <phoneticPr fontId="9" type="noConversion"/>
  </si>
  <si>
    <t>[ã]</t>
  </si>
  <si>
    <t>:</t>
    <phoneticPr fontId="9" type="noConversion"/>
  </si>
  <si>
    <t>ㄛㄥ</t>
  </si>
  <si>
    <t>]</t>
    <phoneticPr fontId="9" type="noConversion"/>
  </si>
  <si>
    <t>;</t>
    <phoneticPr fontId="9" type="noConversion"/>
  </si>
  <si>
    <t>inn</t>
  </si>
  <si>
    <t>[ĩ]</t>
  </si>
  <si>
    <t>[</t>
    <phoneticPr fontId="9" type="noConversion"/>
  </si>
  <si>
    <t>/</t>
    <phoneticPr fontId="9" type="noConversion"/>
  </si>
  <si>
    <t>?</t>
    <phoneticPr fontId="9" type="noConversion"/>
  </si>
  <si>
    <t>unn</t>
  </si>
  <si>
    <t>[ũ]</t>
  </si>
  <si>
    <t>ㄦ</t>
    <phoneticPr fontId="9" type="noConversion"/>
  </si>
  <si>
    <t>ㆨ</t>
    <phoneticPr fontId="9" type="noConversion"/>
  </si>
  <si>
    <t>ir</t>
  </si>
  <si>
    <t>_</t>
    <phoneticPr fontId="9" type="noConversion"/>
  </si>
  <si>
    <t>[ẽ]</t>
  </si>
  <si>
    <t>M</t>
  </si>
  <si>
    <t>'</t>
    <phoneticPr fontId="9" type="noConversion"/>
  </si>
  <si>
    <t>"</t>
    <phoneticPr fontId="9" type="noConversion"/>
  </si>
  <si>
    <t>=</t>
    <phoneticPr fontId="9" type="noConversion"/>
  </si>
  <si>
    <t>+</t>
    <phoneticPr fontId="9" type="noConversion"/>
  </si>
  <si>
    <t>．</t>
  </si>
  <si>
    <t>ˉ</t>
    <phoneticPr fontId="9" type="noConversion"/>
  </si>
  <si>
    <t>ˉ</t>
  </si>
  <si>
    <t>\</t>
    <phoneticPr fontId="9" type="noConversion"/>
  </si>
  <si>
    <t>|</t>
    <phoneticPr fontId="9" type="noConversion"/>
  </si>
  <si>
    <t>ˇ</t>
    <phoneticPr fontId="9" type="noConversion"/>
  </si>
  <si>
    <t>ˊ</t>
    <phoneticPr fontId="9" type="noConversion"/>
  </si>
  <si>
    <t>ˇ</t>
  </si>
  <si>
    <t>ㄪ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</si>
  <si>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</si>
  <si>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</si>
  <si>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</si>
  <si>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</si>
  <si>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</si>
  <si>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</si>
  <si>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</si>
  <si>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</si>
  <si>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</si>
  <si>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</si>
  <si>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</si>
  <si>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</si>
  <si>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</si>
  <si>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</si>
  <si>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</si>
  <si>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</si>
  <si>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</si>
  <si>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</si>
  <si>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</si>
  <si>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</si>
  <si>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</si>
  <si>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</si>
  <si>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</si>
  <si>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</si>
  <si>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</si>
  <si>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</si>
  <si>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</si>
  <si>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</si>
  <si>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</si>
  <si>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</si>
  <si>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</si>
  <si>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</si>
  <si>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</si>
  <si>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</si>
  <si>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</si>
  <si>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</si>
  <si>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</si>
  <si>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</si>
  <si>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</si>
  <si>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</si>
  <si>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</si>
  <si>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</si>
  <si>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ji-</t>
    <phoneticPr fontId="9" type="noConversion"/>
  </si>
  <si>
    <t>ㆡㄧ</t>
    <phoneticPr fontId="9" type="noConversion"/>
  </si>
  <si>
    <t>注音編碼</t>
    <phoneticPr fontId="9" type="noConversion"/>
  </si>
  <si>
    <t>按鍵位置</t>
    <phoneticPr fontId="9" type="noConversion"/>
  </si>
  <si>
    <t>注音編碼與鍵盤按鍵對映</t>
    <phoneticPr fontId="9" type="noConversion"/>
  </si>
  <si>
    <t>鍵盤按與與注音符號對映 (preededit_format)</t>
    <phoneticPr fontId="9" type="noConversion"/>
  </si>
  <si>
    <t>注音編碼與注音符號對映 (comment_format)</t>
    <phoneticPr fontId="9" type="noConversion"/>
  </si>
  <si>
    <t>y</t>
  </si>
  <si>
    <t>8</t>
  </si>
  <si>
    <t>（空白）</t>
    <phoneticPr fontId="9" type="noConversion"/>
  </si>
  <si>
    <t>ㆨ</t>
  </si>
  <si>
    <t>ｎ</t>
  </si>
  <si>
    <t>ㆢ</t>
    <phoneticPr fontId="9" type="noConversion"/>
  </si>
  <si>
    <t>.</t>
  </si>
  <si>
    <t>ㆧ</t>
    <phoneticPr fontId="9" type="noConversion"/>
  </si>
  <si>
    <t>&lt;</t>
    <phoneticPr fontId="9" type="noConversion"/>
  </si>
  <si>
    <t>ng-</t>
    <phoneticPr fontId="9" type="noConversion"/>
  </si>
  <si>
    <t>ir</t>
    <phoneticPr fontId="9" type="noConversion"/>
  </si>
  <si>
    <t>-nn</t>
    <phoneticPr fontId="9" type="noConversion"/>
  </si>
  <si>
    <t>f</t>
  </si>
  <si>
    <t>v</t>
  </si>
  <si>
    <t>音標字母</t>
    <phoneticPr fontId="9" type="noConversion"/>
  </si>
  <si>
    <t>th</t>
    <phoneticPr fontId="9" type="noConversion"/>
  </si>
  <si>
    <t>si-</t>
    <phoneticPr fontId="9" type="noConversion"/>
  </si>
  <si>
    <t>-m</t>
  </si>
  <si>
    <t>[48]</t>
  </si>
  <si>
    <t>[48]</t>
    <phoneticPr fontId="9" type="noConversion"/>
  </si>
  <si>
    <t>n-</t>
    <phoneticPr fontId="9" type="noConversion"/>
  </si>
  <si>
    <t>A</t>
  </si>
  <si>
    <t>ng-</t>
  </si>
  <si>
    <t>@</t>
  </si>
  <si>
    <t>]</t>
  </si>
  <si>
    <t>}</t>
  </si>
  <si>
    <t>{</t>
  </si>
  <si>
    <t>-nn</t>
  </si>
  <si>
    <t>使用按鍵設定</t>
    <phoneticPr fontId="9" type="noConversion"/>
  </si>
  <si>
    <t>左邊界</t>
    <phoneticPr fontId="9" type="noConversion"/>
  </si>
  <si>
    <t>起始位置</t>
    <phoneticPr fontId="9" type="noConversion"/>
  </si>
  <si>
    <t>終止位置</t>
    <phoneticPr fontId="9" type="noConversion"/>
  </si>
  <si>
    <t>萃取字串</t>
    <phoneticPr fontId="9" type="noConversion"/>
  </si>
  <si>
    <t>字串長度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</si>
  <si>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</si>
  <si>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</si>
  <si>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</si>
  <si>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</si>
  <si>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</si>
  <si>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</si>
  <si>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</si>
  <si>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</si>
  <si>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speller</t>
    <phoneticPr fontId="16" type="noConversion"/>
  </si>
  <si>
    <t>ㄫ</t>
    <phoneticPr fontId="9" type="noConversion"/>
  </si>
  <si>
    <t>ㄥ</t>
    <phoneticPr fontId="9" type="noConversion"/>
  </si>
  <si>
    <t>（空白）</t>
    <phoneticPr fontId="9" type="noConversion"/>
  </si>
  <si>
    <t>ㆷ</t>
    <phoneticPr fontId="9" type="noConversion"/>
  </si>
  <si>
    <t>xlit|pbPmtTnlkgKhzcsjZCSwiuMaOoeyxB@N[WRIUAQEYX}{]123570|1!qa2wsxeEdcyhnbYHN?ujm8ik,9l.0p;/-UJ*I&lt;(LOA: 43657|</t>
    <phoneticPr fontId="9" type="noConversion"/>
  </si>
  <si>
    <r>
      <t>xlit|1!qa2wsxeEdcyhnbYHN?ujm8ik,9l.0p;/-UJ*I&lt;(LOA:43657|</t>
    </r>
    <r>
      <rPr>
        <b/>
        <sz val="12"/>
        <color rgb="FFFF0000"/>
        <rFont val="Microsoft JhengHei"/>
        <family val="2"/>
      </rPr>
      <t>ㄅㄆㄇㄉㄊㄋㄌㄍㄎㄏㄗㄘㄙㄖㄐㄑㄒㄥㄧㄨㄇㄚ</t>
    </r>
    <r>
      <rPr>
        <b/>
        <sz val="12"/>
        <color rgb="FFFF0000"/>
        <rFont val="Microsoft JhengHei"/>
        <family val="2"/>
        <charset val="136"/>
      </rPr>
      <t>ㆦ</t>
    </r>
    <r>
      <rPr>
        <b/>
        <sz val="12"/>
        <color rgb="FFFF0000"/>
        <rFont val="Microsoft JhengHei"/>
        <family val="2"/>
      </rPr>
      <t>ㄜㄝㄞㄠ</t>
    </r>
    <r>
      <rPr>
        <b/>
        <sz val="12"/>
        <color rgb="FFFF0000"/>
        <rFont val="Microsoft JhengHei"/>
        <family val="2"/>
        <charset val="136"/>
      </rPr>
      <t>ｎ</t>
    </r>
    <r>
      <rPr>
        <b/>
        <sz val="12"/>
        <color rgb="FFFF0000"/>
        <rFont val="Microsoft JhengHei"/>
        <family val="2"/>
      </rPr>
      <t>ㄢㄣㄤㄥㄦ</t>
    </r>
    <r>
      <rPr>
        <b/>
        <sz val="12"/>
        <color rgb="FFFF0000"/>
        <rFont val="Microsoft JhengHei"/>
        <family val="2"/>
        <charset val="136"/>
      </rPr>
      <t>ㆪㆫㆩㆧㆥㆮㆯㆱㆰㆲˋ</t>
    </r>
    <r>
      <rPr>
        <b/>
        <sz val="12"/>
        <color rgb="FFFF0000"/>
        <rFont val="Arial"/>
        <family val="2"/>
      </rPr>
      <t>'ˇ\"˙|</t>
    </r>
    <phoneticPr fontId="9" type="noConversion"/>
  </si>
  <si>
    <t>台羅調號</t>
    <phoneticPr fontId="9" type="noConversion"/>
  </si>
  <si>
    <t>台語音標</t>
    <phoneticPr fontId="16" type="noConversion"/>
  </si>
  <si>
    <t>方音符號</t>
    <phoneticPr fontId="9" type="noConversion"/>
  </si>
  <si>
    <t>注音符號</t>
    <phoneticPr fontId="9" type="noConversion"/>
  </si>
  <si>
    <t>z</t>
    <phoneticPr fontId="9" type="noConversion"/>
  </si>
  <si>
    <t>U+F8D0</t>
    <phoneticPr fontId="9" type="noConversion"/>
  </si>
  <si>
    <t>U+F8D1</t>
  </si>
  <si>
    <t>U+F8D2</t>
  </si>
  <si>
    <t>U+F8D3</t>
  </si>
  <si>
    <t>U+F8E0</t>
    <phoneticPr fontId="9" type="noConversion"/>
  </si>
  <si>
    <t>U+F8E1</t>
  </si>
  <si>
    <t>U+F8F0</t>
    <phoneticPr fontId="9" type="noConversion"/>
  </si>
  <si>
    <t>U+F8F1</t>
  </si>
  <si>
    <t>U+F8F2</t>
  </si>
  <si>
    <t>U+F8F3</t>
  </si>
  <si>
    <t>alphabet: '1!qa2wsxeEdcbyhnBYHN?ujm8ik,9l.0p;:/-OAUJ*I&lt;(L 43657'</t>
    <phoneticPr fontId="9" type="noConversion"/>
  </si>
  <si>
    <t>ㄯ</t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</si>
  <si>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</si>
  <si>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</si>
  <si>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</si>
  <si>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</si>
  <si>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</si>
  <si>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</si>
  <si>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</si>
  <si>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</si>
  <si>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</si>
  <si>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</si>
  <si>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</si>
  <si>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</si>
  <si>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</si>
  <si>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</si>
  <si>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</si>
  <si>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</si>
  <si>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</si>
  <si>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</si>
  <si>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</si>
  <si>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</si>
  <si>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</si>
  <si>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</si>
  <si>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</si>
  <si>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</si>
  <si>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</si>
  <si>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</si>
  <si>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</si>
  <si>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</si>
  <si>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</si>
  <si>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</si>
  <si>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</si>
  <si>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</si>
  <si>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</si>
  <si>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</si>
  <si>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9" type="noConversion"/>
  </si>
  <si>
    <t>韻母</t>
  </si>
  <si>
    <t>韻腹</t>
  </si>
  <si>
    <t>ə</t>
  </si>
  <si>
    <t>m̩</t>
  </si>
  <si>
    <t>陰聲韻</t>
  </si>
  <si>
    <t>ㄧㆦ</t>
  </si>
  <si>
    <t>ㄨㆤ</t>
  </si>
  <si>
    <t>鼻化韻</t>
  </si>
  <si>
    <t>ㄧㆬ</t>
  </si>
  <si>
    <t>ㄧㆰ</t>
  </si>
  <si>
    <t>-ŋ</t>
    <phoneticPr fontId="9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</si>
  <si>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</si>
  <si>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</si>
  <si>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</si>
  <si>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9" type="noConversion"/>
  </si>
  <si>
    <t>塞音
(送氣)</t>
    <phoneticPr fontId="9" type="noConversion"/>
  </si>
  <si>
    <t>國際音標</t>
    <phoneticPr fontId="9" type="noConversion"/>
  </si>
  <si>
    <t>p</t>
    <phoneticPr fontId="9" type="noConversion"/>
  </si>
  <si>
    <t>m</t>
    <phoneticPr fontId="9" type="noConversion"/>
  </si>
  <si>
    <t>b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</si>
  <si>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</si>
  <si>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</si>
  <si>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</si>
  <si>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ʦʰ</t>
    <phoneticPr fontId="9" type="noConversion"/>
  </si>
  <si>
    <t>ts</t>
    <phoneticPr fontId="9" type="noConversion"/>
  </si>
  <si>
    <t>ʣ</t>
    <phoneticPr fontId="9" type="noConversion"/>
  </si>
  <si>
    <t>s</t>
    <phoneticPr fontId="9" type="noConversion"/>
  </si>
  <si>
    <t>ʨ</t>
    <phoneticPr fontId="9" type="noConversion"/>
  </si>
  <si>
    <t>ʨʰ</t>
    <phoneticPr fontId="9" type="noConversion"/>
  </si>
  <si>
    <t>ʥ</t>
    <phoneticPr fontId="9" type="noConversion"/>
  </si>
  <si>
    <t>ɕ</t>
    <phoneticPr fontId="9" type="noConversion"/>
  </si>
  <si>
    <t>k</t>
    <phoneticPr fontId="9" type="noConversion"/>
  </si>
  <si>
    <t>g</t>
    <phoneticPr fontId="9" type="noConversion"/>
  </si>
  <si>
    <t>h</t>
    <phoneticPr fontId="9" type="noConversion"/>
  </si>
  <si>
    <t>pʰ</t>
    <phoneticPr fontId="9" type="noConversion"/>
  </si>
  <si>
    <t>tʰ</t>
    <phoneticPr fontId="9" type="noConversion"/>
  </si>
  <si>
    <t>kʰ</t>
    <phoneticPr fontId="9" type="noConversion"/>
  </si>
  <si>
    <r>
      <rPr>
        <b/>
        <sz val="20"/>
        <color theme="8"/>
        <rFont val="芫荽 0.94"/>
        <family val="3"/>
        <charset val="136"/>
      </rPr>
      <t>ŋ</t>
    </r>
    <phoneticPr fontId="9" type="noConversion"/>
  </si>
  <si>
    <t>i</t>
    <phoneticPr fontId="9" type="noConversion"/>
  </si>
  <si>
    <t>u</t>
    <phoneticPr fontId="9" type="noConversion"/>
  </si>
  <si>
    <t>ɔ</t>
    <phoneticPr fontId="9" type="noConversion"/>
  </si>
  <si>
    <t>ə</t>
    <phoneticPr fontId="9" type="noConversion"/>
  </si>
  <si>
    <t>a</t>
    <phoneticPr fontId="9" type="noConversion"/>
  </si>
  <si>
    <t>ɛ</t>
    <phoneticPr fontId="9" type="noConversion"/>
  </si>
  <si>
    <t>ai̯</t>
    <phoneticPr fontId="9" type="noConversion"/>
  </si>
  <si>
    <t>ɑu̯</t>
    <phoneticPr fontId="9" type="noConversion"/>
  </si>
  <si>
    <t>an</t>
    <phoneticPr fontId="9" type="noConversion"/>
  </si>
  <si>
    <t>ən</t>
    <phoneticPr fontId="9" type="noConversion"/>
  </si>
  <si>
    <t>ɑŋ</t>
    <phoneticPr fontId="9" type="noConversion"/>
  </si>
  <si>
    <t>ㄜㄯ</t>
    <phoneticPr fontId="9" type="noConversion"/>
  </si>
  <si>
    <t>ㄜㆭ</t>
    <phoneticPr fontId="9" type="noConversion"/>
  </si>
  <si>
    <t>əŋ</t>
    <phoneticPr fontId="9" type="noConversion"/>
  </si>
  <si>
    <t>ũ</t>
    <phoneticPr fontId="9" type="noConversion"/>
  </si>
  <si>
    <t>ĩ</t>
    <phoneticPr fontId="9" type="noConversion"/>
  </si>
  <si>
    <t>ẽ</t>
    <phoneticPr fontId="9" type="noConversion"/>
  </si>
  <si>
    <t>e</t>
    <phoneticPr fontId="9" type="noConversion"/>
  </si>
  <si>
    <t>ã</t>
    <phoneticPr fontId="9" type="noConversion"/>
  </si>
  <si>
    <t>ɔ̃</t>
    <phoneticPr fontId="9" type="noConversion"/>
  </si>
  <si>
    <t>ou̯</t>
    <phoneticPr fontId="9" type="noConversion"/>
  </si>
  <si>
    <t>ei̯</t>
    <phoneticPr fontId="9" type="noConversion"/>
  </si>
  <si>
    <r>
      <t>a</t>
    </r>
    <r>
      <rPr>
        <sz val="20"/>
        <color rgb="FF000000"/>
        <rFont val="Times New Roman"/>
        <family val="1"/>
      </rPr>
      <t>ɪ</t>
    </r>
    <phoneticPr fontId="9" type="noConversion"/>
  </si>
  <si>
    <r>
      <t>a</t>
    </r>
    <r>
      <rPr>
        <sz val="20"/>
        <color rgb="FF000000"/>
        <rFont val="Times New Roman"/>
        <family val="1"/>
      </rPr>
      <t>ʊ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</si>
  <si>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</si>
  <si>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</si>
  <si>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ŋ</t>
    </r>
    <r>
      <rPr>
        <sz val="20"/>
        <color rgb="FF000000"/>
        <rFont val="Noto Sans"/>
        <family val="2"/>
      </rPr>
      <t>̍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</si>
  <si>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9" type="noConversion"/>
  </si>
  <si>
    <t>ㄬ</t>
    <phoneticPr fontId="9" type="noConversion"/>
  </si>
  <si>
    <t>.</t>
    <phoneticPr fontId="9" type="noConversion"/>
  </si>
  <si>
    <t>en</t>
    <phoneticPr fontId="9" type="noConversion"/>
  </si>
  <si>
    <t>ㄣ</t>
    <phoneticPr fontId="9" type="noConversion"/>
  </si>
  <si>
    <t>ɔŋ</t>
    <phoneticPr fontId="9" type="noConversion"/>
  </si>
  <si>
    <t>ãĩ</t>
    <phoneticPr fontId="9" type="noConversion"/>
  </si>
  <si>
    <t>ãũ</t>
    <phoneticPr fontId="9" type="noConversion"/>
  </si>
  <si>
    <t>am</t>
    <phoneticPr fontId="9" type="noConversion"/>
  </si>
  <si>
    <t>m̩</t>
    <phoneticPr fontId="9" type="noConversion"/>
  </si>
  <si>
    <t>ŋ̍</t>
    <phoneticPr fontId="9" type="noConversion"/>
  </si>
  <si>
    <t>p̚</t>
    <phoneticPr fontId="9" type="noConversion"/>
  </si>
  <si>
    <t>t̚</t>
    <phoneticPr fontId="9" type="noConversion"/>
  </si>
  <si>
    <t>k̚</t>
    <phoneticPr fontId="9" type="noConversion"/>
  </si>
  <si>
    <t>ʔ</t>
    <phoneticPr fontId="9" type="noConversion"/>
  </si>
  <si>
    <t>ɨ</t>
    <phoneticPr fontId="9" type="noConversion"/>
  </si>
  <si>
    <t>ɲ</t>
    <phoneticPr fontId="9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</si>
  <si>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</si>
  <si>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</si>
  <si>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</si>
  <si>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</si>
  <si>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</si>
  <si>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</si>
  <si>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</si>
  <si>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</si>
  <si>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</si>
  <si>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</si>
  <si>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</si>
  <si>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</si>
  <si>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</si>
  <si>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</si>
  <si>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</si>
  <si>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</si>
  <si>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</si>
  <si>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</si>
  <si>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</si>
  <si>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</si>
  <si>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</si>
  <si>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</si>
  <si>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</si>
  <si>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</si>
  <si>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</si>
  <si>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</si>
  <si>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</si>
  <si>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</si>
  <si>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</si>
  <si>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</si>
  <si>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</si>
  <si>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</si>
  <si>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</si>
  <si>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</si>
  <si>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</si>
  <si>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</si>
  <si>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</si>
  <si>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</si>
  <si>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</si>
  <si>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</si>
  <si>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</si>
  <si>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</si>
  <si>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</si>
  <si>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</si>
  <si>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</si>
  <si>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</si>
  <si>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</si>
  <si>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</si>
  <si>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</si>
  <si>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</si>
  <si>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</si>
  <si>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</si>
  <si>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</si>
  <si>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</si>
  <si>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</si>
  <si>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</si>
  <si>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</si>
  <si>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</si>
  <si>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</si>
  <si>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</si>
  <si>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</si>
  <si>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</si>
  <si>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</si>
  <si>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</si>
  <si>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</si>
  <si>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</si>
  <si>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</si>
  <si>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</si>
  <si>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</si>
  <si>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</si>
  <si>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</si>
  <si>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</si>
  <si>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</si>
  <si>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</si>
  <si>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</si>
  <si>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</si>
  <si>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</si>
  <si>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</si>
  <si>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</si>
  <si>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</si>
  <si>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</si>
  <si>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9" type="noConversion"/>
  </si>
  <si>
    <t>注音二式</t>
    <phoneticPr fontId="9" type="noConversion"/>
  </si>
  <si>
    <t>b</t>
    <phoneticPr fontId="9" type="noConversion"/>
  </si>
  <si>
    <t>p</t>
    <phoneticPr fontId="9" type="noConversion"/>
  </si>
  <si>
    <t>bb</t>
  </si>
  <si>
    <t>bb</t>
    <phoneticPr fontId="9" type="noConversion"/>
  </si>
  <si>
    <t>m</t>
    <phoneticPr fontId="9" type="noConversion"/>
  </si>
  <si>
    <t>d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</si>
  <si>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</si>
  <si>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</si>
  <si>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</si>
  <si>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g</t>
    <phoneticPr fontId="9" type="noConversion"/>
  </si>
  <si>
    <t>k</t>
    <phoneticPr fontId="9" type="noConversion"/>
  </si>
  <si>
    <t>gg</t>
  </si>
  <si>
    <t>gg</t>
    <phoneticPr fontId="9" type="noConversion"/>
  </si>
  <si>
    <t>h</t>
    <phoneticPr fontId="9" type="noConversion"/>
  </si>
  <si>
    <t>ji</t>
    <phoneticPr fontId="9" type="noConversion"/>
  </si>
  <si>
    <t>ci</t>
    <phoneticPr fontId="9" type="noConversion"/>
  </si>
  <si>
    <t>si</t>
    <phoneticPr fontId="9" type="noConversion"/>
  </si>
  <si>
    <t>jj</t>
    <phoneticPr fontId="9" type="noConversion"/>
  </si>
  <si>
    <t>z</t>
    <phoneticPr fontId="9" type="noConversion"/>
  </si>
  <si>
    <t>c</t>
    <phoneticPr fontId="9" type="noConversion"/>
  </si>
  <si>
    <t>s</t>
    <phoneticPr fontId="9" type="noConversion"/>
  </si>
  <si>
    <t>zz</t>
  </si>
  <si>
    <t>zz</t>
    <phoneticPr fontId="9" type="noConversion"/>
  </si>
  <si>
    <t>i</t>
    <phoneticPr fontId="9" type="noConversion"/>
  </si>
  <si>
    <t>inn</t>
    <phoneticPr fontId="9" type="noConversion"/>
  </si>
  <si>
    <t>u</t>
    <phoneticPr fontId="9" type="noConversion"/>
  </si>
  <si>
    <t>unn</t>
    <phoneticPr fontId="9" type="noConversion"/>
  </si>
  <si>
    <t>oo</t>
    <phoneticPr fontId="9" type="noConversion"/>
  </si>
  <si>
    <t>oonn</t>
  </si>
  <si>
    <t>oonn</t>
    <phoneticPr fontId="9" type="noConversion"/>
  </si>
  <si>
    <t>or</t>
  </si>
  <si>
    <t>or</t>
    <phoneticPr fontId="9" type="noConversion"/>
  </si>
  <si>
    <t>a</t>
    <phoneticPr fontId="9" type="noConversion"/>
  </si>
  <si>
    <t>ann</t>
    <phoneticPr fontId="9" type="noConversion"/>
  </si>
  <si>
    <t>e</t>
    <phoneticPr fontId="9" type="noConversion"/>
  </si>
  <si>
    <t>enn</t>
    <phoneticPr fontId="9" type="noConversion"/>
  </si>
  <si>
    <t>ai</t>
    <phoneticPr fontId="9" type="noConversion"/>
  </si>
  <si>
    <t>ainn</t>
    <phoneticPr fontId="9" type="noConversion"/>
  </si>
  <si>
    <t>au</t>
    <phoneticPr fontId="9" type="noConversion"/>
  </si>
  <si>
    <t>aunn</t>
    <phoneticPr fontId="9" type="noConversion"/>
  </si>
  <si>
    <t>an</t>
    <phoneticPr fontId="9" type="noConversion"/>
  </si>
  <si>
    <t>en</t>
    <phoneticPr fontId="9" type="noConversion"/>
  </si>
  <si>
    <t>ang</t>
    <phoneticPr fontId="9" type="noConversion"/>
  </si>
  <si>
    <t>ong</t>
    <phoneticPr fontId="9" type="noConversion"/>
  </si>
  <si>
    <t>ng</t>
    <phoneticPr fontId="9" type="noConversion"/>
  </si>
  <si>
    <t>am</t>
    <phoneticPr fontId="9" type="noConversion"/>
  </si>
  <si>
    <t>om</t>
    <phoneticPr fontId="9" type="noConversion"/>
  </si>
  <si>
    <t>ir</t>
    <phoneticPr fontId="9" type="noConversion"/>
  </si>
  <si>
    <t>注音二式</t>
    <phoneticPr fontId="9" type="noConversion"/>
  </si>
  <si>
    <t>按鍵編碼</t>
    <phoneticPr fontId="9" type="noConversion"/>
  </si>
  <si>
    <t>[</t>
  </si>
  <si>
    <t>'</t>
  </si>
  <si>
    <t>\</t>
  </si>
  <si>
    <t>(i)ng</t>
    <phoneticPr fontId="9" type="noConversion"/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</si>
  <si>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9" type="noConversion"/>
  </si>
  <si>
    <t>-ing</t>
    <phoneticPr fontId="9" type="noConversion"/>
  </si>
  <si>
    <t>ʦʰi</t>
    <phoneticPr fontId="9" type="noConversion"/>
  </si>
  <si>
    <t>ʣi</t>
    <phoneticPr fontId="9" type="noConversion"/>
  </si>
  <si>
    <t>ci</t>
    <phoneticPr fontId="9" type="noConversion"/>
  </si>
  <si>
    <t>zi</t>
    <phoneticPr fontId="9" type="noConversion"/>
  </si>
  <si>
    <t>zzi</t>
    <phoneticPr fontId="9" type="noConversion"/>
  </si>
  <si>
    <t>b0</t>
    <phoneticPr fontId="9" type="noConversion"/>
  </si>
  <si>
    <t>g0</t>
    <phoneticPr fontId="9" type="noConversion"/>
  </si>
  <si>
    <t>d0</t>
    <phoneticPr fontId="9" type="noConversion"/>
  </si>
  <si>
    <t>h0</t>
    <phoneticPr fontId="9" type="noConversion"/>
  </si>
  <si>
    <t>Zi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</si>
</sst>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84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20"/>
      <color rgb="FF000000"/>
      <name val="新細明體"/>
      <family val="1"/>
      <charset val="136"/>
      <scheme val="minor"/>
    </font>
    <font>
      <sz val="18"/>
      <color rgb="FF000000"/>
      <name val="Noto Serif TC Medium"/>
      <family val="1"/>
      <charset val="136"/>
    </font>
    <font>
      <sz val="16"/>
      <name val="Microsoft JhengHei"/>
      <family val="2"/>
      <charset val="136"/>
    </font>
    <font>
      <sz val="18"/>
      <color theme="4" tint="0.39997558519241921"/>
      <name val="Arial"/>
      <family val="2"/>
    </font>
    <font>
      <sz val="10"/>
      <color rgb="FFFF0000"/>
      <name val="Noto Serif TC Medium"/>
      <family val="1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FF0000"/>
      <name val="Arial Narrow"/>
      <family val="2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u/>
      <sz val="20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8"/>
      <color theme="4"/>
      <name val="KangXiZiDian.com 康熙字典體常用版"/>
      <charset val="136"/>
    </font>
    <font>
      <sz val="26"/>
      <color theme="9"/>
      <name val="Iansui 094"/>
      <family val="3"/>
      <charset val="136"/>
    </font>
    <font>
      <b/>
      <sz val="24"/>
      <color rgb="FF00B050"/>
      <name val="Times New Roman"/>
      <family val="1"/>
    </font>
    <font>
      <sz val="18"/>
      <color rgb="FF0070C0"/>
      <name val="Arial"/>
      <family val="2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新細明體"/>
      <family val="1"/>
      <charset val="136"/>
      <scheme val="minor"/>
    </font>
    <font>
      <b/>
      <sz val="14"/>
      <color rgb="FFFF0000"/>
      <name val="Noto Sans TC"/>
      <family val="2"/>
      <charset val="136"/>
    </font>
    <font>
      <sz val="14"/>
      <color rgb="FF00000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6"/>
      <name val="Arial"/>
      <family val="2"/>
    </font>
    <font>
      <sz val="16"/>
      <color rgb="FF000000"/>
      <name val="Microsoft JhengHei UI"/>
      <family val="2"/>
      <charset val="136"/>
    </font>
    <font>
      <b/>
      <sz val="16"/>
      <color rgb="FFFF0000"/>
      <name val="Microsoft JhengHei UI"/>
      <family val="2"/>
      <charset val="136"/>
    </font>
    <font>
      <b/>
      <sz val="16"/>
      <color rgb="FFFF0000"/>
      <name val="Microsoft JhengHei Light"/>
      <family val="2"/>
      <charset val="136"/>
    </font>
    <font>
      <b/>
      <sz val="16"/>
      <color rgb="FF000000"/>
      <name val="Microsoft JhengHei Light"/>
      <family val="2"/>
      <charset val="136"/>
    </font>
    <font>
      <b/>
      <sz val="16"/>
      <color rgb="FF000000"/>
      <name val="Microsoft JhengHei UI"/>
      <family val="2"/>
      <charset val="136"/>
    </font>
    <font>
      <b/>
      <sz val="16"/>
      <color theme="8"/>
      <name val="Iansui 094"/>
      <family val="3"/>
      <charset val="136"/>
    </font>
    <font>
      <b/>
      <sz val="16"/>
      <color theme="8"/>
      <name val="新細明體"/>
      <family val="1"/>
      <charset val="136"/>
      <scheme val="minor"/>
    </font>
    <font>
      <b/>
      <sz val="16"/>
      <color theme="8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color rgb="FF000000"/>
      <name val="Noto Sans TC"/>
      <family val="2"/>
    </font>
    <font>
      <sz val="12"/>
      <name val="Noto Sans TC"/>
      <family val="2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0"/>
      <color theme="8" tint="-0.249977111117893"/>
      <name val="Arial"/>
      <family val="2"/>
    </font>
    <font>
      <b/>
      <sz val="14"/>
      <color rgb="FFFF0000"/>
      <name val="Iansui 094"/>
      <family val="3"/>
      <charset val="136"/>
    </font>
    <font>
      <b/>
      <sz val="10"/>
      <color rgb="FFFF0000"/>
      <name val="Iansui 094"/>
      <family val="3"/>
      <charset val="136"/>
    </font>
    <font>
      <u/>
      <sz val="16"/>
      <color theme="10"/>
      <name val="新細明體"/>
      <family val="1"/>
      <charset val="136"/>
      <scheme val="minor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0"/>
      <color rgb="FF000000"/>
      <name val="芫荽 0.94"/>
      <family val="3"/>
      <charset val="136"/>
    </font>
    <font>
      <sz val="12"/>
      <name val="芫荽 0.94"/>
      <family val="3"/>
      <charset val="136"/>
    </font>
    <font>
      <sz val="20"/>
      <name val="霞鶩文楷等寬 TC"/>
      <family val="3"/>
      <charset val="136"/>
    </font>
    <font>
      <sz val="18"/>
      <name val="霞鶩文楷等寬 TC"/>
      <family val="3"/>
      <charset val="136"/>
    </font>
    <font>
      <b/>
      <sz val="18"/>
      <color rgb="FFFF0000"/>
      <name val="霞鶩文楷等寬 TC"/>
      <family val="3"/>
      <charset val="136"/>
    </font>
    <font>
      <sz val="16"/>
      <name val="霞鶩文楷等寬 TC"/>
      <family val="3"/>
      <charset val="136"/>
    </font>
    <font>
      <b/>
      <sz val="18"/>
      <name val="Times New Roman"/>
      <family val="1"/>
    </font>
    <font>
      <b/>
      <sz val="18"/>
      <color rgb="FFFF0000"/>
      <name val="Times New Roman"/>
      <family val="1"/>
    </font>
    <font>
      <sz val="18"/>
      <color rgb="FFFF0000"/>
      <name val="霞鶩文楷等寬 TC"/>
      <family val="3"/>
      <charset val="136"/>
    </font>
    <font>
      <b/>
      <sz val="18"/>
      <name val="霞鶩文楷等寬 TC"/>
      <family val="3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vertAlign val="superscript"/>
      <sz val="24"/>
      <color rgb="FFFF0000"/>
      <name val="Iansui 094"/>
      <family val="3"/>
      <charset val="136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0" fontId="49" fillId="0" borderId="0"/>
    <xf numFmtId="0" fontId="150" fillId="0" borderId="0" applyNumberFormat="0" applyFill="0" applyBorder="0" applyAlignment="0" applyProtection="0"/>
  </cellStyleXfs>
  <cellXfs count="598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 indent="3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 indent="1"/>
    </xf>
    <xf numFmtId="0" fontId="49" fillId="0" borderId="0" xfId="2"/>
    <xf numFmtId="0" fontId="50" fillId="0" borderId="0" xfId="0" applyFont="1" applyAlignment="1">
      <alignment horizontal="left" vertical="center"/>
    </xf>
    <xf numFmtId="0" fontId="52" fillId="0" borderId="0" xfId="2" applyFont="1"/>
    <xf numFmtId="0" fontId="53" fillId="0" borderId="0" xfId="0" applyFont="1" applyAlignment="1">
      <alignment horizontal="left" vertical="center" indent="1"/>
    </xf>
    <xf numFmtId="0" fontId="45" fillId="3" borderId="3" xfId="0" applyFont="1" applyFill="1" applyBorder="1" applyAlignment="1">
      <alignment horizontal="center" vertical="center"/>
    </xf>
    <xf numFmtId="0" fontId="45" fillId="7" borderId="4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0" fontId="54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6" borderId="13" xfId="0" applyFont="1" applyFill="1" applyBorder="1" applyAlignment="1">
      <alignment horizontal="center" vertical="center"/>
    </xf>
    <xf numFmtId="0" fontId="45" fillId="7" borderId="14" xfId="0" applyFont="1" applyFill="1" applyBorder="1" applyAlignment="1">
      <alignment horizontal="center" vertical="center"/>
    </xf>
    <xf numFmtId="0" fontId="54" fillId="14" borderId="0" xfId="0" applyFont="1" applyFill="1" applyAlignment="1">
      <alignment horizontal="left" vertical="center"/>
    </xf>
    <xf numFmtId="0" fontId="45" fillId="3" borderId="12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0" fontId="42" fillId="4" borderId="13" xfId="0" applyFont="1" applyFill="1" applyBorder="1" applyAlignment="1">
      <alignment horizontal="center" vertical="center"/>
    </xf>
    <xf numFmtId="0" fontId="54" fillId="5" borderId="13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/>
    </xf>
    <xf numFmtId="0" fontId="45" fillId="7" borderId="17" xfId="0" applyFont="1" applyFill="1" applyBorder="1" applyAlignment="1">
      <alignment horizontal="center" vertical="center"/>
    </xf>
    <xf numFmtId="0" fontId="42" fillId="4" borderId="17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5" fillId="0" borderId="0" xfId="2" applyFont="1"/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30" fillId="12" borderId="1" xfId="0" applyFont="1" applyFill="1" applyBorder="1" applyAlignment="1">
      <alignment horizontal="left" vertical="center" indent="1"/>
    </xf>
    <xf numFmtId="177" fontId="10" fillId="4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14" borderId="0" xfId="0" applyFont="1" applyFill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37" fillId="7" borderId="1" xfId="0" quotePrefix="1" applyFont="1" applyFill="1" applyBorder="1" applyAlignment="1">
      <alignment horizontal="center" vertical="center"/>
    </xf>
    <xf numFmtId="0" fontId="56" fillId="2" borderId="0" xfId="0" applyFont="1" applyFill="1" applyAlignment="1">
      <alignment horizontal="left" vertical="center" indent="1"/>
    </xf>
    <xf numFmtId="0" fontId="30" fillId="12" borderId="0" xfId="0" applyFont="1" applyFill="1" applyAlignment="1">
      <alignment horizontal="left" vertical="center" indent="1"/>
    </xf>
    <xf numFmtId="177" fontId="10" fillId="4" borderId="0" xfId="0" applyNumberFormat="1" applyFont="1" applyFill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35" fillId="6" borderId="4" xfId="0" applyFont="1" applyFill="1" applyBorder="1" applyAlignment="1">
      <alignment horizontal="center" vertical="center"/>
    </xf>
    <xf numFmtId="0" fontId="30" fillId="12" borderId="8" xfId="0" applyFont="1" applyFill="1" applyBorder="1" applyAlignment="1">
      <alignment horizontal="left" vertical="center" indent="1"/>
    </xf>
    <xf numFmtId="177" fontId="10" fillId="4" borderId="8" xfId="0" applyNumberFormat="1" applyFont="1" applyFill="1" applyBorder="1" applyAlignment="1">
      <alignment horizontal="center" vertical="center"/>
    </xf>
    <xf numFmtId="0" fontId="23" fillId="5" borderId="8" xfId="0" quotePrefix="1" applyFont="1" applyFill="1" applyBorder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14" borderId="0" xfId="0" quotePrefix="1" applyFont="1" applyFill="1" applyAlignment="1">
      <alignment horizontal="left" vertical="center"/>
    </xf>
    <xf numFmtId="0" fontId="23" fillId="6" borderId="9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57" fillId="0" borderId="0" xfId="2" applyFont="1"/>
    <xf numFmtId="0" fontId="34" fillId="4" borderId="8" xfId="0" applyFont="1" applyFill="1" applyBorder="1" applyAlignment="1">
      <alignment horizontal="center" vertical="center"/>
    </xf>
    <xf numFmtId="177" fontId="34" fillId="4" borderId="8" xfId="0" applyNumberFormat="1" applyFont="1" applyFill="1" applyBorder="1" applyAlignment="1">
      <alignment horizontal="center" vertical="center"/>
    </xf>
    <xf numFmtId="0" fontId="58" fillId="0" borderId="0" xfId="2" applyFont="1"/>
    <xf numFmtId="0" fontId="23" fillId="14" borderId="1" xfId="0" applyFont="1" applyFill="1" applyBorder="1" applyAlignment="1">
      <alignment horizontal="left" vertical="center"/>
    </xf>
    <xf numFmtId="0" fontId="59" fillId="0" borderId="0" xfId="2" applyFont="1"/>
    <xf numFmtId="0" fontId="23" fillId="14" borderId="8" xfId="0" applyFont="1" applyFill="1" applyBorder="1" applyAlignment="1">
      <alignment horizontal="left" vertical="center"/>
    </xf>
    <xf numFmtId="0" fontId="30" fillId="12" borderId="13" xfId="0" applyFont="1" applyFill="1" applyBorder="1" applyAlignment="1">
      <alignment horizontal="left" vertical="center" indent="1"/>
    </xf>
    <xf numFmtId="177" fontId="34" fillId="4" borderId="13" xfId="0" applyNumberFormat="1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23" fillId="5" borderId="13" xfId="0" quotePrefix="1" applyFont="1" applyFill="1" applyBorder="1" applyAlignment="1">
      <alignment horizontal="left" vertical="center" indent="3"/>
    </xf>
    <xf numFmtId="0" fontId="35" fillId="6" borderId="1" xfId="0" applyFont="1" applyFill="1" applyBorder="1" applyAlignment="1">
      <alignment horizontal="center" vertical="center"/>
    </xf>
    <xf numFmtId="0" fontId="23" fillId="14" borderId="1" xfId="0" quotePrefix="1" applyFont="1" applyFill="1" applyBorder="1" applyAlignment="1">
      <alignment horizontal="left" vertical="center"/>
    </xf>
    <xf numFmtId="0" fontId="60" fillId="0" borderId="6" xfId="1" applyFont="1" applyBorder="1" applyAlignment="1">
      <alignment horizontal="center"/>
    </xf>
    <xf numFmtId="0" fontId="30" fillId="15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center" vertical="center"/>
    </xf>
    <xf numFmtId="0" fontId="61" fillId="7" borderId="0" xfId="0" quotePrefix="1" applyFont="1" applyFill="1" applyAlignment="1">
      <alignment horizontal="center" vertical="center"/>
    </xf>
    <xf numFmtId="0" fontId="62" fillId="4" borderId="0" xfId="0" applyFont="1" applyFill="1" applyAlignment="1">
      <alignment horizontal="center" vertical="center"/>
    </xf>
    <xf numFmtId="0" fontId="61" fillId="5" borderId="0" xfId="0" applyFont="1" applyFill="1" applyAlignment="1">
      <alignment horizontal="left" vertical="center" indent="3"/>
    </xf>
    <xf numFmtId="0" fontId="61" fillId="6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30" fillId="15" borderId="8" xfId="0" applyFont="1" applyFill="1" applyBorder="1" applyAlignment="1">
      <alignment horizontal="left" vertical="center" indent="1"/>
    </xf>
    <xf numFmtId="177" fontId="63" fillId="4" borderId="0" xfId="0" applyNumberFormat="1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7" borderId="0" xfId="0" quotePrefix="1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left" vertical="center" indent="3"/>
    </xf>
    <xf numFmtId="0" fontId="64" fillId="6" borderId="0" xfId="0" applyFont="1" applyFill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left" vertical="center" indent="1"/>
    </xf>
    <xf numFmtId="177" fontId="31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3"/>
    </xf>
    <xf numFmtId="177" fontId="31" fillId="4" borderId="0" xfId="0" applyNumberFormat="1" applyFont="1" applyFill="1" applyAlignment="1">
      <alignment horizontal="center" vertical="center"/>
    </xf>
    <xf numFmtId="177" fontId="31" fillId="4" borderId="8" xfId="0" applyNumberFormat="1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3" fillId="14" borderId="8" xfId="0" quotePrefix="1" applyFont="1" applyFill="1" applyBorder="1" applyAlignment="1">
      <alignment horizontal="left" vertical="center"/>
    </xf>
    <xf numFmtId="0" fontId="10" fillId="4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6" borderId="0" xfId="0" applyFont="1" applyFill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68" fillId="0" borderId="0" xfId="2" applyFont="1"/>
    <xf numFmtId="0" fontId="49" fillId="0" borderId="0" xfId="2" applyAlignment="1">
      <alignment horizontal="left" vertical="center"/>
    </xf>
    <xf numFmtId="0" fontId="69" fillId="0" borderId="0" xfId="0" applyFont="1"/>
    <xf numFmtId="0" fontId="70" fillId="0" borderId="0" xfId="0" applyFont="1"/>
    <xf numFmtId="0" fontId="71" fillId="0" borderId="0" xfId="2" applyFont="1" applyAlignment="1">
      <alignment horizontal="center"/>
    </xf>
    <xf numFmtId="0" fontId="74" fillId="0" borderId="0" xfId="2" applyFont="1"/>
    <xf numFmtId="0" fontId="5" fillId="0" borderId="0" xfId="1" applyFont="1" applyAlignment="1">
      <alignment horizontal="left" vertical="center"/>
    </xf>
    <xf numFmtId="0" fontId="67" fillId="0" borderId="0" xfId="2" applyFont="1"/>
    <xf numFmtId="0" fontId="70" fillId="0" borderId="0" xfId="2" applyFont="1"/>
    <xf numFmtId="177" fontId="75" fillId="6" borderId="21" xfId="2" applyNumberFormat="1" applyFont="1" applyFill="1" applyBorder="1" applyAlignment="1">
      <alignment horizontal="center" vertical="center"/>
    </xf>
    <xf numFmtId="177" fontId="75" fillId="7" borderId="21" xfId="2" applyNumberFormat="1" applyFont="1" applyFill="1" applyBorder="1" applyAlignment="1">
      <alignment horizontal="center" vertical="center"/>
    </xf>
    <xf numFmtId="0" fontId="45" fillId="7" borderId="2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54" fillId="6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77" fillId="6" borderId="23" xfId="2" applyNumberFormat="1" applyFont="1" applyFill="1" applyBorder="1" applyAlignment="1">
      <alignment horizontal="center" vertical="center"/>
    </xf>
    <xf numFmtId="177" fontId="78" fillId="6" borderId="24" xfId="2" applyNumberFormat="1" applyFont="1" applyFill="1" applyBorder="1" applyAlignment="1">
      <alignment vertical="center"/>
    </xf>
    <xf numFmtId="0" fontId="79" fillId="6" borderId="25" xfId="2" applyFont="1" applyFill="1" applyBorder="1" applyAlignment="1">
      <alignment horizontal="center" vertical="center" wrapText="1"/>
    </xf>
    <xf numFmtId="0" fontId="79" fillId="6" borderId="25" xfId="2" applyFont="1" applyFill="1" applyBorder="1" applyAlignment="1">
      <alignment horizontal="center" vertical="center"/>
    </xf>
    <xf numFmtId="0" fontId="81" fillId="16" borderId="25" xfId="2" applyFont="1" applyFill="1" applyBorder="1" applyAlignment="1">
      <alignment vertical="center"/>
    </xf>
    <xf numFmtId="177" fontId="77" fillId="7" borderId="23" xfId="2" applyNumberFormat="1" applyFont="1" applyFill="1" applyBorder="1" applyAlignment="1">
      <alignment horizontal="center" vertical="center"/>
    </xf>
    <xf numFmtId="177" fontId="78" fillId="7" borderId="24" xfId="2" applyNumberFormat="1" applyFont="1" applyFill="1" applyBorder="1" applyAlignment="1">
      <alignment vertical="center"/>
    </xf>
    <xf numFmtId="177" fontId="79" fillId="7" borderId="25" xfId="2" applyNumberFormat="1" applyFont="1" applyFill="1" applyBorder="1" applyAlignment="1">
      <alignment horizontal="center" vertical="center" wrapText="1"/>
    </xf>
    <xf numFmtId="0" fontId="77" fillId="7" borderId="24" xfId="2" applyFont="1" applyFill="1" applyBorder="1" applyAlignment="1">
      <alignment vertical="center"/>
    </xf>
    <xf numFmtId="177" fontId="79" fillId="7" borderId="25" xfId="2" applyNumberFormat="1" applyFont="1" applyFill="1" applyBorder="1" applyAlignment="1">
      <alignment horizontal="center" vertical="center"/>
    </xf>
    <xf numFmtId="0" fontId="77" fillId="7" borderId="23" xfId="2" applyFont="1" applyFill="1" applyBorder="1" applyAlignment="1">
      <alignment vertical="center"/>
    </xf>
    <xf numFmtId="0" fontId="82" fillId="7" borderId="25" xfId="2" applyFont="1" applyFill="1" applyBorder="1" applyAlignment="1">
      <alignment vertical="center"/>
    </xf>
    <xf numFmtId="0" fontId="83" fillId="0" borderId="0" xfId="1" applyFont="1"/>
    <xf numFmtId="0" fontId="84" fillId="0" borderId="0" xfId="0" applyFont="1"/>
    <xf numFmtId="177" fontId="77" fillId="6" borderId="23" xfId="2" applyNumberFormat="1" applyFont="1" applyFill="1" applyBorder="1" applyAlignment="1">
      <alignment vertical="center"/>
    </xf>
    <xf numFmtId="177" fontId="85" fillId="6" borderId="25" xfId="2" applyNumberFormat="1" applyFont="1" applyFill="1" applyBorder="1" applyAlignment="1">
      <alignment vertical="center" wrapText="1"/>
    </xf>
    <xf numFmtId="0" fontId="86" fillId="6" borderId="25" xfId="2" applyFont="1" applyFill="1" applyBorder="1" applyAlignment="1">
      <alignment vertical="center"/>
    </xf>
    <xf numFmtId="177" fontId="79" fillId="6" borderId="25" xfId="2" applyNumberFormat="1" applyFont="1" applyFill="1" applyBorder="1" applyAlignment="1">
      <alignment horizontal="center" vertical="center"/>
    </xf>
    <xf numFmtId="0" fontId="72" fillId="0" borderId="0" xfId="2" applyFont="1" applyAlignment="1">
      <alignment horizontal="center"/>
    </xf>
    <xf numFmtId="177" fontId="85" fillId="6" borderId="25" xfId="2" applyNumberFormat="1" applyFont="1" applyFill="1" applyBorder="1" applyAlignment="1">
      <alignment vertical="center"/>
    </xf>
    <xf numFmtId="177" fontId="87" fillId="6" borderId="23" xfId="2" applyNumberFormat="1" applyFont="1" applyFill="1" applyBorder="1" applyAlignment="1">
      <alignment horizontal="center" vertical="center"/>
    </xf>
    <xf numFmtId="177" fontId="88" fillId="7" borderId="21" xfId="2" applyNumberFormat="1" applyFont="1" applyFill="1" applyBorder="1" applyAlignment="1">
      <alignment horizontal="center" vertical="center"/>
    </xf>
    <xf numFmtId="177" fontId="86" fillId="6" borderId="25" xfId="2" applyNumberFormat="1" applyFont="1" applyFill="1" applyBorder="1" applyAlignment="1">
      <alignment vertical="center"/>
    </xf>
    <xf numFmtId="0" fontId="79" fillId="7" borderId="25" xfId="2" applyFont="1" applyFill="1" applyBorder="1" applyAlignment="1">
      <alignment horizontal="center" vertical="center" wrapText="1"/>
    </xf>
    <xf numFmtId="0" fontId="89" fillId="0" borderId="0" xfId="2" applyFont="1"/>
    <xf numFmtId="0" fontId="90" fillId="0" borderId="0" xfId="2" applyFont="1" applyAlignment="1">
      <alignment horizontal="center" vertical="center"/>
    </xf>
    <xf numFmtId="0" fontId="91" fillId="3" borderId="12" xfId="2" applyFont="1" applyFill="1" applyBorder="1" applyAlignment="1">
      <alignment vertical="center"/>
    </xf>
    <xf numFmtId="0" fontId="91" fillId="3" borderId="14" xfId="2" applyFont="1" applyFill="1" applyBorder="1" applyAlignment="1">
      <alignment vertical="center"/>
    </xf>
    <xf numFmtId="0" fontId="92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93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4" fillId="7" borderId="12" xfId="2" applyFont="1" applyFill="1" applyBorder="1" applyAlignment="1">
      <alignment vertical="center"/>
    </xf>
    <xf numFmtId="0" fontId="94" fillId="7" borderId="14" xfId="2" applyFont="1" applyFill="1" applyBorder="1" applyAlignment="1">
      <alignment vertical="center"/>
    </xf>
    <xf numFmtId="0" fontId="95" fillId="7" borderId="16" xfId="2" applyFont="1" applyFill="1" applyBorder="1" applyAlignment="1">
      <alignment horizontal="center" vertical="center"/>
    </xf>
    <xf numFmtId="0" fontId="94" fillId="18" borderId="14" xfId="2" applyFont="1" applyFill="1" applyBorder="1" applyAlignment="1">
      <alignment vertical="center"/>
    </xf>
    <xf numFmtId="0" fontId="95" fillId="18" borderId="16" xfId="2" applyFont="1" applyFill="1" applyBorder="1" applyAlignment="1">
      <alignment horizontal="center" vertical="center"/>
    </xf>
    <xf numFmtId="0" fontId="94" fillId="5" borderId="12" xfId="2" applyFont="1" applyFill="1" applyBorder="1" applyAlignment="1">
      <alignment vertical="center"/>
    </xf>
    <xf numFmtId="0" fontId="94" fillId="5" borderId="14" xfId="2" applyFont="1" applyFill="1" applyBorder="1" applyAlignment="1">
      <alignment vertical="center"/>
    </xf>
    <xf numFmtId="0" fontId="95" fillId="5" borderId="16" xfId="2" applyFont="1" applyFill="1" applyBorder="1" applyAlignment="1">
      <alignment horizontal="center" vertical="center"/>
    </xf>
    <xf numFmtId="0" fontId="59" fillId="0" borderId="0" xfId="2" applyFont="1" applyAlignment="1">
      <alignment vertical="center"/>
    </xf>
    <xf numFmtId="0" fontId="99" fillId="0" borderId="0" xfId="1" applyFont="1"/>
    <xf numFmtId="0" fontId="59" fillId="0" borderId="0" xfId="1" applyFont="1"/>
    <xf numFmtId="0" fontId="59" fillId="0" borderId="0" xfId="1" applyFont="1" applyAlignment="1">
      <alignment vertical="center"/>
    </xf>
    <xf numFmtId="0" fontId="104" fillId="0" borderId="0" xfId="1" applyFont="1" applyAlignment="1">
      <alignment vertical="center"/>
    </xf>
    <xf numFmtId="0" fontId="102" fillId="19" borderId="0" xfId="2" applyFont="1" applyFill="1" applyAlignment="1">
      <alignment vertical="center"/>
    </xf>
    <xf numFmtId="0" fontId="59" fillId="19" borderId="0" xfId="2" applyFont="1" applyFill="1" applyAlignment="1">
      <alignment vertical="center"/>
    </xf>
    <xf numFmtId="0" fontId="105" fillId="19" borderId="0" xfId="2" applyFont="1" applyFill="1" applyAlignment="1">
      <alignment vertical="center"/>
    </xf>
    <xf numFmtId="0" fontId="106" fillId="20" borderId="0" xfId="2" applyFont="1" applyFill="1" applyAlignment="1">
      <alignment vertical="center"/>
    </xf>
    <xf numFmtId="0" fontId="59" fillId="20" borderId="0" xfId="2" applyFont="1" applyFill="1" applyAlignment="1">
      <alignment vertical="center"/>
    </xf>
    <xf numFmtId="0" fontId="105" fillId="20" borderId="0" xfId="2" applyFont="1" applyFill="1" applyAlignment="1">
      <alignment vertical="center"/>
    </xf>
    <xf numFmtId="0" fontId="59" fillId="21" borderId="0" xfId="2" applyFont="1" applyFill="1" applyAlignment="1">
      <alignment vertical="center"/>
    </xf>
    <xf numFmtId="0" fontId="59" fillId="21" borderId="0" xfId="2" applyFont="1" applyFill="1"/>
    <xf numFmtId="0" fontId="27" fillId="2" borderId="0" xfId="1" applyFont="1" applyFill="1" applyAlignment="1">
      <alignment vertical="center"/>
    </xf>
    <xf numFmtId="0" fontId="59" fillId="2" borderId="0" xfId="1" applyFont="1" applyFill="1" applyAlignment="1">
      <alignment vertical="center"/>
    </xf>
    <xf numFmtId="0" fontId="27" fillId="21" borderId="0" xfId="1" applyFont="1" applyFill="1" applyAlignment="1">
      <alignment vertical="center"/>
    </xf>
    <xf numFmtId="0" fontId="59" fillId="21" borderId="0" xfId="1" applyFont="1" applyFill="1" applyAlignment="1">
      <alignment vertical="center"/>
    </xf>
    <xf numFmtId="0" fontId="99" fillId="0" borderId="0" xfId="1" applyFont="1" applyAlignment="1">
      <alignment vertical="center"/>
    </xf>
    <xf numFmtId="0" fontId="109" fillId="20" borderId="0" xfId="1" applyFont="1" applyFill="1" applyAlignment="1">
      <alignment vertical="center"/>
    </xf>
    <xf numFmtId="0" fontId="59" fillId="20" borderId="0" xfId="1" applyFont="1" applyFill="1" applyAlignment="1">
      <alignment horizontal="center" vertical="center"/>
    </xf>
    <xf numFmtId="0" fontId="59" fillId="20" borderId="0" xfId="1" applyFont="1" applyFill="1" applyAlignment="1">
      <alignment vertical="center"/>
    </xf>
    <xf numFmtId="0" fontId="110" fillId="17" borderId="0" xfId="1" applyFont="1" applyFill="1" applyAlignment="1">
      <alignment vertical="center"/>
    </xf>
    <xf numFmtId="0" fontId="110" fillId="17" borderId="0" xfId="1" applyFont="1" applyFill="1" applyAlignment="1">
      <alignment horizontal="center" vertical="center"/>
    </xf>
    <xf numFmtId="0" fontId="5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9" fillId="2" borderId="0" xfId="2" applyFont="1" applyFill="1"/>
    <xf numFmtId="0" fontId="49" fillId="0" borderId="0" xfId="2" applyAlignment="1">
      <alignment vertical="center"/>
    </xf>
    <xf numFmtId="0" fontId="97" fillId="22" borderId="12" xfId="2" applyFont="1" applyFill="1" applyBorder="1" applyAlignment="1">
      <alignment vertical="center"/>
    </xf>
    <xf numFmtId="0" fontId="96" fillId="22" borderId="14" xfId="2" applyFont="1" applyFill="1" applyBorder="1" applyAlignment="1">
      <alignment vertical="center"/>
    </xf>
    <xf numFmtId="0" fontId="98" fillId="22" borderId="16" xfId="2" applyFont="1" applyFill="1" applyBorder="1" applyAlignment="1">
      <alignment horizontal="center" vertical="center"/>
    </xf>
    <xf numFmtId="0" fontId="111" fillId="0" borderId="0" xfId="0" applyFont="1" applyAlignment="1">
      <alignment horizontal="center" vertical="center"/>
    </xf>
    <xf numFmtId="0" fontId="42" fillId="0" borderId="0" xfId="0" applyFont="1"/>
    <xf numFmtId="0" fontId="0" fillId="0" borderId="0" xfId="0" applyAlignment="1">
      <alignment horizontal="center" vertical="center"/>
    </xf>
    <xf numFmtId="0" fontId="112" fillId="24" borderId="0" xfId="0" applyFont="1" applyFill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13" fillId="0" borderId="0" xfId="0" quotePrefix="1" applyFont="1" applyAlignment="1">
      <alignment horizontal="center" vertical="center"/>
    </xf>
    <xf numFmtId="0" fontId="115" fillId="0" borderId="0" xfId="0" applyFont="1"/>
    <xf numFmtId="0" fontId="113" fillId="19" borderId="0" xfId="0" applyFont="1" applyFill="1" applyAlignment="1">
      <alignment horizontal="center" vertical="center"/>
    </xf>
    <xf numFmtId="0" fontId="114" fillId="9" borderId="0" xfId="0" applyFont="1" applyFill="1" applyAlignment="1">
      <alignment horizontal="center"/>
    </xf>
    <xf numFmtId="0" fontId="117" fillId="0" borderId="0" xfId="0" applyFont="1"/>
    <xf numFmtId="0" fontId="118" fillId="0" borderId="0" xfId="0" applyFont="1"/>
    <xf numFmtId="0" fontId="116" fillId="0" borderId="0" xfId="0" applyFont="1"/>
    <xf numFmtId="0" fontId="119" fillId="25" borderId="0" xfId="0" applyFont="1" applyFill="1"/>
    <xf numFmtId="0" fontId="117" fillId="25" borderId="0" xfId="0" applyFont="1" applyFill="1"/>
    <xf numFmtId="0" fontId="118" fillId="25" borderId="0" xfId="0" applyFont="1" applyFill="1"/>
    <xf numFmtId="0" fontId="116" fillId="25" borderId="0" xfId="0" applyFont="1" applyFill="1"/>
    <xf numFmtId="0" fontId="120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122" fillId="23" borderId="0" xfId="0" applyFont="1" applyFill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1" fillId="9" borderId="0" xfId="0" applyFont="1" applyFill="1" applyAlignment="1">
      <alignment horizontal="left" vertical="center" indent="1"/>
    </xf>
    <xf numFmtId="0" fontId="41" fillId="9" borderId="0" xfId="0" quotePrefix="1" applyFont="1" applyFill="1" applyAlignment="1">
      <alignment horizontal="left" vertical="center" indent="1"/>
    </xf>
    <xf numFmtId="0" fontId="123" fillId="0" borderId="0" xfId="0" applyFont="1" applyAlignment="1">
      <alignment horizontal="center" vertical="center"/>
    </xf>
    <xf numFmtId="0" fontId="124" fillId="0" borderId="0" xfId="0" applyFont="1" applyAlignment="1">
      <alignment horizontal="center" vertical="center"/>
    </xf>
    <xf numFmtId="0" fontId="121" fillId="2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69" fillId="23" borderId="0" xfId="0" applyFont="1" applyFill="1" applyAlignment="1">
      <alignment horizontal="center" vertical="center"/>
    </xf>
    <xf numFmtId="0" fontId="113" fillId="23" borderId="0" xfId="0" applyFont="1" applyFill="1" applyAlignment="1">
      <alignment horizontal="center" vertical="center"/>
    </xf>
    <xf numFmtId="0" fontId="125" fillId="23" borderId="0" xfId="0" applyFont="1" applyFill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27" fillId="0" borderId="0" xfId="0" applyFont="1"/>
    <xf numFmtId="0" fontId="128" fillId="0" borderId="0" xfId="0" applyFont="1" applyAlignment="1">
      <alignment horizontal="center" vertical="center"/>
    </xf>
    <xf numFmtId="0" fontId="129" fillId="6" borderId="0" xfId="0" applyFont="1" applyFill="1" applyAlignment="1">
      <alignment horizontal="center" vertical="center"/>
    </xf>
    <xf numFmtId="0" fontId="138" fillId="7" borderId="15" xfId="0" applyFont="1" applyFill="1" applyBorder="1" applyAlignment="1">
      <alignment horizontal="center" vertical="center"/>
    </xf>
    <xf numFmtId="0" fontId="137" fillId="4" borderId="15" xfId="0" applyFont="1" applyFill="1" applyBorder="1" applyAlignment="1">
      <alignment horizontal="center" vertical="center"/>
    </xf>
    <xf numFmtId="0" fontId="138" fillId="6" borderId="15" xfId="0" applyFont="1" applyFill="1" applyBorder="1" applyAlignment="1">
      <alignment horizontal="center" vertical="center"/>
    </xf>
    <xf numFmtId="0" fontId="69" fillId="25" borderId="0" xfId="0" applyFont="1" applyFill="1"/>
    <xf numFmtId="0" fontId="0" fillId="0" borderId="0" xfId="0" quotePrefix="1" applyAlignment="1">
      <alignment horizontal="center" vertical="center"/>
    </xf>
    <xf numFmtId="0" fontId="28" fillId="12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83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141" fillId="8" borderId="0" xfId="1" applyFont="1" applyFill="1" applyAlignment="1">
      <alignment horizontal="center"/>
    </xf>
    <xf numFmtId="0" fontId="141" fillId="9" borderId="0" xfId="1" applyFont="1" applyFill="1" applyAlignment="1">
      <alignment horizontal="center"/>
    </xf>
    <xf numFmtId="0" fontId="41" fillId="12" borderId="0" xfId="1" applyFont="1" applyFill="1"/>
    <xf numFmtId="0" fontId="18" fillId="0" borderId="0" xfId="0" applyFont="1" applyAlignment="1">
      <alignment horizontal="center" vertical="center"/>
    </xf>
    <xf numFmtId="0" fontId="143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44" fillId="0" borderId="0" xfId="1" applyFont="1" applyAlignment="1">
      <alignment horizontal="left"/>
    </xf>
    <xf numFmtId="0" fontId="142" fillId="0" borderId="0" xfId="1" applyFont="1" applyAlignment="1">
      <alignment vertical="center"/>
    </xf>
    <xf numFmtId="0" fontId="142" fillId="0" borderId="0" xfId="1" applyFont="1" applyAlignment="1">
      <alignment horizontal="left" vertical="center" indent="1"/>
    </xf>
    <xf numFmtId="0" fontId="129" fillId="5" borderId="0" xfId="0" applyFont="1" applyFill="1" applyAlignment="1">
      <alignment horizontal="left" vertical="center" indent="1"/>
    </xf>
    <xf numFmtId="0" fontId="129" fillId="5" borderId="0" xfId="0" quotePrefix="1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45" fillId="4" borderId="0" xfId="0" applyFont="1" applyFill="1" applyAlignment="1">
      <alignment horizontal="center" vertical="center"/>
    </xf>
    <xf numFmtId="0" fontId="146" fillId="5" borderId="0" xfId="0" applyFont="1" applyFill="1" applyAlignment="1">
      <alignment horizontal="left" vertical="center" indent="1"/>
    </xf>
    <xf numFmtId="0" fontId="5" fillId="25" borderId="0" xfId="1" applyFont="1" applyFill="1"/>
    <xf numFmtId="0" fontId="83" fillId="0" borderId="0" xfId="1" applyFont="1" applyAlignment="1" applyProtection="1">
      <alignment vertical="center"/>
      <protection locked="0"/>
    </xf>
    <xf numFmtId="0" fontId="83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143" fillId="11" borderId="10" xfId="1" applyFont="1" applyFill="1" applyBorder="1" applyAlignment="1">
      <alignment horizontal="center" vertical="center"/>
    </xf>
    <xf numFmtId="0" fontId="143" fillId="11" borderId="6" xfId="1" applyFont="1" applyFill="1" applyBorder="1" applyAlignment="1">
      <alignment horizontal="center" vertical="center"/>
    </xf>
    <xf numFmtId="0" fontId="143" fillId="11" borderId="11" xfId="1" applyFont="1" applyFill="1" applyBorder="1" applyAlignment="1">
      <alignment horizontal="center" vertical="center"/>
    </xf>
    <xf numFmtId="0" fontId="83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83" fillId="26" borderId="10" xfId="1" applyFont="1" applyFill="1" applyBorder="1" applyAlignment="1">
      <alignment horizontal="center" vertical="center"/>
    </xf>
    <xf numFmtId="0" fontId="20" fillId="26" borderId="11" xfId="1" applyFont="1" applyFill="1" applyBorder="1" applyAlignment="1">
      <alignment horizontal="left" vertical="center" indent="1"/>
    </xf>
    <xf numFmtId="0" fontId="148" fillId="2" borderId="0" xfId="1" applyFont="1" applyFill="1"/>
    <xf numFmtId="0" fontId="38" fillId="2" borderId="0" xfId="1" applyFont="1" applyFill="1"/>
    <xf numFmtId="0" fontId="149" fillId="2" borderId="0" xfId="1" applyFont="1" applyFill="1"/>
    <xf numFmtId="0" fontId="5" fillId="2" borderId="0" xfId="1" applyFont="1" applyFill="1" applyAlignment="1">
      <alignment horizontal="center" vertical="center"/>
    </xf>
    <xf numFmtId="49" fontId="27" fillId="19" borderId="0" xfId="1" quotePrefix="1" applyNumberFormat="1" applyFont="1" applyFill="1" applyAlignment="1">
      <alignment horizontal="center" vertical="center"/>
    </xf>
    <xf numFmtId="0" fontId="27" fillId="19" borderId="0" xfId="1" applyFont="1" applyFill="1" applyAlignment="1">
      <alignment horizontal="center" vertical="center"/>
    </xf>
    <xf numFmtId="0" fontId="142" fillId="0" borderId="0" xfId="1" applyFont="1" applyAlignment="1">
      <alignment horizontal="center" vertical="center"/>
    </xf>
    <xf numFmtId="0" fontId="150" fillId="2" borderId="0" xfId="3" quotePrefix="1" applyFill="1"/>
    <xf numFmtId="0" fontId="152" fillId="0" borderId="0" xfId="0" applyFont="1" applyAlignment="1">
      <alignment horizontal="center" vertical="center"/>
    </xf>
    <xf numFmtId="0" fontId="129" fillId="0" borderId="0" xfId="1" applyFont="1" applyAlignment="1">
      <alignment vertical="center"/>
    </xf>
    <xf numFmtId="0" fontId="52" fillId="0" borderId="0" xfId="0" applyFont="1"/>
    <xf numFmtId="0" fontId="52" fillId="0" borderId="14" xfId="0" applyFont="1" applyBorder="1"/>
    <xf numFmtId="0" fontId="52" fillId="0" borderId="9" xfId="0" applyFont="1" applyBorder="1"/>
    <xf numFmtId="0" fontId="52" fillId="0" borderId="2" xfId="0" applyFont="1" applyBorder="1"/>
    <xf numFmtId="0" fontId="52" fillId="0" borderId="9" xfId="0" applyFont="1" applyBorder="1" applyAlignment="1">
      <alignment horizontal="center" vertical="center"/>
    </xf>
    <xf numFmtId="0" fontId="52" fillId="0" borderId="26" xfId="0" applyFont="1" applyBorder="1" applyAlignment="1">
      <alignment horizontal="center" vertical="center"/>
    </xf>
    <xf numFmtId="0" fontId="52" fillId="0" borderId="7" xfId="0" applyFont="1" applyBorder="1" applyAlignment="1">
      <alignment horizontal="center" vertical="center"/>
    </xf>
    <xf numFmtId="0" fontId="52" fillId="0" borderId="16" xfId="0" applyFont="1" applyBorder="1" applyAlignment="1">
      <alignment horizontal="left" indent="1"/>
    </xf>
    <xf numFmtId="0" fontId="52" fillId="0" borderId="12" xfId="0" applyFont="1" applyBorder="1" applyAlignment="1">
      <alignment horizontal="left" indent="1"/>
    </xf>
    <xf numFmtId="0" fontId="52" fillId="0" borderId="27" xfId="0" applyFont="1" applyBorder="1" applyAlignment="1">
      <alignment horizontal="left" indent="1"/>
    </xf>
    <xf numFmtId="0" fontId="52" fillId="0" borderId="3" xfId="0" applyFont="1" applyBorder="1" applyAlignment="1">
      <alignment horizontal="left" indent="1"/>
    </xf>
    <xf numFmtId="0" fontId="52" fillId="0" borderId="16" xfId="0" applyFont="1" applyBorder="1" applyAlignment="1">
      <alignment horizontal="left" indent="3"/>
    </xf>
    <xf numFmtId="0" fontId="52" fillId="0" borderId="12" xfId="0" applyFont="1" applyBorder="1" applyAlignment="1">
      <alignment horizontal="left" indent="3"/>
    </xf>
    <xf numFmtId="0" fontId="52" fillId="0" borderId="27" xfId="0" applyFont="1" applyBorder="1" applyAlignment="1">
      <alignment horizontal="left" indent="3"/>
    </xf>
    <xf numFmtId="0" fontId="52" fillId="0" borderId="3" xfId="0" applyFont="1" applyBorder="1" applyAlignment="1">
      <alignment horizontal="left" indent="3"/>
    </xf>
    <xf numFmtId="0" fontId="52" fillId="0" borderId="14" xfId="0" quotePrefix="1" applyFont="1" applyBorder="1" applyAlignment="1">
      <alignment horizontal="right"/>
    </xf>
    <xf numFmtId="0" fontId="52" fillId="0" borderId="2" xfId="0" quotePrefix="1" applyFont="1" applyBorder="1" applyAlignment="1">
      <alignment horizontal="right"/>
    </xf>
    <xf numFmtId="0" fontId="138" fillId="3" borderId="0" xfId="0" applyFont="1" applyFill="1" applyAlignment="1">
      <alignment horizontal="center" vertical="center"/>
    </xf>
    <xf numFmtId="0" fontId="138" fillId="7" borderId="0" xfId="0" applyFont="1" applyFill="1" applyAlignment="1">
      <alignment horizontal="center" vertical="center"/>
    </xf>
    <xf numFmtId="0" fontId="138" fillId="6" borderId="0" xfId="0" applyFont="1" applyFill="1" applyAlignment="1">
      <alignment horizontal="center" vertical="center"/>
    </xf>
    <xf numFmtId="0" fontId="138" fillId="5" borderId="0" xfId="0" applyFont="1" applyFill="1" applyAlignment="1">
      <alignment horizontal="center" vertical="center"/>
    </xf>
    <xf numFmtId="0" fontId="129" fillId="6" borderId="1" xfId="0" applyFont="1" applyFill="1" applyBorder="1" applyAlignment="1">
      <alignment horizontal="center" vertical="center"/>
    </xf>
    <xf numFmtId="0" fontId="129" fillId="5" borderId="2" xfId="0" applyFont="1" applyFill="1" applyBorder="1" applyAlignment="1">
      <alignment horizontal="left" vertical="center" indent="1"/>
    </xf>
    <xf numFmtId="0" fontId="129" fillId="5" borderId="4" xfId="0" applyFont="1" applyFill="1" applyBorder="1" applyAlignment="1">
      <alignment horizontal="left" vertical="center" indent="1"/>
    </xf>
    <xf numFmtId="0" fontId="129" fillId="6" borderId="8" xfId="0" applyFont="1" applyFill="1" applyBorder="1" applyAlignment="1">
      <alignment horizontal="center" vertical="center"/>
    </xf>
    <xf numFmtId="0" fontId="129" fillId="5" borderId="9" xfId="0" applyFont="1" applyFill="1" applyBorder="1" applyAlignment="1">
      <alignment horizontal="left" vertical="center" indent="1"/>
    </xf>
    <xf numFmtId="0" fontId="160" fillId="0" borderId="9" xfId="0" applyFont="1" applyBorder="1" applyAlignment="1">
      <alignment horizontal="center" vertical="center"/>
    </xf>
    <xf numFmtId="0" fontId="160" fillId="0" borderId="26" xfId="0" applyFont="1" applyBorder="1" applyAlignment="1">
      <alignment horizontal="center" vertical="center" wrapText="1"/>
    </xf>
    <xf numFmtId="0" fontId="160" fillId="0" borderId="26" xfId="0" applyFont="1" applyBorder="1" applyAlignment="1">
      <alignment horizontal="center" vertical="center"/>
    </xf>
    <xf numFmtId="0" fontId="160" fillId="0" borderId="7" xfId="0" applyFont="1" applyBorder="1" applyAlignment="1">
      <alignment horizontal="center" vertical="center"/>
    </xf>
    <xf numFmtId="0" fontId="159" fillId="0" borderId="16" xfId="0" applyFont="1" applyBorder="1" applyAlignment="1">
      <alignment horizontal="left" vertical="center"/>
    </xf>
    <xf numFmtId="0" fontId="159" fillId="0" borderId="12" xfId="0" applyFont="1" applyBorder="1" applyAlignment="1">
      <alignment horizontal="left" vertical="center"/>
    </xf>
    <xf numFmtId="0" fontId="159" fillId="0" borderId="27" xfId="0" applyFont="1" applyBorder="1" applyAlignment="1">
      <alignment horizontal="left" vertical="center"/>
    </xf>
    <xf numFmtId="0" fontId="159" fillId="0" borderId="3" xfId="0" applyFont="1" applyBorder="1" applyAlignment="1">
      <alignment horizontal="left" vertical="center"/>
    </xf>
    <xf numFmtId="0" fontId="159" fillId="0" borderId="14" xfId="0" applyFont="1" applyBorder="1" applyAlignment="1">
      <alignment horizontal="left" vertical="center"/>
    </xf>
    <xf numFmtId="0" fontId="159" fillId="0" borderId="2" xfId="0" applyFont="1" applyBorder="1" applyAlignment="1">
      <alignment horizontal="left" vertical="center"/>
    </xf>
    <xf numFmtId="0" fontId="130" fillId="7" borderId="1" xfId="0" applyFont="1" applyFill="1" applyBorder="1" applyAlignment="1">
      <alignment horizontal="center" vertical="center"/>
    </xf>
    <xf numFmtId="0" fontId="132" fillId="6" borderId="1" xfId="0" applyFont="1" applyFill="1" applyBorder="1" applyAlignment="1">
      <alignment horizontal="center" vertical="center"/>
    </xf>
    <xf numFmtId="0" fontId="131" fillId="4" borderId="1" xfId="0" applyFont="1" applyFill="1" applyBorder="1" applyAlignment="1">
      <alignment horizontal="center" vertical="center"/>
    </xf>
    <xf numFmtId="0" fontId="132" fillId="5" borderId="2" xfId="0" applyFont="1" applyFill="1" applyBorder="1" applyAlignment="1">
      <alignment horizontal="left" vertical="center" indent="1"/>
    </xf>
    <xf numFmtId="0" fontId="130" fillId="7" borderId="0" xfId="0" applyFont="1" applyFill="1" applyAlignment="1">
      <alignment horizontal="center" vertical="center"/>
    </xf>
    <xf numFmtId="0" fontId="132" fillId="6" borderId="0" xfId="0" applyFont="1" applyFill="1" applyAlignment="1">
      <alignment horizontal="center" vertical="center"/>
    </xf>
    <xf numFmtId="0" fontId="131" fillId="4" borderId="0" xfId="0" applyFont="1" applyFill="1" applyAlignment="1">
      <alignment horizontal="center" vertical="center"/>
    </xf>
    <xf numFmtId="0" fontId="132" fillId="5" borderId="4" xfId="0" applyFont="1" applyFill="1" applyBorder="1" applyAlignment="1">
      <alignment horizontal="left" vertical="center" indent="1"/>
    </xf>
    <xf numFmtId="0" fontId="130" fillId="7" borderId="8" xfId="0" applyFont="1" applyFill="1" applyBorder="1" applyAlignment="1">
      <alignment horizontal="center" vertical="center"/>
    </xf>
    <xf numFmtId="0" fontId="132" fillId="6" borderId="8" xfId="0" applyFont="1" applyFill="1" applyBorder="1" applyAlignment="1">
      <alignment horizontal="center" vertical="center"/>
    </xf>
    <xf numFmtId="0" fontId="131" fillId="4" borderId="8" xfId="0" applyFont="1" applyFill="1" applyBorder="1" applyAlignment="1">
      <alignment horizontal="center" vertical="center"/>
    </xf>
    <xf numFmtId="0" fontId="132" fillId="5" borderId="9" xfId="0" applyFont="1" applyFill="1" applyBorder="1" applyAlignment="1">
      <alignment horizontal="left" vertical="center" indent="1"/>
    </xf>
    <xf numFmtId="0" fontId="133" fillId="7" borderId="13" xfId="0" applyFont="1" applyFill="1" applyBorder="1" applyAlignment="1">
      <alignment horizontal="center" vertical="center"/>
    </xf>
    <xf numFmtId="0" fontId="135" fillId="6" borderId="13" xfId="0" applyFont="1" applyFill="1" applyBorder="1" applyAlignment="1">
      <alignment horizontal="center" vertical="center"/>
    </xf>
    <xf numFmtId="0" fontId="134" fillId="4" borderId="13" xfId="0" applyFont="1" applyFill="1" applyBorder="1" applyAlignment="1">
      <alignment horizontal="center" vertical="center"/>
    </xf>
    <xf numFmtId="0" fontId="135" fillId="5" borderId="14" xfId="0" applyFont="1" applyFill="1" applyBorder="1" applyAlignment="1">
      <alignment horizontal="left" vertical="center" indent="1"/>
    </xf>
    <xf numFmtId="0" fontId="36" fillId="7" borderId="8" xfId="0" applyFont="1" applyFill="1" applyBorder="1" applyAlignment="1">
      <alignment horizontal="center" vertical="center"/>
    </xf>
    <xf numFmtId="176" fontId="136" fillId="6" borderId="8" xfId="0" applyNumberFormat="1" applyFont="1" applyFill="1" applyBorder="1" applyAlignment="1">
      <alignment horizontal="center" vertical="center"/>
    </xf>
    <xf numFmtId="0" fontId="22" fillId="7" borderId="8" xfId="0" applyFont="1" applyFill="1" applyBorder="1" applyAlignment="1">
      <alignment horizontal="center" vertical="center"/>
    </xf>
    <xf numFmtId="0" fontId="146" fillId="6" borderId="8" xfId="0" applyFont="1" applyFill="1" applyBorder="1" applyAlignment="1">
      <alignment horizontal="center" vertical="center"/>
    </xf>
    <xf numFmtId="0" fontId="145" fillId="4" borderId="8" xfId="0" applyFont="1" applyFill="1" applyBorder="1" applyAlignment="1">
      <alignment horizontal="center" vertical="center"/>
    </xf>
    <xf numFmtId="0" fontId="146" fillId="5" borderId="9" xfId="0" applyFont="1" applyFill="1" applyBorder="1" applyAlignment="1">
      <alignment horizontal="left" vertical="center" indent="1"/>
    </xf>
    <xf numFmtId="0" fontId="161" fillId="5" borderId="1" xfId="0" applyFont="1" applyFill="1" applyBorder="1" applyAlignment="1">
      <alignment horizontal="left" vertical="center" indent="2"/>
    </xf>
    <xf numFmtId="0" fontId="161" fillId="5" borderId="0" xfId="0" applyFont="1" applyFill="1" applyAlignment="1">
      <alignment horizontal="left" vertical="center" indent="2"/>
    </xf>
    <xf numFmtId="0" fontId="161" fillId="5" borderId="8" xfId="0" applyFont="1" applyFill="1" applyBorder="1" applyAlignment="1">
      <alignment horizontal="left" vertical="center" indent="2"/>
    </xf>
    <xf numFmtId="0" fontId="161" fillId="5" borderId="13" xfId="0" applyFont="1" applyFill="1" applyBorder="1" applyAlignment="1">
      <alignment horizontal="left" vertical="center" indent="2"/>
    </xf>
    <xf numFmtId="0" fontId="161" fillId="5" borderId="1" xfId="0" applyFont="1" applyFill="1" applyBorder="1" applyAlignment="1">
      <alignment horizontal="center" vertical="center"/>
    </xf>
    <xf numFmtId="0" fontId="161" fillId="5" borderId="8" xfId="0" applyFont="1" applyFill="1" applyBorder="1" applyAlignment="1">
      <alignment horizontal="center" vertical="center"/>
    </xf>
    <xf numFmtId="0" fontId="161" fillId="5" borderId="0" xfId="0" applyFont="1" applyFill="1" applyAlignment="1">
      <alignment horizontal="center" vertical="center"/>
    </xf>
    <xf numFmtId="0" fontId="161" fillId="5" borderId="0" xfId="0" quotePrefix="1" applyFont="1" applyFill="1" applyAlignment="1">
      <alignment horizontal="center" vertical="center"/>
    </xf>
    <xf numFmtId="0" fontId="155" fillId="0" borderId="0" xfId="1" applyFont="1" applyAlignment="1">
      <alignment vertical="center"/>
    </xf>
    <xf numFmtId="0" fontId="154" fillId="0" borderId="0" xfId="0" applyFont="1" applyAlignment="1">
      <alignment horizontal="center" vertical="center"/>
    </xf>
    <xf numFmtId="0" fontId="155" fillId="0" borderId="0" xfId="1" applyFont="1" applyAlignment="1">
      <alignment horizontal="center" vertical="center"/>
    </xf>
    <xf numFmtId="0" fontId="164" fillId="5" borderId="8" xfId="0" applyFont="1" applyFill="1" applyBorder="1" applyAlignment="1">
      <alignment horizontal="center" vertical="center"/>
    </xf>
    <xf numFmtId="0" fontId="165" fillId="0" borderId="26" xfId="0" applyFont="1" applyBorder="1" applyAlignment="1">
      <alignment horizontal="center" vertical="center"/>
    </xf>
    <xf numFmtId="0" fontId="165" fillId="0" borderId="7" xfId="0" applyFont="1" applyBorder="1" applyAlignment="1">
      <alignment horizontal="center" vertical="center"/>
    </xf>
    <xf numFmtId="0" fontId="166" fillId="0" borderId="26" xfId="0" applyFont="1" applyBorder="1" applyAlignment="1">
      <alignment horizontal="center" vertical="center"/>
    </xf>
    <xf numFmtId="0" fontId="168" fillId="0" borderId="0" xfId="0" applyFont="1" applyAlignment="1">
      <alignment horizontal="center" vertical="center"/>
    </xf>
    <xf numFmtId="0" fontId="169" fillId="6" borderId="15" xfId="0" applyFont="1" applyFill="1" applyBorder="1" applyAlignment="1">
      <alignment horizontal="center" vertical="center"/>
    </xf>
    <xf numFmtId="0" fontId="155" fillId="6" borderId="0" xfId="0" applyFont="1" applyFill="1" applyAlignment="1">
      <alignment horizontal="center" vertical="center"/>
    </xf>
    <xf numFmtId="0" fontId="30" fillId="13" borderId="10" xfId="0" applyFont="1" applyFill="1" applyBorder="1" applyAlignment="1">
      <alignment horizontal="left" vertical="center" indent="1"/>
    </xf>
    <xf numFmtId="0" fontId="156" fillId="4" borderId="6" xfId="0" applyFont="1" applyFill="1" applyBorder="1" applyAlignment="1">
      <alignment horizontal="center" vertical="center"/>
    </xf>
    <xf numFmtId="0" fontId="151" fillId="0" borderId="6" xfId="0" applyFont="1" applyBorder="1" applyAlignment="1">
      <alignment horizontal="center" vertical="center"/>
    </xf>
    <xf numFmtId="0" fontId="161" fillId="5" borderId="6" xfId="0" applyFont="1" applyFill="1" applyBorder="1" applyAlignment="1">
      <alignment horizontal="center" vertical="center"/>
    </xf>
    <xf numFmtId="0" fontId="151" fillId="26" borderId="6" xfId="0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left" vertical="center" indent="1"/>
    </xf>
    <xf numFmtId="0" fontId="134" fillId="4" borderId="28" xfId="0" applyFont="1" applyFill="1" applyBorder="1" applyAlignment="1">
      <alignment horizontal="center" vertical="center"/>
    </xf>
    <xf numFmtId="0" fontId="163" fillId="0" borderId="6" xfId="0" applyFont="1" applyBorder="1" applyAlignment="1">
      <alignment horizontal="center" vertical="center"/>
    </xf>
    <xf numFmtId="0" fontId="161" fillId="5" borderId="28" xfId="0" applyFont="1" applyFill="1" applyBorder="1" applyAlignment="1">
      <alignment horizontal="left" vertical="center" indent="2"/>
    </xf>
    <xf numFmtId="0" fontId="22" fillId="2" borderId="30" xfId="0" applyFont="1" applyFill="1" applyBorder="1" applyAlignment="1">
      <alignment horizontal="left" vertical="center" indent="1"/>
    </xf>
    <xf numFmtId="0" fontId="134" fillId="4" borderId="6" xfId="0" applyFont="1" applyFill="1" applyBorder="1" applyAlignment="1">
      <alignment horizontal="center" vertical="center"/>
    </xf>
    <xf numFmtId="0" fontId="163" fillId="26" borderId="6" xfId="0" applyFont="1" applyFill="1" applyBorder="1" applyAlignment="1">
      <alignment horizontal="center" vertical="center"/>
    </xf>
    <xf numFmtId="0" fontId="161" fillId="5" borderId="6" xfId="0" applyFont="1" applyFill="1" applyBorder="1" applyAlignment="1">
      <alignment horizontal="left" vertical="center" indent="2"/>
    </xf>
    <xf numFmtId="0" fontId="22" fillId="2" borderId="31" xfId="0" applyFont="1" applyFill="1" applyBorder="1" applyAlignment="1">
      <alignment horizontal="left" vertical="center" indent="1"/>
    </xf>
    <xf numFmtId="0" fontId="134" fillId="4" borderId="32" xfId="0" applyFont="1" applyFill="1" applyBorder="1" applyAlignment="1">
      <alignment horizontal="center" vertical="center"/>
    </xf>
    <xf numFmtId="0" fontId="161" fillId="5" borderId="32" xfId="0" applyFont="1" applyFill="1" applyBorder="1" applyAlignment="1">
      <alignment horizontal="left" vertical="center" indent="2"/>
    </xf>
    <xf numFmtId="0" fontId="155" fillId="6" borderId="1" xfId="0" applyFont="1" applyFill="1" applyBorder="1" applyAlignment="1">
      <alignment horizontal="center" vertical="center"/>
    </xf>
    <xf numFmtId="0" fontId="155" fillId="6" borderId="8" xfId="0" applyFont="1" applyFill="1" applyBorder="1" applyAlignment="1">
      <alignment horizontal="center" vertical="center"/>
    </xf>
    <xf numFmtId="0" fontId="153" fillId="6" borderId="0" xfId="0" applyFont="1" applyFill="1" applyAlignment="1">
      <alignment horizontal="center" vertical="center"/>
    </xf>
    <xf numFmtId="0" fontId="138" fillId="4" borderId="0" xfId="0" applyFont="1" applyFill="1" applyAlignment="1">
      <alignment horizontal="center" vertical="center"/>
    </xf>
    <xf numFmtId="0" fontId="138" fillId="3" borderId="33" xfId="0" applyFont="1" applyFill="1" applyBorder="1" applyAlignment="1">
      <alignment horizontal="center" vertical="center"/>
    </xf>
    <xf numFmtId="0" fontId="138" fillId="5" borderId="34" xfId="0" applyFont="1" applyFill="1" applyBorder="1" applyAlignment="1">
      <alignment horizontal="center" vertical="center"/>
    </xf>
    <xf numFmtId="0" fontId="170" fillId="0" borderId="0" xfId="1" applyFont="1" applyAlignment="1">
      <alignment horizontal="left"/>
    </xf>
    <xf numFmtId="0" fontId="171" fillId="0" borderId="0" xfId="1" applyFont="1"/>
    <xf numFmtId="0" fontId="172" fillId="0" borderId="0" xfId="1" applyFont="1"/>
    <xf numFmtId="0" fontId="173" fillId="0" borderId="0" xfId="1" applyFont="1" applyAlignment="1">
      <alignment horizontal="left"/>
    </xf>
    <xf numFmtId="0" fontId="171" fillId="0" borderId="0" xfId="1" applyFont="1" applyAlignment="1" applyProtection="1">
      <alignment horizontal="center" vertical="center"/>
      <protection locked="0"/>
    </xf>
    <xf numFmtId="0" fontId="171" fillId="0" borderId="0" xfId="1" applyFont="1" applyAlignment="1">
      <alignment horizontal="center" vertical="center"/>
    </xf>
    <xf numFmtId="0" fontId="172" fillId="0" borderId="0" xfId="1" applyFont="1" applyAlignment="1">
      <alignment horizontal="center" vertical="center"/>
    </xf>
    <xf numFmtId="0" fontId="176" fillId="0" borderId="0" xfId="1" applyFont="1" applyAlignment="1">
      <alignment horizontal="center" vertical="center"/>
    </xf>
    <xf numFmtId="0" fontId="177" fillId="0" borderId="0" xfId="1" applyFont="1" applyAlignment="1">
      <alignment horizontal="center" vertical="center"/>
    </xf>
    <xf numFmtId="0" fontId="147" fillId="4" borderId="0" xfId="1" applyFont="1" applyFill="1" applyAlignment="1">
      <alignment horizontal="center" vertical="center"/>
    </xf>
    <xf numFmtId="49" fontId="174" fillId="0" borderId="0" xfId="1" applyNumberFormat="1" applyFont="1" applyAlignment="1">
      <alignment horizontal="center" vertical="center"/>
    </xf>
    <xf numFmtId="49" fontId="175" fillId="0" borderId="0" xfId="1" applyNumberFormat="1" applyFont="1" applyAlignment="1">
      <alignment horizontal="center" vertical="center"/>
    </xf>
    <xf numFmtId="49" fontId="83" fillId="0" borderId="0" xfId="1" applyNumberFormat="1" applyFont="1" applyAlignment="1">
      <alignment horizontal="center" vertical="center"/>
    </xf>
    <xf numFmtId="0" fontId="154" fillId="0" borderId="16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5" fillId="2" borderId="16" xfId="0" applyFont="1" applyFill="1" applyBorder="1" applyAlignment="1">
      <alignment horizontal="center" vertical="center"/>
    </xf>
    <xf numFmtId="0" fontId="178" fillId="2" borderId="16" xfId="0" applyFont="1" applyFill="1" applyBorder="1"/>
    <xf numFmtId="0" fontId="10" fillId="4" borderId="1" xfId="0" applyFont="1" applyFill="1" applyBorder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0" fillId="4" borderId="8" xfId="0" applyFont="1" applyFill="1" applyBorder="1" applyAlignment="1">
      <alignment horizontal="left" vertical="center"/>
    </xf>
    <xf numFmtId="0" fontId="131" fillId="4" borderId="1" xfId="0" applyFont="1" applyFill="1" applyBorder="1" applyAlignment="1">
      <alignment horizontal="left" vertical="center"/>
    </xf>
    <xf numFmtId="0" fontId="131" fillId="4" borderId="0" xfId="0" applyFont="1" applyFill="1" applyAlignment="1">
      <alignment horizontal="left" vertical="center"/>
    </xf>
    <xf numFmtId="0" fontId="131" fillId="4" borderId="8" xfId="0" applyFont="1" applyFill="1" applyBorder="1" applyAlignment="1">
      <alignment horizontal="left" vertical="center"/>
    </xf>
    <xf numFmtId="0" fontId="134" fillId="4" borderId="13" xfId="0" applyFont="1" applyFill="1" applyBorder="1" applyAlignment="1">
      <alignment horizontal="left" vertical="center"/>
    </xf>
    <xf numFmtId="0" fontId="145" fillId="4" borderId="8" xfId="0" applyFont="1" applyFill="1" applyBorder="1" applyAlignment="1">
      <alignment horizontal="left" vertical="center"/>
    </xf>
    <xf numFmtId="0" fontId="145" fillId="4" borderId="0" xfId="0" applyFont="1" applyFill="1" applyAlignment="1">
      <alignment horizontal="left" vertical="center"/>
    </xf>
    <xf numFmtId="0" fontId="142" fillId="18" borderId="12" xfId="2" applyFont="1" applyFill="1" applyBorder="1" applyAlignment="1">
      <alignment vertical="center"/>
    </xf>
    <xf numFmtId="177" fontId="79" fillId="6" borderId="25" xfId="2" applyNumberFormat="1" applyFont="1" applyFill="1" applyBorder="1" applyAlignment="1">
      <alignment horizontal="center" vertical="center" wrapText="1"/>
    </xf>
    <xf numFmtId="0" fontId="72" fillId="6" borderId="22" xfId="2" applyFont="1" applyFill="1" applyBorder="1" applyAlignment="1">
      <alignment horizontal="center" vertical="center"/>
    </xf>
    <xf numFmtId="0" fontId="72" fillId="6" borderId="0" xfId="2" applyFont="1" applyFill="1" applyAlignment="1">
      <alignment horizontal="center" vertical="center"/>
    </xf>
    <xf numFmtId="0" fontId="76" fillId="6" borderId="22" xfId="2" applyFont="1" applyFill="1" applyBorder="1" applyAlignment="1">
      <alignment horizontal="center" vertical="center"/>
    </xf>
    <xf numFmtId="0" fontId="72" fillId="6" borderId="21" xfId="2" applyFont="1" applyFill="1" applyBorder="1" applyAlignment="1">
      <alignment horizontal="center" vertical="center"/>
    </xf>
    <xf numFmtId="0" fontId="72" fillId="16" borderId="21" xfId="2" applyFont="1" applyFill="1" applyBorder="1" applyAlignment="1">
      <alignment horizontal="center" vertical="center"/>
    </xf>
    <xf numFmtId="0" fontId="72" fillId="16" borderId="0" xfId="2" applyFont="1" applyFill="1" applyAlignment="1">
      <alignment horizontal="center" vertical="center"/>
    </xf>
    <xf numFmtId="0" fontId="72" fillId="16" borderId="22" xfId="2" applyFont="1" applyFill="1" applyBorder="1" applyAlignment="1">
      <alignment horizontal="center" vertical="center"/>
    </xf>
    <xf numFmtId="9" fontId="72" fillId="16" borderId="21" xfId="2" applyNumberFormat="1" applyFont="1" applyFill="1" applyBorder="1" applyAlignment="1">
      <alignment horizontal="center" vertical="center"/>
    </xf>
    <xf numFmtId="9" fontId="72" fillId="16" borderId="0" xfId="2" applyNumberFormat="1" applyFont="1" applyFill="1" applyAlignment="1">
      <alignment horizontal="center" vertical="center"/>
    </xf>
    <xf numFmtId="9" fontId="72" fillId="16" borderId="22" xfId="2" applyNumberFormat="1" applyFont="1" applyFill="1" applyBorder="1" applyAlignment="1">
      <alignment horizontal="center" vertical="center"/>
    </xf>
    <xf numFmtId="0" fontId="72" fillId="7" borderId="0" xfId="2" applyFont="1" applyFill="1" applyAlignment="1">
      <alignment horizontal="center" vertical="center"/>
    </xf>
    <xf numFmtId="177" fontId="76" fillId="7" borderId="22" xfId="2" applyNumberFormat="1" applyFont="1" applyFill="1" applyBorder="1" applyAlignment="1">
      <alignment horizontal="center" vertical="center"/>
    </xf>
    <xf numFmtId="177" fontId="72" fillId="7" borderId="0" xfId="2" applyNumberFormat="1" applyFont="1" applyFill="1" applyAlignment="1">
      <alignment horizontal="center" vertical="center"/>
    </xf>
    <xf numFmtId="0" fontId="72" fillId="7" borderId="21" xfId="2" applyFont="1" applyFill="1" applyBorder="1" applyAlignment="1">
      <alignment horizontal="center" vertical="center"/>
    </xf>
    <xf numFmtId="0" fontId="72" fillId="7" borderId="22" xfId="2" applyFont="1" applyFill="1" applyBorder="1" applyAlignment="1">
      <alignment horizontal="center" vertical="center"/>
    </xf>
    <xf numFmtId="0" fontId="73" fillId="7" borderId="21" xfId="2" applyFont="1" applyFill="1" applyBorder="1" applyAlignment="1">
      <alignment horizontal="center" vertical="center"/>
    </xf>
    <xf numFmtId="0" fontId="73" fillId="7" borderId="0" xfId="2" applyFont="1" applyFill="1" applyAlignment="1">
      <alignment horizontal="center" vertical="center"/>
    </xf>
    <xf numFmtId="0" fontId="73" fillId="7" borderId="22" xfId="2" applyFont="1" applyFill="1" applyBorder="1" applyAlignment="1">
      <alignment horizontal="center" vertical="center"/>
    </xf>
    <xf numFmtId="177" fontId="72" fillId="6" borderId="21" xfId="2" applyNumberFormat="1" applyFont="1" applyFill="1" applyBorder="1" applyAlignment="1">
      <alignment horizontal="center" vertical="center"/>
    </xf>
    <xf numFmtId="177" fontId="72" fillId="6" borderId="22" xfId="2" applyNumberFormat="1" applyFont="1" applyFill="1" applyBorder="1" applyAlignment="1">
      <alignment horizontal="center" vertical="center"/>
    </xf>
    <xf numFmtId="177" fontId="72" fillId="6" borderId="0" xfId="2" applyNumberFormat="1" applyFont="1" applyFill="1" applyAlignment="1">
      <alignment horizontal="center" vertical="center"/>
    </xf>
    <xf numFmtId="0" fontId="180" fillId="4" borderId="0" xfId="0" applyFont="1" applyFill="1" applyAlignment="1">
      <alignment horizontal="center" vertical="center"/>
    </xf>
    <xf numFmtId="0" fontId="179" fillId="4" borderId="0" xfId="0" applyFont="1" applyFill="1" applyAlignment="1">
      <alignment horizontal="left" vertical="center"/>
    </xf>
    <xf numFmtId="177" fontId="72" fillId="7" borderId="0" xfId="2" applyNumberFormat="1" applyFont="1" applyFill="1" applyAlignment="1">
      <alignment horizontal="right" vertical="center"/>
    </xf>
    <xf numFmtId="177" fontId="76" fillId="7" borderId="22" xfId="2" applyNumberFormat="1" applyFont="1" applyFill="1" applyBorder="1" applyAlignment="1">
      <alignment horizontal="right" vertical="center"/>
    </xf>
    <xf numFmtId="0" fontId="179" fillId="4" borderId="0" xfId="0" applyFont="1" applyFill="1" applyAlignment="1">
      <alignment horizontal="center" vertical="center"/>
    </xf>
    <xf numFmtId="0" fontId="181" fillId="5" borderId="8" xfId="0" applyFont="1" applyFill="1" applyBorder="1" applyAlignment="1">
      <alignment horizontal="left" vertical="center" indent="2"/>
    </xf>
    <xf numFmtId="0" fontId="132" fillId="5" borderId="9" xfId="0" quotePrefix="1" applyFont="1" applyFill="1" applyBorder="1" applyAlignment="1">
      <alignment horizontal="left" vertical="center" indent="1"/>
    </xf>
    <xf numFmtId="0" fontId="10" fillId="4" borderId="0" xfId="0" quotePrefix="1" applyFont="1" applyFill="1" applyAlignment="1">
      <alignment horizontal="left" vertical="center"/>
    </xf>
    <xf numFmtId="0" fontId="93" fillId="13" borderId="0" xfId="2" applyFont="1" applyFill="1" applyAlignment="1">
      <alignment horizontal="center" vertical="center"/>
    </xf>
    <xf numFmtId="0" fontId="95" fillId="7" borderId="0" xfId="2" applyFont="1" applyFill="1" applyAlignment="1">
      <alignment horizontal="center" vertical="center"/>
    </xf>
    <xf numFmtId="0" fontId="95" fillId="18" borderId="0" xfId="2" applyFont="1" applyFill="1" applyAlignment="1">
      <alignment horizontal="center" vertical="center"/>
    </xf>
    <xf numFmtId="0" fontId="98" fillId="22" borderId="0" xfId="2" applyFont="1" applyFill="1" applyAlignment="1">
      <alignment horizontal="center" vertical="center"/>
    </xf>
    <xf numFmtId="0" fontId="95" fillId="5" borderId="0" xfId="2" applyFont="1" applyFill="1" applyAlignment="1">
      <alignment horizontal="center" vertical="center"/>
    </xf>
    <xf numFmtId="0" fontId="72" fillId="7" borderId="18" xfId="2" applyFont="1" applyFill="1" applyBorder="1" applyAlignment="1">
      <alignment horizontal="center"/>
    </xf>
    <xf numFmtId="0" fontId="72" fillId="7" borderId="19" xfId="2" applyFont="1" applyFill="1" applyBorder="1" applyAlignment="1">
      <alignment horizontal="center"/>
    </xf>
    <xf numFmtId="0" fontId="72" fillId="7" borderId="20" xfId="2" applyFont="1" applyFill="1" applyBorder="1" applyAlignment="1">
      <alignment horizontal="center"/>
    </xf>
    <xf numFmtId="0" fontId="73" fillId="7" borderId="18" xfId="2" applyFont="1" applyFill="1" applyBorder="1" applyAlignment="1">
      <alignment horizontal="center"/>
    </xf>
    <xf numFmtId="0" fontId="73" fillId="7" borderId="19" xfId="2" applyFont="1" applyFill="1" applyBorder="1" applyAlignment="1">
      <alignment horizontal="center"/>
    </xf>
    <xf numFmtId="0" fontId="73" fillId="7" borderId="20" xfId="2" applyFont="1" applyFill="1" applyBorder="1" applyAlignment="1">
      <alignment horizontal="center"/>
    </xf>
    <xf numFmtId="0" fontId="72" fillId="6" borderId="18" xfId="2" applyFont="1" applyFill="1" applyBorder="1" applyAlignment="1">
      <alignment horizontal="center"/>
    </xf>
    <xf numFmtId="0" fontId="72" fillId="6" borderId="19" xfId="2" applyFont="1" applyFill="1" applyBorder="1" applyAlignment="1">
      <alignment horizontal="center"/>
    </xf>
    <xf numFmtId="0" fontId="72" fillId="6" borderId="20" xfId="2" applyFont="1" applyFill="1" applyBorder="1" applyAlignment="1">
      <alignment horizontal="center"/>
    </xf>
    <xf numFmtId="0" fontId="80" fillId="16" borderId="23" xfId="2" applyFont="1" applyFill="1" applyBorder="1" applyAlignment="1">
      <alignment horizontal="center" vertical="center"/>
    </xf>
    <xf numFmtId="0" fontId="80" fillId="16" borderId="24" xfId="2" applyFont="1" applyFill="1" applyBorder="1" applyAlignment="1">
      <alignment horizontal="center" vertical="center"/>
    </xf>
    <xf numFmtId="0" fontId="28" fillId="16" borderId="23" xfId="2" applyFont="1" applyFill="1" applyBorder="1" applyAlignment="1">
      <alignment horizontal="center" vertical="center"/>
    </xf>
    <xf numFmtId="0" fontId="28" fillId="16" borderId="24" xfId="2" applyFont="1" applyFill="1" applyBorder="1" applyAlignment="1">
      <alignment horizontal="center" vertical="center"/>
    </xf>
    <xf numFmtId="0" fontId="77" fillId="7" borderId="23" xfId="2" applyFont="1" applyFill="1" applyBorder="1" applyAlignment="1">
      <alignment horizontal="center" vertical="center"/>
    </xf>
    <xf numFmtId="0" fontId="77" fillId="7" borderId="24" xfId="2" applyFont="1" applyFill="1" applyBorder="1" applyAlignment="1">
      <alignment horizontal="center" vertical="center"/>
    </xf>
    <xf numFmtId="0" fontId="72" fillId="16" borderId="18" xfId="2" applyFont="1" applyFill="1" applyBorder="1" applyAlignment="1">
      <alignment horizontal="center"/>
    </xf>
    <xf numFmtId="0" fontId="72" fillId="16" borderId="19" xfId="2" applyFont="1" applyFill="1" applyBorder="1" applyAlignment="1">
      <alignment horizontal="center"/>
    </xf>
    <xf numFmtId="0" fontId="72" fillId="16" borderId="20" xfId="2" applyFont="1" applyFill="1" applyBorder="1" applyAlignment="1">
      <alignment horizontal="center"/>
    </xf>
    <xf numFmtId="9" fontId="72" fillId="16" borderId="18" xfId="2" applyNumberFormat="1" applyFont="1" applyFill="1" applyBorder="1" applyAlignment="1">
      <alignment horizontal="center"/>
    </xf>
    <xf numFmtId="9" fontId="72" fillId="16" borderId="19" xfId="2" applyNumberFormat="1" applyFont="1" applyFill="1" applyBorder="1" applyAlignment="1">
      <alignment horizontal="center"/>
    </xf>
    <xf numFmtId="9" fontId="72" fillId="16" borderId="20" xfId="2" applyNumberFormat="1" applyFont="1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115" fillId="2" borderId="12" xfId="0" applyFont="1" applyFill="1" applyBorder="1" applyAlignment="1">
      <alignment horizontal="center" vertical="center"/>
    </xf>
    <xf numFmtId="0" fontId="115" fillId="2" borderId="14" xfId="0" applyFont="1" applyFill="1" applyBorder="1" applyAlignment="1">
      <alignment horizontal="center" vertical="center"/>
    </xf>
    <xf numFmtId="0" fontId="115" fillId="2" borderId="13" xfId="0" applyFont="1" applyFill="1" applyBorder="1" applyAlignment="1">
      <alignment horizontal="center" vertical="center"/>
    </xf>
    <xf numFmtId="0" fontId="10" fillId="0" borderId="0" xfId="2" applyFont="1"/>
    <xf numFmtId="0" fontId="10" fillId="2" borderId="0" xfId="2" applyFont="1" applyFill="1"/>
    <xf numFmtId="0" fontId="183" fillId="4" borderId="0" xfId="0" applyFont="1" applyFill="1" applyAlignment="1">
      <alignment horizontal="center" vertical="center"/>
    </xf>
  </cellXfs>
  <cellStyles count="4">
    <cellStyle name="一般" xfId="0" builtinId="0"/>
    <cellStyle name="一般 3 2" xfId="2" xr:uid="{703AF641-2554-41E3-A1E3-F082EFEA06AE}"/>
    <cellStyle name="一般 4" xfId="1" xr:uid="{D00E67AF-1809-4A9B-A488-D9A10688594D}"/>
    <cellStyle name="超連結" xfId="3" builtinId="8"/>
  </cellStyles>
  <dxfs count="78">
    <dxf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7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266699</xdr:rowOff>
    </xdr:from>
    <xdr:to>
      <xdr:col>10</xdr:col>
      <xdr:colOff>487244</xdr:colOff>
      <xdr:row>13</xdr:row>
      <xdr:rowOff>85724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D3E5373-57E5-867F-CDCE-2F8686A64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66699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</xdr:colOff>
      <xdr:row>0</xdr:row>
      <xdr:rowOff>234147</xdr:rowOff>
    </xdr:from>
    <xdr:to>
      <xdr:col>21</xdr:col>
      <xdr:colOff>485775</xdr:colOff>
      <xdr:row>15</xdr:row>
      <xdr:rowOff>28575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D326ACD-4427-6445-E660-7E03E8768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4" y="234147"/>
          <a:ext cx="8020051" cy="37949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60</xdr:row>
      <xdr:rowOff>0</xdr:rowOff>
    </xdr:from>
    <xdr:to>
      <xdr:col>35</xdr:col>
      <xdr:colOff>428625</xdr:colOff>
      <xdr:row>60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4E8E7847-1A49-4271-BC33-21F00D98D0C0}"/>
            </a:ext>
          </a:extLst>
        </xdr:cNvPr>
        <xdr:cNvCxnSpPr/>
      </xdr:nvCxnSpPr>
      <xdr:spPr>
        <a:xfrm>
          <a:off x="36556950" y="2413635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400050</xdr:rowOff>
    </xdr:from>
    <xdr:to>
      <xdr:col>35</xdr:col>
      <xdr:colOff>428625</xdr:colOff>
      <xdr:row>61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C39F15FA-B39C-4A2D-8C38-6BC55C9EF078}"/>
            </a:ext>
          </a:extLst>
        </xdr:cNvPr>
        <xdr:cNvCxnSpPr/>
      </xdr:nvCxnSpPr>
      <xdr:spPr>
        <a:xfrm>
          <a:off x="36556950" y="249459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62</xdr:row>
      <xdr:rowOff>85725</xdr:rowOff>
    </xdr:from>
    <xdr:to>
      <xdr:col>35</xdr:col>
      <xdr:colOff>428625</xdr:colOff>
      <xdr:row>62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C5C0805-B4D5-4E8C-ADCA-8D54AE408FA5}"/>
            </a:ext>
          </a:extLst>
        </xdr:cNvPr>
        <xdr:cNvCxnSpPr/>
      </xdr:nvCxnSpPr>
      <xdr:spPr>
        <a:xfrm>
          <a:off x="37099875" y="2504122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7161;&#38899;.xlsx" TargetMode="External"/><Relationship Id="rId1" Type="http://schemas.openxmlformats.org/officeDocument/2006/relationships/externalLinkPath" Target="&#37749;&#30436;&#35373;&#35336;&#35215;&#26684;_&#27827;&#27931;&#2716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使用按鍵解析"/>
      <sheetName val="RIME設定解析"/>
      <sheetName val=" 河洛標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注音符號對映表"/>
      <sheetName val="RIME對映編碼"/>
      <sheetName val="鍵盤圖"/>
    </sheetNames>
    <sheetDataSet>
      <sheetData sheetId="0"/>
      <sheetData sheetId="1">
        <row r="3">
          <cell r="U3" t="str">
            <v>1</v>
          </cell>
          <cell r="W3" t="str">
            <v>p</v>
          </cell>
        </row>
        <row r="4">
          <cell r="U4" t="str">
            <v>!</v>
          </cell>
          <cell r="W4" t="str">
            <v>b</v>
          </cell>
        </row>
        <row r="5">
          <cell r="U5" t="str">
            <v>q</v>
          </cell>
          <cell r="W5" t="str">
            <v>P</v>
          </cell>
        </row>
        <row r="6">
          <cell r="U6" t="str">
            <v>a</v>
          </cell>
          <cell r="W6" t="str">
            <v>m</v>
          </cell>
        </row>
        <row r="7">
          <cell r="U7" t="str">
            <v>2</v>
          </cell>
          <cell r="W7" t="str">
            <v>t</v>
          </cell>
        </row>
        <row r="8">
          <cell r="U8" t="str">
            <v>w</v>
          </cell>
          <cell r="W8" t="str">
            <v>T</v>
          </cell>
        </row>
        <row r="9">
          <cell r="U9" t="str">
            <v>s</v>
          </cell>
          <cell r="W9" t="str">
            <v>n</v>
          </cell>
        </row>
        <row r="10">
          <cell r="U10" t="str">
            <v>x</v>
          </cell>
          <cell r="W10" t="str">
            <v>l</v>
          </cell>
        </row>
        <row r="11">
          <cell r="U11" t="str">
            <v>e</v>
          </cell>
          <cell r="W11" t="str">
            <v>k</v>
          </cell>
        </row>
        <row r="12">
          <cell r="U12" t="str">
            <v>E</v>
          </cell>
          <cell r="W12" t="str">
            <v>g</v>
          </cell>
        </row>
        <row r="13">
          <cell r="U13" t="str">
            <v>d</v>
          </cell>
          <cell r="W13" t="str">
            <v>K</v>
          </cell>
        </row>
        <row r="14">
          <cell r="U14" t="str">
            <v>c</v>
          </cell>
          <cell r="W14" t="str">
            <v>h</v>
          </cell>
        </row>
        <row r="15">
          <cell r="U15" t="str">
            <v>b</v>
          </cell>
          <cell r="W15" t="str">
            <v>j</v>
          </cell>
        </row>
        <row r="16">
          <cell r="U16" t="str">
            <v>y</v>
          </cell>
          <cell r="W16" t="str">
            <v>z</v>
          </cell>
        </row>
        <row r="17">
          <cell r="U17" t="str">
            <v>h</v>
          </cell>
          <cell r="W17" t="str">
            <v>c</v>
          </cell>
        </row>
        <row r="18">
          <cell r="U18" t="str">
            <v>n</v>
          </cell>
          <cell r="W18" t="str">
            <v>s</v>
          </cell>
        </row>
        <row r="19">
          <cell r="U19" t="str">
            <v>B</v>
          </cell>
          <cell r="W19" t="str">
            <v>J</v>
          </cell>
        </row>
        <row r="20">
          <cell r="U20" t="str">
            <v>Y</v>
          </cell>
          <cell r="W20" t="str">
            <v>Z</v>
          </cell>
        </row>
        <row r="21">
          <cell r="U21" t="str">
            <v>H</v>
          </cell>
          <cell r="W21" t="str">
            <v>C</v>
          </cell>
        </row>
        <row r="22">
          <cell r="U22" t="str">
            <v>N</v>
          </cell>
          <cell r="W22" t="str">
            <v>S</v>
          </cell>
        </row>
        <row r="23">
          <cell r="U23" t="str">
            <v>?</v>
          </cell>
          <cell r="W23" t="str">
            <v>w</v>
          </cell>
        </row>
        <row r="24">
          <cell r="U24" t="str">
            <v>u</v>
          </cell>
          <cell r="W24" t="str">
            <v>i</v>
          </cell>
        </row>
        <row r="25">
          <cell r="U25" t="str">
            <v>j</v>
          </cell>
          <cell r="W25" t="str">
            <v>u</v>
          </cell>
        </row>
        <row r="26">
          <cell r="U26" t="str">
            <v>m</v>
          </cell>
          <cell r="W26" t="str">
            <v>M</v>
          </cell>
        </row>
        <row r="27">
          <cell r="U27" t="str">
            <v>8</v>
          </cell>
          <cell r="W27" t="str">
            <v>a</v>
          </cell>
        </row>
        <row r="28">
          <cell r="U28" t="str">
            <v>i</v>
          </cell>
          <cell r="W28" t="str">
            <v>O</v>
          </cell>
        </row>
        <row r="29">
          <cell r="U29" t="str">
            <v>k</v>
          </cell>
          <cell r="W29" t="str">
            <v>o</v>
          </cell>
        </row>
        <row r="30">
          <cell r="U30" t="str">
            <v>,</v>
          </cell>
          <cell r="W30" t="str">
            <v>e</v>
          </cell>
        </row>
        <row r="31">
          <cell r="U31" t="str">
            <v>9</v>
          </cell>
          <cell r="W31" t="str">
            <v>y</v>
          </cell>
        </row>
        <row r="32">
          <cell r="U32" t="str">
            <v>l</v>
          </cell>
          <cell r="W32" t="str">
            <v>x</v>
          </cell>
        </row>
        <row r="33">
          <cell r="U33" t="str">
            <v>.</v>
          </cell>
          <cell r="W33" t="str">
            <v>B</v>
          </cell>
        </row>
        <row r="34">
          <cell r="U34" t="str">
            <v>0</v>
          </cell>
          <cell r="W34" t="str">
            <v>@</v>
          </cell>
        </row>
        <row r="35">
          <cell r="U35" t="str">
            <v>p</v>
          </cell>
          <cell r="W35" t="str">
            <v>N</v>
          </cell>
        </row>
        <row r="36">
          <cell r="U36" t="str">
            <v>;</v>
          </cell>
          <cell r="W36" t="str">
            <v>[</v>
          </cell>
        </row>
        <row r="37">
          <cell r="U37" t="str">
            <v>/</v>
          </cell>
          <cell r="W37" t="str">
            <v>W</v>
          </cell>
        </row>
        <row r="38">
          <cell r="U38" t="str">
            <v>-</v>
          </cell>
          <cell r="W38" t="str">
            <v>R</v>
          </cell>
        </row>
        <row r="39">
          <cell r="U39" t="str">
            <v>U</v>
          </cell>
          <cell r="W39" t="str">
            <v>I</v>
          </cell>
        </row>
        <row r="40">
          <cell r="U40" t="str">
            <v>J</v>
          </cell>
          <cell r="W40" t="str">
            <v>U</v>
          </cell>
        </row>
        <row r="41">
          <cell r="U41" t="str">
            <v>*</v>
          </cell>
          <cell r="W41" t="str">
            <v>A</v>
          </cell>
        </row>
        <row r="42">
          <cell r="U42" t="str">
            <v>I</v>
          </cell>
          <cell r="W42" t="str">
            <v>Q</v>
          </cell>
        </row>
        <row r="43">
          <cell r="U43" t="str">
            <v>&lt;</v>
          </cell>
          <cell r="W43" t="str">
            <v>E</v>
          </cell>
        </row>
        <row r="44">
          <cell r="U44" t="str">
            <v>(</v>
          </cell>
          <cell r="W44" t="str">
            <v>Y</v>
          </cell>
        </row>
        <row r="45">
          <cell r="U45" t="str">
            <v>L</v>
          </cell>
          <cell r="W45" t="str">
            <v>X</v>
          </cell>
        </row>
        <row r="46">
          <cell r="U46" t="str">
            <v>O</v>
          </cell>
          <cell r="W46" t="str">
            <v>}</v>
          </cell>
        </row>
        <row r="47">
          <cell r="U47" t="str">
            <v>A</v>
          </cell>
          <cell r="W47" t="str">
            <v>{</v>
          </cell>
        </row>
        <row r="48">
          <cell r="U48" t="str">
            <v>:</v>
          </cell>
          <cell r="W48" t="str">
            <v>]</v>
          </cell>
        </row>
        <row r="49">
          <cell r="U49" t="str">
            <v xml:space="preserve"> </v>
          </cell>
          <cell r="W49" t="str">
            <v>1</v>
          </cell>
        </row>
        <row r="50">
          <cell r="U50" t="str">
            <v>4</v>
          </cell>
          <cell r="W50" t="str">
            <v>2</v>
          </cell>
        </row>
        <row r="51">
          <cell r="U51" t="str">
            <v>3</v>
          </cell>
          <cell r="W51" t="str">
            <v>3</v>
          </cell>
        </row>
        <row r="52">
          <cell r="U52" t="str">
            <v>6</v>
          </cell>
          <cell r="W52" t="str">
            <v>5</v>
          </cell>
        </row>
        <row r="53">
          <cell r="U53" t="str">
            <v>5</v>
          </cell>
          <cell r="W53" t="str">
            <v>7</v>
          </cell>
        </row>
        <row r="54">
          <cell r="U54" t="str">
            <v>7</v>
          </cell>
          <cell r="W54" t="str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H59" totalsRowShown="0" headerRowBorderDxfId="77" tableBorderDxfId="76">
  <autoFilter ref="B2:H59" xr:uid="{779076CF-6DEF-4E4E-89FE-E37B7352A3DC}"/>
  <tableColumns count="7">
    <tableColumn id="1" xr3:uid="{7ED75D5E-652B-4A3F-A63F-E28CD639A2D8}" name="序號" dataDxfId="75">
      <calculatedColumnFormula>ROW() - 2</calculatedColumnFormula>
    </tableColumn>
    <tableColumn id="7" xr3:uid="{F4C14CB4-A82C-41D9-AF30-BE553CA46FA3}" name="國際音標" dataDxfId="74"/>
    <tableColumn id="6" xr3:uid="{5020FE3A-F6A8-4B02-9B83-6BADE97A0BE0}" name="台語音標" dataDxfId="73"/>
    <tableColumn id="10" xr3:uid="{DA350350-8F6D-4C8C-83BA-6A539A0C0C5C}" name="注音二式" dataDxfId="72">
      <calculatedColumnFormula array="1" xml:space="preserve"> INDEX(#REF!, MATCH(TRUE, EXACT(注音編碼對照表[[#This Row],[方音符號]],#REF!),0) )</calculatedColumnFormula>
    </tableColumn>
    <tableColumn id="4" xr3:uid="{529434D2-88AB-4124-93AE-208E9AF52CB4}" name="方音符號" dataDxfId="4"/>
    <tableColumn id="2" xr3:uid="{A7CD0E37-FA88-4B7F-9344-02DCFD03CA57}" name="鍵盤按鍵" dataDxfId="71">
      <calculatedColumnFormula xml:space="preserve"> IFERROR( INDEX(#REF!, MATCH($AB3,#REF!, 0)), "")</calculatedColumnFormula>
    </tableColumn>
    <tableColumn id="3" xr3:uid="{5803CFB3-58F1-42C5-8A9B-67D4C055A271}" name="按鍵編碼" dataDxfId="70">
      <calculatedColumnFormula xml:space="preserve"> IFERROR( INDEX(#REF!, MATCH($AB3,#REF!, 0)), 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J2:P8" totalsRowShown="0" headerRowDxfId="69" dataDxfId="67" headerRowBorderDxfId="68" tableBorderDxfId="66" totalsRowBorderDxfId="65">
  <autoFilter ref="J2:P8" xr:uid="{6A40958B-9384-4E59-AE7A-3C944257DC11}"/>
  <tableColumns count="7">
    <tableColumn id="1" xr3:uid="{8F368751-5DB2-45B7-AEA8-1EA789D18D9E}" name="發音部位" dataDxfId="64"/>
    <tableColumn id="2" xr3:uid="{565C2DE6-6770-43E6-8E08-95DB3D74F449}" name="塞音_x000a_(不送氣)" dataDxfId="63"/>
    <tableColumn id="3" xr3:uid="{C60AB197-3C88-4553-AC8F-FA44CBAED771}" name="塞音_x000a_(送氣)" dataDxfId="62"/>
    <tableColumn id="4" xr3:uid="{D3AC809B-436F-4540-B125-7D7963B95663}" name="濁音" dataDxfId="61"/>
    <tableColumn id="5" xr3:uid="{E45EF470-ADED-4F00-ADA7-0F1E5230D10E}" name="鼻音" dataDxfId="60"/>
    <tableColumn id="6" xr3:uid="{67CD2B7D-B586-43C6-A726-BDF60FE9AE6C}" name="擦音" dataDxfId="59"/>
    <tableColumn id="7" xr3:uid="{0BF3A333-A1A0-4499-BCC9-FE62942F95E5}" name="邊音" dataDxfId="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6A4BE-CA72-47DE-AE0C-9F97AD29E366}" name="表格1" displayName="表格1" ref="C4:G56" totalsRowShown="0" tableBorderDxfId="57">
  <autoFilter ref="C4:G56" xr:uid="{CBD99B6E-1695-45CA-A35A-919D424705A0}"/>
  <tableColumns count="5">
    <tableColumn id="1" xr3:uid="{23C441A4-A9BF-4AF3-9A00-C54EFA849863}" name="按鍵字元" dataDxfId="56"/>
    <tableColumn id="2" xr3:uid="{BF68382C-29B0-42B3-B1E7-6BBFB43FDBF8}" name="注音符號" dataDxfId="55"/>
    <tableColumn id="3" xr3:uid="{53638260-1BF6-4965-A4AE-956982740802}" name="方音符號" dataDxfId="54"/>
    <tableColumn id="4" xr3:uid="{DCF6B5DB-F2BF-4A75-8F81-445A20F5EFEC}" name="音標編碼" dataDxfId="53"/>
    <tableColumn id="5" xr3:uid="{138EEA27-F029-4B76-B6E7-B073EAAE87F1}" name="台語音標" dataDxfId="5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3" totalsRowShown="0" headerRowDxfId="51" dataDxfId="50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49">
      <calculatedColumnFormula xml:space="preserve"> J3</calculatedColumnFormula>
    </tableColumn>
    <tableColumn id="4" xr3:uid="{7407D282-3312-489C-B29B-19D43E4E79D6}" name="注音編碼" dataDxfId="48" dataCellStyle="一般 4">
      <calculatedColumnFormula>I3</calculatedColumnFormula>
    </tableColumn>
    <tableColumn id="2" xr3:uid="{DAFEC160-B656-4EE0-9837-61A87BB277BC}" name="注音符號" dataDxfId="47" dataCellStyle="一般 4">
      <calculatedColumnFormula array="1" xml:space="preserve"> INDEX(#REF!, MATCH(TRUE, EXACT(表格1_33411[[#This Row],[注音編碼]], 注音編碼對照表[按鍵編碼]), 0))</calculatedColumnFormula>
    </tableColumn>
    <tableColumn id="3" xr3:uid="{716636BA-FE9C-4F70-80B3-61C875130210}" name="台語音標" dataDxfId="46" dataCellStyle="一般 4">
      <calculatedColumnFormula array="1" xml:space="preserve"> INDEX(注音編碼對照表!$D$3:$D$59, MATCH(TRUE, EXACT(表格1_33411[[#This Row],[注音編碼]], 注音編碼對照表!$H$3:$H$55), 0))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45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44">
      <calculatedColumnFormula>H3</calculatedColumnFormula>
    </tableColumn>
    <tableColumn id="4" xr3:uid="{52141FD4-4282-4655-8FDB-25D018179FEA}" name="字典編碼" dataDxfId="43" dataCellStyle="一般 4">
      <calculatedColumnFormula>G3</calculatedColumnFormula>
    </tableColumn>
    <tableColumn id="2" xr3:uid="{59B967E3-C71C-4CF6-991D-C8F093BAB101}" name="方音符號" dataDxfId="42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1" dataDxfId="39" headerRowBorderDxfId="40" tableBorderDxfId="38" totalsRowBorderDxfId="37">
  <autoFilter ref="B3:H9" xr:uid="{CB332761-5FFA-4AA1-A510-7EB68827E47D}"/>
  <tableColumns count="7">
    <tableColumn id="1" xr3:uid="{D99DF20F-51FB-47D5-B4CC-DA04A48AAC2D}" name="發音部位" dataDxfId="36"/>
    <tableColumn id="2" xr3:uid="{6BC15A71-E0D5-404C-A6A6-8B01367E9B89}" name="塞音(不送氣)" dataDxfId="35"/>
    <tableColumn id="3" xr3:uid="{44295C3E-0304-4D25-AA15-E5C51BA36FD4}" name="塞音(送氣)" dataDxfId="34"/>
    <tableColumn id="4" xr3:uid="{F4CC72CD-7170-4DE4-8D5A-C18C426CA527}" name="濁音" dataDxfId="33"/>
    <tableColumn id="5" xr3:uid="{CE151E5C-E9DA-4A02-AD63-353CCFA6087C}" name="鼻音" dataDxfId="32"/>
    <tableColumn id="6" xr3:uid="{69AB656D-E99F-4EEB-9854-42DF77ECEB05}" name="擦音" dataDxfId="31"/>
    <tableColumn id="7" xr3:uid="{F61BA027-9E56-47A1-8224-3F0734C11F32}" name="邊音" dataDxfId="3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29" dataDxfId="27" headerRowBorderDxfId="28" tableBorderDxfId="26" totalsRowBorderDxfId="25">
  <tableColumns count="20">
    <tableColumn id="1" xr3:uid="{D5BB5D32-B8B3-4985-99FE-4CAE416F8896}" name="韻腹" dataDxfId="24"/>
    <tableColumn id="2" xr3:uid="{2E75F452-C9EB-485A-898D-31B0B52F386A}" name="a" dataDxfId="23"/>
    <tableColumn id="3" xr3:uid="{232D45FA-6A65-4DC6-83E0-957B07FDBA26}" name="aɪ" dataDxfId="22"/>
    <tableColumn id="4" xr3:uid="{70955649-D6B5-40D6-8690-B978B91DB6A6}" name="aʊ" dataDxfId="21"/>
    <tableColumn id="5" xr3:uid="{17517C7F-5843-41D1-B4A0-D822E2A05A3F}" name="e" dataDxfId="20"/>
    <tableColumn id="6" xr3:uid="{A32FB388-F51D-4A09-8143-A8FE8C2735DE}" name="i" dataDxfId="19"/>
    <tableColumn id="7" xr3:uid="{0E349367-F4AB-4C53-8AD3-78E3A14DA801}" name="ɪa" dataDxfId="18"/>
    <tableColumn id="8" xr3:uid="{79DEC6A5-E8D0-4D21-9F9D-F46FE120B69D}" name="ɪaʊ" dataDxfId="17"/>
    <tableColumn id="9" xr3:uid="{9744BF02-11F5-4A49-94C9-F7ABD46F3CF7}" name="ɪə" dataDxfId="16"/>
    <tableColumn id="10" xr3:uid="{7ECBA68D-4E2D-4AE6-95E9-14B150FB60F3}" name="ɪɔ" dataDxfId="15"/>
    <tableColumn id="11" xr3:uid="{AA74AB0B-66F4-4084-A3FE-D313C4537337}" name="iu" dataDxfId="14"/>
    <tableColumn id="12" xr3:uid="{952CA3C9-B72B-4B4A-8975-0116A219DC35}" name="ə" dataDxfId="13"/>
    <tableColumn id="13" xr3:uid="{889BAAAD-336F-4D7B-A274-546C3C9BAC2F}" name="ɔ" dataDxfId="12"/>
    <tableColumn id="14" xr3:uid="{91C2AF01-8439-4A47-A026-6CDF055DF255}" name="u" dataDxfId="11"/>
    <tableColumn id="15" xr3:uid="{5AC88F01-3D1A-4AB5-A9A0-C569C4DDA3AA}" name="ua" dataDxfId="10"/>
    <tableColumn id="16" xr3:uid="{53FD8BAA-0AD0-4BA5-A488-E8FBF6E3B776}" name="uaɪ" dataDxfId="9"/>
    <tableColumn id="17" xr3:uid="{AA997DB6-667B-42B6-9983-F5C6536CECFC}" name="ue" dataDxfId="8"/>
    <tableColumn id="18" xr3:uid="{07146182-EDC0-48F7-B098-DF65D5099290}" name="ui" dataDxfId="7"/>
    <tableColumn id="19" xr3:uid="{C0F0792E-1F02-4269-AD48-9C7CAC2FFDA8}" name="m̩" dataDxfId="6"/>
    <tableColumn id="20" xr3:uid="{CC92EBF2-6977-48AE-A3D3-E116BF9C29F9}" name="ŋ̍" dataDxfId="5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xlit%7CpbPmtTnlkgKhzcsjZCSwiuMaOoeyxB@N[WRIUAQEYX%7D%7B]123570%7C1!qa2wsxeEdcyhnbYHN?ujm8ik,9l.0p;/-UJ*I%3c(LOA:%2043657|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5C73-B89C-4939-8958-CA283A1AD30D}">
  <dimension ref="A1"/>
  <sheetViews>
    <sheetView workbookViewId="0">
      <selection activeCell="Q20" sqref="Q20"/>
    </sheetView>
  </sheetViews>
  <sheetFormatPr defaultRowHeight="21"/>
  <sheetData/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T100"/>
  <sheetViews>
    <sheetView tabSelected="1" workbookViewId="0">
      <pane ySplit="2" topLeftCell="A44" activePane="bottomLeft" state="frozen"/>
      <selection pane="bottomLeft" activeCell="P55" sqref="P55"/>
    </sheetView>
  </sheetViews>
  <sheetFormatPr defaultRowHeight="23.25"/>
  <cols>
    <col min="2" max="2" width="6.3984375" style="2" customWidth="1"/>
    <col min="3" max="3" width="10.69921875" style="474" customWidth="1"/>
    <col min="4" max="4" width="10.69921875" style="11" customWidth="1"/>
    <col min="5" max="6" width="10.69921875" style="372" customWidth="1"/>
    <col min="7" max="7" width="10.69921875" customWidth="1"/>
    <col min="9" max="9" width="10.69921875" customWidth="1"/>
    <col min="11" max="12" width="10.59765625" style="372" customWidth="1"/>
    <col min="14" max="14" width="10.59765625" style="11" customWidth="1"/>
    <col min="17" max="17" width="10.59765625" style="361" customWidth="1"/>
    <col min="21" max="26" width="9.69921875" customWidth="1"/>
  </cols>
  <sheetData>
    <row r="1" spans="2:17" ht="32.25">
      <c r="B1" s="7" t="s">
        <v>5</v>
      </c>
      <c r="C1" s="139"/>
      <c r="D1" s="138"/>
      <c r="E1" s="8"/>
      <c r="F1" s="8"/>
      <c r="G1" s="139"/>
      <c r="H1" s="139"/>
      <c r="K1"/>
      <c r="L1"/>
      <c r="N1"/>
      <c r="Q1"/>
    </row>
    <row r="2" spans="2:17" ht="33">
      <c r="B2" s="424" t="s">
        <v>14</v>
      </c>
      <c r="C2" s="427" t="s">
        <v>705</v>
      </c>
      <c r="D2" s="427" t="s">
        <v>388</v>
      </c>
      <c r="E2" s="502" t="s">
        <v>902</v>
      </c>
      <c r="F2" s="502" t="s">
        <v>386</v>
      </c>
      <c r="G2" s="425" t="s">
        <v>19</v>
      </c>
      <c r="H2" s="426" t="s">
        <v>903</v>
      </c>
      <c r="J2" s="433" t="s">
        <v>688</v>
      </c>
      <c r="K2" s="434" t="s">
        <v>703</v>
      </c>
      <c r="L2" s="434" t="s">
        <v>704</v>
      </c>
      <c r="M2" s="435" t="s">
        <v>657</v>
      </c>
      <c r="N2" s="435" t="s">
        <v>658</v>
      </c>
      <c r="O2" s="435" t="s">
        <v>659</v>
      </c>
      <c r="P2" s="436" t="s">
        <v>660</v>
      </c>
      <c r="Q2"/>
    </row>
    <row r="3" spans="2:17" ht="32.25">
      <c r="B3" s="25">
        <f>ROW() - 2</f>
        <v>1</v>
      </c>
      <c r="C3" s="465" t="s">
        <v>706</v>
      </c>
      <c r="D3" s="429" t="s">
        <v>217</v>
      </c>
      <c r="E3" s="525" t="s">
        <v>190</v>
      </c>
      <c r="F3" s="26" t="s">
        <v>20</v>
      </c>
      <c r="G3" s="109" t="s">
        <v>361</v>
      </c>
      <c r="H3" s="428" t="s">
        <v>28</v>
      </c>
      <c r="J3" s="441" t="s">
        <v>661</v>
      </c>
      <c r="K3" s="437" t="s">
        <v>662</v>
      </c>
      <c r="L3" s="437" t="s">
        <v>663</v>
      </c>
      <c r="M3" s="437" t="s">
        <v>664</v>
      </c>
      <c r="N3" s="437" t="s">
        <v>665</v>
      </c>
      <c r="O3" s="437"/>
      <c r="P3" s="438"/>
      <c r="Q3"/>
    </row>
    <row r="4" spans="2:17" ht="32.25">
      <c r="B4" s="31">
        <f t="shared" ref="B4:B72" si="0">ROW() - 2</f>
        <v>2</v>
      </c>
      <c r="C4" s="466" t="s">
        <v>723</v>
      </c>
      <c r="D4" s="430" t="s">
        <v>392</v>
      </c>
      <c r="E4" s="526" t="s">
        <v>217</v>
      </c>
      <c r="F4" s="32" t="s">
        <v>23</v>
      </c>
      <c r="G4" s="71" t="s">
        <v>353</v>
      </c>
      <c r="H4" s="354" t="s">
        <v>21</v>
      </c>
      <c r="J4" s="441" t="s">
        <v>666</v>
      </c>
      <c r="K4" s="437" t="s">
        <v>667</v>
      </c>
      <c r="L4" s="437" t="s">
        <v>668</v>
      </c>
      <c r="M4" s="437"/>
      <c r="N4" s="437" t="s">
        <v>669</v>
      </c>
      <c r="O4" s="437"/>
      <c r="P4" s="438" t="s">
        <v>670</v>
      </c>
      <c r="Q4"/>
    </row>
    <row r="5" spans="2:17" ht="32.25">
      <c r="B5" s="31">
        <f t="shared" si="0"/>
        <v>3</v>
      </c>
      <c r="C5" s="466" t="s">
        <v>708</v>
      </c>
      <c r="D5" s="430" t="s">
        <v>190</v>
      </c>
      <c r="E5" s="526" t="s">
        <v>856</v>
      </c>
      <c r="F5" s="32" t="s">
        <v>27</v>
      </c>
      <c r="G5" s="71" t="s">
        <v>394</v>
      </c>
      <c r="H5" s="354" t="s">
        <v>218</v>
      </c>
      <c r="J5" s="441" t="s">
        <v>671</v>
      </c>
      <c r="K5" s="437" t="s">
        <v>672</v>
      </c>
      <c r="L5" s="437" t="s">
        <v>673</v>
      </c>
      <c r="M5" s="437" t="s">
        <v>674</v>
      </c>
      <c r="N5" s="437"/>
      <c r="O5" s="437" t="s">
        <v>675</v>
      </c>
      <c r="P5" s="438"/>
      <c r="Q5"/>
    </row>
    <row r="6" spans="2:17" ht="32.25">
      <c r="B6" s="41">
        <f t="shared" si="0"/>
        <v>4</v>
      </c>
      <c r="C6" s="467" t="s">
        <v>707</v>
      </c>
      <c r="D6" s="432" t="s">
        <v>143</v>
      </c>
      <c r="E6" s="527" t="s">
        <v>143</v>
      </c>
      <c r="F6" s="42" t="s">
        <v>83</v>
      </c>
      <c r="G6" s="73" t="s">
        <v>351</v>
      </c>
      <c r="H6" s="431" t="s">
        <v>143</v>
      </c>
      <c r="J6" s="441" t="s">
        <v>676</v>
      </c>
      <c r="K6" s="437" t="s">
        <v>677</v>
      </c>
      <c r="L6" s="437" t="s">
        <v>678</v>
      </c>
      <c r="M6" s="437" t="s">
        <v>679</v>
      </c>
      <c r="N6" s="437"/>
      <c r="O6" s="437" t="s">
        <v>680</v>
      </c>
      <c r="P6" s="438"/>
      <c r="Q6"/>
    </row>
    <row r="7" spans="2:17" ht="32.25">
      <c r="B7" s="25">
        <f t="shared" si="0"/>
        <v>5</v>
      </c>
      <c r="C7" s="465" t="s">
        <v>709</v>
      </c>
      <c r="D7" s="429" t="s">
        <v>30</v>
      </c>
      <c r="E7" s="525" t="s">
        <v>309</v>
      </c>
      <c r="F7" s="26" t="s">
        <v>29</v>
      </c>
      <c r="G7" s="109" t="s">
        <v>347</v>
      </c>
      <c r="H7" s="428" t="s">
        <v>328</v>
      </c>
      <c r="J7" s="441" t="s">
        <v>681</v>
      </c>
      <c r="K7" s="437" t="s">
        <v>682</v>
      </c>
      <c r="L7" s="437" t="s">
        <v>683</v>
      </c>
      <c r="M7" s="437" t="s">
        <v>684</v>
      </c>
      <c r="N7" s="437" t="s">
        <v>685</v>
      </c>
      <c r="O7" s="437"/>
      <c r="P7" s="438"/>
      <c r="Q7"/>
    </row>
    <row r="8" spans="2:17" ht="32.25">
      <c r="B8" s="31">
        <f t="shared" si="0"/>
        <v>6</v>
      </c>
      <c r="C8" s="466" t="s">
        <v>724</v>
      </c>
      <c r="D8" s="430" t="s">
        <v>32</v>
      </c>
      <c r="E8" s="526" t="s">
        <v>30</v>
      </c>
      <c r="F8" s="32" t="s">
        <v>31</v>
      </c>
      <c r="G8" s="71" t="s">
        <v>341</v>
      </c>
      <c r="H8" s="354" t="s">
        <v>340</v>
      </c>
      <c r="J8" s="442" t="s">
        <v>686</v>
      </c>
      <c r="K8" s="439"/>
      <c r="L8" s="439"/>
      <c r="M8" s="439"/>
      <c r="N8" s="439"/>
      <c r="O8" s="439" t="s">
        <v>687</v>
      </c>
      <c r="P8" s="440"/>
      <c r="Q8"/>
    </row>
    <row r="9" spans="2:17" ht="32.25">
      <c r="B9" s="31">
        <f t="shared" si="0"/>
        <v>7</v>
      </c>
      <c r="C9" s="466" t="s">
        <v>710</v>
      </c>
      <c r="D9" s="430" t="s">
        <v>34</v>
      </c>
      <c r="E9" s="526" t="s">
        <v>34</v>
      </c>
      <c r="F9" s="32" t="s">
        <v>33</v>
      </c>
      <c r="G9" s="71" t="s">
        <v>338</v>
      </c>
      <c r="H9" s="354" t="s">
        <v>34</v>
      </c>
      <c r="K9"/>
      <c r="L9"/>
      <c r="N9"/>
      <c r="Q9"/>
    </row>
    <row r="10" spans="2:17" ht="32.25">
      <c r="B10" s="41">
        <f t="shared" si="0"/>
        <v>8</v>
      </c>
      <c r="C10" s="467" t="s">
        <v>711</v>
      </c>
      <c r="D10" s="432" t="s">
        <v>86</v>
      </c>
      <c r="E10" s="527" t="s">
        <v>86</v>
      </c>
      <c r="F10" s="42" t="s">
        <v>85</v>
      </c>
      <c r="G10" s="73" t="s">
        <v>332</v>
      </c>
      <c r="H10" s="431" t="s">
        <v>86</v>
      </c>
      <c r="K10"/>
      <c r="L10"/>
      <c r="N10"/>
      <c r="Q10"/>
    </row>
    <row r="11" spans="2:17" ht="32.25">
      <c r="B11" s="25">
        <f t="shared" si="0"/>
        <v>9</v>
      </c>
      <c r="C11" s="465" t="s">
        <v>720</v>
      </c>
      <c r="D11" s="429" t="s">
        <v>37</v>
      </c>
      <c r="E11" s="525" t="s">
        <v>184</v>
      </c>
      <c r="F11" s="26" t="s">
        <v>36</v>
      </c>
      <c r="G11" s="109" t="s">
        <v>329</v>
      </c>
      <c r="H11" s="428" t="s">
        <v>42</v>
      </c>
      <c r="K11"/>
      <c r="L11"/>
      <c r="N11"/>
      <c r="Q11"/>
    </row>
    <row r="12" spans="2:17" ht="32.25">
      <c r="B12" s="31">
        <f t="shared" si="0"/>
        <v>10</v>
      </c>
      <c r="C12" s="466" t="s">
        <v>725</v>
      </c>
      <c r="D12" s="430" t="s">
        <v>418</v>
      </c>
      <c r="E12" s="526" t="s">
        <v>37</v>
      </c>
      <c r="F12" s="32" t="s">
        <v>38</v>
      </c>
      <c r="G12" s="71" t="s">
        <v>309</v>
      </c>
      <c r="H12" s="354" t="s">
        <v>321</v>
      </c>
      <c r="K12"/>
      <c r="L12"/>
      <c r="N12"/>
      <c r="Q12"/>
    </row>
    <row r="13" spans="2:17" ht="32.25">
      <c r="B13" s="31">
        <f t="shared" si="0"/>
        <v>11</v>
      </c>
      <c r="C13" s="466" t="s">
        <v>721</v>
      </c>
      <c r="D13" s="430" t="s">
        <v>184</v>
      </c>
      <c r="E13" s="526" t="s">
        <v>865</v>
      </c>
      <c r="F13" s="32" t="s">
        <v>41</v>
      </c>
      <c r="G13" s="71" t="s">
        <v>322</v>
      </c>
      <c r="H13" s="354" t="s">
        <v>195</v>
      </c>
      <c r="K13"/>
      <c r="L13"/>
      <c r="N13"/>
      <c r="Q13"/>
    </row>
    <row r="14" spans="2:17" ht="32.25">
      <c r="B14" s="55">
        <f t="shared" si="0"/>
        <v>12</v>
      </c>
      <c r="C14" s="468" t="s">
        <v>722</v>
      </c>
      <c r="D14" s="458" t="s">
        <v>722</v>
      </c>
      <c r="E14" s="531" t="s">
        <v>422</v>
      </c>
      <c r="F14" s="457" t="s">
        <v>52</v>
      </c>
      <c r="G14" s="455" t="s">
        <v>305</v>
      </c>
      <c r="H14" s="456" t="s">
        <v>422</v>
      </c>
      <c r="K14"/>
      <c r="L14"/>
      <c r="N14"/>
      <c r="Q14"/>
    </row>
    <row r="15" spans="2:17" ht="32.25">
      <c r="B15" s="25">
        <f t="shared" si="0"/>
        <v>13</v>
      </c>
      <c r="C15" s="465" t="s">
        <v>713</v>
      </c>
      <c r="D15" s="446" t="s">
        <v>179</v>
      </c>
      <c r="E15" s="528" t="s">
        <v>179</v>
      </c>
      <c r="F15" s="445" t="s">
        <v>43</v>
      </c>
      <c r="G15" s="443" t="s">
        <v>588</v>
      </c>
      <c r="H15" s="444" t="s">
        <v>179</v>
      </c>
      <c r="K15"/>
      <c r="L15"/>
      <c r="N15"/>
      <c r="Q15"/>
    </row>
    <row r="16" spans="2:17" ht="32.25">
      <c r="B16" s="31">
        <f t="shared" si="0"/>
        <v>14</v>
      </c>
      <c r="C16" s="466" t="s">
        <v>712</v>
      </c>
      <c r="D16" s="450" t="s">
        <v>305</v>
      </c>
      <c r="E16" s="529" t="s">
        <v>305</v>
      </c>
      <c r="F16" s="449" t="s">
        <v>46</v>
      </c>
      <c r="G16" s="447" t="s">
        <v>422</v>
      </c>
      <c r="H16" s="448" t="s">
        <v>305</v>
      </c>
      <c r="K16"/>
      <c r="L16"/>
      <c r="N16"/>
      <c r="Q16"/>
    </row>
    <row r="17" spans="2:17" ht="32.25">
      <c r="B17" s="31">
        <f t="shared" si="0"/>
        <v>15</v>
      </c>
      <c r="C17" s="466" t="s">
        <v>714</v>
      </c>
      <c r="D17" s="430" t="s">
        <v>254</v>
      </c>
      <c r="E17" s="526" t="s">
        <v>875</v>
      </c>
      <c r="F17" s="32" t="s">
        <v>442</v>
      </c>
      <c r="G17" s="71" t="s">
        <v>374</v>
      </c>
      <c r="H17" s="354" t="s">
        <v>367</v>
      </c>
      <c r="K17"/>
      <c r="L17"/>
      <c r="N17"/>
      <c r="Q17"/>
    </row>
    <row r="18" spans="2:17" ht="32.25">
      <c r="B18" s="41">
        <f t="shared" si="0"/>
        <v>16</v>
      </c>
      <c r="C18" s="467" t="s">
        <v>715</v>
      </c>
      <c r="D18" s="454" t="s">
        <v>338</v>
      </c>
      <c r="E18" s="530" t="s">
        <v>338</v>
      </c>
      <c r="F18" s="453" t="s">
        <v>50</v>
      </c>
      <c r="G18" s="451" t="s">
        <v>34</v>
      </c>
      <c r="H18" s="452" t="s">
        <v>338</v>
      </c>
      <c r="K18"/>
      <c r="L18"/>
      <c r="N18"/>
      <c r="Q18"/>
    </row>
    <row r="19" spans="2:17" ht="32.25">
      <c r="B19" s="77">
        <f t="shared" ref="B19:B22" si="1">ROW() - 2</f>
        <v>17</v>
      </c>
      <c r="C19" s="471" t="s">
        <v>90</v>
      </c>
      <c r="D19" s="430" t="s">
        <v>913</v>
      </c>
      <c r="E19" s="558" t="s">
        <v>913</v>
      </c>
      <c r="F19" s="557" t="s">
        <v>89</v>
      </c>
      <c r="G19" s="71" t="s">
        <v>435</v>
      </c>
      <c r="H19" s="354" t="s">
        <v>913</v>
      </c>
      <c r="K19"/>
      <c r="L19"/>
      <c r="N19"/>
      <c r="Q19"/>
    </row>
    <row r="20" spans="2:17" ht="32.25">
      <c r="B20" s="77">
        <f t="shared" si="1"/>
        <v>18</v>
      </c>
      <c r="C20" s="466" t="s">
        <v>910</v>
      </c>
      <c r="D20" s="430" t="s">
        <v>912</v>
      </c>
      <c r="E20" s="558" t="s">
        <v>912</v>
      </c>
      <c r="F20" s="557" t="s">
        <v>91</v>
      </c>
      <c r="G20" s="71" t="s">
        <v>438</v>
      </c>
      <c r="H20" s="354" t="s">
        <v>869</v>
      </c>
      <c r="K20"/>
      <c r="L20"/>
      <c r="N20"/>
      <c r="Q20"/>
    </row>
    <row r="21" spans="2:17" ht="32.25">
      <c r="B21" s="77">
        <f t="shared" si="1"/>
        <v>19</v>
      </c>
      <c r="C21" s="466" t="s">
        <v>911</v>
      </c>
      <c r="D21" s="430" t="s">
        <v>110</v>
      </c>
      <c r="E21" s="558" t="s">
        <v>914</v>
      </c>
      <c r="F21" s="557" t="s">
        <v>109</v>
      </c>
      <c r="G21" s="71" t="s">
        <v>436</v>
      </c>
      <c r="H21" s="354" t="s">
        <v>919</v>
      </c>
      <c r="K21"/>
      <c r="L21"/>
      <c r="N21"/>
      <c r="Q21"/>
    </row>
    <row r="22" spans="2:17" ht="32.25">
      <c r="B22" s="77">
        <f t="shared" si="1"/>
        <v>20</v>
      </c>
      <c r="C22" s="467" t="s">
        <v>94</v>
      </c>
      <c r="D22" s="430" t="s">
        <v>94</v>
      </c>
      <c r="E22" s="558" t="s">
        <v>94</v>
      </c>
      <c r="F22" s="557" t="s">
        <v>284</v>
      </c>
      <c r="G22" s="71" t="s">
        <v>443</v>
      </c>
      <c r="H22" s="354" t="s">
        <v>94</v>
      </c>
      <c r="K22"/>
      <c r="L22"/>
      <c r="N22"/>
      <c r="Q22"/>
    </row>
    <row r="23" spans="2:17" ht="32.25">
      <c r="B23" s="87">
        <f t="shared" si="0"/>
        <v>21</v>
      </c>
      <c r="C23" s="469" t="s">
        <v>727</v>
      </c>
      <c r="D23" s="429" t="s">
        <v>279</v>
      </c>
      <c r="E23" s="525" t="s">
        <v>279</v>
      </c>
      <c r="F23" s="26" t="s">
        <v>54</v>
      </c>
      <c r="G23" s="109" t="s">
        <v>196</v>
      </c>
      <c r="H23" s="428" t="s">
        <v>279</v>
      </c>
      <c r="K23"/>
      <c r="L23"/>
      <c r="N23"/>
      <c r="Q23"/>
    </row>
    <row r="24" spans="2:17" ht="32.25">
      <c r="B24" s="98">
        <f t="shared" si="0"/>
        <v>22</v>
      </c>
      <c r="C24" s="471" t="s">
        <v>742</v>
      </c>
      <c r="D24" s="381" t="s">
        <v>513</v>
      </c>
      <c r="E24" s="526" t="s">
        <v>513</v>
      </c>
      <c r="F24" s="32" t="s">
        <v>111</v>
      </c>
      <c r="G24" s="71" t="s">
        <v>259</v>
      </c>
      <c r="H24" s="354" t="s">
        <v>275</v>
      </c>
      <c r="K24"/>
      <c r="L24"/>
      <c r="N24"/>
      <c r="Q24"/>
    </row>
    <row r="25" spans="2:17" ht="32.25">
      <c r="B25" s="78">
        <f t="shared" si="0"/>
        <v>23</v>
      </c>
      <c r="C25" s="470" t="s">
        <v>728</v>
      </c>
      <c r="D25" s="432" t="s">
        <v>196</v>
      </c>
      <c r="E25" s="527" t="s">
        <v>196</v>
      </c>
      <c r="F25" s="42" t="s">
        <v>56</v>
      </c>
      <c r="G25" s="459" t="s">
        <v>254</v>
      </c>
      <c r="H25" s="460" t="s">
        <v>196</v>
      </c>
      <c r="K25"/>
      <c r="L25"/>
      <c r="N25"/>
      <c r="Q25"/>
    </row>
    <row r="26" spans="2:17" ht="32.25">
      <c r="B26" s="98">
        <f t="shared" si="0"/>
        <v>24</v>
      </c>
      <c r="C26" s="471" t="s">
        <v>741</v>
      </c>
      <c r="D26" s="381" t="s">
        <v>518</v>
      </c>
      <c r="E26" s="526" t="s">
        <v>518</v>
      </c>
      <c r="F26" s="32" t="s">
        <v>113</v>
      </c>
      <c r="G26" s="71" t="s">
        <v>249</v>
      </c>
      <c r="H26" s="354" t="s">
        <v>259</v>
      </c>
      <c r="K26"/>
      <c r="L26"/>
      <c r="N26"/>
      <c r="Q26"/>
    </row>
    <row r="27" spans="2:17" ht="32.25">
      <c r="B27" s="87">
        <f t="shared" si="0"/>
        <v>25</v>
      </c>
      <c r="C27" s="469" t="s">
        <v>731</v>
      </c>
      <c r="D27" s="429" t="s">
        <v>351</v>
      </c>
      <c r="E27" s="525" t="s">
        <v>351</v>
      </c>
      <c r="F27" s="26" t="s">
        <v>58</v>
      </c>
      <c r="G27" s="109" t="s">
        <v>589</v>
      </c>
      <c r="H27" s="428" t="s">
        <v>351</v>
      </c>
      <c r="K27"/>
      <c r="L27"/>
      <c r="N27"/>
      <c r="Q27"/>
    </row>
    <row r="28" spans="2:17" ht="32.25">
      <c r="B28" s="98">
        <f t="shared" si="0"/>
        <v>26</v>
      </c>
      <c r="C28" s="471" t="s">
        <v>745</v>
      </c>
      <c r="D28" s="381" t="s">
        <v>276</v>
      </c>
      <c r="E28" s="526" t="s">
        <v>276</v>
      </c>
      <c r="F28" s="32" t="s">
        <v>115</v>
      </c>
      <c r="G28" s="71" t="s">
        <v>281</v>
      </c>
      <c r="H28" s="354" t="s">
        <v>609</v>
      </c>
      <c r="K28"/>
      <c r="L28"/>
      <c r="N28"/>
      <c r="Q28"/>
    </row>
    <row r="29" spans="2:17" ht="32.25">
      <c r="B29" s="77">
        <f t="shared" si="0"/>
        <v>27</v>
      </c>
      <c r="C29" s="471" t="s">
        <v>729</v>
      </c>
      <c r="D29" s="430" t="s">
        <v>346</v>
      </c>
      <c r="E29" s="526" t="s">
        <v>346</v>
      </c>
      <c r="F29" s="32" t="s">
        <v>67</v>
      </c>
      <c r="G29" s="71" t="s">
        <v>279</v>
      </c>
      <c r="H29" s="354" t="s">
        <v>267</v>
      </c>
      <c r="K29"/>
      <c r="L29"/>
      <c r="N29"/>
      <c r="Q29"/>
    </row>
    <row r="30" spans="2:17" ht="32.25">
      <c r="B30" s="98">
        <f t="shared" si="0"/>
        <v>28</v>
      </c>
      <c r="C30" s="471" t="s">
        <v>746</v>
      </c>
      <c r="D30" s="381" t="s">
        <v>273</v>
      </c>
      <c r="E30" s="526" t="s">
        <v>882</v>
      </c>
      <c r="F30" s="32" t="s">
        <v>121</v>
      </c>
      <c r="G30" s="71" t="s">
        <v>275</v>
      </c>
      <c r="H30" s="354" t="s">
        <v>558</v>
      </c>
      <c r="K30"/>
      <c r="L30"/>
      <c r="N30"/>
      <c r="Q30"/>
    </row>
    <row r="31" spans="2:17" ht="32.25">
      <c r="B31" s="77">
        <f t="shared" si="0"/>
        <v>29</v>
      </c>
      <c r="C31" s="471" t="s">
        <v>730</v>
      </c>
      <c r="D31" s="430" t="s">
        <v>65</v>
      </c>
      <c r="E31" s="526" t="s">
        <v>884</v>
      </c>
      <c r="F31" s="32" t="s">
        <v>473</v>
      </c>
      <c r="G31" s="71" t="s">
        <v>37</v>
      </c>
      <c r="H31" s="354" t="s">
        <v>65</v>
      </c>
      <c r="K31"/>
      <c r="L31"/>
      <c r="N31"/>
      <c r="Q31"/>
    </row>
    <row r="32" spans="2:17" ht="32.25">
      <c r="B32" s="78">
        <f t="shared" si="0"/>
        <v>30</v>
      </c>
      <c r="C32" s="476" t="s">
        <v>744</v>
      </c>
      <c r="D32" s="464" t="s">
        <v>329</v>
      </c>
      <c r="E32" s="532" t="s">
        <v>329</v>
      </c>
      <c r="F32" s="463" t="s">
        <v>61</v>
      </c>
      <c r="G32" s="461" t="s">
        <v>225</v>
      </c>
      <c r="H32" s="462" t="s">
        <v>329</v>
      </c>
      <c r="K32"/>
      <c r="L32"/>
      <c r="N32"/>
      <c r="Q32"/>
    </row>
    <row r="33" spans="2:17" ht="32.25">
      <c r="B33" s="98">
        <f t="shared" si="0"/>
        <v>31</v>
      </c>
      <c r="C33" s="471" t="s">
        <v>743</v>
      </c>
      <c r="D33" s="381" t="s">
        <v>270</v>
      </c>
      <c r="E33" s="526" t="s">
        <v>270</v>
      </c>
      <c r="F33" s="32" t="s">
        <v>119</v>
      </c>
      <c r="G33" s="71" t="s">
        <v>223</v>
      </c>
      <c r="H33" s="354" t="s">
        <v>322</v>
      </c>
      <c r="K33"/>
      <c r="L33"/>
      <c r="N33"/>
      <c r="Q33"/>
    </row>
    <row r="34" spans="2:17" ht="32.25">
      <c r="B34" s="98">
        <f t="shared" si="0"/>
        <v>32</v>
      </c>
      <c r="C34" s="471" t="s">
        <v>733</v>
      </c>
      <c r="D34" s="385" t="s">
        <v>330</v>
      </c>
      <c r="E34" s="533" t="s">
        <v>330</v>
      </c>
      <c r="F34" s="384" t="s">
        <v>241</v>
      </c>
      <c r="G34" s="383" t="s">
        <v>264</v>
      </c>
      <c r="H34" s="354" t="s">
        <v>332</v>
      </c>
      <c r="J34" s="372"/>
      <c r="K34"/>
      <c r="L34"/>
      <c r="N34"/>
      <c r="Q34"/>
    </row>
    <row r="35" spans="2:17" ht="32.25">
      <c r="B35" s="98">
        <f t="shared" si="0"/>
        <v>33</v>
      </c>
      <c r="C35" s="471" t="s">
        <v>760</v>
      </c>
      <c r="D35" s="381" t="s">
        <v>268</v>
      </c>
      <c r="E35" s="526" t="s">
        <v>268</v>
      </c>
      <c r="F35" s="32" t="s">
        <v>117</v>
      </c>
      <c r="G35" s="71" t="s">
        <v>240</v>
      </c>
      <c r="H35" s="354" t="s">
        <v>567</v>
      </c>
      <c r="J35" s="372"/>
      <c r="K35"/>
      <c r="L35"/>
      <c r="N35"/>
      <c r="Q35"/>
    </row>
    <row r="36" spans="2:17" ht="32.25">
      <c r="B36" s="98">
        <f t="shared" si="0"/>
        <v>34</v>
      </c>
      <c r="C36" s="471" t="s">
        <v>734</v>
      </c>
      <c r="D36" s="381" t="s">
        <v>326</v>
      </c>
      <c r="E36" s="526" t="s">
        <v>326</v>
      </c>
      <c r="F36" s="32" t="s">
        <v>72</v>
      </c>
      <c r="G36" s="71" t="s">
        <v>86</v>
      </c>
      <c r="H36" s="354" t="s">
        <v>588</v>
      </c>
      <c r="K36"/>
      <c r="L36"/>
      <c r="N36"/>
      <c r="Q36"/>
    </row>
    <row r="37" spans="2:17" ht="32.25">
      <c r="B37" s="98">
        <f t="shared" si="0"/>
        <v>35</v>
      </c>
      <c r="C37" s="471" t="s">
        <v>761</v>
      </c>
      <c r="D37" s="381" t="s">
        <v>265</v>
      </c>
      <c r="E37" s="526" t="s">
        <v>265</v>
      </c>
      <c r="F37" s="32" t="s">
        <v>123</v>
      </c>
      <c r="G37" s="71" t="s">
        <v>497</v>
      </c>
      <c r="H37" s="354" t="s">
        <v>447</v>
      </c>
      <c r="K37"/>
      <c r="L37"/>
      <c r="N37"/>
      <c r="Q37"/>
    </row>
    <row r="38" spans="2:17" ht="32.25">
      <c r="B38" s="98">
        <f t="shared" si="0"/>
        <v>36</v>
      </c>
      <c r="C38" s="471" t="s">
        <v>735</v>
      </c>
      <c r="D38" s="381" t="s">
        <v>177</v>
      </c>
      <c r="E38" s="526" t="s">
        <v>177</v>
      </c>
      <c r="F38" s="32" t="s">
        <v>97</v>
      </c>
      <c r="G38" s="71" t="s">
        <v>219</v>
      </c>
      <c r="H38" s="354" t="s">
        <v>611</v>
      </c>
      <c r="K38"/>
      <c r="L38"/>
      <c r="N38"/>
      <c r="Q38"/>
    </row>
    <row r="39" spans="2:17" ht="32.25">
      <c r="B39" s="98">
        <f>ROW() - 2</f>
        <v>37</v>
      </c>
      <c r="C39" s="471" t="s">
        <v>757</v>
      </c>
      <c r="D39" s="381" t="s">
        <v>120</v>
      </c>
      <c r="E39" s="526" t="s">
        <v>757</v>
      </c>
      <c r="F39" s="557" t="s">
        <v>758</v>
      </c>
      <c r="G39" s="71" t="s">
        <v>21</v>
      </c>
      <c r="H39" s="354" t="s">
        <v>26</v>
      </c>
      <c r="K39"/>
      <c r="L39"/>
      <c r="N39"/>
      <c r="Q39"/>
    </row>
    <row r="40" spans="2:17" ht="32.25">
      <c r="B40" s="98">
        <f t="shared" si="0"/>
        <v>38</v>
      </c>
      <c r="C40" s="471" t="s">
        <v>737</v>
      </c>
      <c r="D40" s="381" t="s">
        <v>163</v>
      </c>
      <c r="E40" s="526" t="s">
        <v>163</v>
      </c>
      <c r="F40" s="32" t="s">
        <v>95</v>
      </c>
      <c r="G40" s="71" t="s">
        <v>212</v>
      </c>
      <c r="H40" s="354" t="s">
        <v>195</v>
      </c>
      <c r="K40"/>
      <c r="L40"/>
      <c r="N40"/>
      <c r="Q40"/>
    </row>
    <row r="41" spans="2:17" ht="32.25">
      <c r="B41" s="98">
        <f t="shared" si="0"/>
        <v>39</v>
      </c>
      <c r="C41" s="471" t="s">
        <v>769</v>
      </c>
      <c r="D41" s="381" t="s">
        <v>522</v>
      </c>
      <c r="E41" s="526" t="s">
        <v>522</v>
      </c>
      <c r="F41" s="32" t="s">
        <v>591</v>
      </c>
      <c r="G41" s="71" t="s">
        <v>198</v>
      </c>
      <c r="H41" s="354" t="s">
        <v>560</v>
      </c>
      <c r="K41"/>
      <c r="L41"/>
      <c r="N41"/>
      <c r="Q41"/>
    </row>
    <row r="42" spans="2:17" ht="32.25">
      <c r="B42" s="98">
        <f t="shared" si="0"/>
        <v>40</v>
      </c>
      <c r="C42" s="471" t="s">
        <v>762</v>
      </c>
      <c r="D42" s="381" t="s">
        <v>207</v>
      </c>
      <c r="E42" s="526" t="s">
        <v>207</v>
      </c>
      <c r="F42" s="32" t="s">
        <v>99</v>
      </c>
      <c r="G42" s="71" t="s">
        <v>515</v>
      </c>
      <c r="H42" s="354" t="s">
        <v>515</v>
      </c>
      <c r="K42"/>
      <c r="L42"/>
      <c r="N42"/>
      <c r="Q42"/>
    </row>
    <row r="43" spans="2:17" ht="32.25">
      <c r="B43" s="98">
        <f>ROW() - 2</f>
        <v>41</v>
      </c>
      <c r="C43" s="471" t="s">
        <v>126</v>
      </c>
      <c r="D43" s="381" t="s">
        <v>126</v>
      </c>
      <c r="E43" s="558" t="s">
        <v>126</v>
      </c>
      <c r="F43" s="484" t="s">
        <v>125</v>
      </c>
      <c r="G43" s="71" t="s">
        <v>511</v>
      </c>
      <c r="H43" s="354" t="s">
        <v>511</v>
      </c>
      <c r="K43"/>
      <c r="L43"/>
      <c r="N43"/>
      <c r="Q43"/>
    </row>
    <row r="44" spans="2:17" ht="32.25">
      <c r="B44" s="98">
        <f t="shared" si="0"/>
        <v>42</v>
      </c>
      <c r="C44" s="471" t="s">
        <v>759</v>
      </c>
      <c r="D44" s="381" t="s">
        <v>160</v>
      </c>
      <c r="E44" s="526" t="s">
        <v>160</v>
      </c>
      <c r="F44" s="32" t="s">
        <v>101</v>
      </c>
      <c r="G44" s="205" t="s">
        <v>526</v>
      </c>
      <c r="H44" s="354" t="s">
        <v>375</v>
      </c>
      <c r="K44"/>
      <c r="L44"/>
      <c r="N44"/>
      <c r="Q44"/>
    </row>
    <row r="45" spans="2:17" ht="32.25">
      <c r="B45" s="41">
        <f t="shared" si="0"/>
        <v>43</v>
      </c>
      <c r="C45" s="467" t="s">
        <v>726</v>
      </c>
      <c r="D45" s="454" t="s">
        <v>610</v>
      </c>
      <c r="E45" s="530" t="s">
        <v>597</v>
      </c>
      <c r="F45" s="453" t="s">
        <v>631</v>
      </c>
      <c r="G45" s="451" t="s">
        <v>366</v>
      </c>
      <c r="H45" s="452" t="s">
        <v>341</v>
      </c>
      <c r="K45"/>
      <c r="L45"/>
      <c r="N45"/>
      <c r="Q45"/>
    </row>
    <row r="46" spans="2:17" ht="32.25">
      <c r="B46" s="98">
        <f t="shared" si="0"/>
        <v>44</v>
      </c>
      <c r="C46" s="471" t="s">
        <v>764</v>
      </c>
      <c r="D46" s="381" t="s">
        <v>494</v>
      </c>
      <c r="E46" s="564" t="s">
        <v>75</v>
      </c>
      <c r="F46" s="32" t="s">
        <v>74</v>
      </c>
      <c r="G46" s="71" t="s">
        <v>533</v>
      </c>
      <c r="H46" s="354" t="s">
        <v>559</v>
      </c>
      <c r="K46"/>
      <c r="L46"/>
      <c r="N46"/>
      <c r="Q46"/>
    </row>
    <row r="47" spans="2:17" ht="32.25">
      <c r="B47" s="98">
        <f>ROW() - 2</f>
        <v>45</v>
      </c>
      <c r="C47" s="562" t="s">
        <v>908</v>
      </c>
      <c r="D47" s="563" t="s">
        <v>909</v>
      </c>
      <c r="E47" s="561" t="s">
        <v>907</v>
      </c>
      <c r="F47" s="557" t="s">
        <v>632</v>
      </c>
      <c r="G47" s="205" t="s">
        <v>516</v>
      </c>
      <c r="H47" s="354" t="s">
        <v>497</v>
      </c>
      <c r="K47"/>
      <c r="L47"/>
      <c r="N47"/>
      <c r="Q47"/>
    </row>
    <row r="48" spans="2:17" ht="32.25">
      <c r="B48" s="98">
        <f t="shared" si="0"/>
        <v>46</v>
      </c>
      <c r="C48" s="471" t="s">
        <v>763</v>
      </c>
      <c r="D48" s="381" t="s">
        <v>605</v>
      </c>
      <c r="E48" s="526" t="s">
        <v>143</v>
      </c>
      <c r="F48" s="32" t="s">
        <v>145</v>
      </c>
      <c r="G48" s="71" t="s">
        <v>143</v>
      </c>
      <c r="H48" s="354" t="s">
        <v>525</v>
      </c>
      <c r="K48"/>
      <c r="L48"/>
      <c r="N48"/>
      <c r="Q48"/>
    </row>
    <row r="49" spans="2:20" ht="36">
      <c r="B49" s="98">
        <f t="shared" si="0"/>
        <v>47</v>
      </c>
      <c r="C49" s="471" t="s">
        <v>770</v>
      </c>
      <c r="D49" s="381" t="s">
        <v>615</v>
      </c>
      <c r="E49" s="597" t="s">
        <v>372</v>
      </c>
      <c r="F49" s="232" t="s">
        <v>755</v>
      </c>
      <c r="G49" s="71" t="s">
        <v>756</v>
      </c>
      <c r="H49" s="501" t="s">
        <v>421</v>
      </c>
      <c r="K49"/>
      <c r="L49"/>
      <c r="N49"/>
      <c r="Q49"/>
    </row>
    <row r="50" spans="2:20" ht="32.25">
      <c r="B50" s="98">
        <f t="shared" si="0"/>
        <v>48</v>
      </c>
      <c r="C50" s="471"/>
      <c r="D50" s="381">
        <v>1</v>
      </c>
      <c r="E50" s="32">
        <v>1</v>
      </c>
      <c r="F50" s="32" t="s">
        <v>532</v>
      </c>
      <c r="G50" s="71" t="str">
        <f xml:space="preserve"> CHAR(32)</f>
        <v xml:space="preserve"> </v>
      </c>
      <c r="H50" s="354" t="s">
        <v>361</v>
      </c>
      <c r="K50"/>
      <c r="L50"/>
      <c r="N50"/>
      <c r="Q50"/>
    </row>
    <row r="51" spans="2:20" ht="32.25">
      <c r="B51" s="98">
        <f t="shared" si="0"/>
        <v>49</v>
      </c>
      <c r="C51" s="471"/>
      <c r="D51" s="381">
        <v>2</v>
      </c>
      <c r="E51" s="32">
        <v>2</v>
      </c>
      <c r="F51" s="32" t="s">
        <v>104</v>
      </c>
      <c r="G51" s="71" t="s">
        <v>193</v>
      </c>
      <c r="H51" s="354" t="s">
        <v>347</v>
      </c>
      <c r="K51"/>
      <c r="L51"/>
      <c r="N51"/>
      <c r="Q51"/>
    </row>
    <row r="52" spans="2:20" ht="32.25">
      <c r="B52" s="98">
        <f t="shared" si="0"/>
        <v>50</v>
      </c>
      <c r="C52" s="471"/>
      <c r="D52" s="381">
        <v>3</v>
      </c>
      <c r="E52" s="32">
        <v>3</v>
      </c>
      <c r="F52" s="32" t="s">
        <v>105</v>
      </c>
      <c r="G52" s="71" t="s">
        <v>191</v>
      </c>
      <c r="H52" s="354" t="s">
        <v>191</v>
      </c>
      <c r="K52"/>
      <c r="L52"/>
      <c r="N52"/>
      <c r="Q52"/>
    </row>
    <row r="53" spans="2:20" ht="32.25">
      <c r="B53" s="98">
        <f t="shared" si="0"/>
        <v>51</v>
      </c>
      <c r="C53" s="471"/>
      <c r="D53" s="381">
        <v>5</v>
      </c>
      <c r="E53" s="32">
        <v>5</v>
      </c>
      <c r="F53" s="32" t="s">
        <v>106</v>
      </c>
      <c r="G53" s="71" t="s">
        <v>175</v>
      </c>
      <c r="H53" s="354" t="s">
        <v>170</v>
      </c>
      <c r="I53" t="s">
        <v>637</v>
      </c>
      <c r="K53"/>
      <c r="L53"/>
      <c r="N53"/>
      <c r="Q53"/>
    </row>
    <row r="54" spans="2:20" ht="32.25">
      <c r="B54" s="98">
        <f t="shared" si="0"/>
        <v>52</v>
      </c>
      <c r="C54" s="471"/>
      <c r="D54" s="381">
        <v>7</v>
      </c>
      <c r="E54" s="32">
        <v>7</v>
      </c>
      <c r="F54" s="32" t="s">
        <v>107</v>
      </c>
      <c r="G54" s="71" t="s">
        <v>170</v>
      </c>
      <c r="H54" s="354" t="s">
        <v>166</v>
      </c>
      <c r="I54" s="322">
        <v>1</v>
      </c>
      <c r="K54"/>
      <c r="L54"/>
      <c r="N54"/>
      <c r="Q54"/>
    </row>
    <row r="55" spans="2:20" ht="32.25">
      <c r="B55" s="98">
        <f t="shared" si="0"/>
        <v>53</v>
      </c>
      <c r="C55" s="471"/>
      <c r="D55" s="381" t="s">
        <v>606</v>
      </c>
      <c r="E55" s="32">
        <v>48</v>
      </c>
      <c r="F55" s="32" t="s">
        <v>108</v>
      </c>
      <c r="G55" s="71" t="s">
        <v>166</v>
      </c>
      <c r="H55" s="354" t="s">
        <v>219</v>
      </c>
      <c r="I55" s="322">
        <v>2</v>
      </c>
      <c r="K55"/>
      <c r="L55"/>
      <c r="N55"/>
      <c r="Q55"/>
    </row>
    <row r="56" spans="2:20" ht="32.25">
      <c r="B56" s="98">
        <f t="shared" si="0"/>
        <v>54</v>
      </c>
      <c r="C56" s="472" t="s">
        <v>765</v>
      </c>
      <c r="D56" s="382" t="s">
        <v>625</v>
      </c>
      <c r="E56" s="32" t="s">
        <v>915</v>
      </c>
      <c r="F56" s="32" t="s">
        <v>128</v>
      </c>
      <c r="G56" s="71" t="s">
        <v>28</v>
      </c>
      <c r="H56" s="354" t="s">
        <v>436</v>
      </c>
      <c r="I56" s="322">
        <v>5</v>
      </c>
      <c r="K56"/>
      <c r="L56"/>
      <c r="N56"/>
      <c r="Q56"/>
    </row>
    <row r="57" spans="2:20" ht="32.25">
      <c r="B57" s="98">
        <f t="shared" si="0"/>
        <v>55</v>
      </c>
      <c r="C57" s="472" t="s">
        <v>766</v>
      </c>
      <c r="D57" s="382" t="s">
        <v>626</v>
      </c>
      <c r="E57" s="32" t="s">
        <v>917</v>
      </c>
      <c r="F57" s="32" t="s">
        <v>130</v>
      </c>
      <c r="G57" s="71" t="s">
        <v>340</v>
      </c>
      <c r="H57" s="354" t="s">
        <v>439</v>
      </c>
      <c r="I57" s="322">
        <v>3</v>
      </c>
      <c r="K57"/>
      <c r="L57"/>
      <c r="N57"/>
      <c r="Q57"/>
    </row>
    <row r="58" spans="2:20" ht="32.25">
      <c r="B58" s="98">
        <f t="shared" si="0"/>
        <v>56</v>
      </c>
      <c r="C58" s="472" t="s">
        <v>767</v>
      </c>
      <c r="D58" s="382" t="s">
        <v>627</v>
      </c>
      <c r="E58" s="32" t="s">
        <v>916</v>
      </c>
      <c r="F58" s="32" t="s">
        <v>132</v>
      </c>
      <c r="G58" s="71" t="s">
        <v>42</v>
      </c>
      <c r="H58" s="354" t="s">
        <v>444</v>
      </c>
      <c r="I58" s="322">
        <v>7</v>
      </c>
      <c r="K58"/>
      <c r="L58"/>
      <c r="N58"/>
      <c r="Q58"/>
    </row>
    <row r="59" spans="2:20" ht="32.25">
      <c r="B59" s="98">
        <f t="shared" si="0"/>
        <v>57</v>
      </c>
      <c r="C59" s="472" t="s">
        <v>768</v>
      </c>
      <c r="D59" s="382" t="s">
        <v>628</v>
      </c>
      <c r="E59" s="32" t="s">
        <v>918</v>
      </c>
      <c r="F59" s="32" t="s">
        <v>634</v>
      </c>
      <c r="G59" s="71" t="s">
        <v>286</v>
      </c>
      <c r="H59" s="354" t="s">
        <v>286</v>
      </c>
      <c r="K59"/>
      <c r="L59"/>
      <c r="N59"/>
      <c r="Q59" s="322">
        <v>8</v>
      </c>
      <c r="R59" s="405" t="s">
        <v>108</v>
      </c>
      <c r="S59" s="405" t="s">
        <v>108</v>
      </c>
      <c r="T59" s="405" t="s">
        <v>108</v>
      </c>
    </row>
    <row r="60" spans="2:20">
      <c r="K60"/>
      <c r="L60"/>
      <c r="N60"/>
      <c r="Q60"/>
    </row>
    <row r="61" spans="2:20" ht="32.25">
      <c r="B61" s="488">
        <f t="shared" si="0"/>
        <v>59</v>
      </c>
      <c r="C61" s="490"/>
      <c r="D61" s="491" t="s">
        <v>716</v>
      </c>
      <c r="E61" s="489"/>
      <c r="F61" s="489" t="s">
        <v>89</v>
      </c>
      <c r="K61"/>
      <c r="L61"/>
      <c r="N61"/>
      <c r="Q61"/>
    </row>
    <row r="62" spans="2:20" ht="32.25">
      <c r="B62" s="492">
        <f t="shared" si="0"/>
        <v>60</v>
      </c>
      <c r="C62" s="494"/>
      <c r="D62" s="495" t="s">
        <v>717</v>
      </c>
      <c r="E62" s="493"/>
      <c r="F62" s="493" t="s">
        <v>91</v>
      </c>
      <c r="K62"/>
      <c r="L62"/>
      <c r="N62"/>
      <c r="Q62"/>
    </row>
    <row r="63" spans="2:20" ht="32.25">
      <c r="B63" s="492">
        <f t="shared" si="0"/>
        <v>61</v>
      </c>
      <c r="C63" s="490"/>
      <c r="D63" s="495" t="s">
        <v>718</v>
      </c>
      <c r="E63" s="484"/>
      <c r="F63" s="484" t="s">
        <v>109</v>
      </c>
      <c r="K63"/>
      <c r="L63"/>
      <c r="N63"/>
      <c r="Q63"/>
    </row>
    <row r="64" spans="2:20" ht="32.25">
      <c r="B64" s="496">
        <f t="shared" si="0"/>
        <v>62</v>
      </c>
      <c r="C64" s="494"/>
      <c r="D64" s="498" t="s">
        <v>719</v>
      </c>
      <c r="E64" s="497"/>
      <c r="F64" s="497" t="s">
        <v>284</v>
      </c>
      <c r="K64"/>
      <c r="L64"/>
      <c r="N64"/>
      <c r="Q64"/>
    </row>
    <row r="65" spans="2:17" ht="21">
      <c r="B65"/>
      <c r="C65"/>
      <c r="D65"/>
      <c r="E65"/>
      <c r="F65"/>
      <c r="K65"/>
      <c r="L65"/>
      <c r="N65"/>
      <c r="Q65"/>
    </row>
    <row r="66" spans="2:17" ht="32.25">
      <c r="B66" s="483">
        <f>ROW() - 2</f>
        <v>64</v>
      </c>
      <c r="C66" s="494" t="s">
        <v>738</v>
      </c>
      <c r="D66" s="486" t="s">
        <v>736</v>
      </c>
      <c r="E66" s="484"/>
      <c r="F66" s="484"/>
      <c r="K66"/>
      <c r="L66"/>
      <c r="N66"/>
      <c r="Q66"/>
    </row>
    <row r="67" spans="2:17" ht="32.25">
      <c r="B67" s="483">
        <f>ROW() - 2</f>
        <v>65</v>
      </c>
      <c r="C67" s="485"/>
      <c r="D67" s="486" t="s">
        <v>748</v>
      </c>
      <c r="E67" s="484"/>
      <c r="F67" s="484"/>
      <c r="K67"/>
      <c r="L67"/>
      <c r="N67"/>
      <c r="Q67"/>
    </row>
    <row r="68" spans="2:17" ht="32.25">
      <c r="B68" s="483">
        <f>ROW() - 2</f>
        <v>66</v>
      </c>
      <c r="C68" s="487"/>
      <c r="D68" s="486" t="s">
        <v>747</v>
      </c>
      <c r="E68" s="484"/>
      <c r="F68" s="484"/>
      <c r="K68"/>
      <c r="L68"/>
      <c r="N68"/>
      <c r="Q68"/>
    </row>
    <row r="69" spans="2:17" ht="32.25">
      <c r="B69" s="483">
        <f>ROW() - 2</f>
        <v>67</v>
      </c>
      <c r="C69" s="485" t="s">
        <v>739</v>
      </c>
      <c r="D69" s="486" t="s">
        <v>740</v>
      </c>
      <c r="E69" s="484"/>
      <c r="F69" s="484"/>
      <c r="K69"/>
      <c r="L69"/>
      <c r="N69"/>
      <c r="Q69"/>
    </row>
    <row r="70" spans="2:17" ht="32.25">
      <c r="B70" s="483">
        <f t="shared" ref="B70:B71" si="2">ROW() - 2</f>
        <v>68</v>
      </c>
      <c r="C70" s="487"/>
      <c r="D70" s="486" t="s">
        <v>730</v>
      </c>
      <c r="E70" s="484"/>
      <c r="F70" s="484"/>
      <c r="K70"/>
      <c r="L70"/>
      <c r="N70"/>
      <c r="Q70"/>
    </row>
    <row r="71" spans="2:17" ht="32.25">
      <c r="B71" s="483">
        <f t="shared" si="2"/>
        <v>69</v>
      </c>
      <c r="C71" s="485"/>
      <c r="D71" s="486" t="s">
        <v>732</v>
      </c>
      <c r="E71" s="484"/>
      <c r="F71" s="484"/>
      <c r="K71"/>
      <c r="L71"/>
      <c r="N71"/>
      <c r="Q71"/>
    </row>
    <row r="72" spans="2:17" ht="32.25">
      <c r="B72" s="483">
        <f t="shared" si="0"/>
        <v>70</v>
      </c>
      <c r="C72" s="490"/>
      <c r="D72" s="486"/>
      <c r="E72" s="484"/>
      <c r="K72"/>
      <c r="L72"/>
      <c r="N72"/>
      <c r="Q72"/>
    </row>
    <row r="73" spans="2:17" ht="25.5">
      <c r="C73" s="475" t="s">
        <v>653</v>
      </c>
      <c r="D73" s="403"/>
      <c r="E73" s="406"/>
      <c r="F73" s="406" t="s">
        <v>642</v>
      </c>
      <c r="K73"/>
      <c r="L73"/>
      <c r="N73"/>
      <c r="Q73"/>
    </row>
    <row r="74" spans="2:17">
      <c r="E74" s="406"/>
      <c r="F74" s="406" t="s">
        <v>643</v>
      </c>
      <c r="K74"/>
      <c r="L74"/>
      <c r="N74"/>
      <c r="Q74"/>
    </row>
    <row r="75" spans="2:17">
      <c r="E75" s="406"/>
      <c r="F75" s="406" t="s">
        <v>644</v>
      </c>
      <c r="K75"/>
      <c r="L75"/>
      <c r="N75"/>
      <c r="Q75"/>
    </row>
    <row r="76" spans="2:17">
      <c r="E76" s="406"/>
      <c r="F76" s="406" t="s">
        <v>645</v>
      </c>
      <c r="K76"/>
      <c r="L76"/>
      <c r="N76"/>
      <c r="Q76"/>
    </row>
    <row r="77" spans="2:17">
      <c r="K77"/>
      <c r="L77"/>
      <c r="N77"/>
      <c r="Q77"/>
    </row>
    <row r="78" spans="2:17">
      <c r="E78" s="406"/>
      <c r="F78" s="406" t="s">
        <v>646</v>
      </c>
      <c r="K78"/>
      <c r="L78"/>
      <c r="N78"/>
      <c r="Q78"/>
    </row>
    <row r="79" spans="2:17">
      <c r="E79" s="406"/>
      <c r="F79" s="406" t="s">
        <v>647</v>
      </c>
      <c r="K79"/>
      <c r="L79"/>
      <c r="N79"/>
      <c r="Q79"/>
    </row>
    <row r="80" spans="2:17">
      <c r="K80"/>
      <c r="L80"/>
      <c r="N80"/>
      <c r="Q80"/>
    </row>
    <row r="81" spans="5:17">
      <c r="E81" s="406"/>
      <c r="F81" s="406" t="s">
        <v>648</v>
      </c>
      <c r="K81"/>
      <c r="L81"/>
      <c r="N81"/>
      <c r="Q81"/>
    </row>
    <row r="82" spans="5:17">
      <c r="E82" s="406"/>
      <c r="F82" s="406" t="s">
        <v>649</v>
      </c>
      <c r="K82"/>
      <c r="L82"/>
      <c r="N82"/>
      <c r="Q82"/>
    </row>
    <row r="83" spans="5:17">
      <c r="E83" s="406"/>
      <c r="F83" s="406" t="s">
        <v>650</v>
      </c>
      <c r="K83"/>
      <c r="L83"/>
      <c r="N83"/>
      <c r="Q83"/>
    </row>
    <row r="84" spans="5:17">
      <c r="E84" s="406"/>
      <c r="F84" s="406" t="s">
        <v>651</v>
      </c>
      <c r="K84"/>
      <c r="L84"/>
      <c r="N84"/>
      <c r="Q84"/>
    </row>
    <row r="85" spans="5:17">
      <c r="K85"/>
      <c r="L85"/>
      <c r="N85"/>
      <c r="Q85"/>
    </row>
    <row r="86" spans="5:17">
      <c r="K86"/>
      <c r="L86"/>
      <c r="N86"/>
      <c r="Q86"/>
    </row>
    <row r="87" spans="5:17">
      <c r="K87"/>
      <c r="L87"/>
      <c r="N87"/>
      <c r="Q87"/>
    </row>
    <row r="88" spans="5:17">
      <c r="K88"/>
      <c r="L88"/>
      <c r="N88"/>
      <c r="Q88"/>
    </row>
    <row r="89" spans="5:17">
      <c r="K89"/>
      <c r="L89"/>
      <c r="N89"/>
      <c r="Q89"/>
    </row>
    <row r="90" spans="5:17">
      <c r="K90"/>
      <c r="L90"/>
      <c r="N90"/>
      <c r="Q90"/>
    </row>
    <row r="91" spans="5:17">
      <c r="K91"/>
      <c r="L91"/>
      <c r="N91"/>
      <c r="Q91"/>
    </row>
    <row r="92" spans="5:17">
      <c r="K92"/>
      <c r="L92"/>
      <c r="N92"/>
      <c r="Q92"/>
    </row>
    <row r="93" spans="5:17">
      <c r="K93"/>
      <c r="L93"/>
      <c r="N93"/>
      <c r="Q93"/>
    </row>
    <row r="94" spans="5:17">
      <c r="K94"/>
      <c r="L94"/>
      <c r="N94"/>
      <c r="Q94"/>
    </row>
    <row r="95" spans="5:17">
      <c r="K95"/>
      <c r="L95"/>
      <c r="N95"/>
      <c r="Q95"/>
    </row>
    <row r="96" spans="5:17">
      <c r="K96"/>
      <c r="L96"/>
      <c r="N96"/>
      <c r="Q96"/>
    </row>
    <row r="97" spans="11:17">
      <c r="K97"/>
      <c r="L97"/>
      <c r="N97"/>
      <c r="Q97"/>
    </row>
    <row r="98" spans="11:17">
      <c r="K98"/>
      <c r="L98"/>
      <c r="N98"/>
      <c r="Q98"/>
    </row>
    <row r="99" spans="11:17">
      <c r="K99"/>
      <c r="L99"/>
      <c r="N99"/>
      <c r="Q99"/>
    </row>
    <row r="100" spans="11:17">
      <c r="K100"/>
      <c r="L100"/>
      <c r="N100"/>
      <c r="Q100"/>
    </row>
  </sheetData>
  <phoneticPr fontId="9" type="noConversion"/>
  <conditionalFormatting sqref="G3:H59">
    <cfRule type="cellIs" dxfId="3" priority="2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M68"/>
  <sheetViews>
    <sheetView showGridLines="0" topLeftCell="L34" zoomScale="50" zoomScaleNormal="50" workbookViewId="0">
      <selection activeCell="BO55" sqref="BO55"/>
    </sheetView>
  </sheetViews>
  <sheetFormatPr defaultColWidth="7.19921875" defaultRowHeight="32.25"/>
  <cols>
    <col min="1" max="59" width="6.59765625" style="145" customWidth="1"/>
    <col min="60" max="63" width="5.796875" style="145" customWidth="1"/>
    <col min="64" max="65" width="7.19921875" style="145"/>
    <col min="66" max="66" width="3.8984375" style="145" customWidth="1"/>
    <col min="67" max="67" width="12.5" style="145" customWidth="1"/>
    <col min="68" max="68" width="12.5" style="235" customWidth="1"/>
    <col min="69" max="70" width="12.5" style="145" customWidth="1"/>
    <col min="71" max="71" width="7.19921875" style="145"/>
    <col min="72" max="72" width="62.296875" style="595" customWidth="1"/>
    <col min="73" max="73" width="7.19921875" style="145"/>
    <col min="74" max="74" width="7.19921875" style="236"/>
    <col min="75" max="75" width="23.796875" style="237" bestFit="1" customWidth="1"/>
    <col min="77" max="77" width="23.796875" style="237" bestFit="1" customWidth="1"/>
    <col min="80" max="16384" width="7.19921875" style="145"/>
  </cols>
  <sheetData>
    <row r="1" spans="1:77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7" s="147" customFormat="1" ht="45" customHeight="1">
      <c r="A2" s="238"/>
      <c r="B2" s="576" t="s">
        <v>539</v>
      </c>
      <c r="C2" s="577"/>
      <c r="D2" s="578"/>
      <c r="E2" s="576" t="s">
        <v>540</v>
      </c>
      <c r="F2" s="577"/>
      <c r="G2" s="578"/>
      <c r="H2" s="585" t="s">
        <v>541</v>
      </c>
      <c r="I2" s="586"/>
      <c r="J2" s="587"/>
      <c r="K2" s="585" t="s">
        <v>542</v>
      </c>
      <c r="L2" s="586"/>
      <c r="M2" s="587"/>
      <c r="N2" s="588">
        <v>0.05</v>
      </c>
      <c r="O2" s="589"/>
      <c r="P2" s="590"/>
      <c r="Q2" s="585" t="s">
        <v>543</v>
      </c>
      <c r="R2" s="586"/>
      <c r="S2" s="587"/>
      <c r="T2" s="585" t="s">
        <v>544</v>
      </c>
      <c r="U2" s="586"/>
      <c r="V2" s="587"/>
      <c r="W2" s="570" t="s">
        <v>545</v>
      </c>
      <c r="X2" s="571"/>
      <c r="Y2" s="572"/>
      <c r="Z2" s="570" t="s">
        <v>546</v>
      </c>
      <c r="AA2" s="571"/>
      <c r="AB2" s="572"/>
      <c r="AC2" s="570" t="s">
        <v>547</v>
      </c>
      <c r="AD2" s="571"/>
      <c r="AE2" s="572"/>
      <c r="AF2" s="573" t="s">
        <v>548</v>
      </c>
      <c r="AG2" s="574"/>
      <c r="AH2" s="575"/>
      <c r="AI2" s="573" t="s">
        <v>549</v>
      </c>
      <c r="AJ2" s="574"/>
      <c r="AK2" s="575"/>
      <c r="AL2" s="238"/>
      <c r="AM2" s="238"/>
      <c r="AN2" s="238"/>
      <c r="AO2" s="238"/>
      <c r="AP2" s="238"/>
      <c r="AQ2" s="238"/>
      <c r="AR2" s="239"/>
      <c r="AS2" s="239"/>
      <c r="AT2" s="238"/>
      <c r="AU2" s="238"/>
      <c r="AV2" s="238"/>
      <c r="BN2" s="6" t="s">
        <v>550</v>
      </c>
      <c r="BO2" s="11"/>
      <c r="BP2" s="240"/>
      <c r="BQ2" s="11"/>
      <c r="BR2" s="145"/>
      <c r="BT2" s="595"/>
      <c r="BV2" s="241"/>
      <c r="BW2" s="242"/>
      <c r="BY2" s="242"/>
    </row>
    <row r="3" spans="1:77" s="147" customFormat="1" ht="45" customHeight="1">
      <c r="A3" s="238"/>
      <c r="B3" s="243" t="str">
        <f ca="1">F19</f>
        <v>ㆠ</v>
      </c>
      <c r="C3" s="537"/>
      <c r="D3" s="538" t="s">
        <v>551</v>
      </c>
      <c r="E3" s="539"/>
      <c r="F3" s="537"/>
      <c r="G3" s="536"/>
      <c r="H3" s="540"/>
      <c r="I3" s="541"/>
      <c r="J3" s="542"/>
      <c r="K3" s="540"/>
      <c r="L3" s="541"/>
      <c r="M3" s="542"/>
      <c r="N3" s="543"/>
      <c r="O3" s="544"/>
      <c r="P3" s="545"/>
      <c r="Q3" s="540"/>
      <c r="R3" s="541"/>
      <c r="S3" s="542"/>
      <c r="T3" s="540"/>
      <c r="U3" s="541"/>
      <c r="V3" s="542"/>
      <c r="W3" s="244" t="str">
        <f ca="1">Y19</f>
        <v>ㆩ</v>
      </c>
      <c r="X3" s="546"/>
      <c r="Y3" s="547" t="str">
        <f ca="1">Y20</f>
        <v>ann</v>
      </c>
      <c r="Z3" s="244" t="str">
        <f ca="1">AF19</f>
        <v>ㆮ</v>
      </c>
      <c r="AA3" s="548">
        <f t="shared" ref="AA3" si="0">AA4</f>
        <v>0</v>
      </c>
      <c r="AB3" s="547" t="str">
        <f ca="1">AF20</f>
        <v>ainn</v>
      </c>
      <c r="AC3" s="549"/>
      <c r="AD3" s="546"/>
      <c r="AE3" s="550"/>
      <c r="AF3" s="551"/>
      <c r="AG3" s="552"/>
      <c r="AH3" s="553"/>
      <c r="AI3" s="551"/>
      <c r="AJ3" s="552"/>
      <c r="AK3" s="553"/>
      <c r="AL3" s="238"/>
      <c r="AM3" s="238"/>
      <c r="AN3" s="238"/>
      <c r="AO3" s="238"/>
      <c r="AP3" s="238"/>
      <c r="AQ3" s="238"/>
      <c r="AR3" s="239"/>
      <c r="AS3" s="239"/>
      <c r="AT3" s="238"/>
      <c r="AU3" s="238"/>
      <c r="AV3" s="238"/>
      <c r="BN3" s="2"/>
      <c r="BO3" s="245" t="s">
        <v>342</v>
      </c>
      <c r="BP3" s="246" t="s">
        <v>385</v>
      </c>
      <c r="BQ3" s="248" t="s">
        <v>602</v>
      </c>
      <c r="BR3" s="247" t="s">
        <v>903</v>
      </c>
      <c r="BT3" s="595"/>
      <c r="BV3" s="241"/>
      <c r="BW3" s="242"/>
      <c r="BY3" s="242"/>
    </row>
    <row r="4" spans="1:77" ht="45" customHeight="1" thickBot="1">
      <c r="A4" s="249"/>
      <c r="B4" s="250" t="str">
        <f ca="1">D19</f>
        <v>ㄅ</v>
      </c>
      <c r="C4" s="251"/>
      <c r="D4" s="252" t="s">
        <v>21</v>
      </c>
      <c r="E4" s="250" t="str">
        <f ca="1">H19</f>
        <v>ㄉ</v>
      </c>
      <c r="F4" s="251"/>
      <c r="G4" s="253" t="s">
        <v>30</v>
      </c>
      <c r="H4" s="579" t="s">
        <v>105</v>
      </c>
      <c r="I4" s="580"/>
      <c r="J4" s="254" t="s">
        <v>552</v>
      </c>
      <c r="K4" s="581" t="s">
        <v>104</v>
      </c>
      <c r="L4" s="582"/>
      <c r="M4" s="254" t="s">
        <v>553</v>
      </c>
      <c r="N4" s="579" t="s">
        <v>107</v>
      </c>
      <c r="O4" s="580"/>
      <c r="P4" s="254" t="s">
        <v>554</v>
      </c>
      <c r="Q4" s="581" t="s">
        <v>106</v>
      </c>
      <c r="R4" s="582"/>
      <c r="S4" s="254" t="s">
        <v>555</v>
      </c>
      <c r="T4" s="579" t="s">
        <v>556</v>
      </c>
      <c r="U4" s="580"/>
      <c r="V4" s="254" t="s">
        <v>557</v>
      </c>
      <c r="W4" s="255" t="str">
        <f ca="1">X19</f>
        <v>ㄚ</v>
      </c>
      <c r="X4" s="256"/>
      <c r="Y4" s="257" t="str">
        <f ca="1">X20</f>
        <v>a</v>
      </c>
      <c r="Z4" s="255" t="str">
        <f ca="1">AE19</f>
        <v>ㄞ</v>
      </c>
      <c r="AA4" s="258"/>
      <c r="AB4" s="259" t="str">
        <f ca="1">AE20</f>
        <v>ai</v>
      </c>
      <c r="AC4" s="255" t="str">
        <f ca="1">AI19</f>
        <v>ㄢ</v>
      </c>
      <c r="AD4" s="256">
        <f t="shared" ref="AD4" si="1">W10</f>
        <v>0</v>
      </c>
      <c r="AE4" s="257" t="str">
        <f ca="1">AI20</f>
        <v>an</v>
      </c>
      <c r="AF4" s="260" t="str">
        <f ca="1">AL19</f>
        <v>ㆨ</v>
      </c>
      <c r="AG4" s="258"/>
      <c r="AH4" s="259" t="str">
        <f ca="1">AL20</f>
        <v>ir</v>
      </c>
      <c r="AI4" s="583"/>
      <c r="AJ4" s="584"/>
      <c r="AK4" s="261"/>
      <c r="AL4" s="249"/>
      <c r="AM4" s="249"/>
      <c r="AN4" s="249"/>
      <c r="AO4" s="249"/>
      <c r="AP4" s="249"/>
      <c r="AQ4" s="249"/>
      <c r="AR4" s="234"/>
      <c r="AS4" s="234"/>
      <c r="AT4" s="249"/>
      <c r="AU4" s="249"/>
      <c r="AV4" s="249"/>
      <c r="BN4" s="262">
        <f t="shared" ref="BN4:BN62" si="2" xml:space="preserve"> ROW() - 3</f>
        <v>1</v>
      </c>
      <c r="BO4" s="71" t="s">
        <v>361</v>
      </c>
      <c r="BP4" s="32" t="str" cm="1">
        <f t="array" ref="BP4" xml:space="preserve"> INDEX(注音編碼對照表[方音符號], MATCH(TRUE, EXACT(鍵盤設計!$BO4,注音編碼對照表[鍵盤按鍵]), 0))</f>
        <v>ㄅ</v>
      </c>
      <c r="BQ4" s="107" t="str" cm="1">
        <f t="array" ref="BQ4" xml:space="preserve"> INDEX(注音編碼對照表[注音二式], MATCH(TRUE, EXACT(鍵盤設計!$BO4,注音編碼對照表[鍵盤按鍵]), 0))</f>
        <v>b</v>
      </c>
      <c r="BR4" s="34" t="str" cm="1">
        <f t="array" ref="BR4" xml:space="preserve"> INDEX(注音編碼對照表[按鍵編碼], MATCH(TRUE, EXACT(鍵盤設計!$BO4,注音編碼對照表[鍵盤按鍵]), 0))</f>
        <v>b</v>
      </c>
      <c r="BT4" s="596" t="str">
        <f xml:space="preserve"> """" &amp; BO4 &amp; """: { commit: """ &amp; BP4 &amp; """ }" &amp; "  # " &amp; "/" &amp; BQ4 &amp; "/ ==&gt; " &amp; BR4</f>
        <v>"1": { commit: "ㄅ" }  # /b/ ==&gt; b</v>
      </c>
      <c r="BV4" s="241">
        <f t="shared" ref="BV4:BV23" si="3">BN4</f>
        <v>1</v>
      </c>
      <c r="BW4" s="263" t="str">
        <f xml:space="preserve"> "- xform/" &amp; BR4 &amp; "/" &amp; BO4 &amp; "/"</f>
        <v>- xform/b/1/</v>
      </c>
      <c r="BY4" s="263" t="e">
        <f xml:space="preserve"> "- xform/" &amp; BO4 &amp; "/" &amp;#REF! &amp; "/"</f>
        <v>#REF!</v>
      </c>
    </row>
    <row r="5" spans="1:77" s="147" customFormat="1" ht="45" customHeight="1">
      <c r="A5" s="238"/>
      <c r="B5" s="238"/>
      <c r="C5" s="576" t="s">
        <v>558</v>
      </c>
      <c r="D5" s="577"/>
      <c r="E5" s="578"/>
      <c r="F5" s="576" t="s">
        <v>559</v>
      </c>
      <c r="G5" s="577"/>
      <c r="H5" s="578"/>
      <c r="I5" s="576" t="s">
        <v>322</v>
      </c>
      <c r="J5" s="577"/>
      <c r="K5" s="578"/>
      <c r="L5" s="576" t="s">
        <v>560</v>
      </c>
      <c r="M5" s="577"/>
      <c r="N5" s="578"/>
      <c r="O5" s="576" t="s">
        <v>408</v>
      </c>
      <c r="P5" s="577"/>
      <c r="Q5" s="578"/>
      <c r="R5" s="576" t="s">
        <v>447</v>
      </c>
      <c r="S5" s="577"/>
      <c r="T5" s="578"/>
      <c r="U5" s="570" t="s">
        <v>259</v>
      </c>
      <c r="V5" s="571"/>
      <c r="W5" s="572"/>
      <c r="X5" s="570" t="s">
        <v>275</v>
      </c>
      <c r="Y5" s="571"/>
      <c r="Z5" s="572"/>
      <c r="AA5" s="570" t="s">
        <v>267</v>
      </c>
      <c r="AB5" s="571"/>
      <c r="AC5" s="572"/>
      <c r="AD5" s="570" t="s">
        <v>400</v>
      </c>
      <c r="AE5" s="571"/>
      <c r="AF5" s="572"/>
      <c r="AG5" s="570" t="s">
        <v>561</v>
      </c>
      <c r="AH5" s="571"/>
      <c r="AI5" s="572"/>
      <c r="AJ5" s="570" t="s">
        <v>562</v>
      </c>
      <c r="AK5" s="571"/>
      <c r="AL5" s="572"/>
      <c r="AM5" s="573" t="s">
        <v>563</v>
      </c>
      <c r="AN5" s="574"/>
      <c r="AO5" s="575"/>
      <c r="AP5" s="238"/>
      <c r="AQ5" s="238"/>
      <c r="AR5" s="239"/>
      <c r="AS5" s="239"/>
      <c r="AT5" s="238"/>
      <c r="AU5" s="238"/>
      <c r="AV5" s="238"/>
      <c r="BN5" s="262">
        <f t="shared" si="2"/>
        <v>2</v>
      </c>
      <c r="BO5" s="71" t="s">
        <v>353</v>
      </c>
      <c r="BP5" s="32" t="str" cm="1">
        <f t="array" ref="BP5" xml:space="preserve"> INDEX(注音編碼對照表[方音符號], MATCH(TRUE, EXACT(鍵盤設計!$BO5,注音編碼對照表[鍵盤按鍵]), 0))</f>
        <v>ㄆ</v>
      </c>
      <c r="BQ5" s="107" t="str" cm="1">
        <f t="array" ref="BQ5" xml:space="preserve"> INDEX(注音編碼對照表[注音二式], MATCH(TRUE, EXACT(鍵盤設計!$BO5,注音編碼對照表[鍵盤按鍵]), 0))</f>
        <v>p</v>
      </c>
      <c r="BR5" s="34" t="str" cm="1">
        <f t="array" ref="BR5" xml:space="preserve"> INDEX(注音編碼對照表[按鍵編碼], MATCH(TRUE, EXACT(鍵盤設計!$BO5,注音編碼對照表[鍵盤按鍵]), 0))</f>
        <v>p</v>
      </c>
      <c r="BT5" s="596" t="str">
        <f t="shared" ref="BT5:BT55" si="4" xml:space="preserve"> """" &amp; BO5 &amp; """: { commit: """ &amp; BP5 &amp; """ }" &amp; "  # " &amp; "/" &amp; BQ5 &amp; "/ ==&gt; " &amp; BR5</f>
        <v>"q": { commit: "ㄆ" }  # /p/ ==&gt; p</v>
      </c>
      <c r="BV5" s="241">
        <f t="shared" si="3"/>
        <v>2</v>
      </c>
      <c r="BW5" s="263" t="str">
        <f xml:space="preserve"> "- xform/" &amp; BR5 &amp; "/" &amp; BO5 &amp; "/"</f>
        <v>- xform/p/q/</v>
      </c>
      <c r="BY5" s="263" t="e">
        <f xml:space="preserve"> "- xform/" &amp; BO5 &amp; "/" &amp;#REF! &amp; "/"</f>
        <v>#REF!</v>
      </c>
    </row>
    <row r="6" spans="1:77" s="147" customFormat="1" ht="45" customHeight="1">
      <c r="A6" s="238"/>
      <c r="B6" s="238"/>
      <c r="C6" s="539"/>
      <c r="D6" s="537"/>
      <c r="E6" s="536"/>
      <c r="F6" s="539"/>
      <c r="G6" s="537"/>
      <c r="H6" s="536"/>
      <c r="I6" s="243" t="str">
        <f ca="1">N19</f>
        <v>ㆣ</v>
      </c>
      <c r="J6" s="537"/>
      <c r="K6" s="536" t="str">
        <f ca="1">N20</f>
        <v>gg</v>
      </c>
      <c r="L6" s="554" t="str">
        <f ca="1">AV19</f>
        <v>ㆢ</v>
      </c>
      <c r="M6" s="537"/>
      <c r="N6" s="555" t="str">
        <f ca="1">AV20</f>
        <v>zzi</v>
      </c>
      <c r="O6" s="554"/>
      <c r="P6" s="556"/>
      <c r="Q6" s="555"/>
      <c r="R6" s="554" t="str">
        <f ca="1">R19</f>
        <v>ㆡ</v>
      </c>
      <c r="S6" s="537"/>
      <c r="T6" s="555" t="str">
        <f ca="1">R20</f>
        <v>zz</v>
      </c>
      <c r="U6" s="244" t="str">
        <f ca="1">U19</f>
        <v>ㆪ</v>
      </c>
      <c r="V6" s="546"/>
      <c r="W6" s="547" t="str">
        <f ca="1">U20</f>
        <v>inn</v>
      </c>
      <c r="X6" s="244" t="str">
        <f ca="1">AA19</f>
        <v>ㆧ</v>
      </c>
      <c r="Y6" s="559"/>
      <c r="Z6" s="560" t="str">
        <f ca="1">AA20</f>
        <v>oonn</v>
      </c>
      <c r="AA6" s="244"/>
      <c r="AB6" s="546"/>
      <c r="AC6" s="547"/>
      <c r="AD6" s="549"/>
      <c r="AE6" s="546"/>
      <c r="AF6" s="550"/>
      <c r="AG6" s="549"/>
      <c r="AH6" s="546"/>
      <c r="AI6" s="550"/>
      <c r="AJ6" s="549"/>
      <c r="AK6" s="546"/>
      <c r="AL6" s="550"/>
      <c r="AM6" s="244"/>
      <c r="AN6" s="559"/>
      <c r="AO6" s="560"/>
      <c r="AP6" s="238"/>
      <c r="AQ6" s="238"/>
      <c r="AR6" s="239"/>
      <c r="AS6" s="239"/>
      <c r="AT6" s="238"/>
      <c r="AU6" s="238"/>
      <c r="AV6" s="238"/>
      <c r="BN6" s="262">
        <f t="shared" si="2"/>
        <v>3</v>
      </c>
      <c r="BO6" s="71" t="s">
        <v>394</v>
      </c>
      <c r="BP6" s="32" t="str" cm="1">
        <f t="array" ref="BP6" xml:space="preserve"> INDEX(注音編碼對照表[方音符號], MATCH(TRUE, EXACT(鍵盤設計!$BO6,注音編碼對照表[鍵盤按鍵]), 0))</f>
        <v>ㆠ</v>
      </c>
      <c r="BQ6" s="107" t="str" cm="1">
        <f t="array" ref="BQ6" xml:space="preserve"> INDEX(注音編碼對照表[注音二式], MATCH(TRUE, EXACT(鍵盤設計!$BO6,注音編碼對照表[鍵盤按鍵]), 0))</f>
        <v>bb</v>
      </c>
      <c r="BR6" s="34" t="str" cm="1">
        <f t="array" ref="BR6" xml:space="preserve"> INDEX(注音編碼對照表[按鍵編碼], MATCH(TRUE, EXACT(鍵盤設計!$BO6,注音編碼對照表[鍵盤按鍵]), 0))</f>
        <v>B</v>
      </c>
      <c r="BT6" s="596" t="str">
        <f t="shared" si="4"/>
        <v>"!": { commit: "ㆠ" }  # /bb/ ==&gt; B</v>
      </c>
      <c r="BV6" s="241">
        <f t="shared" si="3"/>
        <v>3</v>
      </c>
      <c r="BW6" s="263" t="str">
        <f xml:space="preserve"> "- xform/" &amp; BR6 &amp; "/" &amp; BO6 &amp; "/"</f>
        <v>- xform/B/!/</v>
      </c>
      <c r="BY6" s="263" t="e">
        <f xml:space="preserve"> "- xform/" &amp; BO6 &amp; "/" &amp;#REF! &amp; "/"</f>
        <v>#REF!</v>
      </c>
    </row>
    <row r="7" spans="1:77" ht="45" customHeight="1" thickBot="1">
      <c r="A7" s="249"/>
      <c r="B7" s="249"/>
      <c r="C7" s="250" t="str">
        <f ca="1">E19</f>
        <v>ㄆ</v>
      </c>
      <c r="D7" s="251"/>
      <c r="E7" s="253" t="s">
        <v>392</v>
      </c>
      <c r="F7" s="250" t="str">
        <f ca="1">I19</f>
        <v>ㄊ</v>
      </c>
      <c r="G7" s="251"/>
      <c r="H7" s="253" t="s">
        <v>32</v>
      </c>
      <c r="I7" s="250" t="str">
        <f ca="1">L19</f>
        <v>ㄍ</v>
      </c>
      <c r="J7" s="251">
        <f t="shared" ref="J7" si="5">S7</f>
        <v>0</v>
      </c>
      <c r="K7" s="535" t="str">
        <f ca="1">L20</f>
        <v>g</v>
      </c>
      <c r="L7" s="264" t="str">
        <f ca="1">AT19</f>
        <v>ㄐ</v>
      </c>
      <c r="M7" s="251"/>
      <c r="N7" s="265" t="str">
        <f ca="1">AT20</f>
        <v>zi</v>
      </c>
      <c r="O7" s="250" t="str">
        <f ca="1">AY19</f>
        <v>ㆵ</v>
      </c>
      <c r="P7" s="251"/>
      <c r="Q7" s="535" t="str">
        <f ca="1">AY20</f>
        <v>d0</v>
      </c>
      <c r="R7" s="264" t="str">
        <f ca="1">P19</f>
        <v>ㄗ</v>
      </c>
      <c r="S7" s="251"/>
      <c r="T7" s="267" t="str">
        <f ca="1">P20</f>
        <v>z</v>
      </c>
      <c r="U7" s="255" t="str">
        <f ca="1">T19</f>
        <v>ㄧ</v>
      </c>
      <c r="V7" s="256"/>
      <c r="W7" s="259" t="str">
        <f ca="1">T20</f>
        <v>i</v>
      </c>
      <c r="X7" s="255" t="str">
        <f ca="1">Z19</f>
        <v>ㆦ</v>
      </c>
      <c r="Y7" s="256"/>
      <c r="Z7" s="259" t="str">
        <f ca="1">Z20</f>
        <v>oo</v>
      </c>
      <c r="AA7" s="255"/>
      <c r="AB7" s="256"/>
      <c r="AC7" s="257"/>
      <c r="AD7" s="255" t="str">
        <f ca="1">AJ19</f>
        <v>ㄣ</v>
      </c>
      <c r="AE7" s="258"/>
      <c r="AF7" s="259" t="str">
        <f ca="1">AJ20</f>
        <v>en</v>
      </c>
      <c r="AG7" s="255" t="str">
        <f ca="1">AM19</f>
        <v>ㆰ</v>
      </c>
      <c r="AH7" s="258"/>
      <c r="AI7" s="259" t="str">
        <f ca="1">AM20</f>
        <v>am</v>
      </c>
      <c r="AJ7" s="255" t="str">
        <f ca="1">AN19</f>
        <v>ㆱ</v>
      </c>
      <c r="AK7" s="258"/>
      <c r="AL7" s="259" t="str">
        <f ca="1">AN20</f>
        <v>om</v>
      </c>
      <c r="AM7" s="255"/>
      <c r="AN7" s="258"/>
      <c r="AO7" s="259"/>
      <c r="AP7" s="249"/>
      <c r="AQ7" s="249"/>
      <c r="AR7" s="234"/>
      <c r="AS7" s="234"/>
      <c r="AT7" s="249"/>
      <c r="AU7" s="249"/>
      <c r="AV7" s="249"/>
      <c r="BN7" s="262">
        <f t="shared" si="2"/>
        <v>4</v>
      </c>
      <c r="BO7" s="71" t="s">
        <v>351</v>
      </c>
      <c r="BP7" s="32" t="str" cm="1">
        <f t="array" ref="BP7" xml:space="preserve"> INDEX(注音編碼對照表[方音符號], MATCH(TRUE, EXACT(鍵盤設計!$BO7,注音編碼對照表[鍵盤按鍵]), 0))</f>
        <v>ㄇ</v>
      </c>
      <c r="BQ7" s="107" t="str" cm="1">
        <f t="array" ref="BQ7" xml:space="preserve"> INDEX(注音編碼對照表[注音二式], MATCH(TRUE, EXACT(鍵盤設計!$BO7,注音編碼對照表[鍵盤按鍵]), 0))</f>
        <v>m</v>
      </c>
      <c r="BR7" s="34" t="str" cm="1">
        <f t="array" ref="BR7" xml:space="preserve"> INDEX(注音編碼對照表[按鍵編碼], MATCH(TRUE, EXACT(鍵盤設計!$BO7,注音編碼對照表[鍵盤按鍵]), 0))</f>
        <v>m</v>
      </c>
      <c r="BT7" s="596" t="str">
        <f t="shared" si="4"/>
        <v>"a": { commit: "ㄇ" }  # /m/ ==&gt; m</v>
      </c>
      <c r="BV7" s="236">
        <f t="shared" si="3"/>
        <v>4</v>
      </c>
      <c r="BW7" s="263" t="str">
        <f xml:space="preserve"> "- xform/" &amp; BR7 &amp; "/" &amp; BO7 &amp; "/"</f>
        <v>- xform/m/a/</v>
      </c>
      <c r="BY7" s="263" t="e">
        <f xml:space="preserve"> "- xform/" &amp; BO7 &amp; "/" &amp;#REF! &amp; "/"</f>
        <v>#REF!</v>
      </c>
    </row>
    <row r="8" spans="1:77" s="147" customFormat="1" ht="45" customHeight="1">
      <c r="A8" s="238"/>
      <c r="B8" s="238"/>
      <c r="C8" s="268"/>
      <c r="D8" s="576" t="s">
        <v>401</v>
      </c>
      <c r="E8" s="577"/>
      <c r="F8" s="578"/>
      <c r="G8" s="576" t="s">
        <v>460</v>
      </c>
      <c r="H8" s="577"/>
      <c r="I8" s="578"/>
      <c r="J8" s="576" t="s">
        <v>189</v>
      </c>
      <c r="K8" s="577"/>
      <c r="L8" s="578"/>
      <c r="M8" s="576" t="s">
        <v>564</v>
      </c>
      <c r="N8" s="577"/>
      <c r="O8" s="578"/>
      <c r="P8" s="576" t="s">
        <v>141</v>
      </c>
      <c r="Q8" s="577"/>
      <c r="R8" s="578"/>
      <c r="S8" s="576" t="s">
        <v>454</v>
      </c>
      <c r="T8" s="577"/>
      <c r="U8" s="578"/>
      <c r="V8" s="570" t="s">
        <v>249</v>
      </c>
      <c r="W8" s="571"/>
      <c r="X8" s="572"/>
      <c r="Y8" s="570" t="s">
        <v>425</v>
      </c>
      <c r="Z8" s="571"/>
      <c r="AA8" s="572"/>
      <c r="AB8" s="570" t="s">
        <v>231</v>
      </c>
      <c r="AC8" s="571"/>
      <c r="AD8" s="572"/>
      <c r="AE8" s="570" t="s">
        <v>565</v>
      </c>
      <c r="AF8" s="571"/>
      <c r="AG8" s="572"/>
      <c r="AH8" s="573" t="s">
        <v>566</v>
      </c>
      <c r="AI8" s="574"/>
      <c r="AJ8" s="575"/>
      <c r="AK8" s="238"/>
      <c r="AL8" s="238"/>
      <c r="AM8" s="238"/>
      <c r="AN8" s="238"/>
      <c r="AO8" s="238"/>
      <c r="AP8" s="238"/>
      <c r="AQ8" s="238"/>
      <c r="AR8" s="239"/>
      <c r="AS8" s="239"/>
      <c r="AT8" s="238"/>
      <c r="AU8" s="238"/>
      <c r="AV8" s="238"/>
      <c r="BN8" s="262">
        <f t="shared" si="2"/>
        <v>5</v>
      </c>
      <c r="BO8" s="71" t="s">
        <v>347</v>
      </c>
      <c r="BP8" s="32" t="str" cm="1">
        <f t="array" ref="BP8" xml:space="preserve"> INDEX(注音編碼對照表[方音符號], MATCH(TRUE, EXACT(鍵盤設計!$BO8,注音編碼對照表[鍵盤按鍵]), 0))</f>
        <v>ㄉ</v>
      </c>
      <c r="BQ8" s="107" t="str" cm="1">
        <f t="array" ref="BQ8" xml:space="preserve"> INDEX(注音編碼對照表[注音二式], MATCH(TRUE, EXACT(鍵盤設計!$BO8,注音編碼對照表[鍵盤按鍵]), 0))</f>
        <v>d</v>
      </c>
      <c r="BR8" s="34" t="str" cm="1">
        <f t="array" ref="BR8" xml:space="preserve"> INDEX(注音編碼對照表[按鍵編碼], MATCH(TRUE, EXACT(鍵盤設計!$BO8,注音編碼對照表[鍵盤按鍵]), 0))</f>
        <v>d</v>
      </c>
      <c r="BT8" s="596" t="str">
        <f t="shared" si="4"/>
        <v>"2": { commit: "ㄉ" }  # /d/ ==&gt; d</v>
      </c>
      <c r="BV8" s="241">
        <f t="shared" si="3"/>
        <v>5</v>
      </c>
      <c r="BW8" s="263" t="str">
        <f xml:space="preserve"> "- xform/" &amp; BR8 &amp; "/" &amp; BO8 &amp; "/"</f>
        <v>- xform/d/2/</v>
      </c>
      <c r="BY8" s="263" t="e">
        <f xml:space="preserve"> "- xform/" &amp; BO8 &amp; "/" &amp;#REF! &amp; "/"</f>
        <v>#REF!</v>
      </c>
    </row>
    <row r="9" spans="1:77" s="147" customFormat="1" ht="45" customHeight="1">
      <c r="A9" s="238"/>
      <c r="B9" s="238"/>
      <c r="C9" s="268"/>
      <c r="D9" s="243"/>
      <c r="E9" s="537"/>
      <c r="F9" s="536" t="str">
        <f ca="1">AP18</f>
        <v>W</v>
      </c>
      <c r="G9" s="539"/>
      <c r="H9" s="537"/>
      <c r="I9" s="536"/>
      <c r="J9" s="539"/>
      <c r="K9" s="537"/>
      <c r="L9" s="536"/>
      <c r="M9" s="539"/>
      <c r="N9" s="537"/>
      <c r="O9" s="536"/>
      <c r="P9" s="539"/>
      <c r="Q9" s="537"/>
      <c r="R9" s="536"/>
      <c r="S9" s="554"/>
      <c r="T9" s="537"/>
      <c r="U9" s="555"/>
      <c r="V9" s="244" t="str">
        <f ca="1">W19</f>
        <v>ㆫ</v>
      </c>
      <c r="W9" s="548">
        <f t="shared" ref="W9" si="6">Y7</f>
        <v>0</v>
      </c>
      <c r="X9" s="547" t="str">
        <f ca="1">W20</f>
        <v>unn</v>
      </c>
      <c r="Y9" s="549"/>
      <c r="Z9" s="546"/>
      <c r="AA9" s="550"/>
      <c r="AB9" s="244" t="str">
        <f ca="1">AH19</f>
        <v>ㆯ</v>
      </c>
      <c r="AC9" s="546"/>
      <c r="AD9" s="547" t="str">
        <f ca="1">AH20</f>
        <v>aunn</v>
      </c>
      <c r="AE9" s="244"/>
      <c r="AF9" s="546"/>
      <c r="AG9" s="547"/>
      <c r="AH9" s="551"/>
      <c r="AI9" s="552"/>
      <c r="AJ9" s="553"/>
      <c r="AK9" s="238"/>
      <c r="AL9" s="238"/>
      <c r="AM9" s="238"/>
      <c r="AN9" s="238"/>
      <c r="AO9" s="238"/>
      <c r="AP9" s="238"/>
      <c r="AQ9" s="238"/>
      <c r="AR9" s="239"/>
      <c r="AS9" s="239"/>
      <c r="AT9" s="238"/>
      <c r="AU9" s="238"/>
      <c r="AV9" s="238"/>
      <c r="BN9" s="262">
        <f t="shared" si="2"/>
        <v>6</v>
      </c>
      <c r="BO9" s="71" t="s">
        <v>341</v>
      </c>
      <c r="BP9" s="32" t="str" cm="1">
        <f t="array" ref="BP9" xml:space="preserve"> INDEX(注音編碼對照表[方音符號], MATCH(TRUE, EXACT(鍵盤設計!$BO9,注音編碼對照表[鍵盤按鍵]), 0))</f>
        <v>ㄊ</v>
      </c>
      <c r="BQ9" s="107" t="str" cm="1">
        <f t="array" ref="BQ9" xml:space="preserve"> INDEX(注音編碼對照表[注音二式], MATCH(TRUE, EXACT(鍵盤設計!$BO9,注音編碼對照表[鍵盤按鍵]), 0))</f>
        <v>t</v>
      </c>
      <c r="BR9" s="34" t="str" cm="1">
        <f t="array" ref="BR9" xml:space="preserve"> INDEX(注音編碼對照表[按鍵編碼], MATCH(TRUE, EXACT(鍵盤設計!$BO9,注音編碼對照表[鍵盤按鍵]), 0))</f>
        <v>t</v>
      </c>
      <c r="BT9" s="596" t="str">
        <f t="shared" si="4"/>
        <v>"w": { commit: "ㄊ" }  # /t/ ==&gt; t</v>
      </c>
      <c r="BV9" s="241">
        <f t="shared" si="3"/>
        <v>6</v>
      </c>
      <c r="BW9" s="263" t="str">
        <f xml:space="preserve"> "- xform/" &amp; BR9 &amp; "/" &amp; BO9 &amp; "/"</f>
        <v>- xform/t/w/</v>
      </c>
      <c r="BY9" s="263" t="e">
        <f xml:space="preserve"> "- xform/" &amp; BO9 &amp; "/" &amp;#REF! &amp; "/"</f>
        <v>#REF!</v>
      </c>
    </row>
    <row r="10" spans="1:77" ht="45" customHeight="1" thickBot="1">
      <c r="A10" s="249"/>
      <c r="B10" s="249"/>
      <c r="C10" s="249"/>
      <c r="D10" s="250" t="str">
        <f ca="1">G19</f>
        <v>ㄇ</v>
      </c>
      <c r="E10" s="251"/>
      <c r="F10" s="253" t="s">
        <v>143</v>
      </c>
      <c r="G10" s="250" t="str">
        <f ca="1">J19</f>
        <v>ㄋ</v>
      </c>
      <c r="H10" s="251"/>
      <c r="I10" s="253" t="s">
        <v>34</v>
      </c>
      <c r="J10" s="250" t="str">
        <f ca="1">M19</f>
        <v>ㄎ</v>
      </c>
      <c r="K10" s="251">
        <f t="shared" ref="K10" si="7">T10</f>
        <v>0</v>
      </c>
      <c r="L10" s="267" t="str">
        <f ca="1">M20</f>
        <v>k</v>
      </c>
      <c r="M10" s="264" t="str">
        <f ca="1">AU19</f>
        <v>ㄑ</v>
      </c>
      <c r="N10" s="251"/>
      <c r="O10" s="269" t="str">
        <f ca="1">AU20</f>
        <v>ci</v>
      </c>
      <c r="P10" s="270" t="str">
        <f ca="1">AZ19</f>
        <v>ㆻ</v>
      </c>
      <c r="Q10" s="251"/>
      <c r="R10" s="267" t="str">
        <f ca="1">AZ20</f>
        <v>g0</v>
      </c>
      <c r="S10" s="264" t="str">
        <f ca="1">Q19</f>
        <v>ㄘ</v>
      </c>
      <c r="T10" s="251"/>
      <c r="U10" s="267" t="str">
        <f ca="1">Q20</f>
        <v>c</v>
      </c>
      <c r="V10" s="255" t="str">
        <f ca="1">V19</f>
        <v>ㄨ</v>
      </c>
      <c r="W10" s="256"/>
      <c r="X10" s="259" t="str">
        <f ca="1">V20</f>
        <v>u</v>
      </c>
      <c r="Y10" s="255" t="str">
        <f ca="1">AB19</f>
        <v>ㄜ</v>
      </c>
      <c r="Z10" s="256"/>
      <c r="AA10" s="259" t="str">
        <f ca="1">AB20</f>
        <v>or</v>
      </c>
      <c r="AB10" s="255" t="str">
        <f ca="1">AG19</f>
        <v>ㄠ</v>
      </c>
      <c r="AC10" s="256"/>
      <c r="AD10" s="259" t="str">
        <f ca="1">AG20</f>
        <v>au</v>
      </c>
      <c r="AE10" s="255" t="str">
        <f ca="1">AK19</f>
        <v>ㄤ</v>
      </c>
      <c r="AF10" s="258"/>
      <c r="AG10" s="259" t="str">
        <f ca="1">AK20</f>
        <v>ang</v>
      </c>
      <c r="AH10" s="255" t="str">
        <f ca="1">AO19</f>
        <v>ㆲ</v>
      </c>
      <c r="AI10" s="258"/>
      <c r="AJ10" s="259" t="str">
        <f ca="1">AO20</f>
        <v>ong</v>
      </c>
      <c r="AK10" s="249"/>
      <c r="AL10" s="249"/>
      <c r="AM10" s="249"/>
      <c r="AN10" s="249"/>
      <c r="AO10" s="249"/>
      <c r="AP10" s="249"/>
      <c r="AQ10" s="249"/>
      <c r="AR10" s="234"/>
      <c r="AS10" s="234"/>
      <c r="AT10" s="249"/>
      <c r="AU10" s="249"/>
      <c r="AV10" s="249"/>
      <c r="BN10" s="262">
        <f t="shared" si="2"/>
        <v>7</v>
      </c>
      <c r="BO10" s="71" t="s">
        <v>338</v>
      </c>
      <c r="BP10" s="32" t="str" cm="1">
        <f t="array" ref="BP10" xml:space="preserve"> INDEX(注音編碼對照表[方音符號], MATCH(TRUE, EXACT(鍵盤設計!$BO10,注音編碼對照表[鍵盤按鍵]), 0))</f>
        <v>ㄋ</v>
      </c>
      <c r="BQ10" s="107" t="str" cm="1">
        <f t="array" ref="BQ10" xml:space="preserve"> INDEX(注音編碼對照表[注音二式], MATCH(TRUE, EXACT(鍵盤設計!$BO10,注音編碼對照表[鍵盤按鍵]), 0))</f>
        <v>n</v>
      </c>
      <c r="BR10" s="34" t="str" cm="1">
        <f t="array" ref="BR10" xml:space="preserve"> INDEX(注音編碼對照表[按鍵編碼], MATCH(TRUE, EXACT(鍵盤設計!$BO10,注音編碼對照表[鍵盤按鍵]), 0))</f>
        <v>n</v>
      </c>
      <c r="BT10" s="596" t="str">
        <f t="shared" si="4"/>
        <v>"s": { commit: "ㄋ" }  # /n/ ==&gt; n</v>
      </c>
      <c r="BV10" s="236">
        <f t="shared" si="3"/>
        <v>7</v>
      </c>
      <c r="BW10" s="263" t="str">
        <f xml:space="preserve"> "- xform/" &amp; BR10 &amp; "/" &amp; BO10 &amp; "/"</f>
        <v>- xform/n/s/</v>
      </c>
      <c r="BY10" s="263" t="e">
        <f xml:space="preserve"> "- xform/" &amp; BO10 &amp; "/" &amp;#REF! &amp; "/"</f>
        <v>#REF!</v>
      </c>
    </row>
    <row r="11" spans="1:77" s="147" customFormat="1" ht="45" customHeight="1">
      <c r="A11" s="238"/>
      <c r="B11" s="238"/>
      <c r="C11" s="238"/>
      <c r="D11" s="238"/>
      <c r="E11" s="576" t="s">
        <v>449</v>
      </c>
      <c r="F11" s="577"/>
      <c r="G11" s="578"/>
      <c r="H11" s="576" t="s">
        <v>567</v>
      </c>
      <c r="I11" s="577"/>
      <c r="J11" s="578"/>
      <c r="K11" s="576" t="s">
        <v>456</v>
      </c>
      <c r="L11" s="577"/>
      <c r="M11" s="578"/>
      <c r="N11" s="576" t="s">
        <v>568</v>
      </c>
      <c r="O11" s="577"/>
      <c r="P11" s="578"/>
      <c r="Q11" s="576" t="s">
        <v>144</v>
      </c>
      <c r="R11" s="577"/>
      <c r="S11" s="578"/>
      <c r="T11" s="576" t="s">
        <v>569</v>
      </c>
      <c r="U11" s="577"/>
      <c r="V11" s="578"/>
      <c r="W11" s="570" t="s">
        <v>525</v>
      </c>
      <c r="X11" s="571"/>
      <c r="Y11" s="572"/>
      <c r="Z11" s="570" t="s">
        <v>570</v>
      </c>
      <c r="AA11" s="571"/>
      <c r="AB11" s="572"/>
      <c r="AC11" s="570" t="s">
        <v>571</v>
      </c>
      <c r="AD11" s="571"/>
      <c r="AE11" s="572"/>
      <c r="AF11" s="573" t="s">
        <v>572</v>
      </c>
      <c r="AG11" s="574"/>
      <c r="AH11" s="575"/>
      <c r="AI11" s="238"/>
      <c r="AJ11" s="238"/>
      <c r="AK11" s="238"/>
      <c r="AL11" s="238"/>
      <c r="AM11" s="238"/>
      <c r="AN11" s="238"/>
      <c r="AO11" s="238"/>
      <c r="AP11" s="238"/>
      <c r="AQ11" s="238"/>
      <c r="AR11" s="239"/>
      <c r="AS11" s="239"/>
      <c r="AT11" s="238"/>
      <c r="AU11" s="238"/>
      <c r="AV11" s="238"/>
      <c r="BN11" s="262">
        <f t="shared" si="2"/>
        <v>8</v>
      </c>
      <c r="BO11" s="71" t="s">
        <v>332</v>
      </c>
      <c r="BP11" s="32" t="str" cm="1">
        <f t="array" ref="BP11" xml:space="preserve"> INDEX(注音編碼對照表[方音符號], MATCH(TRUE, EXACT(鍵盤設計!$BO11,注音編碼對照表[鍵盤按鍵]), 0))</f>
        <v>ㄌ</v>
      </c>
      <c r="BQ11" s="107" t="str" cm="1">
        <f t="array" ref="BQ11" xml:space="preserve"> INDEX(注音編碼對照表[注音二式], MATCH(TRUE, EXACT(鍵盤設計!$BO11,注音編碼對照表[鍵盤按鍵]), 0))</f>
        <v>l</v>
      </c>
      <c r="BR11" s="34" t="str" cm="1">
        <f t="array" ref="BR11" xml:space="preserve"> INDEX(注音編碼對照表[按鍵編碼], MATCH(TRUE, EXACT(鍵盤設計!$BO11,注音編碼對照表[鍵盤按鍵]), 0))</f>
        <v>l</v>
      </c>
      <c r="BT11" s="596" t="str">
        <f t="shared" si="4"/>
        <v>"x": { commit: "ㄌ" }  # /l/ ==&gt; l</v>
      </c>
      <c r="BV11" s="241">
        <f t="shared" si="3"/>
        <v>8</v>
      </c>
      <c r="BW11" s="263" t="str">
        <f xml:space="preserve"> "- xform/" &amp; BR11 &amp; "/" &amp; BO11 &amp; "/"</f>
        <v>- xform/l/x/</v>
      </c>
      <c r="BY11" s="263" t="e">
        <f xml:space="preserve"> "- xform/" &amp; BO11 &amp; "/" &amp;#REF! &amp; "/"</f>
        <v>#REF!</v>
      </c>
    </row>
    <row r="12" spans="1:77" s="147" customFormat="1" ht="45" customHeight="1">
      <c r="A12" s="238"/>
      <c r="B12" s="238"/>
      <c r="C12" s="238"/>
      <c r="D12" s="238"/>
      <c r="E12" s="539"/>
      <c r="F12" s="537"/>
      <c r="G12" s="536"/>
      <c r="H12" s="539"/>
      <c r="I12" s="537"/>
      <c r="J12" s="536"/>
      <c r="K12" s="539" t="str">
        <f ca="1">BA19</f>
        <v>ㆷ</v>
      </c>
      <c r="L12" s="537"/>
      <c r="M12" s="536" t="str">
        <f ca="1">BA20</f>
        <v>h0</v>
      </c>
      <c r="N12" s="539"/>
      <c r="O12" s="537"/>
      <c r="P12" s="536"/>
      <c r="Q12" s="554"/>
      <c r="R12" s="537"/>
      <c r="S12" s="555"/>
      <c r="T12" s="539"/>
      <c r="U12" s="537"/>
      <c r="V12" s="536"/>
      <c r="W12" s="244"/>
      <c r="X12" s="546"/>
      <c r="Y12" s="547"/>
      <c r="Z12" s="244" t="str">
        <f ca="1">AD19</f>
        <v>ㆥ</v>
      </c>
      <c r="AA12" s="548">
        <f t="shared" ref="AA12" si="8">AA13</f>
        <v>0</v>
      </c>
      <c r="AB12" s="547" t="str">
        <f ca="1">AD20</f>
        <v>enn</v>
      </c>
      <c r="AC12" s="244"/>
      <c r="AD12" s="546"/>
      <c r="AE12" s="550"/>
      <c r="AF12" s="271" t="str">
        <f ca="1">AP19</f>
        <v>ㆭ</v>
      </c>
      <c r="AG12" s="546"/>
      <c r="AH12" s="547" t="str">
        <f ca="1">AP20</f>
        <v>-ng</v>
      </c>
      <c r="AI12" s="238"/>
      <c r="AJ12" s="238"/>
      <c r="AK12" s="238"/>
      <c r="AL12" s="238"/>
      <c r="AM12" s="238"/>
      <c r="AN12" s="238"/>
      <c r="AO12" s="238"/>
      <c r="AP12" s="238"/>
      <c r="AQ12" s="238" t="s">
        <v>364</v>
      </c>
      <c r="AR12" s="239"/>
      <c r="AS12" s="239"/>
      <c r="AT12" s="238"/>
      <c r="AU12" s="238"/>
      <c r="AV12" s="238"/>
      <c r="BN12" s="262">
        <f t="shared" si="2"/>
        <v>9</v>
      </c>
      <c r="BO12" s="71" t="s">
        <v>329</v>
      </c>
      <c r="BP12" s="32" t="str" cm="1">
        <f t="array" ref="BP12" xml:space="preserve"> INDEX(注音編碼對照表[方音符號], MATCH(TRUE, EXACT(鍵盤設計!$BO12,注音編碼對照表[鍵盤按鍵]), 0))</f>
        <v>ㄍ</v>
      </c>
      <c r="BQ12" s="107" t="str" cm="1">
        <f t="array" ref="BQ12" xml:space="preserve"> INDEX(注音編碼對照表[注音二式], MATCH(TRUE, EXACT(鍵盤設計!$BO12,注音編碼對照表[鍵盤按鍵]), 0))</f>
        <v>g</v>
      </c>
      <c r="BR12" s="34" t="str" cm="1">
        <f t="array" ref="BR12" xml:space="preserve"> INDEX(注音編碼對照表[按鍵編碼], MATCH(TRUE, EXACT(鍵盤設計!$BO12,注音編碼對照表[鍵盤按鍵]), 0))</f>
        <v>g</v>
      </c>
      <c r="BT12" s="596" t="str">
        <f t="shared" si="4"/>
        <v>"e": { commit: "ㄍ" }  # /g/ ==&gt; g</v>
      </c>
      <c r="BV12" s="241">
        <f t="shared" si="3"/>
        <v>9</v>
      </c>
      <c r="BW12" s="263" t="str">
        <f xml:space="preserve"> "- xform/" &amp; BR12 &amp; "/" &amp; BO12 &amp; "/"</f>
        <v>- xform/g/e/</v>
      </c>
      <c r="BY12" s="263" t="e">
        <f xml:space="preserve"> "- xform/" &amp; BO12 &amp; "/" &amp;#REF! &amp; "/"</f>
        <v>#REF!</v>
      </c>
    </row>
    <row r="13" spans="1:77" ht="45" customHeight="1" thickBot="1">
      <c r="A13" s="249"/>
      <c r="B13" s="249"/>
      <c r="C13" s="249"/>
      <c r="D13" s="249"/>
      <c r="E13" s="264" t="str">
        <f ca="1">AQ19</f>
        <v>ㄫ</v>
      </c>
      <c r="F13" s="251"/>
      <c r="G13" s="266" t="str">
        <f ca="1">AQ20</f>
        <v>ng-</v>
      </c>
      <c r="H13" s="250" t="str">
        <f ca="1">K19</f>
        <v>ㄌ</v>
      </c>
      <c r="I13" s="251"/>
      <c r="J13" s="253" t="s">
        <v>86</v>
      </c>
      <c r="K13" s="250" t="str">
        <f ca="1">O19</f>
        <v>ㄏ</v>
      </c>
      <c r="L13" s="251"/>
      <c r="M13" s="267" t="str">
        <f ca="1">O20</f>
        <v>h</v>
      </c>
      <c r="N13" s="264" t="str">
        <f ca="1">AW19</f>
        <v>ㄒ</v>
      </c>
      <c r="O13" s="251"/>
      <c r="P13" s="272" t="str">
        <f ca="1">AW20</f>
        <v>si</v>
      </c>
      <c r="Q13" s="264" t="str">
        <f ca="1">AX19</f>
        <v>ㆴ</v>
      </c>
      <c r="R13" s="251"/>
      <c r="S13" s="267" t="str">
        <f ca="1">AX20</f>
        <v>b0</v>
      </c>
      <c r="T13" s="250" t="str">
        <f ca="1">S19</f>
        <v>ㄙ</v>
      </c>
      <c r="U13" s="251"/>
      <c r="V13" s="267" t="str">
        <f ca="1">S20</f>
        <v>s</v>
      </c>
      <c r="W13" s="255" t="str">
        <f ca="1">AS19</f>
        <v>ㆬ</v>
      </c>
      <c r="X13" s="256"/>
      <c r="Y13" s="259" t="str">
        <f ca="1">AS20</f>
        <v>m</v>
      </c>
      <c r="Z13" s="255" t="str">
        <f ca="1">AC19</f>
        <v>ㆤ</v>
      </c>
      <c r="AA13" s="256">
        <f t="shared" ref="AA13" si="9">Z10</f>
        <v>0</v>
      </c>
      <c r="AB13" s="259" t="str">
        <f ca="1">AC20</f>
        <v>e</v>
      </c>
      <c r="AC13" s="255"/>
      <c r="AD13" s="256"/>
      <c r="AE13" s="273"/>
      <c r="AF13" s="255" t="str">
        <f ca="1">AR19</f>
        <v>ㄥ</v>
      </c>
      <c r="AG13" s="256"/>
      <c r="AH13" s="259" t="str">
        <f ca="1">AR20</f>
        <v>(i)ng</v>
      </c>
      <c r="AI13" s="249"/>
      <c r="AJ13" s="249"/>
      <c r="AK13" s="249"/>
      <c r="AL13" s="249"/>
      <c r="AM13" s="249"/>
      <c r="AN13" s="249"/>
      <c r="AO13" s="249"/>
      <c r="AP13" s="249"/>
      <c r="AQ13" s="249"/>
      <c r="AR13" s="234"/>
      <c r="AS13" s="234"/>
      <c r="AT13" s="249"/>
      <c r="AU13" s="249"/>
      <c r="AV13" s="249"/>
      <c r="BK13" s="147"/>
      <c r="BN13" s="262">
        <f t="shared" si="2"/>
        <v>10</v>
      </c>
      <c r="BO13" s="71" t="s">
        <v>309</v>
      </c>
      <c r="BP13" s="32" t="str" cm="1">
        <f t="array" ref="BP13" xml:space="preserve"> INDEX(注音編碼對照表[方音符號], MATCH(TRUE, EXACT(鍵盤設計!$BO13,注音編碼對照表[鍵盤按鍵]), 0))</f>
        <v>ㄎ</v>
      </c>
      <c r="BQ13" s="107" t="str" cm="1">
        <f t="array" ref="BQ13" xml:space="preserve"> INDEX(注音編碼對照表[注音二式], MATCH(TRUE, EXACT(鍵盤設計!$BO13,注音編碼對照表[鍵盤按鍵]), 0))</f>
        <v>k</v>
      </c>
      <c r="BR13" s="34" t="str" cm="1">
        <f t="array" ref="BR13" xml:space="preserve"> INDEX(注音編碼對照表[按鍵編碼], MATCH(TRUE, EXACT(鍵盤設計!$BO13,注音編碼對照表[鍵盤按鍵]), 0))</f>
        <v>k</v>
      </c>
      <c r="BT13" s="596" t="str">
        <f t="shared" si="4"/>
        <v>"d": { commit: "ㄎ" }  # /k/ ==&gt; k</v>
      </c>
      <c r="BV13" s="236">
        <f t="shared" si="3"/>
        <v>10</v>
      </c>
      <c r="BW13" s="263" t="str">
        <f xml:space="preserve"> "- xform/" &amp; BR13 &amp; "/" &amp; BO13 &amp; "/"</f>
        <v>- xform/k/d/</v>
      </c>
      <c r="BY13" s="263" t="e">
        <f xml:space="preserve"> "- xform/" &amp; BO13 &amp; "/" &amp;#REF! &amp; "/"</f>
        <v>#REF!</v>
      </c>
    </row>
    <row r="14" spans="1:77" ht="45" customHeight="1">
      <c r="BK14" s="147"/>
      <c r="BN14" s="262">
        <f t="shared" si="2"/>
        <v>11</v>
      </c>
      <c r="BO14" s="71" t="s">
        <v>322</v>
      </c>
      <c r="BP14" s="32" t="str" cm="1">
        <f t="array" ref="BP14" xml:space="preserve"> INDEX(注音編碼對照表[方音符號], MATCH(TRUE, EXACT(鍵盤設計!$BO14,注音編碼對照表[鍵盤按鍵]), 0))</f>
        <v>ㆣ</v>
      </c>
      <c r="BQ14" s="107" t="str" cm="1">
        <f t="array" ref="BQ14" xml:space="preserve"> INDEX(注音編碼對照表[注音二式], MATCH(TRUE, EXACT(鍵盤設計!$BO14,注音編碼對照表[鍵盤按鍵]), 0))</f>
        <v>gg</v>
      </c>
      <c r="BR14" s="34" t="str" cm="1">
        <f t="array" ref="BR14" xml:space="preserve"> INDEX(注音編碼對照表[按鍵編碼], MATCH(TRUE, EXACT(鍵盤設計!$BO14,注音編碼對照表[鍵盤按鍵]), 0))</f>
        <v>G</v>
      </c>
      <c r="BT14" s="596" t="str">
        <f t="shared" si="4"/>
        <v>"E": { commit: "ㆣ" }  # /gg/ ==&gt; G</v>
      </c>
      <c r="BV14" s="236">
        <f t="shared" si="3"/>
        <v>11</v>
      </c>
      <c r="BW14" s="263" t="str">
        <f xml:space="preserve"> "- xform/" &amp; BR14 &amp; "/" &amp; BO14 &amp; "/"</f>
        <v>- xform/G/E/</v>
      </c>
      <c r="BY14" s="263" t="e">
        <f xml:space="preserve"> "- xform/" &amp; BO14 &amp; "/" &amp;#REF! &amp; "/"</f>
        <v>#REF!</v>
      </c>
    </row>
    <row r="15" spans="1:77" s="190" customFormat="1" ht="45" customHeight="1">
      <c r="A15" s="249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34"/>
      <c r="AS15" s="234"/>
      <c r="AT15" s="249"/>
      <c r="AU15" s="249"/>
      <c r="AV15" s="249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H15" s="147"/>
      <c r="BI15" s="147"/>
      <c r="BJ15" s="147"/>
      <c r="BK15" s="147"/>
      <c r="BN15" s="262">
        <f t="shared" si="2"/>
        <v>12</v>
      </c>
      <c r="BO15" s="71" t="s">
        <v>305</v>
      </c>
      <c r="BP15" s="32" t="str" cm="1">
        <f t="array" ref="BP15" xml:space="preserve"> INDEX(注音編碼對照表[方音符號], MATCH(TRUE, EXACT(鍵盤設計!$BO15,注音編碼對照表[鍵盤按鍵]), 0))</f>
        <v>ㄏ</v>
      </c>
      <c r="BQ15" s="107" t="str" cm="1">
        <f t="array" ref="BQ15" xml:space="preserve"> INDEX(注音編碼對照表[注音二式], MATCH(TRUE, EXACT(鍵盤設計!$BO15,注音編碼對照表[鍵盤按鍵]), 0))</f>
        <v>h</v>
      </c>
      <c r="BR15" s="34" t="str" cm="1">
        <f t="array" ref="BR15" xml:space="preserve"> INDEX(注音編碼對照表[按鍵編碼], MATCH(TRUE, EXACT(鍵盤設計!$BO15,注音編碼對照表[鍵盤按鍵]), 0))</f>
        <v>h</v>
      </c>
      <c r="BT15" s="596" t="str">
        <f t="shared" si="4"/>
        <v>"c": { commit: "ㄏ" }  # /h/ ==&gt; h</v>
      </c>
      <c r="BV15" s="274">
        <f t="shared" si="3"/>
        <v>12</v>
      </c>
      <c r="BW15" s="263" t="str">
        <f xml:space="preserve"> "- xform/" &amp; BR15 &amp; "/" &amp; BO15 &amp; "/"</f>
        <v>- xform/h/c/</v>
      </c>
      <c r="BY15" s="263" t="e">
        <f xml:space="preserve"> "- xform/" &amp; BO15 &amp; "/" &amp;#REF! &amp; "/"</f>
        <v>#REF!</v>
      </c>
    </row>
    <row r="16" spans="1:77" s="193" customFormat="1" ht="45" customHeight="1">
      <c r="A16" s="275"/>
      <c r="B16" s="276" t="s">
        <v>14</v>
      </c>
      <c r="C16" s="277"/>
      <c r="D16" s="278" cm="1">
        <f t="array" ref="D16" xml:space="preserve"> COLUMN() - COLUMN($C:$C)</f>
        <v>1</v>
      </c>
      <c r="E16" s="278" cm="1">
        <f t="array" ref="E16" xml:space="preserve"> COLUMN() - COLUMN($C:$C)</f>
        <v>2</v>
      </c>
      <c r="F16" s="278" cm="1">
        <f t="array" ref="F16" xml:space="preserve"> COLUMN() - COLUMN($C:$C)</f>
        <v>3</v>
      </c>
      <c r="G16" s="278" cm="1">
        <f t="array" ref="G16" xml:space="preserve"> COLUMN() - COLUMN($C:$C)</f>
        <v>4</v>
      </c>
      <c r="H16" s="278" cm="1">
        <f t="array" ref="H16" xml:space="preserve"> COLUMN() - COLUMN($C:$C)</f>
        <v>5</v>
      </c>
      <c r="I16" s="278" cm="1">
        <f t="array" ref="I16" xml:space="preserve"> COLUMN() - COLUMN($C:$C)</f>
        <v>6</v>
      </c>
      <c r="J16" s="278" cm="1">
        <f t="array" ref="J16" xml:space="preserve"> COLUMN() - COLUMN($C:$C)</f>
        <v>7</v>
      </c>
      <c r="K16" s="278" cm="1">
        <f t="array" ref="K16" xml:space="preserve"> COLUMN() - COLUMN($C:$C)</f>
        <v>8</v>
      </c>
      <c r="L16" s="278" cm="1">
        <f t="array" ref="L16" xml:space="preserve"> COLUMN() - COLUMN($C:$C)</f>
        <v>9</v>
      </c>
      <c r="M16" s="278" cm="1">
        <f t="array" ref="M16" xml:space="preserve"> COLUMN() - COLUMN($C:$C)</f>
        <v>10</v>
      </c>
      <c r="N16" s="278" cm="1">
        <f t="array" ref="N16" xml:space="preserve"> COLUMN() - COLUMN($C:$C)</f>
        <v>11</v>
      </c>
      <c r="O16" s="278" cm="1">
        <f t="array" ref="O16" xml:space="preserve"> COLUMN() - COLUMN($C:$C)</f>
        <v>12</v>
      </c>
      <c r="P16" s="278" cm="1">
        <f t="array" ref="P16" xml:space="preserve"> COLUMN() - COLUMN($C:$C)</f>
        <v>13</v>
      </c>
      <c r="Q16" s="278" cm="1">
        <f t="array" ref="Q16" xml:space="preserve"> COLUMN() - COLUMN($C:$C)</f>
        <v>14</v>
      </c>
      <c r="R16" s="278" cm="1">
        <f t="array" ref="R16" xml:space="preserve"> COLUMN() - COLUMN($C:$C)</f>
        <v>15</v>
      </c>
      <c r="S16" s="278" cm="1">
        <f t="array" ref="S16" xml:space="preserve"> COLUMN() - COLUMN($C:$C)</f>
        <v>16</v>
      </c>
      <c r="T16" s="278" cm="1">
        <f t="array" ref="T16" xml:space="preserve"> COLUMN() - COLUMN($C:$C)</f>
        <v>17</v>
      </c>
      <c r="U16" s="278" cm="1">
        <f t="array" ref="U16" xml:space="preserve"> COLUMN() - COLUMN($C:$C)</f>
        <v>18</v>
      </c>
      <c r="V16" s="278" cm="1">
        <f t="array" ref="V16" xml:space="preserve"> COLUMN() - COLUMN($C:$C)</f>
        <v>19</v>
      </c>
      <c r="W16" s="278" cm="1">
        <f t="array" ref="W16" xml:space="preserve"> COLUMN() - COLUMN($C:$C)</f>
        <v>20</v>
      </c>
      <c r="X16" s="278" cm="1">
        <f t="array" ref="X16" xml:space="preserve"> COLUMN() - COLUMN($C:$C)</f>
        <v>21</v>
      </c>
      <c r="Y16" s="279" cm="1">
        <f t="array" ref="Y16" xml:space="preserve"> COLUMN() - COLUMN($C:$C)</f>
        <v>22</v>
      </c>
      <c r="Z16" s="279" cm="1">
        <f t="array" ref="Z16" xml:space="preserve"> COLUMN() - COLUMN($C:$C)</f>
        <v>23</v>
      </c>
      <c r="AA16" s="279" cm="1">
        <f t="array" ref="AA16" xml:space="preserve"> COLUMN() - COLUMN($C:$C)</f>
        <v>24</v>
      </c>
      <c r="AB16" s="279" cm="1">
        <f t="array" ref="AB16" xml:space="preserve"> COLUMN() - COLUMN($C:$C)</f>
        <v>25</v>
      </c>
      <c r="AC16" s="279" cm="1">
        <f t="array" ref="AC16" xml:space="preserve"> COLUMN() - COLUMN($C:$C)</f>
        <v>26</v>
      </c>
      <c r="AD16" s="279" cm="1">
        <f t="array" ref="AD16" xml:space="preserve"> COLUMN() - COLUMN($C:$C)</f>
        <v>27</v>
      </c>
      <c r="AE16" s="279" cm="1">
        <f t="array" ref="AE16" xml:space="preserve"> COLUMN() - COLUMN($C:$C)</f>
        <v>28</v>
      </c>
      <c r="AF16" s="279" cm="1">
        <f t="array" ref="AF16" xml:space="preserve"> COLUMN() - COLUMN($C:$C)</f>
        <v>29</v>
      </c>
      <c r="AG16" s="279" cm="1">
        <f t="array" ref="AG16" xml:space="preserve"> COLUMN() - COLUMN($C:$C)</f>
        <v>30</v>
      </c>
      <c r="AH16" s="279" cm="1">
        <f t="array" ref="AH16" xml:space="preserve"> COLUMN() - COLUMN($C:$C)</f>
        <v>31</v>
      </c>
      <c r="AI16" s="279" cm="1">
        <f t="array" ref="AI16" xml:space="preserve"> COLUMN() - COLUMN($C:$C)</f>
        <v>32</v>
      </c>
      <c r="AJ16" s="279" cm="1">
        <f t="array" ref="AJ16" xml:space="preserve"> COLUMN() - COLUMN($C:$C)</f>
        <v>33</v>
      </c>
      <c r="AK16" s="279" cm="1">
        <f t="array" ref="AK16" xml:space="preserve"> COLUMN() - COLUMN($C:$C)</f>
        <v>34</v>
      </c>
      <c r="AL16" s="279" cm="1">
        <f t="array" ref="AL16" xml:space="preserve"> COLUMN() - COLUMN($C:$C)</f>
        <v>35</v>
      </c>
      <c r="AM16" s="279" cm="1">
        <f t="array" ref="AM16" xml:space="preserve"> COLUMN() - COLUMN($C:$C)</f>
        <v>36</v>
      </c>
      <c r="AN16" s="279" cm="1">
        <f t="array" ref="AN16" xml:space="preserve"> COLUMN() - COLUMN($C:$C)</f>
        <v>37</v>
      </c>
      <c r="AO16" s="279" cm="1">
        <f t="array" ref="AO16" xml:space="preserve"> COLUMN() - COLUMN($C:$C)</f>
        <v>38</v>
      </c>
      <c r="AP16" s="279" cm="1">
        <f t="array" ref="AP16" xml:space="preserve"> COLUMN() - COLUMN($C:$C)</f>
        <v>39</v>
      </c>
      <c r="AQ16" s="279" cm="1">
        <f t="array" ref="AQ16" xml:space="preserve"> COLUMN() - COLUMN($C:$C)</f>
        <v>40</v>
      </c>
      <c r="AR16" s="279" cm="1">
        <f t="array" ref="AR16" xml:space="preserve"> COLUMN() - COLUMN($C:$C)</f>
        <v>41</v>
      </c>
      <c r="AS16" s="279" cm="1">
        <f t="array" ref="AS16" xml:space="preserve"> COLUMN() - COLUMN($C:$C)</f>
        <v>42</v>
      </c>
      <c r="AT16" s="279" cm="1">
        <f t="array" ref="AT16" xml:space="preserve"> COLUMN() - COLUMN($C:$C)</f>
        <v>43</v>
      </c>
      <c r="AU16" s="279" cm="1">
        <f t="array" ref="AU16" xml:space="preserve"> COLUMN() - COLUMN($C:$C)</f>
        <v>44</v>
      </c>
      <c r="AV16" s="279" cm="1">
        <f t="array" ref="AV16" xml:space="preserve"> COLUMN() - COLUMN($C:$C)</f>
        <v>45</v>
      </c>
      <c r="AW16" s="279" cm="1">
        <f t="array" ref="AW16" xml:space="preserve"> COLUMN() - COLUMN($C:$C)</f>
        <v>46</v>
      </c>
      <c r="AX16" s="280" cm="1">
        <f t="array" ref="AX16" xml:space="preserve"> COLUMN() - COLUMN($C:$C)</f>
        <v>47</v>
      </c>
      <c r="AY16" s="280" cm="1">
        <f t="array" ref="AY16" xml:space="preserve"> COLUMN() - COLUMN($C:$C)</f>
        <v>48</v>
      </c>
      <c r="AZ16" s="280" cm="1">
        <f t="array" ref="AZ16" xml:space="preserve"> COLUMN() - COLUMN($C:$C)</f>
        <v>49</v>
      </c>
      <c r="BA16" s="280" cm="1">
        <f t="array" ref="BA16" xml:space="preserve"> COLUMN() - COLUMN($C:$C)</f>
        <v>50</v>
      </c>
      <c r="BB16" s="280" cm="1">
        <f t="array" ref="BB16" xml:space="preserve"> COLUMN() - COLUMN($C:$C)</f>
        <v>51</v>
      </c>
      <c r="BC16" s="280" cm="1">
        <f t="array" ref="BC16" xml:space="preserve"> COLUMN() - COLUMN($C:$C)</f>
        <v>52</v>
      </c>
      <c r="BD16" s="565"/>
      <c r="BE16" s="565"/>
      <c r="BF16" s="565"/>
      <c r="BG16" s="565"/>
      <c r="BH16" s="147"/>
      <c r="BI16" s="147"/>
      <c r="BJ16" s="147"/>
      <c r="BK16" s="147"/>
      <c r="BN16" s="262">
        <f t="shared" si="2"/>
        <v>13</v>
      </c>
      <c r="BO16" s="71" t="s">
        <v>588</v>
      </c>
      <c r="BP16" s="32" t="str" cm="1">
        <f t="array" ref="BP16" xml:space="preserve"> INDEX(注音編碼對照表[方音符號], MATCH(TRUE, EXACT(鍵盤設計!$BO16,注音編碼對照表[鍵盤按鍵]), 0))</f>
        <v>ㄗ</v>
      </c>
      <c r="BQ16" s="107" t="str" cm="1">
        <f t="array" ref="BQ16" xml:space="preserve"> INDEX(注音編碼對照表[注音二式], MATCH(TRUE, EXACT(鍵盤設計!$BO16,注音編碼對照表[鍵盤按鍵]), 0))</f>
        <v>z</v>
      </c>
      <c r="BR16" s="34" t="str" cm="1">
        <f t="array" ref="BR16" xml:space="preserve"> INDEX(注音編碼對照表[按鍵編碼], MATCH(TRUE, EXACT(鍵盤設計!$BO16,注音編碼對照表[鍵盤按鍵]), 0))</f>
        <v>z</v>
      </c>
      <c r="BT16" s="596" t="str">
        <f t="shared" si="4"/>
        <v>"y": { commit: "ㄗ" }  # /z/ ==&gt; z</v>
      </c>
      <c r="BV16" s="195">
        <f t="shared" si="3"/>
        <v>13</v>
      </c>
      <c r="BW16" s="263" t="str">
        <f xml:space="preserve"> "- xform/" &amp; BR16 &amp; "/" &amp; BO16 &amp; "/"</f>
        <v>- xform/z/y/</v>
      </c>
      <c r="BY16" s="263" t="e">
        <f xml:space="preserve"> "- xform/" &amp; BO16 &amp; "/" &amp;#REF! &amp; "/"</f>
        <v>#REF!</v>
      </c>
    </row>
    <row r="17" spans="1:91" s="193" customFormat="1" ht="45" customHeight="1">
      <c r="A17" s="281"/>
      <c r="B17" s="282" t="s">
        <v>342</v>
      </c>
      <c r="C17" s="283"/>
      <c r="D17" s="284" t="str" cm="1">
        <f t="array" aca="1" ref="D17" ca="1">INDIRECT(ADDRESS(ROW($BO$3)+D$16, COLUMN($BO$4)))</f>
        <v>1</v>
      </c>
      <c r="E17" s="284" t="str" cm="1">
        <f t="array" aca="1" ref="E17" ca="1">INDIRECT(ADDRESS(ROW($BO$3)+E$16, COLUMN($BO$4)))</f>
        <v>q</v>
      </c>
      <c r="F17" s="284" t="str" cm="1">
        <f t="array" aca="1" ref="F17" ca="1">INDIRECT(ADDRESS(ROW($BO$3)+F$16, COLUMN($BO$4)))</f>
        <v>!</v>
      </c>
      <c r="G17" s="284" t="str" cm="1">
        <f t="array" aca="1" ref="G17" ca="1">INDIRECT(ADDRESS(ROW($BO$3)+G$16, COLUMN($BO$4)))</f>
        <v>a</v>
      </c>
      <c r="H17" s="284" t="str" cm="1">
        <f t="array" aca="1" ref="H17" ca="1">INDIRECT(ADDRESS(ROW($BO$3)+H$16, COLUMN($BO$4)))</f>
        <v>2</v>
      </c>
      <c r="I17" s="284" t="str" cm="1">
        <f t="array" aca="1" ref="I17" ca="1">INDIRECT(ADDRESS(ROW($BO$3)+I$16, COLUMN($BO$4)))</f>
        <v>w</v>
      </c>
      <c r="J17" s="284" t="str" cm="1">
        <f t="array" aca="1" ref="J17" ca="1">INDIRECT(ADDRESS(ROW($BO$3)+J$16, COLUMN($BO$4)))</f>
        <v>s</v>
      </c>
      <c r="K17" s="284" t="str" cm="1">
        <f t="array" aca="1" ref="K17" ca="1">INDIRECT(ADDRESS(ROW($BO$3)+K$16, COLUMN($BO$4)))</f>
        <v>x</v>
      </c>
      <c r="L17" s="284" t="str" cm="1">
        <f t="array" aca="1" ref="L17" ca="1">INDIRECT(ADDRESS(ROW($BO$3)+L$16, COLUMN($BO$4)))</f>
        <v>e</v>
      </c>
      <c r="M17" s="284" t="str" cm="1">
        <f t="array" aca="1" ref="M17" ca="1">INDIRECT(ADDRESS(ROW($BO$3)+M$16, COLUMN($BO$4)))</f>
        <v>d</v>
      </c>
      <c r="N17" s="284" t="str" cm="1">
        <f t="array" aca="1" ref="N17" ca="1">INDIRECT(ADDRESS(ROW($BO$3)+N$16, COLUMN($BO$4)))</f>
        <v>E</v>
      </c>
      <c r="O17" s="284" t="str" cm="1">
        <f t="array" aca="1" ref="O17" ca="1">INDIRECT(ADDRESS(ROW($BO$3)+O$16, COLUMN($BO$4)))</f>
        <v>c</v>
      </c>
      <c r="P17" s="284" t="str" cm="1">
        <f t="array" aca="1" ref="P17" ca="1">INDIRECT(ADDRESS(ROW($BO$3)+P$16, COLUMN($BO$4)))</f>
        <v>y</v>
      </c>
      <c r="Q17" s="284" t="str" cm="1">
        <f t="array" aca="1" ref="Q17" ca="1">INDIRECT(ADDRESS(ROW($BO$3)+Q$16, COLUMN($BO$4)))</f>
        <v>h</v>
      </c>
      <c r="R17" s="284" t="str" cm="1">
        <f t="array" aca="1" ref="R17" ca="1">INDIRECT(ADDRESS(ROW($BO$3)+R$16, COLUMN($BO$4)))</f>
        <v>Y</v>
      </c>
      <c r="S17" s="284" t="str" cm="1">
        <f t="array" aca="1" ref="S17" ca="1">INDIRECT(ADDRESS(ROW($BO$3)+S$16, COLUMN($BO$4)))</f>
        <v>n</v>
      </c>
      <c r="T17" s="284" t="str" cm="1">
        <f t="array" aca="1" ref="T17" ca="1">INDIRECT(ADDRESS(ROW($BO$3)+T$16, COLUMN($BO$4)))</f>
        <v>u</v>
      </c>
      <c r="U17" s="284" t="str" cm="1">
        <f t="array" aca="1" ref="U17" ca="1">INDIRECT(ADDRESS(ROW($BO$3)+U$16, COLUMN($BO$4)))</f>
        <v>U</v>
      </c>
      <c r="V17" s="284" t="str" cm="1">
        <f t="array" aca="1" ref="V17" ca="1">INDIRECT(ADDRESS(ROW($BO$3)+V$16, COLUMN($BO$4)))</f>
        <v>j</v>
      </c>
      <c r="W17" s="284" t="str" cm="1">
        <f t="array" aca="1" ref="W17" ca="1">INDIRECT(ADDRESS(ROW($BO$3)+W$16, COLUMN($BO$4)))</f>
        <v>J</v>
      </c>
      <c r="X17" s="284" t="str" cm="1">
        <f t="array" aca="1" ref="X17" ca="1">INDIRECT(ADDRESS(ROW($BO$3)+X$16, COLUMN($BO$4)))</f>
        <v>8</v>
      </c>
      <c r="Y17" s="284" t="str" cm="1">
        <f t="array" aca="1" ref="Y17" ca="1">INDIRECT(ADDRESS(ROW($BO$3)+Y$16, COLUMN($BO$4)))</f>
        <v>*</v>
      </c>
      <c r="Z17" s="284" t="str" cm="1">
        <f t="array" aca="1" ref="Z17" ca="1">INDIRECT(ADDRESS(ROW($BO$3)+Z$16, COLUMN($BO$4)))</f>
        <v>i</v>
      </c>
      <c r="AA17" s="284" t="str" cm="1">
        <f t="array" aca="1" ref="AA17" ca="1">INDIRECT(ADDRESS(ROW($BO$3)+AA$16, COLUMN($BO$4)))</f>
        <v>I</v>
      </c>
      <c r="AB17" s="284" t="str" cm="1">
        <f t="array" aca="1" ref="AB17" ca="1">INDIRECT(ADDRESS(ROW($BO$3)+AB$16, COLUMN($BO$4)))</f>
        <v>k</v>
      </c>
      <c r="AC17" s="284" t="str" cm="1">
        <f t="array" aca="1" ref="AC17" ca="1">INDIRECT(ADDRESS(ROW($BO$3)+AC$16, COLUMN($BO$4)))</f>
        <v>,</v>
      </c>
      <c r="AD17" s="284" t="str" cm="1">
        <f t="array" aca="1" ref="AD17" ca="1">INDIRECT(ADDRESS(ROW($BO$3)+AD$16, COLUMN($BO$4)))</f>
        <v>&lt;</v>
      </c>
      <c r="AE17" s="284" t="str" cm="1">
        <f t="array" aca="1" ref="AE17" ca="1">INDIRECT(ADDRESS(ROW($BO$3)+AE$16, COLUMN($BO$4)))</f>
        <v>9</v>
      </c>
      <c r="AF17" s="284" t="str" cm="1">
        <f t="array" aca="1" ref="AF17" ca="1">INDIRECT(ADDRESS(ROW($BO$3)+AF$16, COLUMN($BO$4)))</f>
        <v>(</v>
      </c>
      <c r="AG17" s="284" t="str" cm="1">
        <f t="array" aca="1" ref="AG17" ca="1">INDIRECT(ADDRESS(ROW($BO$3)+AG$16, COLUMN($BO$4)))</f>
        <v>l</v>
      </c>
      <c r="AH17" s="284" t="str" cm="1">
        <f t="array" aca="1" ref="AH17" ca="1">INDIRECT(ADDRESS(ROW($BO$3)+AH$16, COLUMN($BO$4)))</f>
        <v>L</v>
      </c>
      <c r="AI17" s="284" t="str" cm="1">
        <f t="array" aca="1" ref="AI17" ca="1">INDIRECT(ADDRESS(ROW($BO$3)+AI$16, COLUMN($BO$4)))</f>
        <v>0</v>
      </c>
      <c r="AJ17" s="284" t="str" cm="1">
        <f t="array" aca="1" ref="AJ17" ca="1">INDIRECT(ADDRESS(ROW($BO$3)+AJ$16, COLUMN($BO$4)))</f>
        <v>p</v>
      </c>
      <c r="AK17" s="284" t="str" cm="1">
        <f t="array" aca="1" ref="AK17" ca="1">INDIRECT(ADDRESS(ROW($BO$3)+AK$16, COLUMN($BO$4)))</f>
        <v>;</v>
      </c>
      <c r="AL17" s="284" t="str" cm="1">
        <f t="array" aca="1" ref="AL17" ca="1">INDIRECT(ADDRESS(ROW($BO$3)+AL$16, COLUMN($BO$4)))</f>
        <v>-</v>
      </c>
      <c r="AM17" s="284" t="str" cm="1">
        <f t="array" aca="1" ref="AM17" ca="1">INDIRECT(ADDRESS(ROW($BO$3)+AM$16, COLUMN($BO$4)))</f>
        <v>[</v>
      </c>
      <c r="AN17" s="284" t="str" cm="1">
        <f t="array" aca="1" ref="AN17" ca="1">INDIRECT(ADDRESS(ROW($BO$3)+AN$16, COLUMN($BO$4)))</f>
        <v>]</v>
      </c>
      <c r="AO17" s="284" t="str" cm="1">
        <f t="array" aca="1" ref="AO17" ca="1">INDIRECT(ADDRESS(ROW($BO$3)+AO$16, COLUMN($BO$4)))</f>
        <v>'</v>
      </c>
      <c r="AP17" s="284" t="str" cm="1">
        <f t="array" aca="1" ref="AP17" ca="1">INDIRECT(ADDRESS(ROW($BO$3)+AP$16, COLUMN($BO$4)))</f>
        <v>\</v>
      </c>
      <c r="AQ17" s="284" t="str" cm="1">
        <f t="array" aca="1" ref="AQ17" ca="1">INDIRECT(ADDRESS(ROW($BO$3)+AQ$16, COLUMN($BO$4)))</f>
        <v>z</v>
      </c>
      <c r="AR17" s="284" t="str" cm="1">
        <f t="array" aca="1" ref="AR17" ca="1">INDIRECT(ADDRESS(ROW($BO$3)+AR$16, COLUMN($BO$4)))</f>
        <v>/</v>
      </c>
      <c r="AS17" s="284" t="str" cm="1">
        <f t="array" aca="1" ref="AS17" ca="1">INDIRECT(ADDRESS(ROW($BO$3)+AS$16, COLUMN($BO$4)))</f>
        <v>m</v>
      </c>
      <c r="AT17" s="284" t="str" cm="1">
        <f t="array" aca="1" ref="AT17" ca="1">INDIRECT(ADDRESS(ROW($BO$3)+AT$16, COLUMN($BO$4)))</f>
        <v>r</v>
      </c>
      <c r="AU17" s="284" t="str" cm="1">
        <f t="array" aca="1" ref="AU17" ca="1">INDIRECT(ADDRESS(ROW($BO$3)+AU$16, COLUMN($BO$4)))</f>
        <v>f</v>
      </c>
      <c r="AV17" s="284" t="str" cm="1">
        <f t="array" aca="1" ref="AV17" ca="1">INDIRECT(ADDRESS(ROW($BO$3)+AV$16, COLUMN($BO$4)))</f>
        <v>R</v>
      </c>
      <c r="AW17" s="284" t="str" cm="1">
        <f t="array" aca="1" ref="AW17" ca="1">INDIRECT(ADDRESS(ROW($BO$3)+AW$16, COLUMN($BO$4)))</f>
        <v>v</v>
      </c>
      <c r="AX17" s="284" t="str" cm="1">
        <f t="array" aca="1" ref="AX17" ca="1">INDIRECT(ADDRESS(ROW($BO$3)+AX$16, COLUMN($BO$4)))</f>
        <v>b</v>
      </c>
      <c r="AY17" s="284" t="str" cm="1">
        <f t="array" aca="1" ref="AY17" ca="1">INDIRECT(ADDRESS(ROW($BO$3)+AY$16, COLUMN($BO$4)))</f>
        <v>t</v>
      </c>
      <c r="AZ17" s="284" t="str" cm="1">
        <f t="array" aca="1" ref="AZ17" ca="1">INDIRECT(ADDRESS(ROW($BO$3)+AZ$16, COLUMN($BO$4)))</f>
        <v>g</v>
      </c>
      <c r="BA17" s="284" t="str" cm="1">
        <f t="array" aca="1" ref="BA17" ca="1">INDIRECT(ADDRESS(ROW($BO$3)+BA$16, COLUMN($BO$4)))</f>
        <v>C</v>
      </c>
      <c r="BB17" s="284" t="str" cm="1">
        <f t="array" aca="1" ref="BB17" ca="1">INDIRECT(ADDRESS(ROW($BO$3)+BB$16, COLUMN($BO$4)))</f>
        <v>5</v>
      </c>
      <c r="BC17" s="284" t="str" cm="1">
        <f t="array" aca="1" ref="BC17" ca="1">INDIRECT(ADDRESS(ROW($BO$3)+BC$16, COLUMN($BO$4)))</f>
        <v>7</v>
      </c>
      <c r="BD17" s="566"/>
      <c r="BE17" s="566"/>
      <c r="BF17" s="566"/>
      <c r="BG17" s="566"/>
      <c r="BH17" s="147"/>
      <c r="BI17" s="147"/>
      <c r="BJ17" s="147"/>
      <c r="BK17" s="147"/>
      <c r="BN17" s="262">
        <f t="shared" si="2"/>
        <v>14</v>
      </c>
      <c r="BO17" s="71" t="s">
        <v>422</v>
      </c>
      <c r="BP17" s="32" t="str" cm="1">
        <f t="array" ref="BP17" xml:space="preserve"> INDEX(注音編碼對照表[方音符號], MATCH(TRUE, EXACT(鍵盤設計!$BO17,注音編碼對照表[鍵盤按鍵]), 0))</f>
        <v>ㄘ</v>
      </c>
      <c r="BQ17" s="107" t="str" cm="1">
        <f t="array" ref="BQ17" xml:space="preserve"> INDEX(注音編碼對照表[注音二式], MATCH(TRUE, EXACT(鍵盤設計!$BO17,注音編碼對照表[鍵盤按鍵]), 0))</f>
        <v>c</v>
      </c>
      <c r="BR17" s="34" t="str" cm="1">
        <f t="array" ref="BR17" xml:space="preserve"> INDEX(注音編碼對照表[按鍵編碼], MATCH(TRUE, EXACT(鍵盤設計!$BO17,注音編碼對照表[鍵盤按鍵]), 0))</f>
        <v>c</v>
      </c>
      <c r="BT17" s="596" t="str">
        <f t="shared" si="4"/>
        <v>"h": { commit: "ㄘ" }  # /c/ ==&gt; c</v>
      </c>
      <c r="BV17" s="195">
        <f t="shared" si="3"/>
        <v>14</v>
      </c>
      <c r="BW17" s="263" t="str">
        <f xml:space="preserve"> "- xform/" &amp; BR17 &amp; "/" &amp; BO17 &amp; "/"</f>
        <v>- xform/c/h/</v>
      </c>
      <c r="BY17" s="263" t="e">
        <f xml:space="preserve"> "- xform/" &amp; BO17 &amp; "/" &amp;#REF! &amp; "/"</f>
        <v>#REF!</v>
      </c>
    </row>
    <row r="18" spans="1:91" s="193" customFormat="1" ht="45" customHeight="1">
      <c r="A18" s="281"/>
      <c r="B18" s="534" t="s">
        <v>903</v>
      </c>
      <c r="C18" s="285"/>
      <c r="D18" s="286" t="str" cm="1">
        <f t="array" aca="1" ref="D18" ca="1" xml:space="preserve"> INDEX($BR$4:$BR$61, MATCH(TRUE, EXACT(D$17, $BO$4:$BO$61), 0))</f>
        <v>b</v>
      </c>
      <c r="E18" s="286" t="str" cm="1">
        <f t="array" aca="1" ref="E18" ca="1" xml:space="preserve"> INDEX($BR$4:$BR$61, MATCH(TRUE, EXACT(E$17, $BO$4:$BO$61), 0))</f>
        <v>p</v>
      </c>
      <c r="F18" s="286" t="str" cm="1">
        <f t="array" aca="1" ref="F18" ca="1" xml:space="preserve"> INDEX($BR$4:$BR$61, MATCH(TRUE, EXACT(F$17, $BO$4:$BO$61), 0))</f>
        <v>B</v>
      </c>
      <c r="G18" s="286" t="str" cm="1">
        <f t="array" aca="1" ref="G18" ca="1" xml:space="preserve"> INDEX($BR$4:$BR$61, MATCH(TRUE, EXACT(G$17, $BO$4:$BO$61), 0))</f>
        <v>m</v>
      </c>
      <c r="H18" s="286" t="str" cm="1">
        <f t="array" aca="1" ref="H18" ca="1" xml:space="preserve"> INDEX($BR$4:$BR$61, MATCH(TRUE, EXACT(H$17, $BO$4:$BO$61), 0))</f>
        <v>d</v>
      </c>
      <c r="I18" s="286" t="str" cm="1">
        <f t="array" aca="1" ref="I18" ca="1" xml:space="preserve"> INDEX($BR$4:$BR$61, MATCH(TRUE, EXACT(I$17, $BO$4:$BO$61), 0))</f>
        <v>t</v>
      </c>
      <c r="J18" s="286" t="str" cm="1">
        <f t="array" aca="1" ref="J18" ca="1" xml:space="preserve"> INDEX($BR$4:$BR$61, MATCH(TRUE, EXACT(J$17, $BO$4:$BO$61), 0))</f>
        <v>n</v>
      </c>
      <c r="K18" s="286" t="str" cm="1">
        <f t="array" aca="1" ref="K18" ca="1" xml:space="preserve"> INDEX($BR$4:$BR$61, MATCH(TRUE, EXACT(K$17, $BO$4:$BO$61), 0))</f>
        <v>l</v>
      </c>
      <c r="L18" s="286" t="str" cm="1">
        <f t="array" aca="1" ref="L18" ca="1" xml:space="preserve"> INDEX($BR$4:$BR$61, MATCH(TRUE, EXACT(L$17, $BO$4:$BO$61), 0))</f>
        <v>g</v>
      </c>
      <c r="M18" s="286" t="str" cm="1">
        <f t="array" aca="1" ref="M18" ca="1" xml:space="preserve"> INDEX($BR$4:$BR$61, MATCH(TRUE, EXACT(M$17, $BO$4:$BO$61), 0))</f>
        <v>k</v>
      </c>
      <c r="N18" s="286" t="str" cm="1">
        <f t="array" aca="1" ref="N18" ca="1" xml:space="preserve"> INDEX($BR$4:$BR$61, MATCH(TRUE, EXACT(N$17, $BO$4:$BO$61), 0))</f>
        <v>G</v>
      </c>
      <c r="O18" s="286" t="str" cm="1">
        <f t="array" aca="1" ref="O18" ca="1" xml:space="preserve"> INDEX($BR$4:$BR$61, MATCH(TRUE, EXACT(O$17, $BO$4:$BO$61), 0))</f>
        <v>h</v>
      </c>
      <c r="P18" s="286" t="str" cm="1">
        <f t="array" aca="1" ref="P18" ca="1" xml:space="preserve"> INDEX($BR$4:$BR$61, MATCH(TRUE, EXACT(P$17, $BO$4:$BO$61), 0))</f>
        <v>z</v>
      </c>
      <c r="Q18" s="286" t="str" cm="1">
        <f t="array" aca="1" ref="Q18" ca="1" xml:space="preserve"> INDEX($BR$4:$BR$61, MATCH(TRUE, EXACT(Q$17, $BO$4:$BO$61), 0))</f>
        <v>c</v>
      </c>
      <c r="R18" s="286" t="str" cm="1">
        <f t="array" aca="1" ref="R18" ca="1" xml:space="preserve"> INDEX($BR$4:$BR$61, MATCH(TRUE, EXACT(R$17, $BO$4:$BO$61), 0))</f>
        <v>Z</v>
      </c>
      <c r="S18" s="286" t="str" cm="1">
        <f t="array" aca="1" ref="S18" ca="1" xml:space="preserve"> INDEX($BR$4:$BR$61, MATCH(TRUE, EXACT(S$17, $BO$4:$BO$61), 0))</f>
        <v>s</v>
      </c>
      <c r="T18" s="286" t="str" cm="1">
        <f t="array" aca="1" ref="T18" ca="1" xml:space="preserve"> INDEX($BR$4:$BR$61, MATCH(TRUE, EXACT(T$17, $BO$4:$BO$61), 0))</f>
        <v>i</v>
      </c>
      <c r="U18" s="286" t="str" cm="1">
        <f t="array" aca="1" ref="U18" ca="1" xml:space="preserve"> INDEX($BR$4:$BR$61, MATCH(TRUE, EXACT(U$17, $BO$4:$BO$61), 0))</f>
        <v>I</v>
      </c>
      <c r="V18" s="286" t="str" cm="1">
        <f t="array" aca="1" ref="V18" ca="1" xml:space="preserve"> INDEX($BR$4:$BR$61, MATCH(TRUE, EXACT(V$17, $BO$4:$BO$61), 0))</f>
        <v>u</v>
      </c>
      <c r="W18" s="286" t="str" cm="1">
        <f t="array" aca="1" ref="W18" ca="1" xml:space="preserve"> INDEX($BR$4:$BR$61, MATCH(TRUE, EXACT(W$17, $BO$4:$BO$61), 0))</f>
        <v>U</v>
      </c>
      <c r="X18" s="286" t="str" cm="1">
        <f t="array" aca="1" ref="X18" ca="1" xml:space="preserve"> INDEX($BR$4:$BR$61, MATCH(TRUE, EXACT(X$17, $BO$4:$BO$61), 0))</f>
        <v>a</v>
      </c>
      <c r="Y18" s="286" t="str" cm="1">
        <f t="array" aca="1" ref="Y18" ca="1" xml:space="preserve"> INDEX($BR$4:$BR$61, MATCH(TRUE, EXACT(Y$17, $BO$4:$BO$61), 0))</f>
        <v>A</v>
      </c>
      <c r="Z18" s="286" t="str" cm="1">
        <f t="array" aca="1" ref="Z18" ca="1" xml:space="preserve"> INDEX($BR$4:$BR$61, MATCH(TRUE, EXACT(Z$17, $BO$4:$BO$61), 0))</f>
        <v>O</v>
      </c>
      <c r="AA18" s="286" t="str" cm="1">
        <f t="array" aca="1" ref="AA18" ca="1" xml:space="preserve"> INDEX($BR$4:$BR$61, MATCH(TRUE, EXACT(AA$17, $BO$4:$BO$61), 0))</f>
        <v>Q</v>
      </c>
      <c r="AB18" s="286" t="str" cm="1">
        <f t="array" aca="1" ref="AB18" ca="1" xml:space="preserve"> INDEX($BR$4:$BR$61, MATCH(TRUE, EXACT(AB$17, $BO$4:$BO$61), 0))</f>
        <v>o</v>
      </c>
      <c r="AC18" s="286" t="str" cm="1">
        <f t="array" aca="1" ref="AC18" ca="1" xml:space="preserve"> INDEX($BR$4:$BR$61, MATCH(TRUE, EXACT(AC$17, $BO$4:$BO$61), 0))</f>
        <v>e</v>
      </c>
      <c r="AD18" s="286" t="str" cm="1">
        <f t="array" aca="1" ref="AD18" ca="1" xml:space="preserve"> INDEX($BR$4:$BR$61, MATCH(TRUE, EXACT(AD$17, $BO$4:$BO$61), 0))</f>
        <v>E</v>
      </c>
      <c r="AE18" s="286" t="str" cm="1">
        <f t="array" aca="1" ref="AE18" ca="1" xml:space="preserve"> INDEX($BR$4:$BR$61, MATCH(TRUE, EXACT(AE$17, $BO$4:$BO$61), 0))</f>
        <v>x</v>
      </c>
      <c r="AF18" s="286" t="str" cm="1">
        <f t="array" aca="1" ref="AF18" ca="1" xml:space="preserve"> INDEX($BR$4:$BR$61, MATCH(TRUE, EXACT(AF$17, $BO$4:$BO$61), 0))</f>
        <v>X</v>
      </c>
      <c r="AG18" s="286" t="str" cm="1">
        <f t="array" aca="1" ref="AG18" ca="1" xml:space="preserve"> INDEX($BR$4:$BR$61, MATCH(TRUE, EXACT(AG$17, $BO$4:$BO$61), 0))</f>
        <v>y</v>
      </c>
      <c r="AH18" s="286" t="str" cm="1">
        <f t="array" aca="1" ref="AH18" ca="1" xml:space="preserve"> INDEX($BR$4:$BR$61, MATCH(TRUE, EXACT(AH$17, $BO$4:$BO$61), 0))</f>
        <v>Y</v>
      </c>
      <c r="AI18" s="286" t="str" cm="1">
        <f t="array" aca="1" ref="AI18" ca="1" xml:space="preserve"> INDEX($BR$4:$BR$61, MATCH(TRUE, EXACT(AI$17, $BO$4:$BO$61), 0))</f>
        <v>@</v>
      </c>
      <c r="AJ18" s="286" t="str" cm="1">
        <f t="array" aca="1" ref="AJ18" ca="1" xml:space="preserve"> INDEX($BR$4:$BR$61, MATCH(TRUE, EXACT(AJ$17, $BO$4:$BO$61), 0))</f>
        <v>N</v>
      </c>
      <c r="AK18" s="286" t="str" cm="1">
        <f t="array" aca="1" ref="AK18" ca="1" xml:space="preserve"> INDEX($BR$4:$BR$61, MATCH(TRUE, EXACT(AK$17, $BO$4:$BO$61), 0))</f>
        <v>G</v>
      </c>
      <c r="AL18" s="286" t="str" cm="1">
        <f t="array" aca="1" ref="AL18" ca="1" xml:space="preserve"> INDEX($BR$4:$BR$61, MATCH(TRUE, EXACT(AL$17, $BO$4:$BO$61), 0))</f>
        <v>R</v>
      </c>
      <c r="AM18" s="286" t="str" cm="1">
        <f t="array" aca="1" ref="AM18" ca="1" xml:space="preserve"> INDEX($BR$4:$BR$61, MATCH(TRUE, EXACT(AM$17, $BO$4:$BO$61), 0))</f>
        <v>[</v>
      </c>
      <c r="AN18" s="286" t="str" cm="1">
        <f t="array" aca="1" ref="AN18" ca="1" xml:space="preserve"> INDEX($BR$4:$BR$61, MATCH(TRUE, EXACT(AN$17, $BO$4:$BO$61), 0))</f>
        <v>]</v>
      </c>
      <c r="AO18" s="286" t="str" cm="1">
        <f t="array" aca="1" ref="AO18" ca="1" xml:space="preserve"> INDEX($BR$4:$BR$61, MATCH(TRUE, EXACT(AO$17, $BO$4:$BO$61), 0))</f>
        <v>H</v>
      </c>
      <c r="AP18" s="286" t="str" cm="1">
        <f t="array" aca="1" ref="AP18" ca="1" xml:space="preserve"> INDEX($BR$4:$BR$61, MATCH(TRUE, EXACT(AP$17, $BO$4:$BO$61), 0))</f>
        <v>W</v>
      </c>
      <c r="AQ18" s="286" t="str" cm="1">
        <f t="array" aca="1" ref="AQ18" ca="1" xml:space="preserve"> INDEX($BR$4:$BR$61, MATCH(TRUE, EXACT(AQ$17, $BO$4:$BO$61), 0))</f>
        <v>w</v>
      </c>
      <c r="AR18" s="286" t="str" cm="1">
        <f t="array" aca="1" ref="AR18" ca="1" xml:space="preserve"> INDEX($BR$4:$BR$61, MATCH(TRUE, EXACT(AR$17, $BO$4:$BO$61), 0))</f>
        <v>L</v>
      </c>
      <c r="AS18" s="286" t="str" cm="1">
        <f t="array" aca="1" ref="AS18" ca="1" xml:space="preserve"> INDEX($BR$4:$BR$61, MATCH(TRUE, EXACT(AS$17, $BO$4:$BO$61), 0))</f>
        <v>M</v>
      </c>
      <c r="AT18" s="286" t="str" cm="1">
        <f t="array" aca="1" ref="AT18" ca="1" xml:space="preserve"> INDEX($BR$4:$BR$61, MATCH(TRUE, EXACT(AT$17, $BO$4:$BO$61), 0))</f>
        <v>zi</v>
      </c>
      <c r="AU18" s="286" t="str" cm="1">
        <f t="array" aca="1" ref="AU18" ca="1" xml:space="preserve"> INDEX($BR$4:$BR$61, MATCH(TRUE, EXACT(AU$17, $BO$4:$BO$61), 0))</f>
        <v>ci</v>
      </c>
      <c r="AV18" s="286" t="str" cm="1">
        <f t="array" aca="1" ref="AV18" ca="1" xml:space="preserve"> INDEX($BR$4:$BR$61, MATCH(TRUE, EXACT(AV$17, $BO$4:$BO$61), 0))</f>
        <v>Zi</v>
      </c>
      <c r="AW18" s="286" t="str" cm="1">
        <f t="array" aca="1" ref="AW18" ca="1" xml:space="preserve"> INDEX($BR$4:$BR$61, MATCH(TRUE, EXACT(AW$17, $BO$4:$BO$61), 0))</f>
        <v>si</v>
      </c>
      <c r="AX18" s="286" t="str" cm="1">
        <f t="array" aca="1" ref="AX18" ca="1" xml:space="preserve"> INDEX($BR$4:$BR$61, MATCH(TRUE, EXACT(AX$17, $BO$4:$BO$61), 0))</f>
        <v>R</v>
      </c>
      <c r="AY18" s="286" t="str" cm="1">
        <f t="array" aca="1" ref="AY18" ca="1" xml:space="preserve"> INDEX($BR$4:$BR$61, MATCH(TRUE, EXACT(AY$17, $BO$4:$BO$61), 0))</f>
        <v>F</v>
      </c>
      <c r="AZ18" s="286" t="str" cm="1">
        <f t="array" aca="1" ref="AZ18" ca="1" xml:space="preserve"> INDEX($BR$4:$BR$61, MATCH(TRUE, EXACT(AZ$17, $BO$4:$BO$61), 0))</f>
        <v>V</v>
      </c>
      <c r="BA18" s="286" t="str" cm="1">
        <f t="array" aca="1" ref="BA18" ca="1" xml:space="preserve"> INDEX($BR$4:$BR$61, MATCH(TRUE, EXACT(BA$17, $BO$4:$BO$61), 0))</f>
        <v>C</v>
      </c>
      <c r="BB18" s="286" t="str" cm="1">
        <f t="array" aca="1" ref="BB18" ca="1" xml:space="preserve"> INDEX($BR$4:$BR$61, MATCH(TRUE, EXACT(BB$17, $BO$4:$BO$61), 0))</f>
        <v>7</v>
      </c>
      <c r="BC18" s="286" t="str" cm="1">
        <f t="array" aca="1" ref="BC18" ca="1" xml:space="preserve"> INDEX($BR$4:$BR$61, MATCH(TRUE, EXACT(BC$17, $BO$4:$BO$61), 0))</f>
        <v>0</v>
      </c>
      <c r="BD18" s="567"/>
      <c r="BE18" s="567"/>
      <c r="BF18" s="567"/>
      <c r="BG18" s="567"/>
      <c r="BH18" s="147"/>
      <c r="BI18" s="147"/>
      <c r="BJ18" s="147"/>
      <c r="BK18" s="147"/>
      <c r="BN18" s="262">
        <f t="shared" si="2"/>
        <v>15</v>
      </c>
      <c r="BO18" s="71" t="s">
        <v>447</v>
      </c>
      <c r="BP18" s="32" t="str" cm="1">
        <f t="array" ref="BP18" xml:space="preserve"> INDEX(注音編碼對照表[方音符號], MATCH(TRUE, EXACT(鍵盤設計!$BO18,注音編碼對照表[鍵盤按鍵]), 0))</f>
        <v>ㆡ</v>
      </c>
      <c r="BQ18" s="107" t="str" cm="1">
        <f t="array" ref="BQ18" xml:space="preserve"> INDEX(注音編碼對照表[注音二式], MATCH(TRUE, EXACT(鍵盤設計!$BO18,注音編碼對照表[鍵盤按鍵]), 0))</f>
        <v>zz</v>
      </c>
      <c r="BR18" s="34" t="str" cm="1">
        <f t="array" ref="BR18" xml:space="preserve"> INDEX(注音編碼對照表[按鍵編碼], MATCH(TRUE, EXACT(鍵盤設計!$BO18,注音編碼對照表[鍵盤按鍵]), 0))</f>
        <v>Z</v>
      </c>
      <c r="BT18" s="596" t="str">
        <f t="shared" si="4"/>
        <v>"Y": { commit: "ㆡ" }  # /zz/ ==&gt; Z</v>
      </c>
      <c r="BV18" s="195">
        <f t="shared" si="3"/>
        <v>15</v>
      </c>
      <c r="BW18" s="263" t="str">
        <f xml:space="preserve"> "- xform/" &amp; BR18 &amp; "/" &amp; BO18 &amp; "/"</f>
        <v>- xform/Z/Y/</v>
      </c>
      <c r="BY18" s="263" t="e">
        <f xml:space="preserve"> "- xform/" &amp; BO18 &amp; "/" &amp;#REF! &amp; "/"</f>
        <v>#REF!</v>
      </c>
    </row>
    <row r="19" spans="1:91" s="193" customFormat="1" ht="45" customHeight="1">
      <c r="A19" s="281"/>
      <c r="B19" s="317" t="s">
        <v>385</v>
      </c>
      <c r="C19" s="318"/>
      <c r="D19" s="319" t="str" cm="1">
        <f t="array" aca="1" ref="D19" ca="1" xml:space="preserve"> INDEX($BP$4:$BP$61, MATCH(TRUE, EXACT(D$17, $BO$4:$BO$61), 0))</f>
        <v>ㄅ</v>
      </c>
      <c r="E19" s="319" t="str" cm="1">
        <f t="array" aca="1" ref="E19" ca="1" xml:space="preserve"> INDEX($BP$4:$BP$61, MATCH(TRUE, EXACT(E$17, $BO$4:$BO$61), 0))</f>
        <v>ㄆ</v>
      </c>
      <c r="F19" s="319" t="str" cm="1">
        <f t="array" aca="1" ref="F19" ca="1" xml:space="preserve"> INDEX($BP$4:$BP$61, MATCH(TRUE, EXACT(F$17, $BO$4:$BO$61), 0))</f>
        <v>ㆠ</v>
      </c>
      <c r="G19" s="319" t="str" cm="1">
        <f t="array" aca="1" ref="G19" ca="1" xml:space="preserve"> INDEX($BP$4:$BP$61, MATCH(TRUE, EXACT(G$17, $BO$4:$BO$61), 0))</f>
        <v>ㄇ</v>
      </c>
      <c r="H19" s="319" t="str" cm="1">
        <f t="array" aca="1" ref="H19" ca="1" xml:space="preserve"> INDEX($BP$4:$BP$61, MATCH(TRUE, EXACT(H$17, $BO$4:$BO$61), 0))</f>
        <v>ㄉ</v>
      </c>
      <c r="I19" s="319" t="str" cm="1">
        <f t="array" aca="1" ref="I19" ca="1" xml:space="preserve"> INDEX($BP$4:$BP$61, MATCH(TRUE, EXACT(I$17, $BO$4:$BO$61), 0))</f>
        <v>ㄊ</v>
      </c>
      <c r="J19" s="319" t="str" cm="1">
        <f t="array" aca="1" ref="J19" ca="1" xml:space="preserve"> INDEX($BP$4:$BP$61, MATCH(TRUE, EXACT(J$17, $BO$4:$BO$61), 0))</f>
        <v>ㄋ</v>
      </c>
      <c r="K19" s="319" t="str" cm="1">
        <f t="array" aca="1" ref="K19" ca="1" xml:space="preserve"> INDEX($BP$4:$BP$61, MATCH(TRUE, EXACT(K$17, $BO$4:$BO$61), 0))</f>
        <v>ㄌ</v>
      </c>
      <c r="L19" s="319" t="str" cm="1">
        <f t="array" aca="1" ref="L19" ca="1" xml:space="preserve"> INDEX($BP$4:$BP$61, MATCH(TRUE, EXACT(L$17, $BO$4:$BO$61), 0))</f>
        <v>ㄍ</v>
      </c>
      <c r="M19" s="319" t="str" cm="1">
        <f t="array" aca="1" ref="M19" ca="1" xml:space="preserve"> INDEX($BP$4:$BP$61, MATCH(TRUE, EXACT(M$17, $BO$4:$BO$61), 0))</f>
        <v>ㄎ</v>
      </c>
      <c r="N19" s="319" t="str" cm="1">
        <f t="array" aca="1" ref="N19" ca="1" xml:space="preserve"> INDEX($BP$4:$BP$61, MATCH(TRUE, EXACT(N$17, $BO$4:$BO$61), 0))</f>
        <v>ㆣ</v>
      </c>
      <c r="O19" s="319" t="str" cm="1">
        <f t="array" aca="1" ref="O19" ca="1" xml:space="preserve"> INDEX($BP$4:$BP$61, MATCH(TRUE, EXACT(O$17, $BO$4:$BO$61), 0))</f>
        <v>ㄏ</v>
      </c>
      <c r="P19" s="319" t="str" cm="1">
        <f t="array" aca="1" ref="P19" ca="1" xml:space="preserve"> INDEX($BP$4:$BP$61, MATCH(TRUE, EXACT(P$17, $BO$4:$BO$61), 0))</f>
        <v>ㄗ</v>
      </c>
      <c r="Q19" s="319" t="str" cm="1">
        <f t="array" aca="1" ref="Q19" ca="1" xml:space="preserve"> INDEX($BP$4:$BP$61, MATCH(TRUE, EXACT(Q$17, $BO$4:$BO$61), 0))</f>
        <v>ㄘ</v>
      </c>
      <c r="R19" s="319" t="str" cm="1">
        <f t="array" aca="1" ref="R19" ca="1" xml:space="preserve"> INDEX($BP$4:$BP$61, MATCH(TRUE, EXACT(R$17, $BO$4:$BO$61), 0))</f>
        <v>ㆡ</v>
      </c>
      <c r="S19" s="319" t="str" cm="1">
        <f t="array" aca="1" ref="S19" ca="1" xml:space="preserve"> INDEX($BP$4:$BP$61, MATCH(TRUE, EXACT(S$17, $BO$4:$BO$61), 0))</f>
        <v>ㄙ</v>
      </c>
      <c r="T19" s="319" t="str" cm="1">
        <f t="array" aca="1" ref="T19" ca="1" xml:space="preserve"> INDEX($BP$4:$BP$61, MATCH(TRUE, EXACT(T$17, $BO$4:$BO$61), 0))</f>
        <v>ㄧ</v>
      </c>
      <c r="U19" s="319" t="str" cm="1">
        <f t="array" aca="1" ref="U19" ca="1" xml:space="preserve"> INDEX($BP$4:$BP$61, MATCH(TRUE, EXACT(U$17, $BO$4:$BO$61), 0))</f>
        <v>ㆪ</v>
      </c>
      <c r="V19" s="319" t="str" cm="1">
        <f t="array" aca="1" ref="V19" ca="1" xml:space="preserve"> INDEX($BP$4:$BP$61, MATCH(TRUE, EXACT(V$17, $BO$4:$BO$61), 0))</f>
        <v>ㄨ</v>
      </c>
      <c r="W19" s="319" t="str" cm="1">
        <f t="array" aca="1" ref="W19" ca="1" xml:space="preserve"> INDEX($BP$4:$BP$61, MATCH(TRUE, EXACT(W$17, $BO$4:$BO$61), 0))</f>
        <v>ㆫ</v>
      </c>
      <c r="X19" s="319" t="str" cm="1">
        <f t="array" aca="1" ref="X19" ca="1" xml:space="preserve"> INDEX($BP$4:$BP$61, MATCH(TRUE, EXACT(X$17, $BO$4:$BO$61), 0))</f>
        <v>ㄚ</v>
      </c>
      <c r="Y19" s="319" t="str" cm="1">
        <f t="array" aca="1" ref="Y19" ca="1" xml:space="preserve"> INDEX($BP$4:$BP$61, MATCH(TRUE, EXACT(Y$17, $BO$4:$BO$61), 0))</f>
        <v>ㆩ</v>
      </c>
      <c r="Z19" s="319" t="str" cm="1">
        <f t="array" aca="1" ref="Z19" ca="1" xml:space="preserve"> INDEX($BP$4:$BP$61, MATCH(TRUE, EXACT(Z$17, $BO$4:$BO$61), 0))</f>
        <v>ㆦ</v>
      </c>
      <c r="AA19" s="319" t="str" cm="1">
        <f t="array" aca="1" ref="AA19" ca="1" xml:space="preserve"> INDEX($BP$4:$BP$61, MATCH(TRUE, EXACT(AA$17, $BO$4:$BO$61), 0))</f>
        <v>ㆧ</v>
      </c>
      <c r="AB19" s="319" t="str" cm="1">
        <f t="array" aca="1" ref="AB19" ca="1" xml:space="preserve"> INDEX($BP$4:$BP$61, MATCH(TRUE, EXACT(AB$17, $BO$4:$BO$61), 0))</f>
        <v>ㄜ</v>
      </c>
      <c r="AC19" s="319" t="str" cm="1">
        <f t="array" aca="1" ref="AC19" ca="1" xml:space="preserve"> INDEX($BP$4:$BP$61, MATCH(TRUE, EXACT(AC$17, $BO$4:$BO$61), 0))</f>
        <v>ㆤ</v>
      </c>
      <c r="AD19" s="319" t="str" cm="1">
        <f t="array" aca="1" ref="AD19" ca="1" xml:space="preserve"> INDEX($BP$4:$BP$61, MATCH(TRUE, EXACT(AD$17, $BO$4:$BO$61), 0))</f>
        <v>ㆥ</v>
      </c>
      <c r="AE19" s="319" t="str" cm="1">
        <f t="array" aca="1" ref="AE19" ca="1" xml:space="preserve"> INDEX($BP$4:$BP$61, MATCH(TRUE, EXACT(AE$17, $BO$4:$BO$61), 0))</f>
        <v>ㄞ</v>
      </c>
      <c r="AF19" s="319" t="str" cm="1">
        <f t="array" aca="1" ref="AF19" ca="1" xml:space="preserve"> INDEX($BP$4:$BP$61, MATCH(TRUE, EXACT(AF$17, $BO$4:$BO$61), 0))</f>
        <v>ㆮ</v>
      </c>
      <c r="AG19" s="319" t="str" cm="1">
        <f t="array" aca="1" ref="AG19" ca="1" xml:space="preserve"> INDEX($BP$4:$BP$61, MATCH(TRUE, EXACT(AG$17, $BO$4:$BO$61), 0))</f>
        <v>ㄠ</v>
      </c>
      <c r="AH19" s="319" t="str" cm="1">
        <f t="array" aca="1" ref="AH19" ca="1" xml:space="preserve"> INDEX($BP$4:$BP$61, MATCH(TRUE, EXACT(AH$17, $BO$4:$BO$61), 0))</f>
        <v>ㆯ</v>
      </c>
      <c r="AI19" s="319" t="str" cm="1">
        <f t="array" aca="1" ref="AI19" ca="1" xml:space="preserve"> INDEX($BP$4:$BP$61, MATCH(TRUE, EXACT(AI$17, $BO$4:$BO$61), 0))</f>
        <v>ㄢ</v>
      </c>
      <c r="AJ19" s="319" t="str" cm="1">
        <f t="array" aca="1" ref="AJ19" ca="1" xml:space="preserve"> INDEX($BP$4:$BP$61, MATCH(TRUE, EXACT(AJ$17, $BO$4:$BO$61), 0))</f>
        <v>ㄣ</v>
      </c>
      <c r="AK19" s="319" t="str" cm="1">
        <f t="array" aca="1" ref="AK19" ca="1" xml:space="preserve"> INDEX($BP$4:$BP$61, MATCH(TRUE, EXACT(AK$17, $BO$4:$BO$61), 0))</f>
        <v>ㄤ</v>
      </c>
      <c r="AL19" s="319" t="str" cm="1">
        <f t="array" aca="1" ref="AL19" ca="1" xml:space="preserve"> INDEX($BP$4:$BP$61, MATCH(TRUE, EXACT(AL$17, $BO$4:$BO$61), 0))</f>
        <v>ㆨ</v>
      </c>
      <c r="AM19" s="319" t="str" cm="1">
        <f t="array" aca="1" ref="AM19" ca="1" xml:space="preserve"> INDEX($BP$4:$BP$61, MATCH(TRUE, EXACT(AM$17, $BO$4:$BO$61), 0))</f>
        <v>ㆰ</v>
      </c>
      <c r="AN19" s="319" t="str" cm="1">
        <f t="array" aca="1" ref="AN19" ca="1" xml:space="preserve"> INDEX($BP$4:$BP$61, MATCH(TRUE, EXACT(AN$17, $BO$4:$BO$61), 0))</f>
        <v>ㆱ</v>
      </c>
      <c r="AO19" s="319" t="str" cm="1">
        <f t="array" aca="1" ref="AO19" ca="1" xml:space="preserve"> INDEX($BP$4:$BP$61, MATCH(TRUE, EXACT(AO$17, $BO$4:$BO$61), 0))</f>
        <v>ㆲ</v>
      </c>
      <c r="AP19" s="319" t="str" cm="1">
        <f t="array" aca="1" ref="AP19" ca="1" xml:space="preserve"> INDEX($BP$4:$BP$61, MATCH(TRUE, EXACT(AP$17, $BO$4:$BO$61), 0))</f>
        <v>ㆭ</v>
      </c>
      <c r="AQ19" s="319" t="str" cm="1">
        <f t="array" aca="1" ref="AQ19" ca="1" xml:space="preserve"> INDEX($BP$4:$BP$61, MATCH(TRUE, EXACT(AQ$17, $BO$4:$BO$61), 0))</f>
        <v>ㄫ</v>
      </c>
      <c r="AR19" s="319" t="str" cm="1">
        <f t="array" aca="1" ref="AR19" ca="1" xml:space="preserve"> INDEX($BP$4:$BP$61, MATCH(TRUE, EXACT(AR$17, $BO$4:$BO$61), 0))</f>
        <v>ㄥ</v>
      </c>
      <c r="AS19" s="319" t="str" cm="1">
        <f t="array" aca="1" ref="AS19" ca="1" xml:space="preserve"> INDEX($BP$4:$BP$61, MATCH(TRUE, EXACT(AS$17, $BO$4:$BO$61), 0))</f>
        <v>ㆬ</v>
      </c>
      <c r="AT19" s="319" t="str" cm="1">
        <f t="array" aca="1" ref="AT19" ca="1" xml:space="preserve"> INDEX($BP$4:$BP$61, MATCH(TRUE, EXACT(AT$17, $BO$4:$BO$61), 0))</f>
        <v>ㄐ</v>
      </c>
      <c r="AU19" s="319" t="str" cm="1">
        <f t="array" aca="1" ref="AU19" ca="1" xml:space="preserve"> INDEX($BP$4:$BP$61, MATCH(TRUE, EXACT(AU$17, $BO$4:$BO$61), 0))</f>
        <v>ㄑ</v>
      </c>
      <c r="AV19" s="319" t="str" cm="1">
        <f t="array" aca="1" ref="AV19" ca="1" xml:space="preserve"> INDEX($BP$4:$BP$61, MATCH(TRUE, EXACT(AV$17, $BO$4:$BO$61), 0))</f>
        <v>ㆢ</v>
      </c>
      <c r="AW19" s="319" t="str" cm="1">
        <f t="array" aca="1" ref="AW19" ca="1" xml:space="preserve"> INDEX($BP$4:$BP$61, MATCH(TRUE, EXACT(AW$17, $BO$4:$BO$61), 0))</f>
        <v>ㄒ</v>
      </c>
      <c r="AX19" s="319" t="str" cm="1">
        <f t="array" aca="1" ref="AX19" ca="1" xml:space="preserve"> INDEX($BP$4:$BP$61, MATCH(TRUE, EXACT(AX$17, $BO$4:$BO$61), 0))</f>
        <v>ㆴ</v>
      </c>
      <c r="AY19" s="319" t="str" cm="1">
        <f t="array" aca="1" ref="AY19" ca="1" xml:space="preserve"> INDEX($BP$4:$BP$61, MATCH(TRUE, EXACT(AY$17, $BO$4:$BO$61), 0))</f>
        <v>ㆵ</v>
      </c>
      <c r="AZ19" s="319" t="str" cm="1">
        <f t="array" aca="1" ref="AZ19" ca="1" xml:space="preserve"> INDEX($BP$4:$BP$61, MATCH(TRUE, EXACT(AZ$17, $BO$4:$BO$61), 0))</f>
        <v>ㆻ</v>
      </c>
      <c r="BA19" s="319" t="str" cm="1">
        <f t="array" aca="1" ref="BA19" ca="1" xml:space="preserve"> INDEX($BP$4:$BP$61, MATCH(TRUE, EXACT(BA$17, $BO$4:$BO$61), 0))</f>
        <v>ㆷ</v>
      </c>
      <c r="BB19" s="319" t="str" cm="1">
        <f t="array" aca="1" ref="BB19" ca="1" xml:space="preserve"> INDEX($BP$4:$BP$61, MATCH(TRUE, EXACT(BB$17, $BO$4:$BO$61), 0))</f>
        <v>˫</v>
      </c>
      <c r="BC19" s="319" t="str" cm="1">
        <f t="array" aca="1" ref="BC19" ca="1" xml:space="preserve"> INDEX($BP$4:$BP$61, MATCH(TRUE, EXACT(BC$17, $BO$4:$BO$61), 0))</f>
        <v>˙</v>
      </c>
      <c r="BD19" s="568"/>
      <c r="BE19" s="568"/>
      <c r="BF19" s="568"/>
      <c r="BG19" s="568"/>
      <c r="BH19" s="145"/>
      <c r="BI19" s="145"/>
      <c r="BJ19" s="145"/>
      <c r="BK19" s="145"/>
      <c r="BL19" s="145"/>
      <c r="BN19" s="262">
        <f t="shared" si="2"/>
        <v>16</v>
      </c>
      <c r="BO19" s="71" t="s">
        <v>34</v>
      </c>
      <c r="BP19" s="32" t="str" cm="1">
        <f t="array" ref="BP19" xml:space="preserve"> INDEX(注音編碼對照表[方音符號], MATCH(TRUE, EXACT(鍵盤設計!$BO19,注音編碼對照表[鍵盤按鍵]), 0))</f>
        <v>ㄙ</v>
      </c>
      <c r="BQ19" s="107" t="str" cm="1">
        <f t="array" ref="BQ19" xml:space="preserve"> INDEX(注音編碼對照表[注音二式], MATCH(TRUE, EXACT(鍵盤設計!$BO19,注音編碼對照表[鍵盤按鍵]), 0))</f>
        <v>s</v>
      </c>
      <c r="BR19" s="34" t="str" cm="1">
        <f t="array" ref="BR19" xml:space="preserve"> INDEX(注音編碼對照表[按鍵編碼], MATCH(TRUE, EXACT(鍵盤設計!$BO19,注音編碼對照表[鍵盤按鍵]), 0))</f>
        <v>s</v>
      </c>
      <c r="BT19" s="596" t="str">
        <f t="shared" si="4"/>
        <v>"n": { commit: "ㄙ" }  # /s/ ==&gt; s</v>
      </c>
      <c r="BV19" s="195">
        <f t="shared" si="3"/>
        <v>16</v>
      </c>
      <c r="BW19" s="263" t="str">
        <f xml:space="preserve"> "- xform/" &amp; BR19 &amp; "/" &amp; BO19 &amp; "/"</f>
        <v>- xform/s/n/</v>
      </c>
      <c r="BY19" s="263" t="e">
        <f xml:space="preserve"> "- xform/" &amp; BO19 &amp; "/" &amp;#REF! &amp; "/"</f>
        <v>#REF!</v>
      </c>
    </row>
    <row r="20" spans="1:91" ht="45" customHeight="1">
      <c r="A20" s="281"/>
      <c r="B20" s="287" t="s">
        <v>602</v>
      </c>
      <c r="C20" s="288"/>
      <c r="D20" s="289" t="str" cm="1">
        <f t="array" aca="1" ref="D20" ca="1" xml:space="preserve"> INDEX($BQ$4:$BQ$61, MATCH(TRUE, EXACT(D$17, $BO$4:$BO$61), 0))</f>
        <v>b</v>
      </c>
      <c r="E20" s="289" t="str" cm="1">
        <f t="array" aca="1" ref="E20" ca="1" xml:space="preserve"> INDEX($BQ$4:$BQ$61, MATCH(TRUE, EXACT(E$17, $BO$4:$BO$61), 0))</f>
        <v>p</v>
      </c>
      <c r="F20" s="289" t="str" cm="1">
        <f t="array" aca="1" ref="F20" ca="1" xml:space="preserve"> INDEX($BQ$4:$BQ$61, MATCH(TRUE, EXACT(F$17, $BO$4:$BO$61), 0))</f>
        <v>bb</v>
      </c>
      <c r="G20" s="289" t="str" cm="1">
        <f t="array" aca="1" ref="G20" ca="1" xml:space="preserve"> INDEX($BQ$4:$BQ$61, MATCH(TRUE, EXACT(G$17, $BO$4:$BO$61), 0))</f>
        <v>m</v>
      </c>
      <c r="H20" s="289" t="str" cm="1">
        <f t="array" aca="1" ref="H20" ca="1" xml:space="preserve"> INDEX($BQ$4:$BQ$61, MATCH(TRUE, EXACT(H$17, $BO$4:$BO$61), 0))</f>
        <v>d</v>
      </c>
      <c r="I20" s="289" t="str" cm="1">
        <f t="array" aca="1" ref="I20" ca="1" xml:space="preserve"> INDEX($BQ$4:$BQ$61, MATCH(TRUE, EXACT(I$17, $BO$4:$BO$61), 0))</f>
        <v>t</v>
      </c>
      <c r="J20" s="289" t="str" cm="1">
        <f t="array" aca="1" ref="J20" ca="1" xml:space="preserve"> INDEX($BQ$4:$BQ$61, MATCH(TRUE, EXACT(J$17, $BO$4:$BO$61), 0))</f>
        <v>n</v>
      </c>
      <c r="K20" s="289" t="str" cm="1">
        <f t="array" aca="1" ref="K20" ca="1" xml:space="preserve"> INDEX($BQ$4:$BQ$61, MATCH(TRUE, EXACT(K$17, $BO$4:$BO$61), 0))</f>
        <v>l</v>
      </c>
      <c r="L20" s="289" t="str" cm="1">
        <f t="array" aca="1" ref="L20" ca="1" xml:space="preserve"> INDEX($BQ$4:$BQ$61, MATCH(TRUE, EXACT(L$17, $BO$4:$BO$61), 0))</f>
        <v>g</v>
      </c>
      <c r="M20" s="289" t="str" cm="1">
        <f t="array" aca="1" ref="M20" ca="1" xml:space="preserve"> INDEX($BQ$4:$BQ$61, MATCH(TRUE, EXACT(M$17, $BO$4:$BO$61), 0))</f>
        <v>k</v>
      </c>
      <c r="N20" s="289" t="str" cm="1">
        <f t="array" aca="1" ref="N20" ca="1" xml:space="preserve"> INDEX($BQ$4:$BQ$61, MATCH(TRUE, EXACT(N$17, $BO$4:$BO$61), 0))</f>
        <v>gg</v>
      </c>
      <c r="O20" s="289" t="str" cm="1">
        <f t="array" aca="1" ref="O20" ca="1" xml:space="preserve"> INDEX($BQ$4:$BQ$61, MATCH(TRUE, EXACT(O$17, $BO$4:$BO$61), 0))</f>
        <v>h</v>
      </c>
      <c r="P20" s="289" t="str" cm="1">
        <f t="array" aca="1" ref="P20" ca="1" xml:space="preserve"> INDEX($BQ$4:$BQ$61, MATCH(TRUE, EXACT(P$17, $BO$4:$BO$61), 0))</f>
        <v>z</v>
      </c>
      <c r="Q20" s="289" t="str" cm="1">
        <f t="array" aca="1" ref="Q20" ca="1" xml:space="preserve"> INDEX($BQ$4:$BQ$61, MATCH(TRUE, EXACT(Q$17, $BO$4:$BO$61), 0))</f>
        <v>c</v>
      </c>
      <c r="R20" s="289" t="str" cm="1">
        <f t="array" aca="1" ref="R20" ca="1" xml:space="preserve"> INDEX($BQ$4:$BQ$61, MATCH(TRUE, EXACT(R$17, $BO$4:$BO$61), 0))</f>
        <v>zz</v>
      </c>
      <c r="S20" s="289" t="str" cm="1">
        <f t="array" aca="1" ref="S20" ca="1" xml:space="preserve"> INDEX($BQ$4:$BQ$61, MATCH(TRUE, EXACT(S$17, $BO$4:$BO$61), 0))</f>
        <v>s</v>
      </c>
      <c r="T20" s="289" t="str" cm="1">
        <f t="array" aca="1" ref="T20" ca="1" xml:space="preserve"> INDEX($BQ$4:$BQ$61, MATCH(TRUE, EXACT(T$17, $BO$4:$BO$61), 0))</f>
        <v>i</v>
      </c>
      <c r="U20" s="289" t="str" cm="1">
        <f t="array" aca="1" ref="U20" ca="1" xml:space="preserve"> INDEX($BQ$4:$BQ$61, MATCH(TRUE, EXACT(U$17, $BO$4:$BO$61), 0))</f>
        <v>inn</v>
      </c>
      <c r="V20" s="289" t="str" cm="1">
        <f t="array" aca="1" ref="V20" ca="1" xml:space="preserve"> INDEX($BQ$4:$BQ$61, MATCH(TRUE, EXACT(V$17, $BO$4:$BO$61), 0))</f>
        <v>u</v>
      </c>
      <c r="W20" s="289" t="str" cm="1">
        <f t="array" aca="1" ref="W20" ca="1" xml:space="preserve"> INDEX($BQ$4:$BQ$61, MATCH(TRUE, EXACT(W$17, $BO$4:$BO$61), 0))</f>
        <v>unn</v>
      </c>
      <c r="X20" s="289" t="str" cm="1">
        <f t="array" aca="1" ref="X20" ca="1" xml:space="preserve"> INDEX($BQ$4:$BQ$61, MATCH(TRUE, EXACT(X$17, $BO$4:$BO$61), 0))</f>
        <v>a</v>
      </c>
      <c r="Y20" s="289" t="str" cm="1">
        <f t="array" aca="1" ref="Y20" ca="1" xml:space="preserve"> INDEX($BQ$4:$BQ$61, MATCH(TRUE, EXACT(Y$17, $BO$4:$BO$61), 0))</f>
        <v>ann</v>
      </c>
      <c r="Z20" s="289" t="str" cm="1">
        <f t="array" aca="1" ref="Z20" ca="1" xml:space="preserve"> INDEX($BQ$4:$BQ$61, MATCH(TRUE, EXACT(Z$17, $BO$4:$BO$61), 0))</f>
        <v>oo</v>
      </c>
      <c r="AA20" s="289" t="str" cm="1">
        <f t="array" aca="1" ref="AA20" ca="1" xml:space="preserve"> INDEX($BQ$4:$BQ$61, MATCH(TRUE, EXACT(AA$17, $BO$4:$BO$61), 0))</f>
        <v>oonn</v>
      </c>
      <c r="AB20" s="289" t="str" cm="1">
        <f t="array" aca="1" ref="AB20" ca="1" xml:space="preserve"> INDEX($BQ$4:$BQ$61, MATCH(TRUE, EXACT(AB$17, $BO$4:$BO$61), 0))</f>
        <v>or</v>
      </c>
      <c r="AC20" s="289" t="str" cm="1">
        <f t="array" aca="1" ref="AC20" ca="1" xml:space="preserve"> INDEX($BQ$4:$BQ$61, MATCH(TRUE, EXACT(AC$17, $BO$4:$BO$61), 0))</f>
        <v>e</v>
      </c>
      <c r="AD20" s="289" t="str" cm="1">
        <f t="array" aca="1" ref="AD20" ca="1" xml:space="preserve"> INDEX($BQ$4:$BQ$61, MATCH(TRUE, EXACT(AD$17, $BO$4:$BO$61), 0))</f>
        <v>enn</v>
      </c>
      <c r="AE20" s="289" t="str" cm="1">
        <f t="array" aca="1" ref="AE20" ca="1" xml:space="preserve"> INDEX($BQ$4:$BQ$61, MATCH(TRUE, EXACT(AE$17, $BO$4:$BO$61), 0))</f>
        <v>ai</v>
      </c>
      <c r="AF20" s="289" t="str" cm="1">
        <f t="array" aca="1" ref="AF20" ca="1" xml:space="preserve"> INDEX($BQ$4:$BQ$61, MATCH(TRUE, EXACT(AF$17, $BO$4:$BO$61), 0))</f>
        <v>ainn</v>
      </c>
      <c r="AG20" s="289" t="str" cm="1">
        <f t="array" aca="1" ref="AG20" ca="1" xml:space="preserve"> INDEX($BQ$4:$BQ$61, MATCH(TRUE, EXACT(AG$17, $BO$4:$BO$61), 0))</f>
        <v>au</v>
      </c>
      <c r="AH20" s="289" t="str" cm="1">
        <f t="array" aca="1" ref="AH20" ca="1" xml:space="preserve"> INDEX($BQ$4:$BQ$61, MATCH(TRUE, EXACT(AH$17, $BO$4:$BO$61), 0))</f>
        <v>aunn</v>
      </c>
      <c r="AI20" s="289" t="str" cm="1">
        <f t="array" aca="1" ref="AI20" ca="1" xml:space="preserve"> INDEX($BQ$4:$BQ$61, MATCH(TRUE, EXACT(AI$17, $BO$4:$BO$61), 0))</f>
        <v>an</v>
      </c>
      <c r="AJ20" s="289" t="str" cm="1">
        <f t="array" aca="1" ref="AJ20" ca="1" xml:space="preserve"> INDEX($BQ$4:$BQ$61, MATCH(TRUE, EXACT(AJ$17, $BO$4:$BO$61), 0))</f>
        <v>en</v>
      </c>
      <c r="AK20" s="289" t="str" cm="1">
        <f t="array" aca="1" ref="AK20" ca="1" xml:space="preserve"> INDEX($BQ$4:$BQ$61, MATCH(TRUE, EXACT(AK$17, $BO$4:$BO$61), 0))</f>
        <v>ang</v>
      </c>
      <c r="AL20" s="289" t="str" cm="1">
        <f t="array" aca="1" ref="AL20" ca="1" xml:space="preserve"> INDEX($BQ$4:$BQ$61, MATCH(TRUE, EXACT(AL$17, $BO$4:$BO$61), 0))</f>
        <v>ir</v>
      </c>
      <c r="AM20" s="289" t="str" cm="1">
        <f t="array" aca="1" ref="AM20" ca="1" xml:space="preserve"> INDEX($BQ$4:$BQ$61, MATCH(TRUE, EXACT(AM$17, $BO$4:$BO$61), 0))</f>
        <v>am</v>
      </c>
      <c r="AN20" s="289" t="str" cm="1">
        <f t="array" aca="1" ref="AN20" ca="1" xml:space="preserve"> INDEX($BQ$4:$BQ$61, MATCH(TRUE, EXACT(AN$17, $BO$4:$BO$61), 0))</f>
        <v>om</v>
      </c>
      <c r="AO20" s="289" t="str" cm="1">
        <f t="array" aca="1" ref="AO20" ca="1" xml:space="preserve"> INDEX($BQ$4:$BQ$61, MATCH(TRUE, EXACT(AO$17, $BO$4:$BO$61), 0))</f>
        <v>ong</v>
      </c>
      <c r="AP20" s="289" t="str" cm="1">
        <f t="array" aca="1" ref="AP20" ca="1" xml:space="preserve"> INDEX($BQ$4:$BQ$61, MATCH(TRUE, EXACT(AP$17, $BO$4:$BO$61), 0))</f>
        <v>-ng</v>
      </c>
      <c r="AQ20" s="289" t="str" cm="1">
        <f t="array" aca="1" ref="AQ20" ca="1" xml:space="preserve"> INDEX($BQ$4:$BQ$61, MATCH(TRUE, EXACT(AQ$17, $BO$4:$BO$61), 0))</f>
        <v>ng-</v>
      </c>
      <c r="AR20" s="289" t="str" cm="1">
        <f t="array" aca="1" ref="AR20" ca="1" xml:space="preserve"> INDEX($BQ$4:$BQ$61, MATCH(TRUE, EXACT(AR$17, $BO$4:$BO$61), 0))</f>
        <v>(i)ng</v>
      </c>
      <c r="AS20" s="289" t="str" cm="1">
        <f t="array" aca="1" ref="AS20" ca="1" xml:space="preserve"> INDEX($BQ$4:$BQ$61, MATCH(TRUE, EXACT(AS$17, $BO$4:$BO$61), 0))</f>
        <v>m</v>
      </c>
      <c r="AT20" s="289" t="str" cm="1">
        <f t="array" aca="1" ref="AT20" ca="1" xml:space="preserve"> INDEX($BQ$4:$BQ$61, MATCH(TRUE, EXACT(AT$17, $BO$4:$BO$61), 0))</f>
        <v>zi</v>
      </c>
      <c r="AU20" s="289" t="str" cm="1">
        <f t="array" aca="1" ref="AU20" ca="1" xml:space="preserve"> INDEX($BQ$4:$BQ$61, MATCH(TRUE, EXACT(AU$17, $BO$4:$BO$61), 0))</f>
        <v>ci</v>
      </c>
      <c r="AV20" s="289" t="str" cm="1">
        <f t="array" aca="1" ref="AV20" ca="1" xml:space="preserve"> INDEX($BQ$4:$BQ$61, MATCH(TRUE, EXACT(AV$17, $BO$4:$BO$61), 0))</f>
        <v>zzi</v>
      </c>
      <c r="AW20" s="289" t="str" cm="1">
        <f t="array" aca="1" ref="AW20" ca="1" xml:space="preserve"> INDEX($BQ$4:$BQ$61, MATCH(TRUE, EXACT(AW$17, $BO$4:$BO$61), 0))</f>
        <v>si</v>
      </c>
      <c r="AX20" s="289" t="str" cm="1">
        <f t="array" aca="1" ref="AX20" ca="1" xml:space="preserve"> INDEX($BQ$4:$BQ$61, MATCH(TRUE, EXACT(AX$17, $BO$4:$BO$61), 0))</f>
        <v>b0</v>
      </c>
      <c r="AY20" s="289" t="str" cm="1">
        <f t="array" aca="1" ref="AY20" ca="1" xml:space="preserve"> INDEX($BQ$4:$BQ$61, MATCH(TRUE, EXACT(AY$17, $BO$4:$BO$61), 0))</f>
        <v>d0</v>
      </c>
      <c r="AZ20" s="289" t="str" cm="1">
        <f t="array" aca="1" ref="AZ20" ca="1" xml:space="preserve"> INDEX($BQ$4:$BQ$61, MATCH(TRUE, EXACT(AZ$17, $BO$4:$BO$61), 0))</f>
        <v>g0</v>
      </c>
      <c r="BA20" s="289" t="str" cm="1">
        <f t="array" aca="1" ref="BA20" ca="1" xml:space="preserve"> INDEX($BQ$4:$BQ$61, MATCH(TRUE, EXACT(BA$17, $BO$4:$BO$61), 0))</f>
        <v>h0</v>
      </c>
      <c r="BB20" s="289" cm="1">
        <f t="array" aca="1" ref="BB20" ca="1" xml:space="preserve"> INDEX($BQ$4:$BQ$61, MATCH(TRUE, EXACT(BB$17, $BO$4:$BO$61), 0))</f>
        <v>7</v>
      </c>
      <c r="BC20" s="289" cm="1">
        <f t="array" aca="1" ref="BC20" ca="1" xml:space="preserve"> INDEX($BQ$4:$BQ$61, MATCH(TRUE, EXACT(BC$17, $BO$4:$BO$61), 0))</f>
        <v>48</v>
      </c>
      <c r="BD20" s="569"/>
      <c r="BE20" s="569"/>
      <c r="BF20" s="569"/>
      <c r="BG20" s="569"/>
      <c r="BK20" s="195"/>
      <c r="BL20" s="195"/>
      <c r="BN20" s="262">
        <f t="shared" si="2"/>
        <v>17</v>
      </c>
      <c r="BO20" s="71" t="s">
        <v>196</v>
      </c>
      <c r="BP20" s="32" t="str" cm="1">
        <f t="array" ref="BP20" xml:space="preserve"> INDEX(注音編碼對照表[方音符號], MATCH(TRUE, EXACT(鍵盤設計!$BO20,注音編碼對照表[鍵盤按鍵]), 0))</f>
        <v>ㄧ</v>
      </c>
      <c r="BQ20" s="107" t="str" cm="1">
        <f t="array" ref="BQ20" xml:space="preserve"> INDEX(注音編碼對照表[注音二式], MATCH(TRUE, EXACT(鍵盤設計!$BO20,注音編碼對照表[鍵盤按鍵]), 0))</f>
        <v>i</v>
      </c>
      <c r="BR20" s="34" t="str" cm="1">
        <f t="array" ref="BR20" xml:space="preserve"> INDEX(注音編碼對照表[按鍵編碼], MATCH(TRUE, EXACT(鍵盤設計!$BO20,注音編碼對照表[鍵盤按鍵]), 0))</f>
        <v>i</v>
      </c>
      <c r="BT20" s="596" t="str">
        <f t="shared" si="4"/>
        <v>"u": { commit: "ㄧ" }  # /i/ ==&gt; i</v>
      </c>
      <c r="BV20" s="236">
        <f t="shared" si="3"/>
        <v>17</v>
      </c>
      <c r="BW20" s="263" t="str">
        <f xml:space="preserve"> "- xform/" &amp; BR20 &amp; "/" &amp; BO20 &amp; "/"</f>
        <v>- xform/i/u/</v>
      </c>
      <c r="BY20" s="263" t="e">
        <f xml:space="preserve"> "- xform/" &amp; BO20 &amp; "/" &amp;#REF! &amp; "/"</f>
        <v>#REF!</v>
      </c>
    </row>
    <row r="21" spans="1:91" s="195" customFormat="1" ht="45" customHeight="1">
      <c r="A21" s="249"/>
      <c r="B21" s="249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34"/>
      <c r="AS21" s="234"/>
      <c r="AT21" s="249"/>
      <c r="AU21" s="249"/>
      <c r="AV21" s="249"/>
      <c r="AW21" s="145"/>
      <c r="AX21" s="145"/>
      <c r="AY21" s="145"/>
      <c r="AZ21" s="145"/>
      <c r="BA21" s="145"/>
      <c r="BB21" s="145"/>
      <c r="BK21" s="290"/>
      <c r="BL21" s="290"/>
      <c r="BN21" s="262">
        <f t="shared" si="2"/>
        <v>18</v>
      </c>
      <c r="BO21" s="71" t="s">
        <v>259</v>
      </c>
      <c r="BP21" s="32" t="str" cm="1">
        <f t="array" ref="BP21" xml:space="preserve"> INDEX(注音編碼對照表[方音符號], MATCH(TRUE, EXACT(鍵盤設計!$BO21,注音編碼對照表[鍵盤按鍵]), 0))</f>
        <v>ㆪ</v>
      </c>
      <c r="BQ21" s="107" t="str" cm="1">
        <f t="array" ref="BQ21" xml:space="preserve"> INDEX(注音編碼對照表[注音二式], MATCH(TRUE, EXACT(鍵盤設計!$BO21,注音編碼對照表[鍵盤按鍵]), 0))</f>
        <v>inn</v>
      </c>
      <c r="BR21" s="34" t="str" cm="1">
        <f t="array" ref="BR21" xml:space="preserve"> INDEX(注音編碼對照表[按鍵編碼], MATCH(TRUE, EXACT(鍵盤設計!$BO21,注音編碼對照表[鍵盤按鍵]), 0))</f>
        <v>I</v>
      </c>
      <c r="BT21" s="596" t="str">
        <f t="shared" si="4"/>
        <v>"U": { commit: "ㆪ" }  # /inn/ ==&gt; I</v>
      </c>
      <c r="BV21" s="195">
        <f t="shared" si="3"/>
        <v>18</v>
      </c>
      <c r="BW21" s="263" t="str">
        <f xml:space="preserve"> "- xform/" &amp; BR21 &amp; "/" &amp; BO21 &amp; "/"</f>
        <v>- xform/I/U/</v>
      </c>
      <c r="BY21" s="263" t="e">
        <f xml:space="preserve"> "- xform/" &amp; BO21 &amp; "/" &amp;#REF! &amp; "/"</f>
        <v>#REF!</v>
      </c>
    </row>
    <row r="22" spans="1:91" s="195" customFormat="1" ht="45" customHeight="1">
      <c r="B22" s="291" t="s">
        <v>573</v>
      </c>
      <c r="C22" s="292"/>
      <c r="D22" s="292"/>
      <c r="E22" s="292"/>
      <c r="F22" s="292"/>
      <c r="G22" s="292"/>
      <c r="H22" s="292"/>
      <c r="I22" s="292"/>
      <c r="J22" s="292"/>
      <c r="K22" s="292"/>
      <c r="L22" s="292"/>
      <c r="M22" s="1" t="str">
        <f ca="1" xml:space="preserve"> _xlfn.CONCAT(D20:Y20)</f>
        <v>bpbbmdtnlgkgghzczzsiinnuunnaann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292"/>
      <c r="Y22" s="292"/>
      <c r="Z22" s="292"/>
      <c r="AA22" s="292"/>
      <c r="AB22" s="292"/>
      <c r="AC22" s="292"/>
      <c r="AD22" s="292"/>
      <c r="AE22" s="292"/>
      <c r="AF22" s="292"/>
      <c r="AG22" s="292"/>
      <c r="AH22" s="292"/>
      <c r="BC22" s="290"/>
      <c r="BD22" s="290"/>
      <c r="BE22" s="290"/>
      <c r="BF22" s="290"/>
      <c r="BG22" s="290"/>
      <c r="BH22" s="290"/>
      <c r="BI22" s="290"/>
      <c r="BJ22" s="290"/>
      <c r="BK22" s="290"/>
      <c r="BL22" s="290"/>
      <c r="BN22" s="262">
        <f t="shared" si="2"/>
        <v>19</v>
      </c>
      <c r="BO22" s="71" t="s">
        <v>254</v>
      </c>
      <c r="BP22" s="32" t="str" cm="1">
        <f t="array" ref="BP22" xml:space="preserve"> INDEX(注音編碼對照表[方音符號], MATCH(TRUE, EXACT(鍵盤設計!$BO22,注音編碼對照表[鍵盤按鍵]), 0))</f>
        <v>ㄨ</v>
      </c>
      <c r="BQ22" s="107" t="str" cm="1">
        <f t="array" ref="BQ22" xml:space="preserve"> INDEX(注音編碼對照表[注音二式], MATCH(TRUE, EXACT(鍵盤設計!$BO22,注音編碼對照表[鍵盤按鍵]), 0))</f>
        <v>u</v>
      </c>
      <c r="BR22" s="34" t="str" cm="1">
        <f t="array" ref="BR22" xml:space="preserve"> INDEX(注音編碼對照表[按鍵編碼], MATCH(TRUE, EXACT(鍵盤設計!$BO22,注音編碼對照表[鍵盤按鍵]), 0))</f>
        <v>u</v>
      </c>
      <c r="BT22" s="596" t="str">
        <f t="shared" si="4"/>
        <v>"j": { commit: "ㄨ" }  # /u/ ==&gt; u</v>
      </c>
      <c r="BV22" s="195">
        <f t="shared" si="3"/>
        <v>19</v>
      </c>
      <c r="BW22" s="263" t="str">
        <f xml:space="preserve"> "- xform/" &amp; BR23 &amp; "/" &amp; BO23 &amp; "/"</f>
        <v>- xform/U/J/</v>
      </c>
      <c r="BY22" s="263" t="e">
        <f xml:space="preserve"> "- xform/" &amp; BO23 &amp; "/" &amp;#REF! &amp; "/"</f>
        <v>#REF!</v>
      </c>
    </row>
    <row r="23" spans="1:91" s="195" customFormat="1" ht="45" customHeight="1">
      <c r="B23" s="293" t="s">
        <v>574</v>
      </c>
      <c r="C23" s="293"/>
      <c r="D23" s="293"/>
      <c r="E23" s="293"/>
      <c r="F23" s="293"/>
      <c r="G23" s="293"/>
      <c r="H23" s="293"/>
      <c r="I23" s="293"/>
      <c r="J23" s="293"/>
      <c r="K23" s="293"/>
      <c r="L23" s="293"/>
      <c r="M23" s="293"/>
      <c r="N23" s="293"/>
      <c r="O23" s="293"/>
      <c r="P23" s="293"/>
      <c r="Q23" s="293"/>
      <c r="R23" s="293"/>
      <c r="S23" s="293"/>
      <c r="T23" s="294"/>
      <c r="U23" s="293"/>
      <c r="V23" s="293"/>
      <c r="W23" s="293"/>
      <c r="X23" s="293"/>
      <c r="Y23" s="293"/>
      <c r="Z23" s="293"/>
      <c r="AA23" s="293" t="s">
        <v>509</v>
      </c>
      <c r="AB23" s="293"/>
      <c r="AC23" s="293"/>
      <c r="AD23" s="293"/>
      <c r="AE23" s="293"/>
      <c r="AF23" s="293"/>
      <c r="AG23" s="293"/>
      <c r="AH23" s="293"/>
      <c r="AI23" s="290"/>
      <c r="AJ23" s="290"/>
      <c r="AK23" s="290"/>
      <c r="AL23" s="290"/>
      <c r="AN23" s="290"/>
      <c r="AO23" s="290"/>
      <c r="AP23" s="290"/>
      <c r="AQ23" s="290"/>
      <c r="AR23" s="290"/>
      <c r="AS23" s="290"/>
      <c r="AT23" s="290"/>
      <c r="AU23" s="290"/>
      <c r="AV23" s="290"/>
      <c r="AW23" s="290"/>
      <c r="AX23" s="290"/>
      <c r="AY23" s="290"/>
      <c r="AZ23" s="290"/>
      <c r="BA23" s="290"/>
      <c r="BB23" s="290"/>
      <c r="BC23" s="290"/>
      <c r="BD23" s="290"/>
      <c r="BE23" s="290"/>
      <c r="BF23" s="290"/>
      <c r="BG23" s="290"/>
      <c r="BH23" s="290"/>
      <c r="BI23" s="290"/>
      <c r="BJ23" s="290"/>
      <c r="BK23" s="290"/>
      <c r="BL23" s="290"/>
      <c r="BN23" s="262">
        <f t="shared" si="2"/>
        <v>20</v>
      </c>
      <c r="BO23" s="71" t="s">
        <v>249</v>
      </c>
      <c r="BP23" s="32" t="str" cm="1">
        <f t="array" ref="BP23" xml:space="preserve"> INDEX(注音編碼對照表[方音符號], MATCH(TRUE, EXACT(鍵盤設計!$BO23,注音編碼對照表[鍵盤按鍵]), 0))</f>
        <v>ㆫ</v>
      </c>
      <c r="BQ23" s="107" t="str" cm="1">
        <f t="array" ref="BQ23" xml:space="preserve"> INDEX(注音編碼對照表[注音二式], MATCH(TRUE, EXACT(鍵盤設計!$BO23,注音編碼對照表[鍵盤按鍵]), 0))</f>
        <v>unn</v>
      </c>
      <c r="BR23" s="34" t="str" cm="1">
        <f t="array" ref="BR23" xml:space="preserve"> INDEX(注音編碼對照表[按鍵編碼], MATCH(TRUE, EXACT(鍵盤設計!$BO23,注音編碼對照表[鍵盤按鍵]), 0))</f>
        <v>U</v>
      </c>
      <c r="BT23" s="596" t="str">
        <f t="shared" si="4"/>
        <v>"J": { commit: "ㆫ" }  # /unn/ ==&gt; U</v>
      </c>
      <c r="BV23" s="195">
        <f t="shared" si="3"/>
        <v>20</v>
      </c>
      <c r="BW23" s="263" t="str">
        <f xml:space="preserve"> "- xform/" &amp; BR25 &amp; "/" &amp; BO25 &amp; "/"</f>
        <v>- xform/A/*/</v>
      </c>
      <c r="BY23" s="263" t="e">
        <f xml:space="preserve"> "- xform/" &amp; BO25 &amp; "/" &amp;#REF! &amp; "/"</f>
        <v>#REF!</v>
      </c>
    </row>
    <row r="24" spans="1:91" s="195" customFormat="1" ht="45" customHeight="1">
      <c r="B24" s="295" t="s">
        <v>387</v>
      </c>
      <c r="C24" s="296"/>
      <c r="D24" s="297">
        <f ca="1" xml:space="preserve"> LEN(E24)</f>
        <v>103</v>
      </c>
      <c r="E24" s="297" t="str">
        <f ca="1" xml:space="preserve"> _xlfn.CONCAT(D20:BC20)</f>
        <v>bpbbmdtnlgkgghzczzsiinnuunnaannoooonnoreennaiainnauaunnanenangiramomong-ngng-(i)ngmzicizzisib0d0g0h0748</v>
      </c>
      <c r="F24" s="296"/>
      <c r="G24" s="296"/>
      <c r="H24" s="296"/>
      <c r="I24" s="296"/>
      <c r="J24" s="296"/>
      <c r="K24" s="296"/>
      <c r="L24" s="296"/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6"/>
      <c r="AA24" s="296"/>
      <c r="AB24" s="296"/>
      <c r="AC24" s="296"/>
      <c r="AD24" s="296"/>
      <c r="AE24" s="296"/>
      <c r="AF24" s="296"/>
      <c r="AG24" s="296"/>
      <c r="AH24" s="296"/>
      <c r="AI24" s="296"/>
      <c r="AJ24" s="296"/>
      <c r="AN24" s="290"/>
      <c r="AO24" s="290"/>
      <c r="AP24" s="290"/>
      <c r="AQ24" s="290"/>
      <c r="AR24" s="290"/>
      <c r="AS24" s="290"/>
      <c r="AT24" s="290"/>
      <c r="AU24" s="290"/>
      <c r="AV24" s="290"/>
      <c r="AW24" s="290"/>
      <c r="AX24" s="290"/>
      <c r="AY24" s="290"/>
      <c r="AZ24" s="290"/>
      <c r="BA24" s="290"/>
      <c r="BB24" s="290"/>
      <c r="BC24" s="290"/>
      <c r="BD24" s="290"/>
      <c r="BE24" s="290"/>
      <c r="BF24" s="290"/>
      <c r="BG24" s="290"/>
      <c r="BH24" s="290"/>
      <c r="BI24" s="290"/>
      <c r="BJ24" s="290"/>
      <c r="BK24" s="290"/>
      <c r="BL24" s="290"/>
      <c r="BN24" s="262">
        <f t="shared" si="2"/>
        <v>21</v>
      </c>
      <c r="BO24" s="71" t="s">
        <v>589</v>
      </c>
      <c r="BP24" s="32" t="str" cm="1">
        <f t="array" ref="BP24" xml:space="preserve"> INDEX(注音編碼對照表[方音符號], MATCH(TRUE, EXACT(鍵盤設計!$BO24,注音編碼對照表[鍵盤按鍵]), 0))</f>
        <v>ㄚ</v>
      </c>
      <c r="BQ24" s="107" t="str" cm="1">
        <f t="array" ref="BQ24" xml:space="preserve"> INDEX(注音編碼對照表[注音二式], MATCH(TRUE, EXACT(鍵盤設計!$BO24,注音編碼對照表[鍵盤按鍵]), 0))</f>
        <v>a</v>
      </c>
      <c r="BR24" s="34" t="str" cm="1">
        <f t="array" ref="BR24" xml:space="preserve"> INDEX(注音編碼對照表[按鍵編碼], MATCH(TRUE, EXACT(鍵盤設計!$BO24,注音編碼對照表[鍵盤按鍵]), 0))</f>
        <v>a</v>
      </c>
      <c r="BT24" s="596" t="str">
        <f t="shared" si="4"/>
        <v>"8": { commit: "ㄚ" }  # /a/ ==&gt; a</v>
      </c>
      <c r="BV24" s="195">
        <f t="shared" ref="BV24:BV63" si="10">BN23</f>
        <v>20</v>
      </c>
      <c r="BW24" s="263" t="str">
        <f xml:space="preserve"> "- xform/" &amp; BR27 &amp; "/" &amp; BO27 &amp; "/"</f>
        <v>- xform/Q/I/</v>
      </c>
      <c r="BY24" s="263" t="e">
        <f xml:space="preserve"> "- xform/" &amp; BO27 &amp; "/" &amp;#REF! &amp; "/"</f>
        <v>#REF!</v>
      </c>
    </row>
    <row r="25" spans="1:91" s="195" customFormat="1" ht="45" customHeight="1">
      <c r="B25" s="298" t="s">
        <v>575</v>
      </c>
      <c r="C25" s="299"/>
      <c r="D25" s="300">
        <f ca="1" xml:space="preserve"> LEN(E25)</f>
        <v>52</v>
      </c>
      <c r="E25" s="300" t="str">
        <f ca="1" xml:space="preserve"> _xlfn.CONCAT(D17:BC17)</f>
        <v>1q!a2wsxedEcyhYnuUjJ8*iIk,&lt;9(lL0p;-[]'\z/mrfRvbtgC57</v>
      </c>
      <c r="F25" s="299"/>
      <c r="G25" s="299"/>
      <c r="H25" s="299"/>
      <c r="I25" s="299"/>
      <c r="J25" s="299"/>
      <c r="K25" s="299"/>
      <c r="L25" s="299"/>
      <c r="M25" s="299"/>
      <c r="N25" s="299"/>
      <c r="O25" s="299"/>
      <c r="P25" s="299"/>
      <c r="Q25" s="299"/>
      <c r="R25" s="299"/>
      <c r="S25" s="299"/>
      <c r="T25" s="299"/>
      <c r="U25" s="299"/>
      <c r="V25" s="299"/>
      <c r="W25" s="299"/>
      <c r="X25" s="299"/>
      <c r="Y25" s="299"/>
      <c r="Z25" s="299"/>
      <c r="AA25" s="299"/>
      <c r="AB25" s="299"/>
      <c r="AC25" s="299"/>
      <c r="AD25" s="299"/>
      <c r="AE25" s="299"/>
      <c r="AF25" s="299"/>
      <c r="AG25" s="299"/>
      <c r="AH25" s="299"/>
      <c r="AI25" s="299"/>
      <c r="AJ25" s="299"/>
      <c r="AN25" s="290"/>
      <c r="AO25" s="290"/>
      <c r="AP25" s="290"/>
      <c r="AQ25" s="290"/>
      <c r="AR25" s="290"/>
      <c r="AS25" s="290"/>
      <c r="AT25" s="290"/>
      <c r="AU25" s="290"/>
      <c r="AV25" s="290"/>
      <c r="AW25" s="290"/>
      <c r="AX25" s="290"/>
      <c r="AY25" s="290"/>
      <c r="AZ25" s="290"/>
      <c r="BA25" s="290"/>
      <c r="BB25" s="290"/>
      <c r="BC25" s="290"/>
      <c r="BD25" s="290"/>
      <c r="BE25" s="290"/>
      <c r="BF25" s="290"/>
      <c r="BG25" s="290"/>
      <c r="BH25" s="290"/>
      <c r="BI25" s="290"/>
      <c r="BJ25" s="290"/>
      <c r="BK25" s="301"/>
      <c r="BL25" s="301"/>
      <c r="BN25" s="262">
        <f t="shared" si="2"/>
        <v>22</v>
      </c>
      <c r="BO25" s="71" t="s">
        <v>281</v>
      </c>
      <c r="BP25" s="32" t="str" cm="1">
        <f t="array" ref="BP25" xml:space="preserve"> INDEX(注音編碼對照表[方音符號], MATCH(TRUE, EXACT(鍵盤設計!$BO25,注音編碼對照表[鍵盤按鍵]), 0))</f>
        <v>ㆩ</v>
      </c>
      <c r="BQ25" s="107" t="str" cm="1">
        <f t="array" ref="BQ25" xml:space="preserve"> INDEX(注音編碼對照表[注音二式], MATCH(TRUE, EXACT(鍵盤設計!$BO25,注音編碼對照表[鍵盤按鍵]), 0))</f>
        <v>ann</v>
      </c>
      <c r="BR25" s="34" t="str" cm="1">
        <f t="array" ref="BR25" xml:space="preserve"> INDEX(注音編碼對照表[按鍵編碼], MATCH(TRUE, EXACT(鍵盤設計!$BO25,注音編碼對照表[鍵盤按鍵]), 0))</f>
        <v>A</v>
      </c>
      <c r="BT25" s="596" t="str">
        <f t="shared" si="4"/>
        <v>"*": { commit: "ㆩ" }  # /ann/ ==&gt; A</v>
      </c>
      <c r="BV25" s="195">
        <f t="shared" si="10"/>
        <v>21</v>
      </c>
      <c r="BW25" s="263" t="str">
        <f xml:space="preserve"> "- xform/" &amp; BR29 &amp; "/" &amp; BO29 &amp; "/"</f>
        <v>- xform/e/,/</v>
      </c>
      <c r="BY25" s="263" t="e">
        <f xml:space="preserve"> "- xform/" &amp; BO29 &amp; "/" &amp;#REF! &amp; "/"</f>
        <v>#REF!</v>
      </c>
    </row>
    <row r="26" spans="1:91" s="302" customFormat="1" ht="45" customHeight="1">
      <c r="A26" s="195"/>
      <c r="B26" s="303" t="str">
        <f ca="1" xml:space="preserve"> "- xlit|" &amp; E24 &amp; "|" &amp; E25 &amp; "|"</f>
        <v>- xlit|bpbbmdtnlgkgghzczzsiinnuunnaannoooonnoreennaiainnauaunnanenangiramomong-ngng-(i)ngmzicizzisib0d0g0h0748|1q!a2wsxedEcyhYnuUjJ8*iIk,&lt;9(lL0p;-[]'\z/mrfRvbtgC57|</v>
      </c>
      <c r="C26" s="304"/>
      <c r="D26" s="304"/>
      <c r="E26" s="30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304"/>
      <c r="S26" s="304"/>
      <c r="T26" s="304"/>
      <c r="U26" s="304"/>
      <c r="V26" s="304"/>
      <c r="W26" s="304"/>
      <c r="X26" s="304"/>
      <c r="Y26" s="304"/>
      <c r="Z26" s="304"/>
      <c r="AA26" s="304"/>
      <c r="AB26" s="304"/>
      <c r="AC26" s="304"/>
      <c r="AD26" s="304"/>
      <c r="AE26" s="304"/>
      <c r="AF26" s="304"/>
      <c r="AG26" s="304"/>
      <c r="AH26" s="304"/>
      <c r="AI26" s="304"/>
      <c r="AJ26" s="304"/>
      <c r="AK26" s="290"/>
      <c r="AL26" s="290"/>
      <c r="AM26" s="195"/>
      <c r="AN26" s="290"/>
      <c r="AO26" s="290"/>
      <c r="AP26" s="290"/>
      <c r="AQ26" s="290"/>
      <c r="AR26" s="290"/>
      <c r="AS26" s="290"/>
      <c r="AT26" s="290"/>
      <c r="AU26" s="290"/>
      <c r="AV26" s="290"/>
      <c r="AW26" s="290"/>
      <c r="AX26" s="290"/>
      <c r="AY26" s="290"/>
      <c r="AZ26" s="290"/>
      <c r="BA26" s="290"/>
      <c r="BB26" s="290"/>
      <c r="BC26" s="301"/>
      <c r="BD26" s="301"/>
      <c r="BE26" s="301"/>
      <c r="BF26" s="301"/>
      <c r="BG26" s="301"/>
      <c r="BH26" s="301"/>
      <c r="BI26" s="301"/>
      <c r="BJ26" s="301"/>
      <c r="BK26" s="290"/>
      <c r="BL26" s="290"/>
      <c r="BN26" s="262">
        <f t="shared" si="2"/>
        <v>23</v>
      </c>
      <c r="BO26" s="71" t="s">
        <v>279</v>
      </c>
      <c r="BP26" s="32" t="str" cm="1">
        <f t="array" ref="BP26" xml:space="preserve"> INDEX(注音編碼對照表[方音符號], MATCH(TRUE, EXACT(鍵盤設計!$BO26,注音編碼對照表[鍵盤按鍵]), 0))</f>
        <v>ㆦ</v>
      </c>
      <c r="BQ26" s="107" t="str" cm="1">
        <f t="array" ref="BQ26" xml:space="preserve"> INDEX(注音編碼對照表[注音二式], MATCH(TRUE, EXACT(鍵盤設計!$BO26,注音編碼對照表[鍵盤按鍵]), 0))</f>
        <v>oo</v>
      </c>
      <c r="BR26" s="34" t="str" cm="1">
        <f t="array" ref="BR26" xml:space="preserve"> INDEX(注音編碼對照表[按鍵編碼], MATCH(TRUE, EXACT(鍵盤設計!$BO26,注音編碼對照表[鍵盤按鍵]), 0))</f>
        <v>O</v>
      </c>
      <c r="BS26" s="195"/>
      <c r="BT26" s="596" t="str">
        <f t="shared" si="4"/>
        <v>"i": { commit: "ㆦ" }  # /oo/ ==&gt; O</v>
      </c>
      <c r="BU26" s="195"/>
      <c r="BV26" s="195">
        <f t="shared" si="10"/>
        <v>22</v>
      </c>
      <c r="BW26" s="263" t="str">
        <f xml:space="preserve"> "- xform/" &amp; BR30 &amp; "/" &amp; BO30 &amp; "/"</f>
        <v>- xform/E/&lt;/</v>
      </c>
      <c r="BX26" s="195"/>
      <c r="BY26" s="263" t="e">
        <f xml:space="preserve"> "- xform/" &amp; BO30 &amp; "/" &amp;#REF! &amp; "/"</f>
        <v>#REF!</v>
      </c>
      <c r="BZ26" s="195"/>
      <c r="CA26" s="195"/>
      <c r="CB26" s="195"/>
      <c r="CC26" s="195"/>
      <c r="CD26" s="195"/>
      <c r="CE26" s="195"/>
      <c r="CF26" s="195"/>
      <c r="CG26" s="195"/>
      <c r="CH26" s="195"/>
      <c r="CI26" s="195"/>
      <c r="CJ26" s="195"/>
      <c r="CK26" s="195"/>
      <c r="CL26" s="195"/>
      <c r="CM26" s="195"/>
    </row>
    <row r="27" spans="1:91" s="195" customFormat="1" ht="45" customHeight="1">
      <c r="A27" s="302"/>
      <c r="B27" s="305"/>
      <c r="C27" s="306"/>
      <c r="D27" s="306"/>
      <c r="E27" s="306"/>
      <c r="F27" s="306"/>
      <c r="G27" s="306"/>
      <c r="H27" s="306"/>
      <c r="I27" s="306"/>
      <c r="J27" s="306"/>
      <c r="K27" s="306"/>
      <c r="L27" s="306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  <c r="AA27" s="306"/>
      <c r="AB27" s="306"/>
      <c r="AC27" s="306"/>
      <c r="AD27" s="306"/>
      <c r="AE27" s="306"/>
      <c r="AF27" s="306"/>
      <c r="AG27" s="306"/>
      <c r="AH27" s="306"/>
      <c r="AI27" s="306"/>
      <c r="AJ27" s="306"/>
      <c r="AK27" s="301"/>
      <c r="AL27" s="301"/>
      <c r="AN27" s="290"/>
      <c r="AO27" s="290"/>
      <c r="AP27" s="290"/>
      <c r="AQ27" s="290"/>
      <c r="AR27" s="290"/>
      <c r="AS27" s="290"/>
      <c r="AT27" s="301"/>
      <c r="AU27" s="301"/>
      <c r="AV27" s="301"/>
      <c r="AW27" s="301"/>
      <c r="AX27" s="301"/>
      <c r="AY27" s="301"/>
      <c r="AZ27" s="301"/>
      <c r="BA27" s="301"/>
      <c r="BB27" s="301"/>
      <c r="BC27" s="290"/>
      <c r="BD27" s="290"/>
      <c r="BE27" s="290"/>
      <c r="BF27" s="290"/>
      <c r="BG27" s="290"/>
      <c r="BH27" s="290"/>
      <c r="BI27" s="290"/>
      <c r="BJ27" s="290"/>
      <c r="BK27" s="290"/>
      <c r="BL27" s="290"/>
      <c r="BN27" s="262">
        <f t="shared" si="2"/>
        <v>24</v>
      </c>
      <c r="BO27" s="71" t="s">
        <v>275</v>
      </c>
      <c r="BP27" s="32" t="str" cm="1">
        <f t="array" ref="BP27" xml:space="preserve"> INDEX(注音編碼對照表[方音符號], MATCH(TRUE, EXACT(鍵盤設計!$BO27,注音編碼對照表[鍵盤按鍵]), 0))</f>
        <v>ㆧ</v>
      </c>
      <c r="BQ27" s="107" t="str" cm="1">
        <f t="array" ref="BQ27" xml:space="preserve"> INDEX(注音編碼對照表[注音二式], MATCH(TRUE, EXACT(鍵盤設計!$BO27,注音編碼對照表[鍵盤按鍵]), 0))</f>
        <v>oonn</v>
      </c>
      <c r="BR27" s="34" t="str" cm="1">
        <f t="array" ref="BR27" xml:space="preserve"> INDEX(注音編碼對照表[按鍵編碼], MATCH(TRUE, EXACT(鍵盤設計!$BO27,注音編碼對照表[鍵盤按鍵]), 0))</f>
        <v>Q</v>
      </c>
      <c r="BT27" s="596" t="str">
        <f t="shared" si="4"/>
        <v>"I": { commit: "ㆧ" }  # /oonn/ ==&gt; Q</v>
      </c>
      <c r="BU27" s="302"/>
      <c r="BV27" s="302">
        <f t="shared" si="10"/>
        <v>23</v>
      </c>
      <c r="BW27" s="263" t="str">
        <f xml:space="preserve"> "- xform/" &amp; BR32 &amp; "/" &amp; BO32 &amp; "/"</f>
        <v>- xform/X/(/</v>
      </c>
      <c r="BX27" s="302"/>
      <c r="BY27" s="263" t="e">
        <f xml:space="preserve"> "- xform/" &amp; BO32 &amp; "/" &amp;#REF! &amp; "/"</f>
        <v>#REF!</v>
      </c>
      <c r="BZ27" s="302"/>
      <c r="CA27" s="302"/>
      <c r="CB27" s="302"/>
      <c r="CC27" s="302"/>
      <c r="CD27" s="302"/>
      <c r="CE27" s="302"/>
      <c r="CF27" s="302"/>
      <c r="CG27" s="302"/>
      <c r="CH27" s="302"/>
      <c r="CI27" s="302"/>
      <c r="CJ27" s="302"/>
      <c r="CK27" s="302"/>
      <c r="CL27" s="302"/>
      <c r="CM27" s="302"/>
    </row>
    <row r="28" spans="1:91" s="195" customFormat="1" ht="45" customHeight="1">
      <c r="B28" s="295"/>
      <c r="C28" s="296"/>
      <c r="D28" s="297">
        <f ca="1" xml:space="preserve"> LEN(E28)</f>
        <v>90</v>
      </c>
      <c r="E28" s="297" t="str">
        <f ca="1">SUBSTITUTE(SUBSTITUTE(E24, "b", ""), "g", "")</f>
        <v>pmdtnlkhzczzsiinnuunnaannoooonnoreennaiainnauaunnanenaniramomon-nn-(i)nmzicizzisi0d00h0748</v>
      </c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K28" s="290"/>
      <c r="AL28" s="290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L28" s="290"/>
      <c r="BN28" s="262">
        <f t="shared" si="2"/>
        <v>25</v>
      </c>
      <c r="BO28" s="71" t="s">
        <v>37</v>
      </c>
      <c r="BP28" s="32" t="str" cm="1">
        <f t="array" ref="BP28" xml:space="preserve"> INDEX(注音編碼對照表[方音符號], MATCH(TRUE, EXACT(鍵盤設計!$BO28,注音編碼對照表[鍵盤按鍵]), 0))</f>
        <v>ㄜ</v>
      </c>
      <c r="BQ28" s="107" t="str" cm="1">
        <f t="array" ref="BQ28" xml:space="preserve"> INDEX(注音編碼對照表[注音二式], MATCH(TRUE, EXACT(鍵盤設計!$BO28,注音編碼對照表[鍵盤按鍵]), 0))</f>
        <v>or</v>
      </c>
      <c r="BR28" s="34" t="str" cm="1">
        <f t="array" ref="BR28" xml:space="preserve"> INDEX(注音編碼對照表[按鍵編碼], MATCH(TRUE, EXACT(鍵盤設計!$BO28,注音編碼對照表[鍵盤按鍵]), 0))</f>
        <v>o</v>
      </c>
      <c r="BS28" s="302"/>
      <c r="BT28" s="596" t="str">
        <f t="shared" si="4"/>
        <v>"k": { commit: "ㄜ" }  # /or/ ==&gt; o</v>
      </c>
      <c r="BV28" s="195">
        <f t="shared" si="10"/>
        <v>24</v>
      </c>
      <c r="BW28" s="263" t="str">
        <f xml:space="preserve"> "- xform/" &amp; BR34 &amp; "/" &amp; BO34 &amp; "/"</f>
        <v>- xform/Y/L/</v>
      </c>
      <c r="BY28" s="263" t="e">
        <f xml:space="preserve"> "- xform/" &amp; BO34 &amp; "/" &amp;#REF! &amp; "/"</f>
        <v>#REF!</v>
      </c>
    </row>
    <row r="29" spans="1:91" s="195" customFormat="1" ht="45" customHeight="1">
      <c r="B29" s="298"/>
      <c r="C29" s="299"/>
      <c r="D29" s="300">
        <f ca="1" xml:space="preserve"> LEN(E29)</f>
        <v>50</v>
      </c>
      <c r="E29" s="300" t="str">
        <f ca="1">SUBSTITUTE(SUBSTITUTE(E25, "!", ""), "E", "")</f>
        <v>1qa2wsxedcyhYnuUjJ8*iIk,&lt;9(lL0p;-[]'\z/mrfRvbtgC57</v>
      </c>
      <c r="F29" s="299"/>
      <c r="G29" s="299"/>
      <c r="H29" s="299"/>
      <c r="I29" s="299"/>
      <c r="J29" s="299"/>
      <c r="K29" s="299"/>
      <c r="L29" s="299"/>
      <c r="M29" s="299"/>
      <c r="N29" s="299"/>
      <c r="O29" s="299"/>
      <c r="P29" s="299"/>
      <c r="Q29" s="299"/>
      <c r="R29" s="299"/>
      <c r="S29" s="299"/>
      <c r="T29" s="299"/>
      <c r="U29" s="299"/>
      <c r="V29" s="299"/>
      <c r="W29" s="299"/>
      <c r="X29" s="299"/>
      <c r="Y29" s="299"/>
      <c r="Z29" s="299"/>
      <c r="AA29" s="299"/>
      <c r="AB29" s="299"/>
      <c r="AC29" s="299"/>
      <c r="AD29" s="299"/>
      <c r="AE29" s="299"/>
      <c r="AF29" s="299"/>
      <c r="AG29" s="299"/>
      <c r="AH29" s="299"/>
      <c r="AI29" s="299"/>
      <c r="AJ29" s="299"/>
      <c r="AK29" s="290"/>
      <c r="AL29" s="290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90"/>
      <c r="BI29" s="290"/>
      <c r="BJ29" s="290"/>
      <c r="BK29" s="290"/>
      <c r="BL29" s="290"/>
      <c r="BN29" s="262">
        <f t="shared" si="2"/>
        <v>26</v>
      </c>
      <c r="BO29" s="71" t="s">
        <v>225</v>
      </c>
      <c r="BP29" s="32" t="str" cm="1">
        <f t="array" ref="BP29" xml:space="preserve"> INDEX(注音編碼對照表[方音符號], MATCH(TRUE, EXACT(鍵盤設計!$BO29,注音編碼對照表[鍵盤按鍵]), 0))</f>
        <v>ㆤ</v>
      </c>
      <c r="BQ29" s="107" t="str" cm="1">
        <f t="array" ref="BQ29" xml:space="preserve"> INDEX(注音編碼對照表[注音二式], MATCH(TRUE, EXACT(鍵盤設計!$BO29,注音編碼對照表[鍵盤按鍵]), 0))</f>
        <v>e</v>
      </c>
      <c r="BR29" s="34" t="str" cm="1">
        <f t="array" ref="BR29" xml:space="preserve"> INDEX(注音編碼對照表[按鍵編碼], MATCH(TRUE, EXACT(鍵盤設計!$BO29,注音編碼對照表[鍵盤按鍵]), 0))</f>
        <v>e</v>
      </c>
      <c r="BT29" s="596" t="str">
        <f t="shared" si="4"/>
        <v>",": { commit: "ㆤ" }  # /e/ ==&gt; e</v>
      </c>
      <c r="BV29" s="195">
        <f t="shared" si="10"/>
        <v>25</v>
      </c>
      <c r="BW29" s="263" t="str">
        <f xml:space="preserve"> "- xform/" &amp; BR37 &amp; "/" &amp; BO37 &amp; "/"</f>
        <v>- xform/G/;/</v>
      </c>
      <c r="BY29" s="263" t="e">
        <f xml:space="preserve"> "- xform/" &amp; BO37 &amp; "/" &amp;#REF! &amp; "/"</f>
        <v>#REF!</v>
      </c>
    </row>
    <row r="30" spans="1:91" s="195" customFormat="1" ht="45" customHeight="1">
      <c r="B30" s="303" t="str">
        <f ca="1" xml:space="preserve"> "- xlit|" &amp; E28 &amp; "|" &amp; E29 &amp; "|"</f>
        <v>- xlit|pmdtnlkhzczzsiinnuunnaannoooonnoreennaiainnauaunnanenaniramomon-nn-(i)nmzicizzisi0d00h0748|1qa2wsxedcyhYnuUjJ8*iIk,&lt;9(lL0p;-[]'\z/mrfRvbtgC57|</v>
      </c>
      <c r="C30" s="304"/>
      <c r="D30" s="304"/>
      <c r="E30" s="304"/>
      <c r="F30" s="304"/>
      <c r="G30" s="304"/>
      <c r="H30" s="304"/>
      <c r="I30" s="304"/>
      <c r="J30" s="304"/>
      <c r="K30" s="304"/>
      <c r="L30" s="304"/>
      <c r="M30" s="304"/>
      <c r="N30" s="304"/>
      <c r="O30" s="304"/>
      <c r="P30" s="304"/>
      <c r="Q30" s="304"/>
      <c r="R30" s="304"/>
      <c r="S30" s="304"/>
      <c r="T30" s="304"/>
      <c r="U30" s="304"/>
      <c r="V30" s="304"/>
      <c r="W30" s="304"/>
      <c r="X30" s="304"/>
      <c r="Y30" s="304"/>
      <c r="Z30" s="304"/>
      <c r="AA30" s="304"/>
      <c r="AB30" s="304"/>
      <c r="AC30" s="304"/>
      <c r="AD30" s="304"/>
      <c r="AE30" s="304"/>
      <c r="AF30" s="304"/>
      <c r="AG30" s="304"/>
      <c r="AH30" s="304"/>
      <c r="AI30" s="304"/>
      <c r="AJ30" s="304"/>
      <c r="AK30" s="290"/>
      <c r="AL30" s="290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290"/>
      <c r="BD30" s="290"/>
      <c r="BE30" s="290"/>
      <c r="BF30" s="290"/>
      <c r="BG30" s="290"/>
      <c r="BH30" s="290"/>
      <c r="BI30" s="290"/>
      <c r="BJ30" s="290"/>
      <c r="BK30" s="290"/>
      <c r="BL30" s="290"/>
      <c r="BN30" s="262">
        <f t="shared" si="2"/>
        <v>27</v>
      </c>
      <c r="BO30" s="71" t="s">
        <v>223</v>
      </c>
      <c r="BP30" s="32" t="str" cm="1">
        <f t="array" ref="BP30" xml:space="preserve"> INDEX(注音編碼對照表[方音符號], MATCH(TRUE, EXACT(鍵盤設計!$BO30,注音編碼對照表[鍵盤按鍵]), 0))</f>
        <v>ㆥ</v>
      </c>
      <c r="BQ30" s="107" t="str" cm="1">
        <f t="array" ref="BQ30" xml:space="preserve"> INDEX(注音編碼對照表[注音二式], MATCH(TRUE, EXACT(鍵盤設計!$BO30,注音編碼對照表[鍵盤按鍵]), 0))</f>
        <v>enn</v>
      </c>
      <c r="BR30" s="34" t="str" cm="1">
        <f t="array" ref="BR30" xml:space="preserve"> INDEX(注音編碼對照表[按鍵編碼], MATCH(TRUE, EXACT(鍵盤設計!$BO30,注音編碼對照表[鍵盤按鍵]), 0))</f>
        <v>E</v>
      </c>
      <c r="BT30" s="596" t="str">
        <f t="shared" si="4"/>
        <v>"&lt;": { commit: "ㆥ" }  # /enn/ ==&gt; E</v>
      </c>
      <c r="BV30" s="195">
        <f t="shared" si="10"/>
        <v>26</v>
      </c>
      <c r="BW30" s="263" t="str">
        <f xml:space="preserve"> "- xform/" &amp; BR39 &amp; "/" &amp; BO39 &amp; "/"</f>
        <v>- xform/[/[/</v>
      </c>
      <c r="BY30" s="263" t="e">
        <f xml:space="preserve"> "- xform/" &amp; BO39 &amp; "/" &amp;#REF! &amp; "/"</f>
        <v>#REF!</v>
      </c>
    </row>
    <row r="31" spans="1:91" s="195" customFormat="1" ht="45" customHeight="1">
      <c r="AH31" s="290"/>
      <c r="AI31" s="290"/>
      <c r="AJ31" s="290"/>
      <c r="AK31" s="290"/>
      <c r="AL31" s="290"/>
      <c r="AN31" s="290"/>
      <c r="AO31" s="290"/>
      <c r="AP31" s="290"/>
      <c r="AQ31" s="290"/>
      <c r="AR31" s="290"/>
      <c r="AS31" s="290"/>
      <c r="AT31" s="290"/>
      <c r="AU31" s="290"/>
      <c r="AV31" s="290"/>
      <c r="AW31" s="290"/>
      <c r="AX31" s="290"/>
      <c r="AY31" s="290"/>
      <c r="AZ31" s="290"/>
      <c r="BA31" s="290"/>
      <c r="BB31" s="290"/>
      <c r="BC31" s="290"/>
      <c r="BD31" s="290"/>
      <c r="BE31" s="290"/>
      <c r="BF31" s="290"/>
      <c r="BG31" s="290"/>
      <c r="BH31" s="290"/>
      <c r="BI31" s="290"/>
      <c r="BJ31" s="290"/>
      <c r="BK31" s="290"/>
      <c r="BL31" s="290"/>
      <c r="BN31" s="262">
        <f t="shared" si="2"/>
        <v>28</v>
      </c>
      <c r="BO31" s="71" t="s">
        <v>264</v>
      </c>
      <c r="BP31" s="32" t="str" cm="1">
        <f t="array" ref="BP31" xml:space="preserve"> INDEX(注音編碼對照表[方音符號], MATCH(TRUE, EXACT(鍵盤設計!$BO31,注音編碼對照表[鍵盤按鍵]), 0))</f>
        <v>ㄞ</v>
      </c>
      <c r="BQ31" s="107" t="str" cm="1">
        <f t="array" ref="BQ31" xml:space="preserve"> INDEX(注音編碼對照表[注音二式], MATCH(TRUE, EXACT(鍵盤設計!$BO31,注音編碼對照表[鍵盤按鍵]), 0))</f>
        <v>ai</v>
      </c>
      <c r="BR31" s="34" t="str" cm="1">
        <f t="array" ref="BR31" xml:space="preserve"> INDEX(注音編碼對照表[按鍵編碼], MATCH(TRUE, EXACT(鍵盤設計!$BO31,注音編碼對照表[鍵盤按鍵]), 0))</f>
        <v>x</v>
      </c>
      <c r="BT31" s="596" t="str">
        <f t="shared" si="4"/>
        <v>"9": { commit: "ㄞ" }  # /ai/ ==&gt; x</v>
      </c>
      <c r="BV31" s="195">
        <f t="shared" si="10"/>
        <v>27</v>
      </c>
      <c r="BW31" s="263" t="str">
        <f xml:space="preserve"> "- xform/" &amp; BR41 &amp; "/" &amp; BO41 &amp; "/"</f>
        <v>- xform/H/'/</v>
      </c>
      <c r="BY31" s="263" t="e">
        <f xml:space="preserve"> "- xform/" &amp; BO41 &amp; "/" &amp;#REF! &amp; "/"</f>
        <v>#REF!</v>
      </c>
    </row>
    <row r="32" spans="1:91" s="195" customFormat="1" ht="45" customHeight="1">
      <c r="B32" s="307" t="s">
        <v>576</v>
      </c>
      <c r="C32" s="293"/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93"/>
      <c r="AB32" s="293"/>
      <c r="AC32" s="293"/>
      <c r="AD32" s="293"/>
      <c r="AE32" s="293"/>
      <c r="AF32" s="293"/>
      <c r="AG32" s="293"/>
      <c r="AH32" s="290"/>
      <c r="AI32" s="290"/>
      <c r="AJ32" s="290"/>
      <c r="AK32" s="290"/>
      <c r="AL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90"/>
      <c r="BI32" s="290"/>
      <c r="BJ32" s="290"/>
      <c r="BK32" s="290"/>
      <c r="BL32" s="290"/>
      <c r="BN32" s="262">
        <f t="shared" si="2"/>
        <v>29</v>
      </c>
      <c r="BO32" s="71" t="s">
        <v>240</v>
      </c>
      <c r="BP32" s="32" t="str" cm="1">
        <f t="array" ref="BP32" xml:space="preserve"> INDEX(注音編碼對照表[方音符號], MATCH(TRUE, EXACT(鍵盤設計!$BO32,注音編碼對照表[鍵盤按鍵]), 0))</f>
        <v>ㆮ</v>
      </c>
      <c r="BQ32" s="107" t="str" cm="1">
        <f t="array" ref="BQ32" xml:space="preserve"> INDEX(注音編碼對照表[注音二式], MATCH(TRUE, EXACT(鍵盤設計!$BO32,注音編碼對照表[鍵盤按鍵]), 0))</f>
        <v>ainn</v>
      </c>
      <c r="BR32" s="34" t="str" cm="1">
        <f t="array" ref="BR32" xml:space="preserve"> INDEX(注音編碼對照表[按鍵編碼], MATCH(TRUE, EXACT(鍵盤設計!$BO32,注音編碼對照表[鍵盤按鍵]), 0))</f>
        <v>X</v>
      </c>
      <c r="BT32" s="596" t="str">
        <f t="shared" si="4"/>
        <v>"(": { commit: "ㆮ" }  # /ainn/ ==&gt; X</v>
      </c>
      <c r="BV32" s="195">
        <f t="shared" si="10"/>
        <v>28</v>
      </c>
      <c r="BW32" s="263" t="str">
        <f xml:space="preserve"> "- xform/" &amp; BR22 &amp; "/" &amp; BO22 &amp; "/"</f>
        <v>- xform/u/j/</v>
      </c>
      <c r="BY32" s="263" t="e">
        <f xml:space="preserve"> "- xform/" &amp; BO22 &amp; "/" &amp;#REF! &amp; "/"</f>
        <v>#REF!</v>
      </c>
    </row>
    <row r="33" spans="1:91" s="195" customFormat="1" ht="45" customHeight="1">
      <c r="B33" s="293" t="s">
        <v>577</v>
      </c>
      <c r="C33" s="293"/>
      <c r="D33" s="293"/>
      <c r="E33" s="293"/>
      <c r="F33" s="293"/>
      <c r="G33" s="293"/>
      <c r="H33" s="293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4"/>
      <c r="T33" s="293"/>
      <c r="U33" s="293"/>
      <c r="V33" s="293"/>
      <c r="W33" s="293"/>
      <c r="X33" s="293"/>
      <c r="Y33" s="293"/>
      <c r="Z33" s="293"/>
      <c r="AA33" s="293"/>
      <c r="AB33" s="293"/>
      <c r="AC33" s="293"/>
      <c r="AD33" s="293"/>
      <c r="AE33" s="293"/>
      <c r="AF33" s="293"/>
      <c r="AG33" s="293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90"/>
      <c r="BI33" s="290"/>
      <c r="BJ33" s="290"/>
      <c r="BK33" s="290"/>
      <c r="BL33" s="290"/>
      <c r="BN33" s="262">
        <f t="shared" si="2"/>
        <v>30</v>
      </c>
      <c r="BO33" s="71" t="s">
        <v>86</v>
      </c>
      <c r="BP33" s="32" t="str" cm="1">
        <f t="array" ref="BP33" xml:space="preserve"> INDEX(注音編碼對照表[方音符號], MATCH(TRUE, EXACT(鍵盤設計!$BO33,注音編碼對照表[鍵盤按鍵]), 0))</f>
        <v>ㄠ</v>
      </c>
      <c r="BQ33" s="107" t="str" cm="1">
        <f t="array" ref="BQ33" xml:space="preserve"> INDEX(注音編碼對照表[注音二式], MATCH(TRUE, EXACT(鍵盤設計!$BO33,注音編碼對照表[鍵盤按鍵]), 0))</f>
        <v>au</v>
      </c>
      <c r="BR33" s="34" t="str" cm="1">
        <f t="array" ref="BR33" xml:space="preserve"> INDEX(注音編碼對照表[按鍵編碼], MATCH(TRUE, EXACT(鍵盤設計!$BO33,注音編碼對照表[鍵盤按鍵]), 0))</f>
        <v>y</v>
      </c>
      <c r="BT33" s="596" t="str">
        <f t="shared" si="4"/>
        <v>"l": { commit: "ㄠ" }  # /au/ ==&gt; y</v>
      </c>
      <c r="BV33" s="195">
        <f t="shared" si="10"/>
        <v>29</v>
      </c>
      <c r="BW33" s="263" t="str">
        <f xml:space="preserve"> "- xform/" &amp; BR24 &amp; "/" &amp; BO24 &amp; "/"</f>
        <v>- xform/a/8/</v>
      </c>
      <c r="BY33" s="263" t="e">
        <f xml:space="preserve"> "- xform/" &amp; BO24 &amp; "/" &amp;#REF! &amp; "/"</f>
        <v>#REF!</v>
      </c>
    </row>
    <row r="34" spans="1:91" s="195" customFormat="1" ht="45" customHeight="1">
      <c r="B34" s="308" t="s">
        <v>342</v>
      </c>
      <c r="C34" s="309"/>
      <c r="D34" s="309">
        <f ca="1" xml:space="preserve"> LEN(E34)</f>
        <v>52</v>
      </c>
      <c r="E34" s="310" t="str">
        <f ca="1" xml:space="preserve"> _xlfn.CONCAT(D17:BC17)</f>
        <v>1q!a2wsxedEcyhYnuUjJ8*iIk,&lt;9(lL0p;-[]'\z/mrfRvbtgC57</v>
      </c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  <c r="AG34" s="310"/>
      <c r="AH34" s="310"/>
      <c r="AI34" s="310"/>
      <c r="AJ34" s="31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90"/>
      <c r="BI34" s="290"/>
      <c r="BJ34" s="290"/>
      <c r="BK34" s="290"/>
      <c r="BL34" s="290"/>
      <c r="BN34" s="262">
        <f t="shared" si="2"/>
        <v>31</v>
      </c>
      <c r="BO34" s="71" t="s">
        <v>231</v>
      </c>
      <c r="BP34" s="32" t="str" cm="1">
        <f t="array" ref="BP34" xml:space="preserve"> INDEX(注音編碼對照表[方音符號], MATCH(TRUE, EXACT(鍵盤設計!$BO34,注音編碼對照表[鍵盤按鍵]), 0))</f>
        <v>ㆯ</v>
      </c>
      <c r="BQ34" s="107" t="str" cm="1">
        <f t="array" ref="BQ34" xml:space="preserve"> INDEX(注音編碼對照表[注音二式], MATCH(TRUE, EXACT(鍵盤設計!$BO34,注音編碼對照表[鍵盤按鍵]), 0))</f>
        <v>aunn</v>
      </c>
      <c r="BR34" s="34" t="str" cm="1">
        <f t="array" ref="BR34" xml:space="preserve"> INDEX(注音編碼對照表[按鍵編碼], MATCH(TRUE, EXACT(鍵盤設計!$BO34,注音編碼對照表[鍵盤按鍵]), 0))</f>
        <v>Y</v>
      </c>
      <c r="BT34" s="596" t="str">
        <f t="shared" si="4"/>
        <v>"L": { commit: "ㆯ" }  # /aunn/ ==&gt; Y</v>
      </c>
      <c r="BV34" s="195">
        <f t="shared" si="10"/>
        <v>30</v>
      </c>
      <c r="BW34" s="263" t="str">
        <f xml:space="preserve"> "- xform/" &amp; BR26 &amp; "/" &amp; BO26 &amp; "/"</f>
        <v>- xform/O/i/</v>
      </c>
      <c r="BY34" s="263" t="e">
        <f xml:space="preserve"> "- xform/" &amp; BO26 &amp; "/" &amp;#REF! &amp; "/"</f>
        <v>#REF!</v>
      </c>
    </row>
    <row r="35" spans="1:91" s="195" customFormat="1" ht="45" customHeight="1">
      <c r="B35" s="311" t="s">
        <v>15</v>
      </c>
      <c r="C35" s="312"/>
      <c r="D35" s="312">
        <f ca="1">LEN(E35)</f>
        <v>52</v>
      </c>
      <c r="E35" s="311" t="str">
        <f ca="1" xml:space="preserve"> _xlfn.CONCAT(D19:BC19)</f>
        <v>ㄅㄆㆠㄇㄉㄊㄋㄌㄍㄎㆣㄏㄗㄘㆡㄙㄧㆪㄨㆫㄚㆩㆦㆧㄜㆤㆥㄞㆮㄠㆯㄢㄣㄤㆨㆰㆱㆲㆭㄫㄥㆬㄐㄑㆢㄒㆴㆵㆻㆷ˫˙</v>
      </c>
      <c r="F35" s="311"/>
      <c r="G35" s="311"/>
      <c r="H35" s="311"/>
      <c r="I35" s="311"/>
      <c r="J35" s="311"/>
      <c r="K35" s="311"/>
      <c r="L35" s="311"/>
      <c r="M35" s="311"/>
      <c r="N35" s="311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  <c r="Z35" s="311"/>
      <c r="AA35" s="311"/>
      <c r="AB35" s="311"/>
      <c r="AC35" s="311"/>
      <c r="AD35" s="311"/>
      <c r="AE35" s="311"/>
      <c r="AF35" s="311"/>
      <c r="AG35" s="311"/>
      <c r="AH35" s="311"/>
      <c r="AI35" s="311"/>
      <c r="AJ35" s="311"/>
      <c r="AK35" s="290"/>
      <c r="AL35" s="290"/>
      <c r="AM35" s="313" t="s">
        <v>390</v>
      </c>
      <c r="AN35" s="313" t="s">
        <v>421</v>
      </c>
      <c r="AO35" s="313" t="s">
        <v>509</v>
      </c>
      <c r="AP35" s="313" t="s">
        <v>401</v>
      </c>
      <c r="AQ35" s="313" t="s">
        <v>69</v>
      </c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90"/>
      <c r="BI35" s="290"/>
      <c r="BJ35" s="290"/>
      <c r="BK35" s="290"/>
      <c r="BL35" s="290"/>
      <c r="BN35" s="262">
        <f t="shared" si="2"/>
        <v>32</v>
      </c>
      <c r="BO35" s="71" t="s">
        <v>219</v>
      </c>
      <c r="BP35" s="32" t="str" cm="1">
        <f t="array" ref="BP35" xml:space="preserve"> INDEX(注音編碼對照表[方音符號], MATCH(TRUE, EXACT(鍵盤設計!$BO35,注音編碼對照表[鍵盤按鍵]), 0))</f>
        <v>ㄢ</v>
      </c>
      <c r="BQ35" s="107" t="str" cm="1">
        <f t="array" ref="BQ35" xml:space="preserve"> INDEX(注音編碼對照表[注音二式], MATCH(TRUE, EXACT(鍵盤設計!$BO35,注音編碼對照表[鍵盤按鍵]), 0))</f>
        <v>an</v>
      </c>
      <c r="BR35" s="34" t="str" cm="1">
        <f t="array" ref="BR35" xml:space="preserve"> INDEX(注音編碼對照表[按鍵編碼], MATCH(TRUE, EXACT(鍵盤設計!$BO35,注音編碼對照表[鍵盤按鍵]), 0))</f>
        <v>@</v>
      </c>
      <c r="BT35" s="596" t="str">
        <f t="shared" si="4"/>
        <v>"0": { commit: "ㄢ" }  # /an/ ==&gt; @</v>
      </c>
      <c r="BV35" s="195">
        <f t="shared" si="10"/>
        <v>31</v>
      </c>
      <c r="BW35" s="263" t="str">
        <f xml:space="preserve"> "- xform/" &amp; BR28 &amp; "/" &amp; BO28 &amp; "/"</f>
        <v>- xform/o/k/</v>
      </c>
      <c r="BY35" s="263" t="e">
        <f xml:space="preserve"> "- xform/" &amp; BO28 &amp; "/" &amp;#REF! &amp; "/"</f>
        <v>#REF!</v>
      </c>
    </row>
    <row r="36" spans="1:91" s="195" customFormat="1" ht="45" customHeight="1">
      <c r="B36" s="303" t="str">
        <f ca="1" xml:space="preserve"> "- xlit|" &amp; E34 &amp; "|" &amp; E35 &amp; "|"</f>
        <v>- xlit|1q!a2wsxedEcyhYnuUjJ8*iIk,&lt;9(lL0p;-[]'\z/mrfRvbtgC57|ㄅㄆㆠㄇㄉㄊㄋㄌㄍㄎㆣㄏㄗㄘㆡㄙㄧㆪㄨㆫㄚㆩㆦㆧㄜㆤㆥㄞㆮㄠㆯㄢㄣㄤㆨㆰㆱㆲㆭㄫㄥㆬㄐㄑㆢㄒㆴㆵㆻㆷ˫˙|</v>
      </c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04"/>
      <c r="AH36" s="304"/>
      <c r="AI36" s="304"/>
      <c r="AJ36" s="304"/>
      <c r="AK36" s="290"/>
      <c r="AL36" s="290"/>
      <c r="AM36" s="313">
        <f ca="1" xml:space="preserve"> FIND(AM35, $E$34)</f>
        <v>3</v>
      </c>
      <c r="AN36" s="313">
        <f ca="1" xml:space="preserve"> FIND(AN35, $E$34)</f>
        <v>11</v>
      </c>
      <c r="AO36" s="313" t="e">
        <f ca="1" xml:space="preserve"> FIND(AO35, $E$34)</f>
        <v>#VALUE!</v>
      </c>
      <c r="AP36" s="313" t="e">
        <f ca="1" xml:space="preserve"> FIND(AP35, $E$34)</f>
        <v>#VALUE!</v>
      </c>
      <c r="AQ36" s="313" t="e">
        <f ca="1" xml:space="preserve"> FIND(AQ35, $E$34)</f>
        <v>#VALUE!</v>
      </c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L36" s="290"/>
      <c r="BN36" s="262">
        <f t="shared" si="2"/>
        <v>33</v>
      </c>
      <c r="BO36" s="71" t="s">
        <v>21</v>
      </c>
      <c r="BP36" s="32" t="str" cm="1">
        <f t="array" ref="BP36" xml:space="preserve"> INDEX(注音編碼對照表[方音符號], MATCH(TRUE, EXACT(鍵盤設計!$BO36,注音編碼對照表[鍵盤按鍵]), 0))</f>
        <v>ㄣ</v>
      </c>
      <c r="BQ36" s="107" t="str" cm="1">
        <f t="array" ref="BQ36" xml:space="preserve"> INDEX(注音編碼對照表[注音二式], MATCH(TRUE, EXACT(鍵盤設計!$BO36,注音編碼對照表[鍵盤按鍵]), 0))</f>
        <v>en</v>
      </c>
      <c r="BR36" s="34" t="str" cm="1">
        <f t="array" ref="BR36" xml:space="preserve"> INDEX(注音編碼對照表[按鍵編碼], MATCH(TRUE, EXACT(鍵盤設計!$BO36,注音編碼對照表[鍵盤按鍵]), 0))</f>
        <v>N</v>
      </c>
      <c r="BT36" s="596" t="str">
        <f t="shared" si="4"/>
        <v>"p": { commit: "ㄣ" }  # /en/ ==&gt; N</v>
      </c>
      <c r="BV36" s="195">
        <f t="shared" si="10"/>
        <v>32</v>
      </c>
      <c r="BW36" s="263" t="str">
        <f xml:space="preserve"> "- xform/" &amp; BR31 &amp; "/" &amp; BO31 &amp; "/"</f>
        <v>- xform/x/9/</v>
      </c>
      <c r="BY36" s="263" t="e">
        <f xml:space="preserve"> "- xform/" &amp; BO31 &amp; "/" &amp;#REF! &amp; "/"</f>
        <v>#REF!</v>
      </c>
    </row>
    <row r="37" spans="1:91" s="195" customFormat="1" ht="45" customHeight="1">
      <c r="B37" s="305"/>
      <c r="C37" s="306"/>
      <c r="D37" s="306"/>
      <c r="E37" s="306"/>
      <c r="F37" s="306"/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  <c r="AC37" s="306"/>
      <c r="AD37" s="306"/>
      <c r="AE37" s="306"/>
      <c r="AF37" s="306"/>
      <c r="AG37" s="306"/>
      <c r="AH37" s="306"/>
      <c r="AI37" s="306"/>
      <c r="AJ37" s="306"/>
      <c r="AK37" s="290"/>
      <c r="AL37" s="290"/>
      <c r="AM37" s="313" t="str">
        <f ca="1" xml:space="preserve"> MID($E$35,AM36,1)</f>
        <v>ㆠ</v>
      </c>
      <c r="AN37" s="313" t="str">
        <f ca="1" xml:space="preserve"> MID($E$35,AN36,1)</f>
        <v>ㆣ</v>
      </c>
      <c r="AO37" s="313" t="e">
        <f ca="1" xml:space="preserve"> MID($E$35,AO36,1)</f>
        <v>#VALUE!</v>
      </c>
      <c r="AP37" s="313" t="e">
        <f ca="1" xml:space="preserve"> MID($E$35,AP36,1)</f>
        <v>#VALUE!</v>
      </c>
      <c r="AQ37" s="313" t="e">
        <f ca="1" xml:space="preserve"> MID($E$35,AQ36,1)</f>
        <v>#VALUE!</v>
      </c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90"/>
      <c r="BI37" s="290"/>
      <c r="BJ37" s="290"/>
      <c r="BK37" s="290"/>
      <c r="BL37" s="290"/>
      <c r="BN37" s="262">
        <f t="shared" si="2"/>
        <v>34</v>
      </c>
      <c r="BO37" s="71" t="s">
        <v>212</v>
      </c>
      <c r="BP37" s="32" t="str" cm="1">
        <f t="array" ref="BP37" xml:space="preserve"> INDEX(注音編碼對照表[方音符號], MATCH(TRUE, EXACT(鍵盤設計!$BO37,注音編碼對照表[鍵盤按鍵]), 0))</f>
        <v>ㄤ</v>
      </c>
      <c r="BQ37" s="107" t="str" cm="1">
        <f t="array" ref="BQ37" xml:space="preserve"> INDEX(注音編碼對照表[注音二式], MATCH(TRUE, EXACT(鍵盤設計!$BO37,注音編碼對照表[鍵盤按鍵]), 0))</f>
        <v>ang</v>
      </c>
      <c r="BR37" s="34" t="str" cm="1">
        <f t="array" ref="BR37" xml:space="preserve"> INDEX(注音編碼對照表[按鍵編碼], MATCH(TRUE, EXACT(鍵盤設計!$BO37,注音編碼對照表[鍵盤按鍵]), 0))</f>
        <v>G</v>
      </c>
      <c r="BT37" s="596" t="str">
        <f t="shared" si="4"/>
        <v>";": { commit: "ㄤ" }  # /ang/ ==&gt; G</v>
      </c>
      <c r="BV37" s="195">
        <f t="shared" si="10"/>
        <v>33</v>
      </c>
      <c r="BW37" s="263" t="str">
        <f xml:space="preserve"> "- xform/" &amp; BR33 &amp; "/" &amp; BO33 &amp; "/"</f>
        <v>- xform/y/l/</v>
      </c>
      <c r="BY37" s="263" t="e">
        <f xml:space="preserve"> "- xform/" &amp; BO33 &amp; "/" &amp;#REF! &amp; "/"</f>
        <v>#REF!</v>
      </c>
    </row>
    <row r="38" spans="1:91" s="195" customFormat="1" ht="45" customHeight="1">
      <c r="B38" s="295"/>
      <c r="C38" s="296"/>
      <c r="D38" s="297">
        <f ca="1" xml:space="preserve"> LEN(E38)</f>
        <v>52</v>
      </c>
      <c r="E38" s="297" t="str">
        <f ca="1" xml:space="preserve"> SUBSTITUTE(E34, _xlfn.CONCAT(AM35:AQ35), "")</f>
        <v>1q!a2wsxedEcyhYnuUjJ8*iIk,&lt;9(lL0p;-[]'\z/mrfRvbtgC57</v>
      </c>
      <c r="F38" s="296"/>
      <c r="G38" s="296"/>
      <c r="H38" s="296"/>
      <c r="I38" s="296"/>
      <c r="J38" s="296"/>
      <c r="K38" s="296"/>
      <c r="L38" s="296"/>
      <c r="M38" s="296"/>
      <c r="N38" s="296"/>
      <c r="O38" s="296"/>
      <c r="P38" s="296"/>
      <c r="Q38" s="296"/>
      <c r="R38" s="296"/>
      <c r="S38" s="296"/>
      <c r="T38" s="296"/>
      <c r="U38" s="296"/>
      <c r="V38" s="296"/>
      <c r="W38" s="296"/>
      <c r="X38" s="296"/>
      <c r="Y38" s="296"/>
      <c r="Z38" s="296"/>
      <c r="AA38" s="296"/>
      <c r="AB38" s="296"/>
      <c r="AC38" s="296"/>
      <c r="AD38" s="296"/>
      <c r="AE38" s="296"/>
      <c r="AF38" s="296"/>
      <c r="AG38" s="296"/>
      <c r="AH38" s="296"/>
      <c r="AI38" s="296"/>
      <c r="AJ38" s="296"/>
      <c r="AK38" s="290"/>
      <c r="AL38" s="290" t="str">
        <f ca="1">$E$34</f>
        <v>1q!a2wsxedEcyhYnuUjJ8*iIk,&lt;9(lL0p;-[]'\z/mrfRvbtgC57</v>
      </c>
      <c r="AM38" s="195" t="str">
        <f ca="1" xml:space="preserve"> SUBSTITUTE(AL38, MID(AL38, FIND(AM35,AL38), 1), "")</f>
        <v>1qa2wsxedEcyhYnuUjJ8*iIk,&lt;9(lL0p;-[]'\z/mrfRvbtgC57</v>
      </c>
      <c r="AN38" s="195" t="str">
        <f ca="1" xml:space="preserve"> SUBSTITUTE(AM38, MID(AM38, FIND(AN35,AM38), 1), "")</f>
        <v>1qa2wsxedcyhYnuUjJ8*iIk,&lt;9(lL0p;-[]'\z/mrfRvbtgC57</v>
      </c>
      <c r="AO38" s="195" t="e">
        <f ca="1" xml:space="preserve"> SUBSTITUTE(AN38, MID(AN38, FIND(AO35,AN38), 1), "")</f>
        <v>#VALUE!</v>
      </c>
      <c r="AP38" s="195" t="e">
        <f ca="1" xml:space="preserve"> SUBSTITUTE(AO38, MID(AO38, FIND(AP35,AO38), 1), "")</f>
        <v>#VALUE!</v>
      </c>
      <c r="AQ38" s="315" t="e">
        <f ca="1" xml:space="preserve"> SUBSTITUTE(AP38, MID(AP38, FIND(AQ35,AP38), 1), "")</f>
        <v>#VALUE!</v>
      </c>
      <c r="AR38" s="290"/>
      <c r="AS38" s="290"/>
      <c r="AT38" s="290"/>
      <c r="AU38" s="290"/>
      <c r="AV38" s="290"/>
      <c r="AW38" s="290"/>
      <c r="AX38" s="290"/>
      <c r="AY38" s="290"/>
      <c r="AZ38" s="290"/>
      <c r="BA38" s="290"/>
      <c r="BB38" s="290"/>
      <c r="BC38" s="290"/>
      <c r="BD38" s="290"/>
      <c r="BE38" s="290"/>
      <c r="BF38" s="290"/>
      <c r="BG38" s="290"/>
      <c r="BH38" s="290"/>
      <c r="BI38" s="290"/>
      <c r="BJ38" s="290"/>
      <c r="BK38" s="290"/>
      <c r="BL38" s="290"/>
      <c r="BN38" s="262">
        <f t="shared" si="2"/>
        <v>35</v>
      </c>
      <c r="BO38" s="71" t="s">
        <v>198</v>
      </c>
      <c r="BP38" s="32" t="str" cm="1">
        <f t="array" ref="BP38" xml:space="preserve"> INDEX(注音編碼對照表[方音符號], MATCH(TRUE, EXACT(鍵盤設計!$BO38,注音編碼對照表[鍵盤按鍵]), 0))</f>
        <v>ㆨ</v>
      </c>
      <c r="BQ38" s="107" t="str" cm="1">
        <f t="array" ref="BQ38" xml:space="preserve"> INDEX(注音編碼對照表[注音二式], MATCH(TRUE, EXACT(鍵盤設計!$BO38,注音編碼對照表[鍵盤按鍵]), 0))</f>
        <v>ir</v>
      </c>
      <c r="BR38" s="34" t="str" cm="1">
        <f t="array" ref="BR38" xml:space="preserve"> INDEX(注音編碼對照表[按鍵編碼], MATCH(TRUE, EXACT(鍵盤設計!$BO38,注音編碼對照表[鍵盤按鍵]), 0))</f>
        <v>R</v>
      </c>
      <c r="BT38" s="596" t="str">
        <f t="shared" si="4"/>
        <v>"-": { commit: "ㆨ" }  # /ir/ ==&gt; R</v>
      </c>
      <c r="BV38" s="195">
        <f t="shared" si="10"/>
        <v>34</v>
      </c>
      <c r="BW38" s="263" t="str">
        <f xml:space="preserve"> "- xform/" &amp; BR35 &amp; "/" &amp; BO35 &amp; "/"</f>
        <v>- xform/@/0/</v>
      </c>
      <c r="BY38" s="263" t="e">
        <f xml:space="preserve"> "- xform/" &amp; BO35 &amp; "/" &amp;#REF! &amp; "/"</f>
        <v>#REF!</v>
      </c>
    </row>
    <row r="39" spans="1:91" s="195" customFormat="1" ht="45" customHeight="1">
      <c r="B39" s="298"/>
      <c r="C39" s="299"/>
      <c r="D39" s="300" t="e">
        <f ca="1" xml:space="preserve"> LEN(E39)</f>
        <v>#VALUE!</v>
      </c>
      <c r="E39" s="300" t="e">
        <f ca="1">SUBSTITUTE( SUBSTITUTE(SUBSTITUTE(E35, AM39, ""), AN39, ""), AO39, "")</f>
        <v>#VALUE!</v>
      </c>
      <c r="F39" s="299"/>
      <c r="G39" s="299"/>
      <c r="H39" s="299"/>
      <c r="I39" s="299"/>
      <c r="J39" s="299"/>
      <c r="K39" s="299"/>
      <c r="L39" s="299"/>
      <c r="M39" s="299"/>
      <c r="N39" s="299"/>
      <c r="O39" s="299"/>
      <c r="P39" s="299"/>
      <c r="Q39" s="299"/>
      <c r="R39" s="299"/>
      <c r="S39" s="299"/>
      <c r="T39" s="299"/>
      <c r="U39" s="299"/>
      <c r="V39" s="299"/>
      <c r="W39" s="299"/>
      <c r="X39" s="299"/>
      <c r="Y39" s="299"/>
      <c r="Z39" s="299"/>
      <c r="AA39" s="299"/>
      <c r="AB39" s="299"/>
      <c r="AC39" s="299"/>
      <c r="AD39" s="299"/>
      <c r="AE39" s="299"/>
      <c r="AF39" s="299"/>
      <c r="AG39" s="299"/>
      <c r="AH39" s="299"/>
      <c r="AI39" s="299"/>
      <c r="AJ39" s="299"/>
      <c r="AK39" s="290"/>
      <c r="AL39" s="290" t="str">
        <f ca="1">$E$35</f>
        <v>ㄅㄆㆠㄇㄉㄊㄋㄌㄍㄎㆣㄏㄗㄘㆡㄙㄧㆪㄨㆫㄚㆩㆦㆧㄜㆤㆥㄞㆮㄠㆯㄢㄣㄤㆨㆰㆱㆲㆭㄫㄥㆬㄐㄑㆢㄒㆴㆵㆻㆷ˫˙</v>
      </c>
      <c r="AM39" s="195" t="str">
        <f ca="1" xml:space="preserve"> SUBSTITUTE(AL39, MID(AL39, FIND(AM37,AL39), 1), "")</f>
        <v>ㄅㄆㄇㄉㄊㄋㄌㄍㄎㆣㄏㄗㄘㆡㄙㄧㆪㄨㆫㄚㆩㆦㆧㄜㆤㆥㄞㆮㄠㆯㄢㄣㄤㆨㆰㆱㆲㆭㄫㄥㆬㄐㄑㆢㄒㆴㆵㆻㆷ˫˙</v>
      </c>
      <c r="AN39" s="195" t="str">
        <f ca="1" xml:space="preserve"> SUBSTITUTE(AM39, MID(AM39, FIND(AN37,AM39), 1), "")</f>
        <v>ㄅㄆㄇㄉㄊㄋㄌㄍㄎㄏㄗㄘㆡㄙㄧㆪㄨㆫㄚㆩㆦㆧㄜㆤㆥㄞㆮㄠㆯㄢㄣㄤㆨㆰㆱㆲㆭㄫㄥㆬㄐㄑㆢㄒㆴㆵㆻㆷ˫˙</v>
      </c>
      <c r="AO39" s="195" t="e">
        <f ca="1" xml:space="preserve"> SUBSTITUTE(AN39, MID(AN39, FIND(AO37,AN39), 1), "")</f>
        <v>#VALUE!</v>
      </c>
      <c r="AP39" s="195" t="e">
        <f ca="1" xml:space="preserve"> SUBSTITUTE(AO39, MID(AO39, FIND(AP37,AO39), 1), "")</f>
        <v>#VALUE!</v>
      </c>
      <c r="AQ39" s="315" t="e">
        <f ca="1" xml:space="preserve"> SUBSTITUTE(AP39, MID(AP39, FIND(AQ37,AP39), 1), "")</f>
        <v>#VALUE!</v>
      </c>
      <c r="AR39" s="290"/>
      <c r="AS39" s="290"/>
      <c r="AT39" s="290"/>
      <c r="AU39" s="290"/>
      <c r="AV39" s="290"/>
      <c r="AW39" s="290"/>
      <c r="AX39" s="290"/>
      <c r="AY39" s="290"/>
      <c r="AZ39" s="290"/>
      <c r="BA39" s="290"/>
      <c r="BB39" s="290"/>
      <c r="BC39" s="316"/>
      <c r="BD39" s="316"/>
      <c r="BE39" s="316"/>
      <c r="BF39" s="316"/>
      <c r="BG39" s="316"/>
      <c r="BH39" s="290"/>
      <c r="BI39" s="290"/>
      <c r="BJ39" s="290"/>
      <c r="BK39" s="290"/>
      <c r="BL39" s="290"/>
      <c r="BN39" s="262">
        <f t="shared" si="2"/>
        <v>36</v>
      </c>
      <c r="BO39" s="71" t="s">
        <v>904</v>
      </c>
      <c r="BP39" s="32" t="str" cm="1">
        <f t="array" ref="BP39" xml:space="preserve"> INDEX(注音編碼對照表[方音符號], MATCH(TRUE, EXACT(鍵盤設計!$BO39,注音編碼對照表[鍵盤按鍵]), 0))</f>
        <v>ㆰ</v>
      </c>
      <c r="BQ39" s="107" t="str" cm="1">
        <f t="array" ref="BQ39" xml:space="preserve"> INDEX(注音編碼對照表[注音二式], MATCH(TRUE, EXACT(鍵盤設計!$BO39,注音編碼對照表[鍵盤按鍵]), 0))</f>
        <v>am</v>
      </c>
      <c r="BR39" s="34" t="str" cm="1">
        <f t="array" ref="BR39" xml:space="preserve"> INDEX(注音編碼對照表[按鍵編碼], MATCH(TRUE, EXACT(鍵盤設計!$BO39,注音編碼對照表[鍵盤按鍵]), 0))</f>
        <v>[</v>
      </c>
      <c r="BT39" s="596" t="str">
        <f t="shared" si="4"/>
        <v>"[": { commit: "ㆰ" }  # /am/ ==&gt; [</v>
      </c>
      <c r="BV39" s="195">
        <f t="shared" si="10"/>
        <v>35</v>
      </c>
      <c r="BW39" s="263" t="str">
        <f xml:space="preserve"> "- xform/" &amp; BR44 &amp; "/" &amp; BO44 &amp; "/"</f>
        <v>- xform/L///</v>
      </c>
      <c r="BY39" s="263" t="e">
        <f xml:space="preserve"> "- xform/" &amp; BO44 &amp; "/" &amp;#REF! &amp; "/"</f>
        <v>#REF!</v>
      </c>
    </row>
    <row r="40" spans="1:91" s="195" customFormat="1" ht="45" customHeight="1">
      <c r="B40" s="303" t="e">
        <f ca="1" xml:space="preserve"> "- xlit|" &amp; E38 &amp; "|" &amp; E39 &amp; "|"</f>
        <v>#VALUE!</v>
      </c>
      <c r="C40" s="304"/>
      <c r="D40" s="304"/>
      <c r="E40" s="304"/>
      <c r="F40" s="304"/>
      <c r="G40" s="304"/>
      <c r="H40" s="304"/>
      <c r="I40" s="304"/>
      <c r="J40" s="304"/>
      <c r="K40" s="304"/>
      <c r="L40" s="304"/>
      <c r="M40" s="304"/>
      <c r="N40" s="304"/>
      <c r="O40" s="304"/>
      <c r="P40" s="304"/>
      <c r="Q40" s="304"/>
      <c r="R40" s="304"/>
      <c r="S40" s="304"/>
      <c r="T40" s="304"/>
      <c r="U40" s="304"/>
      <c r="V40" s="304"/>
      <c r="W40" s="304"/>
      <c r="X40" s="304"/>
      <c r="Y40" s="304"/>
      <c r="Z40" s="304"/>
      <c r="AA40" s="304"/>
      <c r="AB40" s="304"/>
      <c r="AC40" s="304"/>
      <c r="AD40" s="304"/>
      <c r="AE40" s="304"/>
      <c r="AF40" s="304"/>
      <c r="AG40" s="304"/>
      <c r="AH40" s="304"/>
      <c r="AI40" s="304"/>
      <c r="AJ40" s="304"/>
      <c r="AK40" s="316"/>
      <c r="AL40" s="316"/>
      <c r="AM40" s="316"/>
      <c r="AN40" s="316"/>
      <c r="AO40" s="316"/>
      <c r="AP40" s="316"/>
      <c r="AQ40" s="316"/>
      <c r="AR40" s="316"/>
      <c r="AS40" s="316"/>
      <c r="AT40" s="316"/>
      <c r="AU40" s="316"/>
      <c r="AV40" s="316"/>
      <c r="AW40" s="316"/>
      <c r="AX40" s="316"/>
      <c r="AY40" s="316"/>
      <c r="AZ40" s="316"/>
      <c r="BA40" s="316"/>
      <c r="BB40" s="316"/>
      <c r="BC40" s="316"/>
      <c r="BD40" s="316"/>
      <c r="BE40" s="316"/>
      <c r="BF40" s="316"/>
      <c r="BG40" s="316"/>
      <c r="BH40" s="290"/>
      <c r="BI40" s="290"/>
      <c r="BJ40" s="290"/>
      <c r="BK40" s="290"/>
      <c r="BL40" s="290"/>
      <c r="BN40" s="262">
        <f t="shared" si="2"/>
        <v>37</v>
      </c>
      <c r="BO40" s="71" t="s">
        <v>612</v>
      </c>
      <c r="BP40" s="32" t="str" cm="1">
        <f t="array" ref="BP40" xml:space="preserve"> INDEX(注音編碼對照表[方音符號], MATCH(TRUE, EXACT(鍵盤設計!$BO40,注音編碼對照表[鍵盤按鍵]), 0))</f>
        <v>ㆱ</v>
      </c>
      <c r="BQ40" s="107" t="str" cm="1">
        <f t="array" ref="BQ40" xml:space="preserve"> INDEX(注音編碼對照表[注音二式], MATCH(TRUE, EXACT(鍵盤設計!$BO40,注音編碼對照表[鍵盤按鍵]), 0))</f>
        <v>om</v>
      </c>
      <c r="BR40" s="34" t="str" cm="1">
        <f t="array" ref="BR40" xml:space="preserve"> INDEX(注音編碼對照表[按鍵編碼], MATCH(TRUE, EXACT(鍵盤設計!$BO40,注音編碼對照表[鍵盤按鍵]), 0))</f>
        <v>]</v>
      </c>
      <c r="BT40" s="596" t="str">
        <f t="shared" si="4"/>
        <v>"]": { commit: "ㆱ" }  # /om/ ==&gt; ]</v>
      </c>
      <c r="BV40" s="195">
        <f t="shared" si="10"/>
        <v>36</v>
      </c>
      <c r="BW40" s="263" t="str">
        <f xml:space="preserve"> "- xform/" &amp; BR45 &amp; "/" &amp; BO45 &amp; "/"</f>
        <v>- xform/M/m/</v>
      </c>
      <c r="BY40" s="263" t="e">
        <f xml:space="preserve"> "- xform/" &amp; BO45 &amp; "/" &amp;#REF! &amp; "/"</f>
        <v>#REF!</v>
      </c>
    </row>
    <row r="41" spans="1:91" s="195" customFormat="1" ht="45" customHeight="1">
      <c r="AH41" s="290"/>
      <c r="AI41" s="290"/>
      <c r="AJ41" s="290"/>
      <c r="AK41" s="316"/>
      <c r="AL41" s="316"/>
      <c r="AM41" s="290" t="e">
        <f ca="1">AQ38</f>
        <v>#VALUE!</v>
      </c>
      <c r="AN41" s="316"/>
      <c r="AO41" s="316"/>
      <c r="AP41" s="316"/>
      <c r="AQ41" s="316"/>
      <c r="AR41" s="316"/>
      <c r="AS41" s="316"/>
      <c r="AT41" s="316"/>
      <c r="AU41" s="316"/>
      <c r="AV41" s="316"/>
      <c r="AW41" s="316"/>
      <c r="AX41" s="316"/>
      <c r="AY41" s="316"/>
      <c r="AZ41" s="316"/>
      <c r="BA41" s="316"/>
      <c r="BB41" s="316"/>
      <c r="BC41" s="316"/>
      <c r="BD41" s="316"/>
      <c r="BE41" s="316"/>
      <c r="BF41" s="316"/>
      <c r="BG41" s="316"/>
      <c r="BH41" s="290"/>
      <c r="BI41" s="290"/>
      <c r="BJ41" s="290"/>
      <c r="BK41" s="290"/>
      <c r="BL41" s="290"/>
      <c r="BN41" s="262">
        <f t="shared" si="2"/>
        <v>38</v>
      </c>
      <c r="BO41" s="71" t="s">
        <v>905</v>
      </c>
      <c r="BP41" s="32" t="str" cm="1">
        <f t="array" ref="BP41" xml:space="preserve"> INDEX(注音編碼對照表[方音符號], MATCH(TRUE, EXACT(鍵盤設計!$BO41,注音編碼對照表[鍵盤按鍵]), 0))</f>
        <v>ㆲ</v>
      </c>
      <c r="BQ41" s="107" t="str" cm="1">
        <f t="array" ref="BQ41" xml:space="preserve"> INDEX(注音編碼對照表[注音二式], MATCH(TRUE, EXACT(鍵盤設計!$BO41,注音編碼對照表[鍵盤按鍵]), 0))</f>
        <v>ong</v>
      </c>
      <c r="BR41" s="34" t="str" cm="1">
        <f t="array" ref="BR41" xml:space="preserve"> INDEX(注音編碼對照表[按鍵編碼], MATCH(TRUE, EXACT(鍵盤設計!$BO41,注音編碼對照表[鍵盤按鍵]), 0))</f>
        <v>H</v>
      </c>
      <c r="BT41" s="596" t="str">
        <f t="shared" si="4"/>
        <v>"'": { commit: "ㆲ" }  # /ong/ ==&gt; H</v>
      </c>
      <c r="BV41" s="195">
        <f t="shared" si="10"/>
        <v>37</v>
      </c>
      <c r="BW41" s="263" t="str">
        <f xml:space="preserve"> "- xform/" &amp; BR40 &amp; "/" &amp; BO40 &amp; "/"</f>
        <v>- xform/]/]/</v>
      </c>
      <c r="BY41" s="263" t="e">
        <f xml:space="preserve"> "- xform/" &amp; BO40 &amp; "/" &amp;#REF! &amp; "/"</f>
        <v>#REF!</v>
      </c>
    </row>
    <row r="42" spans="1:91" s="195" customFormat="1" ht="45" customHeight="1">
      <c r="B42" s="307" t="s">
        <v>578</v>
      </c>
      <c r="C42" s="293"/>
      <c r="D42" s="293"/>
      <c r="E42" s="293"/>
      <c r="F42" s="293"/>
      <c r="G42" s="293"/>
      <c r="H42" s="293"/>
      <c r="I42" s="293"/>
      <c r="J42" s="293"/>
      <c r="K42" s="293"/>
      <c r="L42" s="293"/>
      <c r="M42" s="293"/>
      <c r="N42" s="293"/>
      <c r="O42" s="293"/>
      <c r="P42" s="293"/>
      <c r="Q42" s="293"/>
      <c r="R42" s="293"/>
      <c r="S42" s="293"/>
      <c r="T42" s="293"/>
      <c r="U42" s="293"/>
      <c r="V42" s="293"/>
      <c r="W42" s="293"/>
      <c r="X42" s="293"/>
      <c r="Y42" s="293"/>
      <c r="Z42" s="293"/>
      <c r="AA42" s="293"/>
      <c r="AB42" s="293"/>
      <c r="AC42" s="293"/>
      <c r="AD42" s="293"/>
      <c r="AE42" s="293"/>
      <c r="AF42" s="293"/>
      <c r="AG42" s="293"/>
      <c r="AH42" s="290"/>
      <c r="AI42" s="290"/>
      <c r="AJ42" s="290"/>
      <c r="AK42" s="316"/>
      <c r="AL42" s="316"/>
      <c r="AM42" s="290" t="e">
        <f ca="1">AQ39</f>
        <v>#VALUE!</v>
      </c>
      <c r="AN42" s="316"/>
      <c r="AO42" s="316"/>
      <c r="AP42" s="316"/>
      <c r="AQ42" s="316"/>
      <c r="AR42" s="316"/>
      <c r="AS42" s="316"/>
      <c r="AT42" s="316"/>
      <c r="AU42" s="316"/>
      <c r="AV42" s="316"/>
      <c r="AW42" s="316"/>
      <c r="AX42" s="316"/>
      <c r="AY42" s="316"/>
      <c r="AZ42" s="316"/>
      <c r="BA42" s="316"/>
      <c r="BB42" s="316"/>
      <c r="BC42" s="316"/>
      <c r="BD42" s="316"/>
      <c r="BE42" s="316"/>
      <c r="BF42" s="316"/>
      <c r="BG42" s="316"/>
      <c r="BH42" s="290"/>
      <c r="BI42" s="290"/>
      <c r="BJ42" s="290"/>
      <c r="BK42" s="316"/>
      <c r="BL42" s="316"/>
      <c r="BN42" s="262">
        <f t="shared" si="2"/>
        <v>39</v>
      </c>
      <c r="BO42" s="71" t="s">
        <v>906</v>
      </c>
      <c r="BP42" s="32" t="str" cm="1">
        <f t="array" ref="BP42" xml:space="preserve"> INDEX(注音編碼對照表[方音符號], MATCH(TRUE, EXACT(鍵盤設計!$BO42,注音編碼對照表[鍵盤按鍵]), 0))</f>
        <v>ㆭ</v>
      </c>
      <c r="BQ42" s="107" t="str" cm="1">
        <f t="array" ref="BQ42" xml:space="preserve"> INDEX(注音編碼對照表[注音二式], MATCH(TRUE, EXACT(鍵盤設計!$BO42,注音編碼對照表[鍵盤按鍵]), 0))</f>
        <v>-ng</v>
      </c>
      <c r="BR42" s="34" t="str" cm="1">
        <f t="array" ref="BR42" xml:space="preserve"> INDEX(注音編碼對照表[按鍵編碼], MATCH(TRUE, EXACT(鍵盤設計!$BO42,注音編碼對照表[鍵盤按鍵]), 0))</f>
        <v>W</v>
      </c>
      <c r="BT42" s="596" t="str">
        <f t="shared" si="4"/>
        <v>"\": { commit: "ㆭ" }  # /-ng/ ==&gt; W</v>
      </c>
      <c r="BV42" s="195">
        <f t="shared" si="10"/>
        <v>38</v>
      </c>
      <c r="BW42" s="263" t="str">
        <f xml:space="preserve"> "- xform/" &amp; BR38 &amp; "/" &amp; BO38 &amp; "/"</f>
        <v>- xform/R/-/</v>
      </c>
      <c r="BY42" s="263" t="e">
        <f xml:space="preserve"> "- xform/" &amp; BO38 &amp; "/" &amp;#REF! &amp; "/"</f>
        <v>#REF!</v>
      </c>
    </row>
    <row r="43" spans="1:91" ht="45" customHeight="1">
      <c r="A43" s="195"/>
      <c r="B43" s="293" t="s">
        <v>579</v>
      </c>
      <c r="C43" s="293"/>
      <c r="D43" s="293"/>
      <c r="E43" s="293"/>
      <c r="F43" s="293"/>
      <c r="G43" s="293"/>
      <c r="H43" s="293"/>
      <c r="I43" s="293"/>
      <c r="J43" s="293"/>
      <c r="K43" s="293"/>
      <c r="L43" s="293"/>
      <c r="M43" s="293"/>
      <c r="N43" s="293"/>
      <c r="O43" s="293"/>
      <c r="P43" s="293"/>
      <c r="Q43" s="293"/>
      <c r="R43" s="293"/>
      <c r="S43" s="294"/>
      <c r="T43" s="293"/>
      <c r="U43" s="293"/>
      <c r="V43" s="293"/>
      <c r="W43" s="293"/>
      <c r="X43" s="293"/>
      <c r="Y43" s="293"/>
      <c r="Z43" s="293"/>
      <c r="AA43" s="293"/>
      <c r="AB43" s="293"/>
      <c r="AC43" s="293"/>
      <c r="AD43" s="293"/>
      <c r="AE43" s="293"/>
      <c r="AF43" s="293"/>
      <c r="AG43" s="293"/>
      <c r="AH43" s="290"/>
      <c r="AI43" s="290"/>
      <c r="AJ43" s="290"/>
      <c r="AK43" s="316"/>
      <c r="AL43" s="316"/>
      <c r="AM43" s="316"/>
      <c r="AN43" s="316"/>
      <c r="AO43" s="316"/>
      <c r="AP43" s="316"/>
      <c r="AQ43" s="316"/>
      <c r="AR43" s="316"/>
      <c r="AS43" s="316"/>
      <c r="AT43" s="316"/>
      <c r="AU43" s="316"/>
      <c r="AV43" s="316"/>
      <c r="AW43" s="316"/>
      <c r="AX43" s="316"/>
      <c r="AY43" s="316"/>
      <c r="AZ43" s="316"/>
      <c r="BA43" s="316"/>
      <c r="BB43" s="316"/>
      <c r="BC43" s="316"/>
      <c r="BD43" s="316"/>
      <c r="BE43" s="316"/>
      <c r="BF43" s="316"/>
      <c r="BG43" s="316"/>
      <c r="BH43" s="316"/>
      <c r="BI43" s="316"/>
      <c r="BJ43" s="316"/>
      <c r="BK43" s="316"/>
      <c r="BL43" s="316"/>
      <c r="BN43" s="262">
        <f t="shared" si="2"/>
        <v>40</v>
      </c>
      <c r="BO43" s="71" t="s">
        <v>366</v>
      </c>
      <c r="BP43" s="32" t="str" cm="1">
        <f t="array" ref="BP43" xml:space="preserve"> INDEX(注音編碼對照表[方音符號], MATCH(TRUE, EXACT(鍵盤設計!$BO43,注音編碼對照表[鍵盤按鍵]), 0))</f>
        <v>ㄫ</v>
      </c>
      <c r="BQ43" s="107" t="str" cm="1">
        <f t="array" ref="BQ43" xml:space="preserve"> INDEX(注音編碼對照表[注音二式], MATCH(TRUE, EXACT(鍵盤設計!$BO43,注音編碼對照表[鍵盤按鍵]), 0))</f>
        <v>ng-</v>
      </c>
      <c r="BR43" s="34" t="str" cm="1">
        <f t="array" ref="BR43" xml:space="preserve"> INDEX(注音編碼對照表[按鍵編碼], MATCH(TRUE, EXACT(鍵盤設計!$BO43,注音編碼對照表[鍵盤按鍵]), 0))</f>
        <v>w</v>
      </c>
      <c r="BS43" s="195"/>
      <c r="BT43" s="596" t="str">
        <f t="shared" si="4"/>
        <v>"z": { commit: "ㄫ" }  # /ng-/ ==&gt; w</v>
      </c>
      <c r="BU43" s="195"/>
      <c r="BV43" s="195">
        <f t="shared" si="10"/>
        <v>39</v>
      </c>
      <c r="BW43" s="263" t="str">
        <f xml:space="preserve"> "- xform/" &amp; BR49 &amp; "/" &amp; BO49 &amp; "/"</f>
        <v>- xform/si/v/</v>
      </c>
      <c r="BX43" s="195"/>
      <c r="BY43" s="263" t="e">
        <f xml:space="preserve"> "- xform/" &amp; BO49 &amp; "/" &amp;#REF! &amp; "/"</f>
        <v>#REF!</v>
      </c>
      <c r="BZ43" s="195"/>
      <c r="CA43" s="195"/>
      <c r="CB43" s="195"/>
      <c r="CC43" s="195"/>
      <c r="CD43" s="195"/>
      <c r="CE43" s="195"/>
      <c r="CF43" s="195"/>
      <c r="CG43" s="195"/>
      <c r="CH43" s="195"/>
      <c r="CI43" s="195"/>
      <c r="CJ43" s="195"/>
      <c r="CK43" s="195"/>
      <c r="CL43" s="195"/>
      <c r="CM43" s="195"/>
    </row>
    <row r="44" spans="1:91" ht="45" customHeight="1">
      <c r="B44" s="308" t="s">
        <v>580</v>
      </c>
      <c r="C44" s="309"/>
      <c r="D44" s="309">
        <f ca="1" xml:space="preserve"> LEN(E44)</f>
        <v>103</v>
      </c>
      <c r="E44" s="310" t="str">
        <f ca="1" xml:space="preserve"> _xlfn.CONCAT(D20:BC20)</f>
        <v>bpbbmdtnlgkgghzczzsiinnuunnaannoooonnoreennaiainnauaunnanenangiramomong-ngng-(i)ngmzicizzisib0d0g0h0748</v>
      </c>
      <c r="F44" s="310"/>
      <c r="G44" s="310"/>
      <c r="H44" s="310"/>
      <c r="I44" s="310"/>
      <c r="J44" s="310"/>
      <c r="K44" s="310"/>
      <c r="L44" s="310"/>
      <c r="M44" s="310"/>
      <c r="N44" s="310"/>
      <c r="O44" s="310"/>
      <c r="P44" s="310"/>
      <c r="Q44" s="310"/>
      <c r="R44" s="310"/>
      <c r="S44" s="310"/>
      <c r="T44" s="310"/>
      <c r="U44" s="310"/>
      <c r="V44" s="310"/>
      <c r="W44" s="310"/>
      <c r="X44" s="310"/>
      <c r="Y44" s="310"/>
      <c r="Z44" s="310"/>
      <c r="AA44" s="310"/>
      <c r="AB44" s="310"/>
      <c r="AC44" s="310"/>
      <c r="AD44" s="310"/>
      <c r="AE44" s="310"/>
      <c r="AF44" s="310"/>
      <c r="AG44" s="310"/>
      <c r="AH44" s="310"/>
      <c r="AI44" s="310"/>
      <c r="AJ44" s="310"/>
      <c r="AK44" s="316"/>
      <c r="AL44" s="316"/>
      <c r="AM44" s="316"/>
      <c r="AN44" s="316"/>
      <c r="AO44" s="316"/>
      <c r="AP44" s="316"/>
      <c r="AQ44" s="316"/>
      <c r="AR44" s="316"/>
      <c r="AS44" s="316"/>
      <c r="AT44" s="316"/>
      <c r="AU44" s="316"/>
      <c r="AV44" s="316"/>
      <c r="AW44" s="316"/>
      <c r="AX44" s="316"/>
      <c r="AY44" s="316"/>
      <c r="AZ44" s="316"/>
      <c r="BA44" s="316"/>
      <c r="BB44" s="316"/>
      <c r="BK44" s="316"/>
      <c r="BL44" s="316"/>
      <c r="BN44" s="262">
        <f t="shared" si="2"/>
        <v>41</v>
      </c>
      <c r="BO44" s="71" t="s">
        <v>202</v>
      </c>
      <c r="BP44" s="32" t="str" cm="1">
        <f t="array" ref="BP44" xml:space="preserve"> INDEX(注音編碼對照表[方音符號], MATCH(TRUE, EXACT(鍵盤設計!$BO44,注音編碼對照表[鍵盤按鍵]), 0))</f>
        <v>ㄥ</v>
      </c>
      <c r="BQ44" s="107" t="str" cm="1">
        <f t="array" ref="BQ44" xml:space="preserve"> INDEX(注音編碼對照表[注音二式], MATCH(TRUE, EXACT(鍵盤設計!$BO44,注音編碼對照表[鍵盤按鍵]), 0))</f>
        <v>(i)ng</v>
      </c>
      <c r="BR44" s="34" t="str" cm="1">
        <f t="array" ref="BR44" xml:space="preserve"> INDEX(注音編碼對照表[按鍵編碼], MATCH(TRUE, EXACT(鍵盤設計!$BO44,注音編碼對照表[鍵盤按鍵]), 0))</f>
        <v>L</v>
      </c>
      <c r="BT44" s="596" t="str">
        <f t="shared" si="4"/>
        <v>"/": { commit: "ㄥ" }  # /(i)ng/ ==&gt; L</v>
      </c>
      <c r="BV44" s="236">
        <f t="shared" si="10"/>
        <v>40</v>
      </c>
      <c r="BW44" s="263" t="str">
        <f xml:space="preserve"> "- xform/" &amp; BR50 &amp; "/" &amp; BO50 &amp; "/"</f>
        <v>- xform/R/b/</v>
      </c>
      <c r="BY44" s="263" t="e">
        <f xml:space="preserve"> "- xform/" &amp; BO50 &amp; "/" &amp;#REF! &amp; "/"</f>
        <v>#REF!</v>
      </c>
    </row>
    <row r="45" spans="1:91" ht="45" customHeight="1">
      <c r="B45" s="311" t="s">
        <v>15</v>
      </c>
      <c r="C45" s="312"/>
      <c r="D45" s="312">
        <f ca="1">LEN(E45)</f>
        <v>52</v>
      </c>
      <c r="E45" s="311" t="str">
        <f ca="1" xml:space="preserve"> _xlfn.CONCAT(D19:BC19)</f>
        <v>ㄅㄆㆠㄇㄉㄊㄋㄌㄍㄎㆣㄏㄗㄘㆡㄙㄧㆪㄨㆫㄚㆩㆦㆧㄜㆤㆥㄞㆮㄠㆯㄢㄣㄤㆨㆰㆱㆲㆭㄫㄥㆬㄐㄑㆢㄒㆴㆵㆻㆷ˫˙</v>
      </c>
      <c r="F45" s="311"/>
      <c r="G45" s="311"/>
      <c r="H45" s="311"/>
      <c r="I45" s="311"/>
      <c r="J45" s="311"/>
      <c r="K45" s="311"/>
      <c r="L45" s="311"/>
      <c r="M45" s="311"/>
      <c r="N45" s="311"/>
      <c r="O45" s="311"/>
      <c r="P45" s="311"/>
      <c r="Q45" s="311"/>
      <c r="R45" s="311"/>
      <c r="S45" s="311"/>
      <c r="T45" s="311"/>
      <c r="U45" s="311"/>
      <c r="V45" s="311"/>
      <c r="W45" s="311"/>
      <c r="X45" s="311"/>
      <c r="Y45" s="311"/>
      <c r="Z45" s="311"/>
      <c r="AA45" s="311"/>
      <c r="AB45" s="311"/>
      <c r="AC45" s="311"/>
      <c r="AD45" s="311"/>
      <c r="AE45" s="311"/>
      <c r="AF45" s="311"/>
      <c r="AG45" s="311"/>
      <c r="AH45" s="311"/>
      <c r="AI45" s="311"/>
      <c r="AJ45" s="311"/>
      <c r="BK45" s="316"/>
      <c r="BL45" s="316"/>
      <c r="BN45" s="262">
        <f t="shared" si="2"/>
        <v>42</v>
      </c>
      <c r="BO45" s="205" t="s">
        <v>143</v>
      </c>
      <c r="BP45" s="32" t="str" cm="1">
        <f t="array" ref="BP45" xml:space="preserve"> INDEX(注音編碼對照表[方音符號], MATCH(TRUE, EXACT(鍵盤設計!$BO45,注音編碼對照表[鍵盤按鍵]), 0))</f>
        <v>ㆬ</v>
      </c>
      <c r="BQ45" s="107" t="str" cm="1">
        <f t="array" ref="BQ45" xml:space="preserve"> INDEX(注音編碼對照表[注音二式], MATCH(TRUE, EXACT(鍵盤設計!$BO45,注音編碼對照表[鍵盤按鍵]), 0))</f>
        <v>m</v>
      </c>
      <c r="BR45" s="34" t="str" cm="1">
        <f t="array" ref="BR45" xml:space="preserve"> INDEX(注音編碼對照表[按鍵編碼], MATCH(TRUE, EXACT(鍵盤設計!$BO45,注音編碼對照表[鍵盤按鍵]), 0))</f>
        <v>M</v>
      </c>
      <c r="BT45" s="596" t="str">
        <f t="shared" si="4"/>
        <v>"m": { commit: "ㆬ" }  # /m/ ==&gt; M</v>
      </c>
      <c r="BV45" s="236">
        <f t="shared" si="10"/>
        <v>41</v>
      </c>
      <c r="BW45" s="263" t="str">
        <f xml:space="preserve"> "- xform/" &amp; BR51 &amp; "/" &amp; BO51 &amp; "/"</f>
        <v>- xform/F/t/</v>
      </c>
      <c r="BY45" s="263" t="e">
        <f xml:space="preserve"> "- xform/" &amp; BO51 &amp; "/" &amp;#REF! &amp; "/"</f>
        <v>#REF!</v>
      </c>
    </row>
    <row r="46" spans="1:91" ht="45" customHeight="1">
      <c r="B46" s="303" t="str">
        <f ca="1" xml:space="preserve"> "- xlit|" &amp; E44 &amp; "|" &amp; E45 &amp; "|"</f>
        <v>- xlit|bpbbmdtnlgkgghzczzsiinnuunnaannoooonnoreennaiainnauaunnanenangiramomong-ngng-(i)ngmzicizzisib0d0g0h0748|ㄅㄆㆠㄇㄉㄊㄋㄌㄍㄎㆣㄏㄗㄘㆡㄙㄧㆪㄨㆫㄚㆩㆦㆧㄜㆤㆥㄞㆮㄠㆯㄢㄣㄤㆨㆰㆱㆲㆭㄫㄥㆬㄐㄑㆢㄒㆴㆵㆻㆷ˫˙|</v>
      </c>
      <c r="C46" s="314"/>
      <c r="D46" s="314"/>
      <c r="E46" s="314"/>
      <c r="F46" s="314"/>
      <c r="G46" s="314"/>
      <c r="H46" s="314"/>
      <c r="I46" s="314"/>
      <c r="J46" s="314"/>
      <c r="K46" s="314"/>
      <c r="L46" s="314"/>
      <c r="M46" s="314"/>
      <c r="N46" s="314"/>
      <c r="O46" s="314"/>
      <c r="P46" s="314"/>
      <c r="Q46" s="314"/>
      <c r="R46" s="314"/>
      <c r="S46" s="314"/>
      <c r="T46" s="314"/>
      <c r="U46" s="314"/>
      <c r="V46" s="314"/>
      <c r="W46" s="314"/>
      <c r="X46" s="314"/>
      <c r="Y46" s="314"/>
      <c r="Z46" s="314"/>
      <c r="AA46" s="314"/>
      <c r="AB46" s="314"/>
      <c r="AC46" s="314"/>
      <c r="AD46" s="314"/>
      <c r="AE46" s="314"/>
      <c r="AF46" s="314"/>
      <c r="AG46" s="304"/>
      <c r="AH46" s="304"/>
      <c r="AI46" s="304"/>
      <c r="AJ46" s="304"/>
      <c r="BK46" s="316"/>
      <c r="BL46" s="316"/>
      <c r="BN46" s="262">
        <f t="shared" si="2"/>
        <v>43</v>
      </c>
      <c r="BO46" s="205" t="s">
        <v>435</v>
      </c>
      <c r="BP46" s="32" t="str" cm="1">
        <f t="array" ref="BP46" xml:space="preserve"> INDEX(注音編碼對照表[方音符號], MATCH(TRUE, EXACT(鍵盤設計!$BO46,注音編碼對照表[鍵盤按鍵]), 0))</f>
        <v>ㄐ</v>
      </c>
      <c r="BQ46" s="107" t="str" cm="1">
        <f t="array" ref="BQ46" xml:space="preserve"> INDEX(注音編碼對照表[注音二式], MATCH(TRUE, EXACT(鍵盤設計!$BO46,注音編碼對照表[鍵盤按鍵]), 0))</f>
        <v>zi</v>
      </c>
      <c r="BR46" s="34" t="str" cm="1">
        <f t="array" ref="BR46" xml:space="preserve"> INDEX(注音編碼對照表[按鍵編碼], MATCH(TRUE, EXACT(鍵盤設計!$BO46,注音編碼對照表[鍵盤按鍵]), 0))</f>
        <v>zi</v>
      </c>
      <c r="BT46" s="596" t="str">
        <f t="shared" si="4"/>
        <v>"r": { commit: "ㄐ" }  # /zi/ ==&gt; zi</v>
      </c>
      <c r="BV46" s="236">
        <f t="shared" si="10"/>
        <v>42</v>
      </c>
      <c r="BW46" s="263" t="str">
        <f xml:space="preserve"> "- xform/" &amp; BR52 &amp; "/" &amp; BO52 &amp; "/"</f>
        <v>- xform/V/g/</v>
      </c>
      <c r="BY46" s="263" t="e">
        <f xml:space="preserve"> "- xform/" &amp; BO52 &amp; "/" &amp;#REF! &amp; "/"</f>
        <v>#REF!</v>
      </c>
    </row>
    <row r="47" spans="1:91" ht="45" customHeight="1">
      <c r="B47" s="316"/>
      <c r="C47" s="316"/>
      <c r="D47" s="316"/>
      <c r="E47" s="316"/>
      <c r="F47" s="316"/>
      <c r="G47" s="316"/>
      <c r="H47" s="316"/>
      <c r="I47" s="316"/>
      <c r="J47" s="316"/>
      <c r="K47" s="316"/>
      <c r="L47" s="316"/>
      <c r="M47" s="316"/>
      <c r="N47" s="316"/>
      <c r="O47" s="316"/>
      <c r="P47" s="316"/>
      <c r="Q47" s="316"/>
      <c r="R47" s="316"/>
      <c r="S47" s="316"/>
      <c r="T47" s="316"/>
      <c r="U47" s="316"/>
      <c r="V47" s="316"/>
      <c r="W47" s="316"/>
      <c r="X47" s="316"/>
      <c r="Y47" s="316"/>
      <c r="Z47" s="316"/>
      <c r="AA47" s="316"/>
      <c r="AB47" s="316"/>
      <c r="AC47" s="316"/>
      <c r="AD47" s="316"/>
      <c r="AE47" s="316"/>
      <c r="AF47" s="316"/>
      <c r="AG47" s="316"/>
      <c r="AH47" s="316"/>
      <c r="AI47" s="316"/>
      <c r="AJ47" s="316"/>
      <c r="BK47" s="316"/>
      <c r="BL47" s="316"/>
      <c r="BN47" s="262">
        <f t="shared" si="2"/>
        <v>44</v>
      </c>
      <c r="BO47" s="205" t="s">
        <v>438</v>
      </c>
      <c r="BP47" s="32" t="str" cm="1">
        <f t="array" ref="BP47" xml:space="preserve"> INDEX(注音編碼對照表[方音符號], MATCH(TRUE, EXACT(鍵盤設計!$BO47,注音編碼對照表[鍵盤按鍵]), 0))</f>
        <v>ㄑ</v>
      </c>
      <c r="BQ47" s="107" t="str" cm="1">
        <f t="array" ref="BQ47" xml:space="preserve"> INDEX(注音編碼對照表[注音二式], MATCH(TRUE, EXACT(鍵盤設計!$BO47,注音編碼對照表[鍵盤按鍵]), 0))</f>
        <v>ci</v>
      </c>
      <c r="BR47" s="34" t="str" cm="1">
        <f t="array" ref="BR47" xml:space="preserve"> INDEX(注音編碼對照表[按鍵編碼], MATCH(TRUE, EXACT(鍵盤設計!$BO47,注音編碼對照表[鍵盤按鍵]), 0))</f>
        <v>ci</v>
      </c>
      <c r="BT47" s="596" t="str">
        <f t="shared" si="4"/>
        <v>"f": { commit: "ㄑ" }  # /ci/ ==&gt; ci</v>
      </c>
      <c r="BV47" s="236">
        <f t="shared" si="10"/>
        <v>43</v>
      </c>
      <c r="BW47" s="263" t="str">
        <f xml:space="preserve"> "- xform/" &amp; BR53 &amp; "/" &amp; BO53 &amp; "/"</f>
        <v>- xform/C/C/</v>
      </c>
      <c r="BY47" s="263" t="e">
        <f xml:space="preserve"> "- xform/" &amp; BO53 &amp; "/" &amp;#REF! &amp; "/"</f>
        <v>#REF!</v>
      </c>
    </row>
    <row r="48" spans="1:91" ht="45" customHeight="1">
      <c r="B48" s="316"/>
      <c r="C48" s="316"/>
      <c r="D48" s="316"/>
      <c r="E48" s="316"/>
      <c r="F48" s="316"/>
      <c r="G48" s="316"/>
      <c r="H48" s="316"/>
      <c r="I48" s="316"/>
      <c r="J48" s="316"/>
      <c r="K48" s="316"/>
      <c r="L48" s="316"/>
      <c r="M48" s="316"/>
      <c r="N48" s="316"/>
      <c r="O48" s="316"/>
      <c r="P48" s="316"/>
      <c r="Q48" s="316"/>
      <c r="R48" s="316"/>
      <c r="S48" s="316"/>
      <c r="T48" s="316"/>
      <c r="U48" s="316"/>
      <c r="V48" s="316"/>
      <c r="W48" s="316"/>
      <c r="X48" s="316"/>
      <c r="Y48" s="316"/>
      <c r="Z48" s="316"/>
      <c r="AA48" s="316"/>
      <c r="AB48" s="316"/>
      <c r="AC48" s="316"/>
      <c r="AD48" s="316"/>
      <c r="AE48" s="316"/>
      <c r="AF48" s="316"/>
      <c r="AG48" s="316"/>
      <c r="AH48" s="316"/>
      <c r="AI48" s="316"/>
      <c r="AJ48" s="316"/>
      <c r="BK48" s="316"/>
      <c r="BL48" s="316"/>
      <c r="BN48" s="262">
        <f t="shared" si="2"/>
        <v>45</v>
      </c>
      <c r="BO48" s="205" t="s">
        <v>436</v>
      </c>
      <c r="BP48" s="32" t="str" cm="1">
        <f t="array" ref="BP48" xml:space="preserve"> INDEX(注音編碼對照表[方音符號], MATCH(TRUE, EXACT(鍵盤設計!$BO48,注音編碼對照表[鍵盤按鍵]), 0))</f>
        <v>ㆢ</v>
      </c>
      <c r="BQ48" s="107" t="str" cm="1">
        <f t="array" ref="BQ48" xml:space="preserve"> INDEX(注音編碼對照表[注音二式], MATCH(TRUE, EXACT(鍵盤設計!$BO48,注音編碼對照表[鍵盤按鍵]), 0))</f>
        <v>zzi</v>
      </c>
      <c r="BR48" s="34" t="str" cm="1">
        <f t="array" ref="BR48" xml:space="preserve"> INDEX(注音編碼對照表[按鍵編碼], MATCH(TRUE, EXACT(鍵盤設計!$BO48,注音編碼對照表[鍵盤按鍵]), 0))</f>
        <v>Zi</v>
      </c>
      <c r="BT48" s="596" t="str">
        <f t="shared" si="4"/>
        <v>"R": { commit: "ㆢ" }  # /zzi/ ==&gt; Zi</v>
      </c>
      <c r="BV48" s="236">
        <f t="shared" si="10"/>
        <v>44</v>
      </c>
      <c r="BW48" s="263" t="str">
        <f xml:space="preserve"> "- xform/" &amp; BR54 &amp; "/" &amp; BO54 &amp; "/"</f>
        <v>- xform/7/5/</v>
      </c>
      <c r="BY48" s="263" t="e">
        <f xml:space="preserve"> "- xform/" &amp; BO54 &amp; "/" &amp;#REF! &amp; "/"</f>
        <v>#REF!</v>
      </c>
    </row>
    <row r="49" spans="2:77" ht="45" customHeight="1">
      <c r="B49" s="316"/>
      <c r="C49" s="316"/>
      <c r="D49" s="316"/>
      <c r="BC49" s="316"/>
      <c r="BD49" s="316"/>
      <c r="BE49" s="316"/>
      <c r="BF49" s="316"/>
      <c r="BG49" s="316"/>
      <c r="BH49" s="316"/>
      <c r="BI49" s="316"/>
      <c r="BJ49" s="316"/>
      <c r="BK49" s="316"/>
      <c r="BL49" s="316"/>
      <c r="BN49" s="262">
        <f t="shared" si="2"/>
        <v>46</v>
      </c>
      <c r="BO49" s="71" t="s">
        <v>443</v>
      </c>
      <c r="BP49" s="32" t="str" cm="1">
        <f t="array" ref="BP49" xml:space="preserve"> INDEX(注音編碼對照表[方音符號], MATCH(TRUE, EXACT(鍵盤設計!$BO49,注音編碼對照表[鍵盤按鍵]), 0))</f>
        <v>ㄒ</v>
      </c>
      <c r="BQ49" s="107" t="str" cm="1">
        <f t="array" ref="BQ49" xml:space="preserve"> INDEX(注音編碼對照表[注音二式], MATCH(TRUE, EXACT(鍵盤設計!$BO49,注音編碼對照表[鍵盤按鍵]), 0))</f>
        <v>si</v>
      </c>
      <c r="BR49" s="34" t="str" cm="1">
        <f t="array" ref="BR49" xml:space="preserve"> INDEX(注音編碼對照表[按鍵編碼], MATCH(TRUE, EXACT(鍵盤設計!$BO49,注音編碼對照表[鍵盤按鍵]), 0))</f>
        <v>si</v>
      </c>
      <c r="BT49" s="596" t="str">
        <f t="shared" si="4"/>
        <v>"v": { commit: "ㄒ" }  # /si/ ==&gt; si</v>
      </c>
      <c r="BV49" s="236">
        <f t="shared" si="10"/>
        <v>45</v>
      </c>
      <c r="BW49" s="237" t="str">
        <f xml:space="preserve"> "- xform/" &amp; BR55 &amp; "/" &amp; BO55 &amp; "/"</f>
        <v>- xform/0/7/</v>
      </c>
      <c r="BY49" s="237" t="e">
        <f xml:space="preserve"> "- xform/" &amp; BO55 &amp; "/" &amp;#REF! &amp; "/"</f>
        <v>#REF!</v>
      </c>
    </row>
    <row r="50" spans="2:77" ht="45" customHeight="1"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6"/>
      <c r="AV50" s="316"/>
      <c r="AW50" s="316"/>
      <c r="AX50" s="316"/>
      <c r="AY50" s="316"/>
      <c r="AZ50" s="316"/>
      <c r="BA50" s="316"/>
      <c r="BB50" s="316"/>
      <c r="BC50" s="316"/>
      <c r="BD50" s="316"/>
      <c r="BE50" s="316"/>
      <c r="BF50" s="316"/>
      <c r="BG50" s="316"/>
      <c r="BH50" s="316"/>
      <c r="BI50" s="316"/>
      <c r="BJ50" s="316"/>
      <c r="BK50" s="316"/>
      <c r="BL50" s="316"/>
      <c r="BN50" s="262">
        <f t="shared" si="2"/>
        <v>47</v>
      </c>
      <c r="BO50" s="71" t="s">
        <v>28</v>
      </c>
      <c r="BP50" s="32" t="str" cm="1">
        <f t="array" ref="BP50" xml:space="preserve"> INDEX(注音編碼對照表[方音符號], MATCH(TRUE, EXACT(鍵盤設計!$BO50,注音編碼對照表[鍵盤按鍵]), 0))</f>
        <v>ㆴ</v>
      </c>
      <c r="BQ50" s="107" t="str" cm="1">
        <f t="array" ref="BQ50" xml:space="preserve"> INDEX(注音編碼對照表[注音二式], MATCH(TRUE, EXACT(鍵盤設計!$BO50,注音編碼對照表[鍵盤按鍵]), 0))</f>
        <v>b0</v>
      </c>
      <c r="BR50" s="34" t="str" cm="1">
        <f t="array" ref="BR50" xml:space="preserve"> INDEX(注音編碼對照表[按鍵編碼], MATCH(TRUE, EXACT(鍵盤設計!$BO50,注音編碼對照表[鍵盤按鍵]), 0))</f>
        <v>R</v>
      </c>
      <c r="BT50" s="596" t="str">
        <f t="shared" si="4"/>
        <v>"b": { commit: "ㆴ" }  # /b0/ ==&gt; R</v>
      </c>
      <c r="BV50" s="236">
        <f t="shared" si="10"/>
        <v>46</v>
      </c>
      <c r="BW50" s="237" t="str">
        <f xml:space="preserve"> "- xform/" &amp; BR56 &amp; "/" &amp; BO56 &amp; "/"</f>
        <v>- xform/0/7/</v>
      </c>
      <c r="BY50" s="237" t="e">
        <f xml:space="preserve"> "- xform/" &amp; BO56 &amp; "/" &amp;#REF! &amp; "/"</f>
        <v>#REF!</v>
      </c>
    </row>
    <row r="51" spans="2:77" ht="45" customHeight="1">
      <c r="AK51" s="316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316"/>
      <c r="AW51" s="316"/>
      <c r="AX51" s="316"/>
      <c r="AY51" s="316"/>
      <c r="AZ51" s="316"/>
      <c r="BA51" s="316"/>
      <c r="BB51" s="316"/>
      <c r="BC51" s="316"/>
      <c r="BD51" s="316"/>
      <c r="BE51" s="316"/>
      <c r="BF51" s="316"/>
      <c r="BG51" s="316"/>
      <c r="BH51" s="316"/>
      <c r="BI51" s="316"/>
      <c r="BJ51" s="316"/>
      <c r="BK51" s="316"/>
      <c r="BL51" s="316"/>
      <c r="BN51" s="262">
        <f t="shared" si="2"/>
        <v>48</v>
      </c>
      <c r="BO51" s="71" t="s">
        <v>340</v>
      </c>
      <c r="BP51" s="32" t="str" cm="1">
        <f t="array" ref="BP51" xml:space="preserve"> INDEX(注音編碼對照表[方音符號], MATCH(TRUE, EXACT(鍵盤設計!$BO51,注音編碼對照表[鍵盤按鍵]), 0))</f>
        <v>ㆵ</v>
      </c>
      <c r="BQ51" s="107" t="str" cm="1">
        <f t="array" ref="BQ51" xml:space="preserve"> INDEX(注音編碼對照表[注音二式], MATCH(TRUE, EXACT(鍵盤設計!$BO51,注音編碼對照表[鍵盤按鍵]), 0))</f>
        <v>d0</v>
      </c>
      <c r="BR51" s="34" t="str" cm="1">
        <f t="array" ref="BR51" xml:space="preserve"> INDEX(注音編碼對照表[按鍵編碼], MATCH(TRUE, EXACT(鍵盤設計!$BO51,注音編碼對照表[鍵盤按鍵]), 0))</f>
        <v>F</v>
      </c>
      <c r="BT51" s="596" t="str">
        <f t="shared" si="4"/>
        <v>"t": { commit: "ㆵ" }  # /d0/ ==&gt; F</v>
      </c>
      <c r="BV51" s="236">
        <f t="shared" si="10"/>
        <v>47</v>
      </c>
      <c r="BW51" s="237" t="str">
        <f xml:space="preserve"> "- xform/" &amp; BR57 &amp; "/" &amp; BO57 &amp; "/"</f>
        <v>- xform/2/4/</v>
      </c>
      <c r="BY51" s="237" t="e">
        <f xml:space="preserve"> "- xform/" &amp; BO57 &amp; "/" &amp;#REF! &amp; "/"</f>
        <v>#REF!</v>
      </c>
    </row>
    <row r="52" spans="2:77" ht="45" customHeight="1"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16"/>
      <c r="AW52" s="316"/>
      <c r="AX52" s="316"/>
      <c r="AY52" s="316"/>
      <c r="AZ52" s="316"/>
      <c r="BA52" s="316"/>
      <c r="BB52" s="316"/>
      <c r="BC52" s="316"/>
      <c r="BD52" s="316"/>
      <c r="BE52" s="316"/>
      <c r="BF52" s="316"/>
      <c r="BG52" s="316"/>
      <c r="BH52" s="316"/>
      <c r="BI52" s="316"/>
      <c r="BJ52" s="316"/>
      <c r="BK52" s="316"/>
      <c r="BL52" s="316"/>
      <c r="BN52" s="262">
        <f t="shared" si="2"/>
        <v>49</v>
      </c>
      <c r="BO52" s="71" t="s">
        <v>42</v>
      </c>
      <c r="BP52" s="32" t="str" cm="1">
        <f t="array" ref="BP52" xml:space="preserve"> INDEX(注音編碼對照表[方音符號], MATCH(TRUE, EXACT(鍵盤設計!$BO52,注音編碼對照表[鍵盤按鍵]), 0))</f>
        <v>ㆻ</v>
      </c>
      <c r="BQ52" s="107" t="str" cm="1">
        <f t="array" ref="BQ52" xml:space="preserve"> INDEX(注音編碼對照表[注音二式], MATCH(TRUE, EXACT(鍵盤設計!$BO52,注音編碼對照表[鍵盤按鍵]), 0))</f>
        <v>g0</v>
      </c>
      <c r="BR52" s="34" t="str" cm="1">
        <f t="array" ref="BR52" xml:space="preserve"> INDEX(注音編碼對照表[按鍵編碼], MATCH(TRUE, EXACT(鍵盤設計!$BO52,注音編碼對照表[鍵盤按鍵]), 0))</f>
        <v>V</v>
      </c>
      <c r="BT52" s="596" t="str">
        <f t="shared" si="4"/>
        <v>"g": { commit: "ㆻ" }  # /g0/ ==&gt; V</v>
      </c>
      <c r="BV52" s="236">
        <f t="shared" si="10"/>
        <v>48</v>
      </c>
      <c r="BW52" s="237" t="str">
        <f xml:space="preserve"> "- xform/" &amp; BR58 &amp; "/" &amp; BO58 &amp; "/"</f>
        <v>- xform/3/3/</v>
      </c>
      <c r="BY52" s="237" t="e">
        <f xml:space="preserve"> "- xform/" &amp; BO58 &amp; "/" &amp;#REF! &amp; "/"</f>
        <v>#REF!</v>
      </c>
    </row>
    <row r="53" spans="2:77" ht="45" customHeight="1">
      <c r="AK53" s="316"/>
      <c r="AL53" s="316"/>
      <c r="AM53" s="316"/>
      <c r="AN53" s="316"/>
      <c r="AO53" s="316"/>
      <c r="AP53" s="316"/>
      <c r="AQ53" s="316"/>
      <c r="AR53" s="316"/>
      <c r="AS53" s="316"/>
      <c r="AT53" s="316"/>
      <c r="AU53" s="316"/>
      <c r="AV53" s="316"/>
      <c r="AW53" s="316"/>
      <c r="AX53" s="316"/>
      <c r="AY53" s="316"/>
      <c r="AZ53" s="316"/>
      <c r="BA53" s="316"/>
      <c r="BB53" s="316"/>
      <c r="BC53" s="316"/>
      <c r="BD53" s="316"/>
      <c r="BE53" s="316"/>
      <c r="BF53" s="316"/>
      <c r="BG53" s="316"/>
      <c r="BH53" s="316"/>
      <c r="BI53" s="316"/>
      <c r="BJ53" s="316"/>
      <c r="BK53" s="316"/>
      <c r="BL53" s="316"/>
      <c r="BN53" s="262">
        <f t="shared" si="2"/>
        <v>50</v>
      </c>
      <c r="BO53" s="71" t="s">
        <v>286</v>
      </c>
      <c r="BP53" s="32" t="str" cm="1">
        <f t="array" ref="BP53" xml:space="preserve"> INDEX(注音編碼對照表[方音符號], MATCH(TRUE, EXACT(鍵盤設計!$BO53,注音編碼對照表[鍵盤按鍵]), 0))</f>
        <v>ㆷ</v>
      </c>
      <c r="BQ53" s="107" t="str" cm="1">
        <f t="array" ref="BQ53" xml:space="preserve"> INDEX(注音編碼對照表[注音二式], MATCH(TRUE, EXACT(鍵盤設計!$BO53,注音編碼對照表[鍵盤按鍵]), 0))</f>
        <v>h0</v>
      </c>
      <c r="BR53" s="34" t="str" cm="1">
        <f t="array" ref="BR53" xml:space="preserve"> INDEX(注音編碼對照表[按鍵編碼], MATCH(TRUE, EXACT(鍵盤設計!$BO53,注音編碼對照表[鍵盤按鍵]), 0))</f>
        <v>C</v>
      </c>
      <c r="BT53" s="596" t="str">
        <f t="shared" si="4"/>
        <v>"C": { commit: "ㆷ" }  # /h0/ ==&gt; C</v>
      </c>
      <c r="BV53" s="236">
        <f t="shared" si="10"/>
        <v>49</v>
      </c>
      <c r="BW53" s="237" t="str">
        <f xml:space="preserve"> "- xform/" &amp; BR59 &amp; "/" &amp; BO59 &amp; "/"</f>
        <v>- xform/5/6/</v>
      </c>
      <c r="BY53" s="237" t="e">
        <f xml:space="preserve"> "- xform/" &amp; BO59 &amp; "/" &amp;#REF! &amp; "/"</f>
        <v>#REF!</v>
      </c>
    </row>
    <row r="54" spans="2:77" ht="45" customHeight="1">
      <c r="B54" s="316"/>
      <c r="C54" s="316"/>
      <c r="D54" s="316"/>
      <c r="E54" s="316"/>
      <c r="F54" s="316"/>
      <c r="G54" s="316"/>
      <c r="H54" s="316"/>
      <c r="I54" s="316"/>
      <c r="J54" s="316"/>
      <c r="K54" s="316"/>
      <c r="L54" s="316"/>
      <c r="M54" s="316"/>
      <c r="N54" s="316"/>
      <c r="O54" s="316"/>
      <c r="P54" s="316"/>
      <c r="Q54" s="316"/>
      <c r="R54" s="316"/>
      <c r="S54" s="316"/>
      <c r="T54" s="316"/>
      <c r="U54" s="316"/>
      <c r="V54" s="316"/>
      <c r="W54" s="316"/>
      <c r="X54" s="316"/>
      <c r="Y54" s="316"/>
      <c r="Z54" s="316"/>
      <c r="AA54" s="316"/>
      <c r="AB54" s="316"/>
      <c r="AC54" s="316"/>
      <c r="AD54" s="316"/>
      <c r="AE54" s="316"/>
      <c r="AF54" s="316"/>
      <c r="AG54" s="316"/>
      <c r="AH54" s="316"/>
      <c r="AI54" s="316"/>
      <c r="AJ54" s="316"/>
      <c r="AK54" s="316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16"/>
      <c r="AW54" s="316"/>
      <c r="AX54" s="316"/>
      <c r="AY54" s="316"/>
      <c r="AZ54" s="316"/>
      <c r="BA54" s="316"/>
      <c r="BB54" s="316"/>
      <c r="BC54" s="316"/>
      <c r="BD54" s="316"/>
      <c r="BE54" s="316"/>
      <c r="BF54" s="316"/>
      <c r="BG54" s="316"/>
      <c r="BH54" s="316"/>
      <c r="BI54" s="316"/>
      <c r="BJ54" s="316"/>
      <c r="BK54" s="316"/>
      <c r="BL54" s="316"/>
      <c r="BN54" s="262">
        <f t="shared" si="2"/>
        <v>51</v>
      </c>
      <c r="BO54" s="71" t="s">
        <v>170</v>
      </c>
      <c r="BP54" s="32" t="str" cm="1">
        <f t="array" ref="BP54" xml:space="preserve"> INDEX(注音編碼對照表[方音符號], MATCH(TRUE, EXACT(鍵盤設計!$BO54,注音編碼對照表[鍵盤按鍵]), 0))</f>
        <v>˫</v>
      </c>
      <c r="BQ54" s="107" cm="1">
        <f t="array" ref="BQ54" xml:space="preserve"> INDEX(注音編碼對照表[注音二式], MATCH(TRUE, EXACT(鍵盤設計!$BO54,注音編碼對照表[鍵盤按鍵]), 0))</f>
        <v>7</v>
      </c>
      <c r="BR54" s="34" t="str" cm="1">
        <f t="array" ref="BR54" xml:space="preserve"> INDEX(注音編碼對照表[按鍵編碼], MATCH(TRUE, EXACT(鍵盤設計!$BO54,注音編碼對照表[鍵盤按鍵]), 0))</f>
        <v>7</v>
      </c>
      <c r="BT54" s="596" t="str">
        <f t="shared" si="4"/>
        <v>"5": { commit: "˫" }  # /7/ ==&gt; 7</v>
      </c>
      <c r="BV54" s="236">
        <f t="shared" si="10"/>
        <v>50</v>
      </c>
      <c r="BW54" s="237" t="str">
        <f xml:space="preserve"> "- xform/" &amp; BR60 &amp; "/" &amp; BO60 &amp; "/"</f>
        <v>- xform/7/5/</v>
      </c>
      <c r="BY54" s="237" t="e">
        <f xml:space="preserve"> "- xform/" &amp; BO60 &amp; "/" &amp;#REF! &amp; "/"</f>
        <v>#REF!</v>
      </c>
    </row>
    <row r="55" spans="2:77" ht="45" customHeight="1">
      <c r="B55" s="316"/>
      <c r="C55" s="316"/>
      <c r="D55" s="316"/>
      <c r="E55" s="316"/>
      <c r="F55" s="316"/>
      <c r="G55" s="316"/>
      <c r="H55" s="316"/>
      <c r="I55" s="316"/>
      <c r="J55" s="316"/>
      <c r="K55" s="316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L55" s="316"/>
      <c r="BN55" s="262">
        <f t="shared" si="2"/>
        <v>52</v>
      </c>
      <c r="BO55" s="71" t="s">
        <v>166</v>
      </c>
      <c r="BP55" s="32" t="str" cm="1">
        <f t="array" ref="BP55" xml:space="preserve"> INDEX(注音編碼對照表[方音符號], MATCH(TRUE, EXACT(鍵盤設計!$BO55,注音編碼對照表[鍵盤按鍵]), 0))</f>
        <v>˙</v>
      </c>
      <c r="BQ55" s="107" cm="1">
        <f t="array" ref="BQ55" xml:space="preserve"> INDEX(注音編碼對照表[注音二式], MATCH(TRUE, EXACT(鍵盤設計!$BO55,注音編碼對照表[鍵盤按鍵]), 0))</f>
        <v>48</v>
      </c>
      <c r="BR55" s="34" t="str" cm="1">
        <f t="array" ref="BR55" xml:space="preserve"> INDEX(注音編碼對照表[按鍵編碼], MATCH(TRUE, EXACT(鍵盤設計!$BO55,注音編碼對照表[鍵盤按鍵]), 0))</f>
        <v>0</v>
      </c>
      <c r="BT55" s="596" t="str">
        <f t="shared" si="4"/>
        <v>"7": { commit: "˙" }  # /48/ ==&gt; 0</v>
      </c>
      <c r="BV55" s="236">
        <f t="shared" si="10"/>
        <v>51</v>
      </c>
      <c r="BW55" s="237" t="str">
        <f xml:space="preserve"> "- xform/" &amp; BR61 &amp; "/" &amp; BO61 &amp; "/"</f>
        <v>- xform/0/7/</v>
      </c>
      <c r="BY55" s="237" t="e">
        <f xml:space="preserve"> "- xform/" &amp; BO61 &amp; "/" &amp;#REF! &amp; "/"</f>
        <v>#REF!</v>
      </c>
    </row>
    <row r="56" spans="2:77" ht="45" customHeight="1">
      <c r="B56" s="316"/>
      <c r="C56" s="316"/>
      <c r="D56" s="316"/>
      <c r="E56" s="316"/>
      <c r="F56" s="316"/>
      <c r="G56" s="316"/>
      <c r="H56" s="316"/>
      <c r="I56" s="316"/>
      <c r="J56" s="316"/>
      <c r="K56" s="316"/>
      <c r="L56" s="316"/>
      <c r="M56" s="316"/>
      <c r="N56" s="316"/>
      <c r="O56" s="316"/>
      <c r="P56" s="316"/>
      <c r="Q56" s="316"/>
      <c r="R56" s="316"/>
      <c r="S56" s="316"/>
      <c r="T56" s="316"/>
      <c r="U56" s="316"/>
      <c r="V56" s="316"/>
      <c r="W56" s="316"/>
      <c r="X56" s="316"/>
      <c r="Y56" s="316"/>
      <c r="Z56" s="316"/>
      <c r="AA56" s="316"/>
      <c r="AB56" s="316"/>
      <c r="AC56" s="316"/>
      <c r="AD56" s="316"/>
      <c r="AE56" s="316"/>
      <c r="AF56" s="316"/>
      <c r="AG56" s="316"/>
      <c r="AH56" s="316"/>
      <c r="AI56" s="316"/>
      <c r="AJ56" s="316"/>
      <c r="AK56" s="316"/>
      <c r="AL56" s="316"/>
      <c r="AM56" s="316"/>
      <c r="AN56" s="316"/>
      <c r="AO56" s="316"/>
      <c r="AP56" s="316"/>
      <c r="AQ56" s="316"/>
      <c r="AR56" s="316"/>
      <c r="AS56" s="316"/>
      <c r="AT56" s="316"/>
      <c r="AU56" s="316"/>
      <c r="AV56" s="316"/>
      <c r="AW56" s="316"/>
      <c r="AX56" s="316"/>
      <c r="AY56" s="316"/>
      <c r="AZ56" s="316"/>
      <c r="BA56" s="316"/>
      <c r="BB56" s="316"/>
      <c r="BC56" s="316"/>
      <c r="BD56" s="316"/>
      <c r="BE56" s="316"/>
      <c r="BF56" s="316"/>
      <c r="BG56" s="316"/>
      <c r="BH56" s="316"/>
      <c r="BI56" s="316"/>
      <c r="BJ56" s="316"/>
      <c r="BK56" s="316"/>
      <c r="BL56" s="316"/>
      <c r="BN56" s="262">
        <f t="shared" si="2"/>
        <v>53</v>
      </c>
      <c r="BO56" s="71" t="str">
        <f>'注音符號、電腦鍵盤與音標編碼'!C51</f>
        <v>7</v>
      </c>
      <c r="BP56" s="32" t="str" cm="1">
        <f t="array" ref="BP56" xml:space="preserve"> INDEX(注音編碼對照表[方音符號], MATCH(TRUE, EXACT(鍵盤設計!$BO56,注音編碼對照表[鍵盤按鍵]), 0))</f>
        <v>˙</v>
      </c>
      <c r="BQ56" s="107" cm="1">
        <f t="array" ref="BQ56" xml:space="preserve"> INDEX(注音編碼對照表[注音二式], MATCH(TRUE, EXACT(鍵盤設計!$BO56,注音編碼對照表[鍵盤按鍵]), 0))</f>
        <v>48</v>
      </c>
      <c r="BR56" s="34" t="str" cm="1">
        <f t="array" ref="BR56" xml:space="preserve"> INDEX(注音編碼對照表[按鍵編碼], MATCH(TRUE, EXACT(鍵盤設計!$BO56,注音編碼對照表[鍵盤按鍵]), 0))</f>
        <v>0</v>
      </c>
      <c r="BV56" s="236">
        <f t="shared" si="10"/>
        <v>52</v>
      </c>
    </row>
    <row r="57" spans="2:77" ht="45" customHeight="1">
      <c r="B57" s="316"/>
      <c r="C57" s="316"/>
      <c r="D57" s="316"/>
      <c r="E57" s="316"/>
      <c r="F57" s="316"/>
      <c r="G57" s="316"/>
      <c r="H57" s="316"/>
      <c r="I57" s="316"/>
      <c r="J57" s="316"/>
      <c r="K57" s="316"/>
      <c r="L57" s="316"/>
      <c r="M57" s="316"/>
      <c r="N57" s="316"/>
      <c r="O57" s="316"/>
      <c r="P57" s="316"/>
      <c r="Q57" s="316"/>
      <c r="R57" s="316"/>
      <c r="S57" s="316"/>
      <c r="T57" s="316"/>
      <c r="U57" s="316"/>
      <c r="V57" s="316"/>
      <c r="W57" s="316"/>
      <c r="X57" s="316"/>
      <c r="Y57" s="316"/>
      <c r="Z57" s="316"/>
      <c r="AA57" s="316"/>
      <c r="AB57" s="316"/>
      <c r="AC57" s="316"/>
      <c r="AD57" s="316"/>
      <c r="AE57" s="316"/>
      <c r="AF57" s="316"/>
      <c r="AG57" s="316"/>
      <c r="AH57" s="316"/>
      <c r="AI57" s="316"/>
      <c r="AJ57" s="316"/>
      <c r="AK57" s="316"/>
      <c r="AL57" s="316"/>
      <c r="AM57" s="316"/>
      <c r="AN57" s="316"/>
      <c r="AO57" s="316"/>
      <c r="AP57" s="316"/>
      <c r="AQ57" s="316"/>
      <c r="AR57" s="316"/>
      <c r="AS57" s="316"/>
      <c r="AT57" s="316"/>
      <c r="AU57" s="316"/>
      <c r="AV57" s="316"/>
      <c r="AW57" s="316"/>
      <c r="AX57" s="316"/>
      <c r="AY57" s="316"/>
      <c r="AZ57" s="316"/>
      <c r="BA57" s="316"/>
      <c r="BB57" s="316"/>
      <c r="BC57" s="316"/>
      <c r="BD57" s="316"/>
      <c r="BE57" s="316"/>
      <c r="BF57" s="316"/>
      <c r="BG57" s="316"/>
      <c r="BH57" s="316"/>
      <c r="BI57" s="316"/>
      <c r="BJ57" s="316"/>
      <c r="BK57" s="316"/>
      <c r="BL57" s="316"/>
      <c r="BN57" s="262">
        <f t="shared" si="2"/>
        <v>54</v>
      </c>
      <c r="BO57" s="71">
        <f>'注音符號、電腦鍵盤與音標編碼'!C52</f>
        <v>4</v>
      </c>
      <c r="BP57" s="32" t="str" cm="1">
        <f t="array" ref="BP57" xml:space="preserve"> INDEX(注音編碼對照表[方音符號], MATCH(TRUE, EXACT(鍵盤設計!$BO57,注音編碼對照表[鍵盤按鍵]), 0))</f>
        <v>ˋ</v>
      </c>
      <c r="BQ57" s="107" cm="1">
        <f t="array" ref="BQ57" xml:space="preserve"> INDEX(注音編碼對照表[注音二式], MATCH(TRUE, EXACT(鍵盤設計!$BO57,注音編碼對照表[鍵盤按鍵]), 0))</f>
        <v>2</v>
      </c>
      <c r="BR57" s="34" t="str" cm="1">
        <f t="array" ref="BR57" xml:space="preserve"> INDEX(注音編碼對照表[按鍵編碼], MATCH(TRUE, EXACT(鍵盤設計!$BO57,注音編碼對照表[鍵盤按鍵]), 0))</f>
        <v>2</v>
      </c>
      <c r="BV57" s="236">
        <f t="shared" si="10"/>
        <v>53</v>
      </c>
    </row>
    <row r="58" spans="2:77" ht="45" customHeight="1">
      <c r="B58" s="316"/>
      <c r="C58" s="316"/>
      <c r="D58" s="316"/>
      <c r="E58" s="316"/>
      <c r="F58" s="316"/>
      <c r="G58" s="316"/>
      <c r="H58" s="316"/>
      <c r="I58" s="316"/>
      <c r="J58" s="316"/>
      <c r="K58" s="316"/>
      <c r="L58" s="316"/>
      <c r="M58" s="316"/>
      <c r="N58" s="316"/>
      <c r="O58" s="316"/>
      <c r="P58" s="316"/>
      <c r="Q58" s="316"/>
      <c r="R58" s="316"/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  <c r="AD58" s="316"/>
      <c r="AE58" s="316"/>
      <c r="AF58" s="316"/>
      <c r="AG58" s="316"/>
      <c r="AH58" s="316"/>
      <c r="AI58" s="316"/>
      <c r="AJ58" s="316"/>
      <c r="AK58" s="316"/>
      <c r="AL58" s="316"/>
      <c r="AM58" s="316"/>
      <c r="AN58" s="316"/>
      <c r="AO58" s="316"/>
      <c r="AP58" s="316"/>
      <c r="AQ58" s="316"/>
      <c r="AR58" s="316"/>
      <c r="AS58" s="316"/>
      <c r="AT58" s="316"/>
      <c r="AU58" s="316"/>
      <c r="AV58" s="316"/>
      <c r="AW58" s="316"/>
      <c r="AX58" s="316"/>
      <c r="AY58" s="316"/>
      <c r="AZ58" s="316"/>
      <c r="BA58" s="316"/>
      <c r="BB58" s="316"/>
      <c r="BC58" s="316"/>
      <c r="BD58" s="316"/>
      <c r="BE58" s="316"/>
      <c r="BF58" s="316"/>
      <c r="BG58" s="316"/>
      <c r="BH58" s="316"/>
      <c r="BI58" s="316"/>
      <c r="BJ58" s="316"/>
      <c r="BK58" s="316"/>
      <c r="BL58" s="316"/>
      <c r="BN58" s="262">
        <f t="shared" si="2"/>
        <v>55</v>
      </c>
      <c r="BO58" s="71">
        <f>'注音符號、電腦鍵盤與音標編碼'!C53</f>
        <v>3</v>
      </c>
      <c r="BP58" s="32" t="str" cm="1">
        <f t="array" ref="BP58" xml:space="preserve"> INDEX(注音編碼對照表[方音符號], MATCH(TRUE, EXACT(鍵盤設計!$BO58,注音編碼對照表[鍵盤按鍵]), 0))</f>
        <v>˪</v>
      </c>
      <c r="BQ58" s="107" cm="1">
        <f t="array" ref="BQ58" xml:space="preserve"> INDEX(注音編碼對照表[注音二式], MATCH(TRUE, EXACT(鍵盤設計!$BO58,注音編碼對照表[鍵盤按鍵]), 0))</f>
        <v>3</v>
      </c>
      <c r="BR58" s="34" t="str" cm="1">
        <f t="array" ref="BR58" xml:space="preserve"> INDEX(注音編碼對照表[按鍵編碼], MATCH(TRUE, EXACT(鍵盤設計!$BO58,注音編碼對照表[鍵盤按鍵]), 0))</f>
        <v>3</v>
      </c>
      <c r="BV58" s="236">
        <f t="shared" si="10"/>
        <v>54</v>
      </c>
    </row>
    <row r="59" spans="2:77" ht="45" customHeight="1"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316"/>
      <c r="P59" s="316"/>
      <c r="Q59" s="316"/>
      <c r="R59" s="316"/>
      <c r="S59" s="316"/>
      <c r="T59" s="316"/>
      <c r="U59" s="316"/>
      <c r="V59" s="316"/>
      <c r="W59" s="316"/>
      <c r="X59" s="316"/>
      <c r="Y59" s="316"/>
      <c r="Z59" s="316"/>
      <c r="AA59" s="316"/>
      <c r="AB59" s="316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6"/>
      <c r="AZ59" s="316"/>
      <c r="BA59" s="316"/>
      <c r="BB59" s="316"/>
      <c r="BC59" s="316"/>
      <c r="BD59" s="316"/>
      <c r="BE59" s="316"/>
      <c r="BF59" s="316"/>
      <c r="BG59" s="316"/>
      <c r="BH59" s="316"/>
      <c r="BI59" s="316"/>
      <c r="BJ59" s="316"/>
      <c r="BK59" s="316"/>
      <c r="BL59" s="316"/>
      <c r="BN59" s="262">
        <f t="shared" si="2"/>
        <v>56</v>
      </c>
      <c r="BO59" s="71">
        <f>'注音符號、電腦鍵盤與音標編碼'!C54</f>
        <v>6</v>
      </c>
      <c r="BP59" s="32" t="str" cm="1">
        <f t="array" ref="BP59" xml:space="preserve"> INDEX(注音編碼對照表[方音符號], MATCH(TRUE, EXACT(鍵盤設計!$BO59,注音編碼對照表[鍵盤按鍵]), 0))</f>
        <v>ˊ</v>
      </c>
      <c r="BQ59" s="107" cm="1">
        <f t="array" ref="BQ59" xml:space="preserve"> INDEX(注音編碼對照表[注音二式], MATCH(TRUE, EXACT(鍵盤設計!$BO59,注音編碼對照表[鍵盤按鍵]), 0))</f>
        <v>5</v>
      </c>
      <c r="BR59" s="34" t="str" cm="1">
        <f t="array" ref="BR59" xml:space="preserve"> INDEX(注音編碼對照表[按鍵編碼], MATCH(TRUE, EXACT(鍵盤設計!$BO59,注音編碼對照表[鍵盤按鍵]), 0))</f>
        <v>5</v>
      </c>
      <c r="BV59" s="236">
        <f t="shared" si="10"/>
        <v>55</v>
      </c>
    </row>
    <row r="60" spans="2:77" ht="45" customHeight="1"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6"/>
      <c r="AX60" s="316"/>
      <c r="AY60" s="316"/>
      <c r="AZ60" s="316"/>
      <c r="BA60" s="316"/>
      <c r="BB60" s="316"/>
      <c r="BC60" s="316"/>
      <c r="BD60" s="316"/>
      <c r="BE60" s="316"/>
      <c r="BF60" s="316"/>
      <c r="BG60" s="316"/>
      <c r="BH60" s="316"/>
      <c r="BI60" s="316"/>
      <c r="BJ60" s="316"/>
      <c r="BK60" s="316"/>
      <c r="BL60" s="316"/>
      <c r="BN60" s="262">
        <f t="shared" si="2"/>
        <v>57</v>
      </c>
      <c r="BO60" s="71">
        <f>'注音符號、電腦鍵盤與音標編碼'!C55</f>
        <v>5</v>
      </c>
      <c r="BP60" s="32" t="str" cm="1">
        <f t="array" ref="BP60" xml:space="preserve"> INDEX(注音編碼對照表[方音符號], MATCH(TRUE, EXACT(鍵盤設計!$BO60,注音編碼對照表[鍵盤按鍵]), 0))</f>
        <v>˫</v>
      </c>
      <c r="BQ60" s="107" cm="1">
        <f t="array" ref="BQ60" xml:space="preserve"> INDEX(注音編碼對照表[注音二式], MATCH(TRUE, EXACT(鍵盤設計!$BO60,注音編碼對照表[鍵盤按鍵]), 0))</f>
        <v>7</v>
      </c>
      <c r="BR60" s="34" t="str" cm="1">
        <f t="array" ref="BR60" xml:space="preserve"> INDEX(注音編碼對照表[按鍵編碼], MATCH(TRUE, EXACT(鍵盤設計!$BO60,注音編碼對照表[鍵盤按鍵]), 0))</f>
        <v>7</v>
      </c>
      <c r="BV60" s="236">
        <f t="shared" si="10"/>
        <v>56</v>
      </c>
    </row>
    <row r="61" spans="2:77" ht="45" customHeight="1">
      <c r="B61" s="316"/>
      <c r="C61" s="316"/>
      <c r="D61" s="316"/>
      <c r="E61" s="316"/>
      <c r="F61" s="316"/>
      <c r="G61" s="316"/>
      <c r="H61" s="316"/>
      <c r="I61" s="316"/>
      <c r="J61" s="316"/>
      <c r="K61" s="316"/>
      <c r="L61" s="316"/>
      <c r="M61" s="316"/>
      <c r="N61" s="316"/>
      <c r="O61" s="316"/>
      <c r="P61" s="316"/>
      <c r="Q61" s="316"/>
      <c r="R61" s="316"/>
      <c r="S61" s="316"/>
      <c r="T61" s="316"/>
      <c r="U61" s="316"/>
      <c r="V61" s="316"/>
      <c r="W61" s="316"/>
      <c r="X61" s="316"/>
      <c r="Y61" s="316"/>
      <c r="Z61" s="316"/>
      <c r="AA61" s="316"/>
      <c r="AB61" s="316"/>
      <c r="AC61" s="316"/>
      <c r="AD61" s="316"/>
      <c r="AE61" s="316"/>
      <c r="AF61" s="316"/>
      <c r="AG61" s="316"/>
      <c r="AH61" s="316"/>
      <c r="AI61" s="316"/>
      <c r="AJ61" s="316"/>
      <c r="AK61" s="316"/>
      <c r="AL61" s="316"/>
      <c r="AM61" s="316"/>
      <c r="AN61" s="316"/>
      <c r="AO61" s="316"/>
      <c r="AP61" s="316"/>
      <c r="AQ61" s="316"/>
      <c r="AR61" s="316"/>
      <c r="AS61" s="316"/>
      <c r="AT61" s="316"/>
      <c r="AU61" s="316"/>
      <c r="AV61" s="316"/>
      <c r="AW61" s="316"/>
      <c r="AX61" s="316"/>
      <c r="AY61" s="316"/>
      <c r="AZ61" s="316"/>
      <c r="BA61" s="316"/>
      <c r="BB61" s="316"/>
      <c r="BC61" s="316"/>
      <c r="BD61" s="316"/>
      <c r="BE61" s="316"/>
      <c r="BF61" s="316"/>
      <c r="BG61" s="316"/>
      <c r="BH61" s="316"/>
      <c r="BI61" s="316"/>
      <c r="BJ61" s="316"/>
      <c r="BK61" s="316"/>
      <c r="BL61" s="316"/>
      <c r="BN61" s="262">
        <f t="shared" si="2"/>
        <v>58</v>
      </c>
      <c r="BO61" s="71">
        <f>'注音符號、電腦鍵盤與音標編碼'!C56</f>
        <v>7</v>
      </c>
      <c r="BP61" s="32" t="str" cm="1">
        <f t="array" ref="BP61" xml:space="preserve"> INDEX(注音編碼對照表[方音符號], MATCH(TRUE, EXACT(鍵盤設計!$BO61,注音編碼對照表[鍵盤按鍵]), 0))</f>
        <v>˙</v>
      </c>
      <c r="BQ61" s="107" cm="1">
        <f t="array" ref="BQ61" xml:space="preserve"> INDEX(注音編碼對照表[注音二式], MATCH(TRUE, EXACT(鍵盤設計!$BO61,注音編碼對照表[鍵盤按鍵]), 0))</f>
        <v>48</v>
      </c>
      <c r="BR61" s="34" t="str" cm="1">
        <f t="array" ref="BR61" xml:space="preserve"> INDEX(注音編碼對照表[按鍵編碼], MATCH(TRUE, EXACT(鍵盤設計!$BO61,注音編碼對照表[鍵盤按鍵]), 0))</f>
        <v>0</v>
      </c>
      <c r="BV61" s="236">
        <f t="shared" si="10"/>
        <v>57</v>
      </c>
    </row>
    <row r="62" spans="2:77" ht="45" customHeight="1">
      <c r="B62" s="316"/>
      <c r="C62" s="316"/>
      <c r="D62" s="316"/>
      <c r="E62" s="316"/>
      <c r="F62" s="316"/>
      <c r="G62" s="316"/>
      <c r="H62" s="316"/>
      <c r="I62" s="316"/>
      <c r="J62" s="316"/>
      <c r="K62" s="316"/>
      <c r="L62" s="316"/>
      <c r="M62" s="316"/>
      <c r="N62" s="316"/>
      <c r="O62" s="316"/>
      <c r="P62" s="316"/>
      <c r="Q62" s="316"/>
      <c r="R62" s="316"/>
      <c r="S62" s="316"/>
      <c r="T62" s="316"/>
      <c r="U62" s="316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316"/>
      <c r="AK62" s="316"/>
      <c r="AL62" s="316"/>
      <c r="AM62" s="316"/>
      <c r="AN62" s="316"/>
      <c r="AO62" s="316"/>
      <c r="AP62" s="316"/>
      <c r="AQ62" s="316"/>
      <c r="AR62" s="316"/>
      <c r="AS62" s="316"/>
      <c r="AT62" s="316"/>
      <c r="AU62" s="316"/>
      <c r="AV62" s="316"/>
      <c r="AW62" s="316"/>
      <c r="AX62" s="316"/>
      <c r="AY62" s="316"/>
      <c r="AZ62" s="316"/>
      <c r="BA62" s="316"/>
      <c r="BB62" s="316"/>
      <c r="BC62" s="316"/>
      <c r="BD62" s="316"/>
      <c r="BE62" s="316"/>
      <c r="BF62" s="316"/>
      <c r="BG62" s="316"/>
      <c r="BH62" s="316"/>
      <c r="BI62" s="316"/>
      <c r="BJ62" s="316"/>
      <c r="BK62" s="316"/>
      <c r="BL62" s="316"/>
      <c r="BN62" s="262">
        <f t="shared" si="2"/>
        <v>59</v>
      </c>
      <c r="BV62" s="236">
        <f t="shared" si="10"/>
        <v>58</v>
      </c>
    </row>
    <row r="63" spans="2:77" ht="38.1" customHeight="1">
      <c r="B63" s="316"/>
      <c r="C63" s="316"/>
      <c r="D63" s="316"/>
      <c r="E63" s="316"/>
      <c r="F63" s="316"/>
      <c r="G63" s="316"/>
      <c r="H63" s="316"/>
      <c r="I63" s="316"/>
      <c r="J63" s="316"/>
      <c r="K63" s="316"/>
      <c r="L63" s="316"/>
      <c r="M63" s="316"/>
      <c r="N63" s="316"/>
      <c r="O63" s="316"/>
      <c r="P63" s="316"/>
      <c r="Q63" s="316"/>
      <c r="R63" s="316"/>
      <c r="S63" s="316"/>
      <c r="T63" s="316"/>
      <c r="U63" s="316"/>
      <c r="V63" s="316"/>
      <c r="W63" s="316"/>
      <c r="X63" s="316"/>
      <c r="Y63" s="316"/>
      <c r="Z63" s="316"/>
      <c r="AA63" s="316"/>
      <c r="AB63" s="316"/>
      <c r="AC63" s="316"/>
      <c r="AD63" s="316"/>
      <c r="AE63" s="316"/>
      <c r="AF63" s="316"/>
      <c r="AG63" s="316"/>
      <c r="AH63" s="316"/>
      <c r="AI63" s="316"/>
      <c r="AJ63" s="316"/>
      <c r="AK63" s="316"/>
      <c r="AL63" s="316"/>
      <c r="AM63" s="316"/>
      <c r="AN63" s="316"/>
      <c r="AO63" s="316"/>
      <c r="AP63" s="316"/>
      <c r="AQ63" s="316"/>
      <c r="AR63" s="316"/>
      <c r="AS63" s="316"/>
      <c r="AT63" s="316"/>
      <c r="AU63" s="316"/>
      <c r="AV63" s="316"/>
      <c r="AW63" s="316"/>
      <c r="AX63" s="316"/>
      <c r="AY63" s="316"/>
      <c r="AZ63" s="316"/>
      <c r="BA63" s="316"/>
      <c r="BB63" s="316"/>
      <c r="BC63" s="316"/>
      <c r="BD63" s="316"/>
      <c r="BE63" s="316"/>
      <c r="BF63" s="316"/>
      <c r="BG63" s="316"/>
      <c r="BH63" s="316"/>
      <c r="BI63" s="316"/>
      <c r="BJ63" s="316"/>
      <c r="BK63" s="316"/>
      <c r="BL63" s="316"/>
      <c r="BV63" s="236">
        <f t="shared" si="10"/>
        <v>59</v>
      </c>
    </row>
    <row r="64" spans="2:77" ht="38.1" customHeight="1">
      <c r="B64" s="316"/>
      <c r="C64" s="316"/>
      <c r="D64" s="316"/>
      <c r="E64" s="316"/>
      <c r="F64" s="316"/>
      <c r="G64" s="316"/>
      <c r="H64" s="316"/>
      <c r="I64" s="316"/>
      <c r="J64" s="316"/>
      <c r="K64" s="316"/>
      <c r="L64" s="316"/>
      <c r="M64" s="316"/>
      <c r="N64" s="316"/>
      <c r="O64" s="316"/>
      <c r="P64" s="316"/>
      <c r="Q64" s="316"/>
      <c r="R64" s="316"/>
      <c r="S64" s="316"/>
      <c r="T64" s="316"/>
      <c r="U64" s="316"/>
      <c r="V64" s="316"/>
      <c r="W64" s="316"/>
      <c r="X64" s="316"/>
      <c r="Y64" s="316"/>
      <c r="Z64" s="316"/>
      <c r="AA64" s="316"/>
      <c r="AB64" s="316"/>
      <c r="AC64" s="316"/>
      <c r="AD64" s="316"/>
      <c r="AE64" s="316"/>
      <c r="AF64" s="316"/>
      <c r="AG64" s="316"/>
      <c r="AH64" s="316"/>
      <c r="AI64" s="316"/>
      <c r="AJ64" s="316"/>
      <c r="AK64" s="316"/>
      <c r="AL64" s="316"/>
      <c r="AM64" s="316"/>
      <c r="AN64" s="316"/>
      <c r="AO64" s="316"/>
      <c r="AP64" s="316"/>
      <c r="AQ64" s="316"/>
      <c r="AR64" s="316"/>
      <c r="AS64" s="316"/>
      <c r="AT64" s="316"/>
      <c r="AU64" s="316"/>
      <c r="AV64" s="316"/>
      <c r="AW64" s="316"/>
      <c r="AX64" s="316"/>
      <c r="AY64" s="316"/>
      <c r="AZ64" s="316"/>
      <c r="BA64" s="316"/>
      <c r="BB64" s="316"/>
      <c r="BH64" s="316"/>
      <c r="BI64" s="316"/>
      <c r="BJ64" s="316"/>
      <c r="BK64" s="316"/>
      <c r="BL64" s="316"/>
    </row>
    <row r="65" spans="34:64">
      <c r="AH65" s="316"/>
      <c r="AI65" s="316"/>
      <c r="AJ65" s="316"/>
      <c r="BH65" s="316"/>
      <c r="BI65" s="316"/>
      <c r="BJ65" s="316"/>
      <c r="BK65" s="316"/>
      <c r="BL65" s="316"/>
    </row>
    <row r="66" spans="34:64">
      <c r="AH66" s="316"/>
      <c r="AI66" s="316"/>
      <c r="AJ66" s="316"/>
      <c r="BH66" s="316"/>
      <c r="BI66" s="316"/>
      <c r="BJ66" s="316"/>
      <c r="BK66" s="316"/>
      <c r="BL66" s="316"/>
    </row>
    <row r="67" spans="34:64">
      <c r="AH67" s="316"/>
      <c r="AI67" s="316"/>
      <c r="AJ67" s="316"/>
      <c r="BH67" s="316"/>
      <c r="BI67" s="316"/>
      <c r="BJ67" s="316"/>
    </row>
    <row r="68" spans="34:64">
      <c r="AH68" s="316"/>
      <c r="AI68" s="316"/>
      <c r="AJ68" s="316"/>
    </row>
  </sheetData>
  <mergeCells count="52">
    <mergeCell ref="Q2:S2"/>
    <mergeCell ref="B2:D2"/>
    <mergeCell ref="E2:G2"/>
    <mergeCell ref="H2:J2"/>
    <mergeCell ref="K2:M2"/>
    <mergeCell ref="N2:P2"/>
    <mergeCell ref="AI4:AJ4"/>
    <mergeCell ref="T2:V2"/>
    <mergeCell ref="W2:Y2"/>
    <mergeCell ref="Z2:AB2"/>
    <mergeCell ref="AC2:AE2"/>
    <mergeCell ref="AF2:AH2"/>
    <mergeCell ref="AI2:AK2"/>
    <mergeCell ref="H4:I4"/>
    <mergeCell ref="K4:L4"/>
    <mergeCell ref="N4:O4"/>
    <mergeCell ref="Q4:R4"/>
    <mergeCell ref="T4:U4"/>
    <mergeCell ref="C5:E5"/>
    <mergeCell ref="F5:H5"/>
    <mergeCell ref="I5:K5"/>
    <mergeCell ref="L5:N5"/>
    <mergeCell ref="O5:Q5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D8:F8"/>
    <mergeCell ref="G8:I8"/>
    <mergeCell ref="J8:L8"/>
    <mergeCell ref="M8:O8"/>
    <mergeCell ref="P8:R8"/>
    <mergeCell ref="AM5:AO5"/>
    <mergeCell ref="AG5:AI5"/>
    <mergeCell ref="AJ5:AL5"/>
    <mergeCell ref="AE8:AG8"/>
    <mergeCell ref="AH8:AJ8"/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B75-B358-4C95-B0C2-96EE4C4358A0}">
  <dimension ref="A1:AV76"/>
  <sheetViews>
    <sheetView workbookViewId="0">
      <selection activeCell="N7" sqref="N7"/>
    </sheetView>
  </sheetViews>
  <sheetFormatPr defaultColWidth="10.8984375" defaultRowHeight="32.25" outlineLevelCol="1"/>
  <cols>
    <col min="1" max="1" width="3.69921875" style="138" customWidth="1"/>
    <col min="2" max="2" width="5.59765625" style="138" customWidth="1"/>
    <col min="3" max="3" width="11.19921875" style="139" customWidth="1"/>
    <col min="4" max="5" width="13.296875" style="8" customWidth="1"/>
    <col min="6" max="6" width="11.19921875" style="139" customWidth="1"/>
    <col min="7" max="7" width="11.19921875" style="140" customWidth="1"/>
    <col min="8" max="8" width="15.8984375" style="139" customWidth="1"/>
    <col min="9" max="9" width="12" style="139" bestFit="1" customWidth="1"/>
    <col min="10" max="10" width="11.19921875" style="139" customWidth="1"/>
    <col min="11" max="11" width="25" style="139" bestFit="1" customWidth="1"/>
    <col min="12" max="13" width="17.3984375" style="141" customWidth="1"/>
    <col min="14" max="14" width="42.19921875" style="141" bestFit="1" customWidth="1"/>
    <col min="15" max="15" width="11.19921875" style="138" customWidth="1"/>
    <col min="16" max="16" width="5.59765625" style="138" customWidth="1"/>
    <col min="17" max="17" width="10.59765625" style="139" customWidth="1"/>
    <col min="18" max="18" width="10.59765625" style="8" customWidth="1"/>
    <col min="19" max="19" width="10.59765625" style="140" customWidth="1"/>
    <col min="20" max="20" width="10.59765625" style="139" customWidth="1"/>
    <col min="21" max="21" width="4.09765625" style="138" customWidth="1"/>
    <col min="22" max="22" width="5.59765625" style="138" customWidth="1"/>
    <col min="23" max="23" width="10.59765625" style="139" customWidth="1"/>
    <col min="24" max="24" width="10.59765625" style="8" customWidth="1"/>
    <col min="25" max="25" width="10.59765625" style="140" customWidth="1"/>
    <col min="26" max="26" width="10.59765625" style="139" customWidth="1"/>
    <col min="27" max="27" width="4.09765625" style="138" customWidth="1"/>
    <col min="28" max="28" width="5.59765625" style="138" customWidth="1"/>
    <col min="29" max="32" width="10.8984375" style="138"/>
    <col min="33" max="34" width="5.69921875" style="138" customWidth="1"/>
    <col min="35" max="35" width="5.69921875" style="148" customWidth="1"/>
    <col min="36" max="38" width="5.69921875" style="138" customWidth="1"/>
    <col min="39" max="42" width="10.8984375" style="138"/>
    <col min="43" max="47" width="10.8984375" style="145" outlineLevel="1"/>
    <col min="48" max="48" width="10.8984375" style="145"/>
    <col min="49" max="16384" width="10.8984375" style="138"/>
  </cols>
  <sheetData>
    <row r="1" spans="2:48">
      <c r="AI1" s="142" t="s">
        <v>378</v>
      </c>
      <c r="AJ1" s="143" t="str">
        <f xml:space="preserve"> _xlfn.CONCAT("'", AC5:AC49, "'")</f>
        <v>' 34567'</v>
      </c>
      <c r="AK1" s="144"/>
      <c r="AL1" s="144"/>
      <c r="AM1" s="144"/>
      <c r="AN1" s="144"/>
      <c r="AO1" s="138">
        <f xml:space="preserve"> LEN(AJ1)-2</f>
        <v>6</v>
      </c>
    </row>
    <row r="2" spans="2:48">
      <c r="B2" s="146" t="s">
        <v>379</v>
      </c>
      <c r="I2" s="139" t="str">
        <f xml:space="preserve"> "- xlit|" &amp; I3 &amp; "|" &amp; J3 &amp; "|"</f>
        <v>- xlit| |1q!a2wsxyhbnedEgcuj8ik,9l0;-UJ*I&lt;(LMo/pm. 436743657|</v>
      </c>
      <c r="P2" s="146" t="s">
        <v>19</v>
      </c>
      <c r="V2" s="146" t="s">
        <v>380</v>
      </c>
      <c r="AB2" s="146" t="s">
        <v>381</v>
      </c>
      <c r="AI2" s="142" t="s">
        <v>382</v>
      </c>
      <c r="AJ2" s="143" t="str">
        <f xml:space="preserve"> _xlfn.CONCAT("'", AC5:AC43, "'")</f>
        <v>''</v>
      </c>
      <c r="AK2" s="144"/>
      <c r="AL2" s="144"/>
      <c r="AM2" s="144"/>
      <c r="AN2" s="144"/>
      <c r="AQ2" s="147"/>
      <c r="AR2" s="147"/>
      <c r="AS2" s="147"/>
      <c r="AT2" s="147"/>
      <c r="AU2" s="147"/>
      <c r="AV2" s="147"/>
    </row>
    <row r="3" spans="2:48">
      <c r="I3" s="139" t="s">
        <v>364</v>
      </c>
      <c r="J3" s="139" t="str">
        <f xml:space="preserve"> _xlfn.CONCAT(J5:J56)</f>
        <v>1q!a2wsxyhbnedEgcuj8ik,9l0;-UJ*I&lt;(LMo/pm. 436743657</v>
      </c>
      <c r="AQ3" s="147"/>
      <c r="AR3" s="147"/>
      <c r="AS3" s="36" t="s">
        <v>13</v>
      </c>
      <c r="AT3" s="36" t="s">
        <v>383</v>
      </c>
      <c r="AU3" s="53" t="s">
        <v>384</v>
      </c>
      <c r="AV3" s="147"/>
    </row>
    <row r="4" spans="2:48" s="127" customFormat="1" ht="30.75" thickBot="1">
      <c r="B4" s="149" t="s">
        <v>14</v>
      </c>
      <c r="C4" s="150" t="s">
        <v>342</v>
      </c>
      <c r="D4" s="151" t="s">
        <v>385</v>
      </c>
      <c r="E4" s="151" t="s">
        <v>386</v>
      </c>
      <c r="F4" s="152" t="s">
        <v>387</v>
      </c>
      <c r="G4" s="153" t="s">
        <v>388</v>
      </c>
      <c r="H4" s="154"/>
      <c r="I4" s="155" t="s">
        <v>387</v>
      </c>
      <c r="J4" s="156" t="s">
        <v>342</v>
      </c>
      <c r="K4" s="153"/>
      <c r="L4" s="157"/>
      <c r="M4" s="157"/>
      <c r="N4" s="157"/>
      <c r="P4" s="158" t="s">
        <v>14</v>
      </c>
      <c r="Q4" s="159" t="s">
        <v>342</v>
      </c>
      <c r="R4" s="160" t="s">
        <v>15</v>
      </c>
      <c r="S4" s="161" t="s">
        <v>388</v>
      </c>
      <c r="T4" s="155" t="s">
        <v>387</v>
      </c>
      <c r="V4" s="158" t="s">
        <v>14</v>
      </c>
      <c r="W4" s="159" t="s">
        <v>342</v>
      </c>
      <c r="X4" s="160" t="s">
        <v>15</v>
      </c>
      <c r="Y4" s="161" t="s">
        <v>388</v>
      </c>
      <c r="Z4" s="155" t="s">
        <v>387</v>
      </c>
      <c r="AB4" s="162" t="s">
        <v>14</v>
      </c>
      <c r="AC4" s="163" t="s">
        <v>342</v>
      </c>
      <c r="AD4" s="164" t="s">
        <v>15</v>
      </c>
      <c r="AE4" s="161" t="s">
        <v>388</v>
      </c>
      <c r="AF4" s="155" t="s">
        <v>387</v>
      </c>
      <c r="AI4" s="165"/>
      <c r="AQ4" s="145"/>
      <c r="AR4" s="166">
        <f t="shared" ref="AR4:AR46" si="0" xml:space="preserve"> ROW() - 3</f>
        <v>1</v>
      </c>
      <c r="AS4" s="167" t="s">
        <v>20</v>
      </c>
      <c r="AT4" s="168" t="s">
        <v>217</v>
      </c>
      <c r="AU4" s="169" t="s">
        <v>389</v>
      </c>
      <c r="AV4" s="145"/>
    </row>
    <row r="5" spans="2:48" ht="33" thickTop="1">
      <c r="B5" s="170">
        <f t="shared" ref="B5:B37" si="1" xml:space="preserve"> ROW() - 4</f>
        <v>1</v>
      </c>
      <c r="C5" s="109" t="s">
        <v>361</v>
      </c>
      <c r="D5" s="171" t="s">
        <v>20</v>
      </c>
      <c r="E5" s="26" t="s">
        <v>20</v>
      </c>
      <c r="F5" s="28" t="s">
        <v>217</v>
      </c>
      <c r="G5" s="108" t="s">
        <v>217</v>
      </c>
      <c r="H5" s="172"/>
      <c r="I5" s="34" t="str">
        <f>_xlfn.CONCAT(F5:F8)</f>
        <v>pbPm</v>
      </c>
      <c r="J5" s="71" t="str">
        <f xml:space="preserve"> _xlfn.CONCAT(C5:C8)</f>
        <v>1q!a</v>
      </c>
      <c r="K5" s="107" t="str">
        <f>"["""&amp;E5&amp;"""] = """&amp;G5&amp;""","</f>
        <v>["ㄅ"] = "p",</v>
      </c>
      <c r="L5" s="173"/>
      <c r="M5" s="173"/>
      <c r="N5" s="173"/>
      <c r="P5" s="87">
        <v>1</v>
      </c>
      <c r="Q5" s="109">
        <v>1</v>
      </c>
      <c r="R5" s="26" t="str" cm="1">
        <f t="array" ref="R5" xml:space="preserve"> IFERROR( INDEX($D$5:$D$65, MATCH(TRUE, EXACT($Q5, $C$5:$C$65),0)), "")</f>
        <v>ㄅ</v>
      </c>
      <c r="S5" s="108" t="str" cm="1">
        <f t="array" ref="S5" xml:space="preserve"> IFERROR( INDEX($G$9:$G$65, MATCH(TRUE, EXACT($Q5, $C$5:$C$65),0)), "")</f>
        <v>t</v>
      </c>
      <c r="T5" s="174" t="str" cm="1">
        <f t="array" ref="T5" xml:space="preserve"> IFERROR( INDEX($F$5:$F$65, MATCH(TRUE, EXACT($Q5, $C$5:$C$65),0)), "")</f>
        <v>p</v>
      </c>
      <c r="V5" s="87">
        <v>1</v>
      </c>
      <c r="W5" s="175" t="s">
        <v>390</v>
      </c>
      <c r="X5" s="26" t="str" cm="1">
        <f t="array" ref="X5" xml:space="preserve"> IFERROR( INDEX($D$5:$D$65, MATCH(TRUE, EXACT($W5, $C$5:$C$65),0)), "")</f>
        <v>ㄆ</v>
      </c>
      <c r="Y5" s="108" t="str" cm="1">
        <f t="array" ref="Y5" xml:space="preserve"> IFERROR( INDEX($G$9:$G$65, MATCH(TRUE, EXACT($W5, $C$5:$C$65),0)), "")</f>
        <v>n</v>
      </c>
      <c r="Z5" s="174" t="str" cm="1">
        <f t="array" ref="Z5" xml:space="preserve"> IFERROR( INDEX($F$5:$F$65, MATCH(TRUE, EXACT($W5, $C$5:$C$65),0)), "")</f>
        <v>P</v>
      </c>
      <c r="AB5" s="98">
        <f xml:space="preserve"> ROW() - 4</f>
        <v>1</v>
      </c>
      <c r="AC5" s="71"/>
      <c r="AD5" s="32"/>
      <c r="AE5" s="107"/>
      <c r="AF5" s="34"/>
      <c r="AI5" s="142" t="s">
        <v>391</v>
      </c>
      <c r="AL5" s="176" t="str">
        <f xml:space="preserve"> "- 'xlit|" &amp; AI6 &amp; "|" &amp; AI7 &amp; "|'"</f>
        <v>- 'xlit|132750| 34567|'</v>
      </c>
      <c r="AQ5" s="147"/>
      <c r="AR5" s="166">
        <f t="shared" si="0"/>
        <v>2</v>
      </c>
      <c r="AS5" s="167" t="s">
        <v>27</v>
      </c>
      <c r="AT5" s="168" t="s">
        <v>392</v>
      </c>
      <c r="AU5" s="169" t="s">
        <v>393</v>
      </c>
      <c r="AV5" s="147"/>
    </row>
    <row r="6" spans="2:48">
      <c r="B6" s="177">
        <f t="shared" si="1"/>
        <v>2</v>
      </c>
      <c r="C6" s="71" t="s">
        <v>353</v>
      </c>
      <c r="D6" s="178" t="s">
        <v>395</v>
      </c>
      <c r="E6" s="32" t="s">
        <v>27</v>
      </c>
      <c r="F6" s="117" t="s">
        <v>190</v>
      </c>
      <c r="G6" s="107" t="s">
        <v>190</v>
      </c>
      <c r="H6" s="172"/>
      <c r="I6" s="117"/>
      <c r="J6" s="71"/>
      <c r="K6" s="107" t="str">
        <f t="shared" ref="K6:K56" si="2">"["""&amp;E6&amp;"""] = """&amp;G6&amp;""","</f>
        <v>["ㆠ"] = "b",</v>
      </c>
      <c r="L6" s="173"/>
      <c r="M6" s="173"/>
      <c r="N6" s="173"/>
      <c r="P6" s="77">
        <f t="shared" ref="P6:P22" si="3">P5+1</f>
        <v>2</v>
      </c>
      <c r="Q6" s="71" t="s">
        <v>396</v>
      </c>
      <c r="R6" s="32" t="str" cm="1">
        <f t="array" ref="R6" xml:space="preserve"> IFERROR( INDEX($D$5:$D$65, MATCH(TRUE, EXACT($Q6, $C$5:$C$65),0)), "")</f>
        <v>ㄅㄏ</v>
      </c>
      <c r="S6" s="107" t="str" cm="1">
        <f t="array" ref="S6" xml:space="preserve"> IFERROR( INDEX($G$9:$G$65, MATCH(TRUE, EXACT($Q6, $C$5:$C$65),0)), "")</f>
        <v>th</v>
      </c>
      <c r="T6" s="179" t="str" cm="1">
        <f t="array" ref="T6" xml:space="preserve"> IFERROR( INDEX($F$5:$F$65, MATCH(TRUE, EXACT($Q6, $C$5:$C$65),0)), "")</f>
        <v>b</v>
      </c>
      <c r="V6" s="77">
        <f t="shared" ref="V6:V22" si="4">V5+1</f>
        <v>2</v>
      </c>
      <c r="W6" s="71" t="s">
        <v>397</v>
      </c>
      <c r="X6" s="32" t="str" cm="1">
        <f t="array" ref="X6" xml:space="preserve"> IFERROR( INDEX($D$5:$D$65, MATCH(TRUE, EXACT($W6, $C$5:$C$65),0)), "")</f>
        <v/>
      </c>
      <c r="Y6" s="107" t="str" cm="1">
        <f t="array" ref="Y6" xml:space="preserve"> IFERROR( INDEX($G$9:$G$65, MATCH(TRUE, EXACT($W6, $C$5:$C$65),0)), "")</f>
        <v/>
      </c>
      <c r="Z6" s="179" t="str" cm="1">
        <f t="array" ref="Z6" xml:space="preserve"> IFERROR( INDEX($F$5:$F$65, MATCH(TRUE, EXACT($W6, $C$5:$C$65),0)), "")</f>
        <v/>
      </c>
      <c r="AB6" s="98">
        <f t="shared" ref="AB6:AB49" si="5" xml:space="preserve"> ROW() - 4</f>
        <v>2</v>
      </c>
      <c r="AC6" s="71"/>
      <c r="AD6" s="32"/>
      <c r="AE6" s="107"/>
      <c r="AF6" s="34"/>
      <c r="AH6" s="180">
        <f xml:space="preserve"> LEN(AI6)</f>
        <v>6</v>
      </c>
      <c r="AI6" s="148" t="str">
        <f xml:space="preserve"> _xlfn.CONCAT($AF$5:$AF$49)</f>
        <v>132750</v>
      </c>
      <c r="AQ6" s="147"/>
      <c r="AR6" s="166">
        <f t="shared" si="0"/>
        <v>3</v>
      </c>
      <c r="AS6" s="167" t="s">
        <v>23</v>
      </c>
      <c r="AT6" s="168" t="s">
        <v>143</v>
      </c>
      <c r="AU6" s="169" t="s">
        <v>398</v>
      </c>
      <c r="AV6" s="147"/>
    </row>
    <row r="7" spans="2:48">
      <c r="B7" s="177">
        <f t="shared" si="1"/>
        <v>3</v>
      </c>
      <c r="C7" s="71" t="s">
        <v>394</v>
      </c>
      <c r="D7" s="178" t="str">
        <f>E7</f>
        <v>ㄆ</v>
      </c>
      <c r="E7" s="32" t="s">
        <v>399</v>
      </c>
      <c r="F7" s="34" t="s">
        <v>400</v>
      </c>
      <c r="G7" s="107" t="s">
        <v>392</v>
      </c>
      <c r="H7" s="172"/>
      <c r="I7" s="34"/>
      <c r="J7" s="71"/>
      <c r="K7" s="107" t="str">
        <f t="shared" si="2"/>
        <v>["ㄆ"] = "ph",</v>
      </c>
      <c r="L7" s="173"/>
      <c r="M7" s="173"/>
      <c r="N7" s="173"/>
      <c r="P7" s="77">
        <f t="shared" si="3"/>
        <v>3</v>
      </c>
      <c r="Q7" s="71" t="s">
        <v>59</v>
      </c>
      <c r="R7" s="32" t="str" cm="1">
        <f t="array" ref="R7" xml:space="preserve"> IFERROR( INDEX($D$5:$D$65, MATCH(TRUE, EXACT($Q7, $C$5:$C$65),0)), "")</f>
        <v>ㄇ</v>
      </c>
      <c r="S7" s="107" t="str" cm="1">
        <f t="array" ref="S7" xml:space="preserve"> IFERROR( INDEX($G$9:$G$65, MATCH(TRUE, EXACT($Q7, $C$5:$C$65),0)), "")</f>
        <v>l</v>
      </c>
      <c r="T7" s="181" t="str" cm="1">
        <f t="array" ref="T7" xml:space="preserve"> IFERROR( INDEX($F$5:$F$65, MATCH(TRUE, EXACT($Q7, $C$5:$C$65),0)), "")</f>
        <v>m</v>
      </c>
      <c r="V7" s="77">
        <f t="shared" si="4"/>
        <v>3</v>
      </c>
      <c r="W7" s="71" t="s">
        <v>401</v>
      </c>
      <c r="X7" s="32" t="str" cm="1">
        <f t="array" ref="X7" xml:space="preserve"> IFERROR( INDEX($D$5:$D$65, MATCH(TRUE, EXACT($W7, $C$5:$C$65),0)), "")</f>
        <v/>
      </c>
      <c r="Y7" s="107" t="str" cm="1">
        <f t="array" ref="Y7" xml:space="preserve"> IFERROR( INDEX($G$9:$G$65, MATCH(TRUE, EXACT($W7, $C$5:$C$65),0)), "")</f>
        <v/>
      </c>
      <c r="Z7" s="181" t="str" cm="1">
        <f t="array" ref="Z7" xml:space="preserve"> IFERROR( INDEX($F$5:$F$65, MATCH(TRUE, EXACT($W7, $C$5:$C$65),0)), "")</f>
        <v/>
      </c>
      <c r="AB7" s="98">
        <f t="shared" si="5"/>
        <v>3</v>
      </c>
      <c r="AC7" s="71"/>
      <c r="AD7" s="32"/>
      <c r="AE7" s="107"/>
      <c r="AF7" s="117"/>
      <c r="AH7" s="180">
        <f xml:space="preserve"> LEN(AI7)</f>
        <v>6</v>
      </c>
      <c r="AI7" s="148" t="str">
        <f xml:space="preserve"> _xlfn.CONCAT($AC$5:$AC$49)</f>
        <v xml:space="preserve"> 34567</v>
      </c>
      <c r="AR7" s="166">
        <f t="shared" si="0"/>
        <v>4</v>
      </c>
      <c r="AS7" s="167" t="s">
        <v>83</v>
      </c>
      <c r="AT7" s="168" t="s">
        <v>190</v>
      </c>
      <c r="AU7" s="169" t="s">
        <v>402</v>
      </c>
    </row>
    <row r="8" spans="2:48">
      <c r="B8" s="182">
        <f t="shared" si="1"/>
        <v>4</v>
      </c>
      <c r="C8" s="73" t="s">
        <v>351</v>
      </c>
      <c r="D8" s="183" t="str">
        <f>E8</f>
        <v>ㄇ</v>
      </c>
      <c r="E8" s="42" t="s">
        <v>83</v>
      </c>
      <c r="F8" s="44" t="s">
        <v>143</v>
      </c>
      <c r="G8" s="184" t="s">
        <v>84</v>
      </c>
      <c r="H8" s="185"/>
      <c r="I8" s="34"/>
      <c r="J8" s="71"/>
      <c r="K8" s="107" t="str">
        <f t="shared" si="2"/>
        <v>["ㄇ"] = "m",</v>
      </c>
      <c r="L8" s="186"/>
      <c r="M8" s="186"/>
      <c r="N8" s="186"/>
      <c r="P8" s="78">
        <f t="shared" si="3"/>
        <v>4</v>
      </c>
      <c r="Q8" s="73" t="s">
        <v>366</v>
      </c>
      <c r="R8" s="42" t="str" cm="1">
        <f t="array" ref="R8" xml:space="preserve"> IFERROR( INDEX($D$5:$D$65, MATCH(TRUE, EXACT($Q8, $C$5:$C$65),0)), "")</f>
        <v/>
      </c>
      <c r="S8" s="105" t="str" cm="1">
        <f t="array" ref="S8" xml:space="preserve"> IFERROR( INDEX($G$9:$G$65, MATCH(TRUE, EXACT($Q8, $C$5:$C$65),0)), "")</f>
        <v/>
      </c>
      <c r="T8" s="187" t="str" cm="1">
        <f t="array" ref="T8" xml:space="preserve"> IFERROR( INDEX($F$5:$F$65, MATCH(TRUE, EXACT($Q8, $C$5:$C$65),0)), "")</f>
        <v/>
      </c>
      <c r="V8" s="78">
        <f t="shared" si="4"/>
        <v>4</v>
      </c>
      <c r="W8" s="73" t="s">
        <v>367</v>
      </c>
      <c r="X8" s="42" t="str" cm="1">
        <f t="array" ref="X8" xml:space="preserve"> IFERROR( INDEX($D$5:$D$65, MATCH(TRUE, EXACT($W8, $C$5:$C$65),0)), "")</f>
        <v/>
      </c>
      <c r="Y8" s="105" t="str" cm="1">
        <f t="array" ref="Y8" xml:space="preserve"> IFERROR( INDEX($G$9:$G$65, MATCH(TRUE, EXACT($W8, $C$5:$C$65),0)), "")</f>
        <v/>
      </c>
      <c r="Z8" s="187" t="str" cm="1">
        <f t="array" ref="Z8" xml:space="preserve"> IFERROR( INDEX($F$5:$F$65, MATCH(TRUE, EXACT($W8, $C$5:$C$65),0)), "")</f>
        <v/>
      </c>
      <c r="AB8" s="98">
        <f t="shared" si="5"/>
        <v>4</v>
      </c>
      <c r="AC8" s="71"/>
      <c r="AD8" s="32"/>
      <c r="AE8" s="107"/>
      <c r="AF8" s="34"/>
      <c r="AQ8" s="147"/>
      <c r="AR8" s="166">
        <f t="shared" si="0"/>
        <v>5</v>
      </c>
      <c r="AS8" s="167" t="s">
        <v>29</v>
      </c>
      <c r="AT8" s="168" t="s">
        <v>30</v>
      </c>
      <c r="AU8" s="169" t="s">
        <v>403</v>
      </c>
      <c r="AV8" s="147"/>
    </row>
    <row r="9" spans="2:48">
      <c r="B9" s="170">
        <f t="shared" si="1"/>
        <v>5</v>
      </c>
      <c r="C9" s="109" t="s">
        <v>347</v>
      </c>
      <c r="D9" s="26" t="s">
        <v>29</v>
      </c>
      <c r="E9" s="171" t="str">
        <f>D9</f>
        <v>ㄉ</v>
      </c>
      <c r="F9" s="28" t="s">
        <v>30</v>
      </c>
      <c r="G9" s="108" t="s">
        <v>30</v>
      </c>
      <c r="H9" s="172"/>
      <c r="I9" s="28" t="str">
        <f>_xlfn.CONCAT(F9:F12)</f>
        <v>tTnl</v>
      </c>
      <c r="J9" s="109" t="str">
        <f xml:space="preserve"> _xlfn.CONCAT(C9:C12)</f>
        <v>2wsx</v>
      </c>
      <c r="K9" s="107" t="str">
        <f t="shared" si="2"/>
        <v>["ㄉ"] = "t",</v>
      </c>
      <c r="L9" s="173"/>
      <c r="M9" s="173"/>
      <c r="N9" s="173"/>
      <c r="P9" s="87">
        <f t="shared" si="3"/>
        <v>5</v>
      </c>
      <c r="Q9" s="109">
        <v>2</v>
      </c>
      <c r="R9" s="26" t="str" cm="1">
        <f t="array" ref="R9" xml:space="preserve"> IFERROR( INDEX($D$5:$D$65, MATCH(TRUE, EXACT($Q9, $C$5:$C$65),0)), "")</f>
        <v>ㄉ</v>
      </c>
      <c r="S9" s="108" t="str" cm="1">
        <f t="array" ref="S9" xml:space="preserve"> IFERROR( INDEX($G$9:$G$65, MATCH(TRUE, EXACT($Q9, $C$5:$C$65),0)), "")</f>
        <v>k</v>
      </c>
      <c r="T9" s="174" t="str" cm="1">
        <f t="array" ref="T9" xml:space="preserve"> IFERROR( INDEX($F$5:$F$65, MATCH(TRUE, EXACT($Q9, $C$5:$C$65),0)), "")</f>
        <v>t</v>
      </c>
      <c r="V9" s="87">
        <f t="shared" si="4"/>
        <v>5</v>
      </c>
      <c r="W9" s="188" t="s">
        <v>404</v>
      </c>
      <c r="X9" s="26" t="str" cm="1">
        <f t="array" ref="X9" xml:space="preserve"> IFERROR( INDEX($D$5:$D$65, MATCH(TRUE, EXACT($W9, $C$5:$C$65),0)), "")</f>
        <v/>
      </c>
      <c r="Y9" s="108" t="str" cm="1">
        <f t="array" ref="Y9" xml:space="preserve"> IFERROR( INDEX($G$9:$G$65, MATCH(TRUE, EXACT($W9, $C$5:$C$65),0)), "")</f>
        <v/>
      </c>
      <c r="Z9" s="174" t="str" cm="1">
        <f t="array" ref="Z9" xml:space="preserve"> IFERROR( INDEX($F$5:$F$65, MATCH(TRUE, EXACT($W9, $C$5:$C$65),0)), "")</f>
        <v/>
      </c>
      <c r="AB9" s="98">
        <f t="shared" si="5"/>
        <v>5</v>
      </c>
      <c r="AC9" s="71"/>
      <c r="AD9" s="32"/>
      <c r="AE9" s="107"/>
      <c r="AF9" s="34"/>
      <c r="AI9" s="142" t="s">
        <v>405</v>
      </c>
      <c r="AL9" s="176" t="str">
        <f xml:space="preserve"> "- 'xlit|" &amp; AI10 &amp; "|" &amp; AI11 &amp; "|'"</f>
        <v>- 'xlit|34567|˪ˋ˫ˊ．|'</v>
      </c>
      <c r="AQ9" s="147"/>
      <c r="AR9" s="166">
        <f t="shared" si="0"/>
        <v>6</v>
      </c>
      <c r="AS9" s="167" t="s">
        <v>31</v>
      </c>
      <c r="AT9" s="168" t="s">
        <v>32</v>
      </c>
      <c r="AU9" s="169" t="s">
        <v>406</v>
      </c>
      <c r="AV9" s="147"/>
    </row>
    <row r="10" spans="2:48">
      <c r="B10" s="177">
        <f t="shared" si="1"/>
        <v>6</v>
      </c>
      <c r="C10" s="71" t="s">
        <v>341</v>
      </c>
      <c r="D10" s="32" t="s">
        <v>407</v>
      </c>
      <c r="E10" s="178" t="str">
        <f>D10</f>
        <v>ㄊ</v>
      </c>
      <c r="F10" s="34" t="s">
        <v>408</v>
      </c>
      <c r="G10" s="107" t="s">
        <v>32</v>
      </c>
      <c r="H10" s="172"/>
      <c r="I10" s="34"/>
      <c r="J10" s="71"/>
      <c r="K10" s="107" t="str">
        <f t="shared" si="2"/>
        <v>["ㄊ"] = "th",</v>
      </c>
      <c r="L10" s="173"/>
      <c r="M10" s="173"/>
      <c r="N10" s="173"/>
      <c r="P10" s="77">
        <f t="shared" si="3"/>
        <v>6</v>
      </c>
      <c r="Q10" s="71" t="s">
        <v>409</v>
      </c>
      <c r="R10" s="32" t="str" cm="1">
        <f t="array" ref="R10" xml:space="preserve"> IFERROR( INDEX($D$5:$D$65, MATCH(TRUE, EXACT($Q10, $C$5:$C$65),0)), "")</f>
        <v>ㄊ</v>
      </c>
      <c r="S10" s="107" t="str" cm="1">
        <f t="array" ref="S10" xml:space="preserve"> IFERROR( INDEX($G$9:$G$65, MATCH(TRUE, EXACT($Q10, $C$5:$C$65),0)), "")</f>
        <v>g</v>
      </c>
      <c r="T10" s="179" t="str" cm="1">
        <f t="array" ref="T10" xml:space="preserve"> IFERROR( INDEX($F$5:$F$65, MATCH(TRUE, EXACT($Q10, $C$5:$C$65),0)), "")</f>
        <v>T</v>
      </c>
      <c r="V10" s="77">
        <f t="shared" si="4"/>
        <v>6</v>
      </c>
      <c r="W10" s="71" t="s">
        <v>410</v>
      </c>
      <c r="X10" s="32" t="str" cm="1">
        <f t="array" ref="X10" xml:space="preserve"> IFERROR( INDEX($D$5:$D$65, MATCH(TRUE, EXACT($W10, $C$5:$C$65),0)), "")</f>
        <v/>
      </c>
      <c r="Y10" s="107" t="str" cm="1">
        <f t="array" ref="Y10" xml:space="preserve"> IFERROR( INDEX($G$9:$G$65, MATCH(TRUE, EXACT($W10, $C$5:$C$65),0)), "")</f>
        <v/>
      </c>
      <c r="Z10" s="179" t="str" cm="1">
        <f t="array" ref="Z10" xml:space="preserve"> IFERROR( INDEX($F$5:$F$65, MATCH(TRUE, EXACT($W10, $C$5:$C$65),0)), "")</f>
        <v/>
      </c>
      <c r="AB10" s="98">
        <f t="shared" si="5"/>
        <v>6</v>
      </c>
      <c r="AC10" s="71"/>
      <c r="AD10" s="32"/>
      <c r="AE10" s="107"/>
      <c r="AF10" s="34"/>
      <c r="AH10" s="180">
        <f xml:space="preserve"> LEN(AI10)</f>
        <v>5</v>
      </c>
      <c r="AI10" s="148" t="str">
        <f xml:space="preserve"> _xlfn.CONCAT($AC$5:$AC$43, AC45:AC49)</f>
        <v>34567</v>
      </c>
      <c r="AR10" s="166">
        <f t="shared" si="0"/>
        <v>7</v>
      </c>
      <c r="AS10" s="167" t="s">
        <v>33</v>
      </c>
      <c r="AT10" s="168" t="s">
        <v>34</v>
      </c>
      <c r="AU10" s="169" t="s">
        <v>411</v>
      </c>
    </row>
    <row r="11" spans="2:48">
      <c r="B11" s="177">
        <f t="shared" si="1"/>
        <v>7</v>
      </c>
      <c r="C11" s="71" t="s">
        <v>338</v>
      </c>
      <c r="D11" s="32" t="s">
        <v>33</v>
      </c>
      <c r="E11" s="178" t="str">
        <f>D11</f>
        <v>ㄋ</v>
      </c>
      <c r="F11" s="34" t="s">
        <v>34</v>
      </c>
      <c r="G11" s="107" t="s">
        <v>34</v>
      </c>
      <c r="H11" s="172"/>
      <c r="I11" s="34"/>
      <c r="J11" s="71"/>
      <c r="K11" s="107" t="str">
        <f t="shared" si="2"/>
        <v>["ㄋ"] = "n",</v>
      </c>
      <c r="L11" s="173"/>
      <c r="M11" s="173"/>
      <c r="N11" s="173"/>
      <c r="P11" s="77">
        <f t="shared" si="3"/>
        <v>7</v>
      </c>
      <c r="Q11" s="71" t="s">
        <v>51</v>
      </c>
      <c r="R11" s="32" t="str" cm="1">
        <f t="array" ref="R11" xml:space="preserve"> IFERROR( INDEX($D$5:$D$65, MATCH(TRUE, EXACT($Q11, $C$5:$C$65),0)), "")</f>
        <v>ㄋ</v>
      </c>
      <c r="S11" s="107" t="str" cm="1">
        <f t="array" ref="S11" xml:space="preserve"> IFERROR( INDEX($G$9:$G$65, MATCH(TRUE, EXACT($Q11, $C$5:$C$65),0)), "")</f>
        <v>kh</v>
      </c>
      <c r="T11" s="181" t="str" cm="1">
        <f t="array" ref="T11" xml:space="preserve"> IFERROR( INDEX($F$5:$F$65, MATCH(TRUE, EXACT($Q11, $C$5:$C$65),0)), "")</f>
        <v>n</v>
      </c>
      <c r="V11" s="77">
        <f t="shared" si="4"/>
        <v>7</v>
      </c>
      <c r="W11" s="71" t="s">
        <v>369</v>
      </c>
      <c r="X11" s="32" t="str" cm="1">
        <f t="array" ref="X11" xml:space="preserve"> IFERROR( INDEX($D$5:$D$65, MATCH(TRUE, EXACT($W11, $C$5:$C$65),0)), "")</f>
        <v/>
      </c>
      <c r="Y11" s="107" t="str" cm="1">
        <f t="array" ref="Y11" xml:space="preserve"> IFERROR( INDEX($G$9:$G$65, MATCH(TRUE, EXACT($W11, $C$5:$C$65),0)), "")</f>
        <v/>
      </c>
      <c r="Z11" s="181" t="str" cm="1">
        <f t="array" ref="Z11" xml:space="preserve"> IFERROR( INDEX($F$5:$F$65, MATCH(TRUE, EXACT($W11, $C$5:$C$65),0)), "")</f>
        <v/>
      </c>
      <c r="AB11" s="98">
        <f t="shared" si="5"/>
        <v>7</v>
      </c>
      <c r="AC11" s="71"/>
      <c r="AD11" s="32"/>
      <c r="AE11" s="107"/>
      <c r="AF11" s="117"/>
      <c r="AH11" s="180">
        <f xml:space="preserve"> LEN(AI11)</f>
        <v>5</v>
      </c>
      <c r="AI11" s="189" t="str">
        <f xml:space="preserve"> _xlfn.CONCAT($AD$5:$AD$43, AD45:AD49)</f>
        <v>˪ˋ˫ˊ．</v>
      </c>
      <c r="AQ11" s="147"/>
      <c r="AR11" s="166">
        <f t="shared" si="0"/>
        <v>8</v>
      </c>
      <c r="AS11" s="167" t="s">
        <v>85</v>
      </c>
      <c r="AT11" s="168" t="s">
        <v>86</v>
      </c>
      <c r="AU11" s="169" t="s">
        <v>412</v>
      </c>
      <c r="AV11" s="147"/>
    </row>
    <row r="12" spans="2:48">
      <c r="B12" s="182">
        <f t="shared" si="1"/>
        <v>8</v>
      </c>
      <c r="C12" s="73" t="s">
        <v>332</v>
      </c>
      <c r="D12" s="42" t="s">
        <v>85</v>
      </c>
      <c r="E12" s="183" t="str">
        <f>D12</f>
        <v>ㄌ</v>
      </c>
      <c r="F12" s="44" t="s">
        <v>86</v>
      </c>
      <c r="G12" s="105" t="s">
        <v>86</v>
      </c>
      <c r="H12" s="172"/>
      <c r="I12" s="34"/>
      <c r="J12" s="71"/>
      <c r="K12" s="107" t="str">
        <f t="shared" si="2"/>
        <v>["ㄌ"] = "l",</v>
      </c>
      <c r="L12" s="173"/>
      <c r="M12" s="173"/>
      <c r="N12" s="173"/>
      <c r="P12" s="78">
        <f t="shared" si="3"/>
        <v>8</v>
      </c>
      <c r="Q12" s="73" t="s">
        <v>413</v>
      </c>
      <c r="R12" s="42" t="str" cm="1">
        <f t="array" ref="R12" xml:space="preserve"> IFERROR( INDEX($D$5:$D$65, MATCH(TRUE, EXACT($Q12, $C$5:$C$65),0)), "")</f>
        <v>ㄌ</v>
      </c>
      <c r="S12" s="105" t="str" cm="1">
        <f t="array" ref="S12" xml:space="preserve"> IFERROR( INDEX($G$9:$G$65, MATCH(TRUE, EXACT($Q12, $C$5:$C$65),0)), "")</f>
        <v>ng</v>
      </c>
      <c r="T12" s="187" t="str" cm="1">
        <f t="array" ref="T12" xml:space="preserve"> IFERROR( INDEX($F$5:$F$65, MATCH(TRUE, EXACT($Q12, $C$5:$C$65),0)), "")</f>
        <v>l</v>
      </c>
      <c r="V12" s="78">
        <f t="shared" si="4"/>
        <v>8</v>
      </c>
      <c r="W12" s="73" t="s">
        <v>414</v>
      </c>
      <c r="X12" s="42" t="str" cm="1">
        <f t="array" ref="X12" xml:space="preserve"> IFERROR( INDEX($D$5:$D$65, MATCH(TRUE, EXACT($W12, $C$5:$C$65),0)), "")</f>
        <v/>
      </c>
      <c r="Y12" s="105" t="str" cm="1">
        <f t="array" ref="Y12" xml:space="preserve"> IFERROR( INDEX($G$9:$G$65, MATCH(TRUE, EXACT($W12, $C$5:$C$65),0)), "")</f>
        <v/>
      </c>
      <c r="Z12" s="187" t="str" cm="1">
        <f t="array" ref="Z12" xml:space="preserve"> IFERROR( INDEX($F$5:$F$65, MATCH(TRUE, EXACT($W12, $C$5:$C$65),0)), "")</f>
        <v/>
      </c>
      <c r="AB12" s="98">
        <f t="shared" si="5"/>
        <v>8</v>
      </c>
      <c r="AC12" s="71"/>
      <c r="AD12" s="32"/>
      <c r="AE12" s="107"/>
      <c r="AF12" s="34"/>
      <c r="AQ12" s="147"/>
      <c r="AR12" s="166">
        <f t="shared" si="0"/>
        <v>9</v>
      </c>
      <c r="AS12" s="167" t="s">
        <v>36</v>
      </c>
      <c r="AT12" s="168" t="s">
        <v>37</v>
      </c>
      <c r="AU12" s="169" t="s">
        <v>415</v>
      </c>
      <c r="AV12" s="147"/>
    </row>
    <row r="13" spans="2:48">
      <c r="B13" s="170">
        <f t="shared" si="1"/>
        <v>9</v>
      </c>
      <c r="C13" s="109" t="s">
        <v>588</v>
      </c>
      <c r="D13" s="171" t="str">
        <f>E13</f>
        <v>ㄍ</v>
      </c>
      <c r="E13" s="26" t="s">
        <v>36</v>
      </c>
      <c r="F13" s="28" t="s">
        <v>37</v>
      </c>
      <c r="G13" s="108" t="s">
        <v>37</v>
      </c>
      <c r="H13" s="172"/>
      <c r="I13" s="28" t="str">
        <f>_xlfn.CONCAT(F13:F16)</f>
        <v>kgKw</v>
      </c>
      <c r="J13" s="109" t="str">
        <f xml:space="preserve"> _xlfn.CONCAT(C13:C16)</f>
        <v>yhbn</v>
      </c>
      <c r="K13" s="107" t="str">
        <f t="shared" si="2"/>
        <v>["ㄍ"] = "k",</v>
      </c>
      <c r="L13" s="173"/>
      <c r="M13" s="173"/>
      <c r="N13" s="173"/>
      <c r="P13" s="87">
        <f t="shared" si="3"/>
        <v>9</v>
      </c>
      <c r="Q13" s="109">
        <v>3</v>
      </c>
      <c r="R13" s="26" t="str" cm="1">
        <f t="array" ref="R13" xml:space="preserve"> IFERROR( INDEX($D$5:$D$65, MATCH(TRUE, EXACT($Q13, $C$5:$C$65),0)), "")</f>
        <v>ㄇ</v>
      </c>
      <c r="S13" s="108" cm="1">
        <f t="array" ref="S13" xml:space="preserve"> IFERROR( INDEX($G$9:$G$65, MATCH(TRUE, EXACT($Q13, $C$5:$C$65),0)), "")</f>
        <v>2</v>
      </c>
      <c r="T13" s="174" t="str" cm="1">
        <f t="array" ref="T13" xml:space="preserve"> IFERROR( INDEX($F$5:$F$65, MATCH(TRUE, EXACT($Q13, $C$5:$C$65),0)), "")</f>
        <v>M</v>
      </c>
      <c r="V13" s="87">
        <f t="shared" si="4"/>
        <v>9</v>
      </c>
      <c r="W13" s="188" t="s">
        <v>416</v>
      </c>
      <c r="X13" s="26" t="str" cm="1">
        <f t="array" ref="X13" xml:space="preserve"> IFERROR( INDEX($D$5:$D$65, MATCH(TRUE, EXACT($W13, $C$5:$C$65),0)), "")</f>
        <v/>
      </c>
      <c r="Y13" s="108" t="str" cm="1">
        <f t="array" ref="Y13" xml:space="preserve"> IFERROR( INDEX($G$9:$G$65, MATCH(TRUE, EXACT($W13, $C$5:$C$65),0)), "")</f>
        <v/>
      </c>
      <c r="Z13" s="174" t="str" cm="1">
        <f t="array" ref="Z13" xml:space="preserve"> IFERROR( INDEX($F$5:$F$65, MATCH(TRUE, EXACT($W13, $C$5:$C$65),0)), "")</f>
        <v/>
      </c>
      <c r="AB13" s="98">
        <f t="shared" si="5"/>
        <v>9</v>
      </c>
      <c r="AC13" s="71"/>
      <c r="AD13" s="32"/>
      <c r="AE13" s="107"/>
      <c r="AF13" s="34"/>
      <c r="AI13" s="142" t="s">
        <v>417</v>
      </c>
      <c r="AL13" s="176" t="str">
        <f xml:space="preserve"> "- 'xlit|" &amp; AI14 &amp; "|" &amp; AI15 &amp; "|'"</f>
        <v>- 'xlit|132750| ˪ˋ˫ˊ．|'</v>
      </c>
      <c r="AR13" s="166">
        <f t="shared" si="0"/>
        <v>10</v>
      </c>
      <c r="AS13" s="167" t="s">
        <v>36</v>
      </c>
      <c r="AT13" s="168" t="s">
        <v>418</v>
      </c>
      <c r="AU13" s="169" t="s">
        <v>419</v>
      </c>
    </row>
    <row r="14" spans="2:48">
      <c r="B14" s="177">
        <f t="shared" si="1"/>
        <v>10</v>
      </c>
      <c r="C14" s="71" t="s">
        <v>422</v>
      </c>
      <c r="D14" s="178" t="s">
        <v>420</v>
      </c>
      <c r="E14" s="32" t="s">
        <v>41</v>
      </c>
      <c r="F14" s="34" t="s">
        <v>184</v>
      </c>
      <c r="G14" s="107" t="s">
        <v>184</v>
      </c>
      <c r="H14" s="172"/>
      <c r="I14" s="34"/>
      <c r="J14" s="71"/>
      <c r="K14" s="107" t="str">
        <f t="shared" si="2"/>
        <v>["ㆣ"] = "g",</v>
      </c>
      <c r="L14" s="173"/>
      <c r="M14" s="173"/>
      <c r="N14" s="173"/>
      <c r="O14" s="138" t="s">
        <v>364</v>
      </c>
      <c r="P14" s="77">
        <f t="shared" si="3"/>
        <v>10</v>
      </c>
      <c r="Q14" s="71" t="s">
        <v>62</v>
      </c>
      <c r="R14" s="32" t="str" cm="1">
        <f t="array" ref="R14" xml:space="preserve"> IFERROR( INDEX($D$5:$D$65, MATCH(TRUE, EXACT($Q14, $C$5:$C$65),0)), "")</f>
        <v>ㄗ</v>
      </c>
      <c r="S14" s="107" t="str" cm="1">
        <f t="array" ref="S14" xml:space="preserve"> IFERROR( INDEX($G$9:$G$65, MATCH(TRUE, EXACT($Q14, $C$5:$C$65),0)), "")</f>
        <v>zi-</v>
      </c>
      <c r="T14" s="179" t="str" cm="1">
        <f t="array" ref="T14" xml:space="preserve"> IFERROR( INDEX($F$5:$F$65, MATCH(TRUE, EXACT($Q14, $C$5:$C$65),0)), "")</f>
        <v>z</v>
      </c>
      <c r="V14" s="77">
        <f t="shared" si="4"/>
        <v>10</v>
      </c>
      <c r="W14" s="71" t="s">
        <v>421</v>
      </c>
      <c r="X14" s="32" t="str" cm="1">
        <f t="array" ref="X14" xml:space="preserve"> IFERROR( INDEX($D$5:$D$65, MATCH(TRUE, EXACT($W14, $C$5:$C$65),0)), "")</f>
        <v>ㄙ</v>
      </c>
      <c r="Y14" s="107" t="str" cm="1">
        <f t="array" ref="Y14" xml:space="preserve"> IFERROR( INDEX($G$9:$G$65, MATCH(TRUE, EXACT($W14, $C$5:$C$65),0)), "")</f>
        <v>si-</v>
      </c>
      <c r="Z14" s="179" t="str" cm="1">
        <f t="array" ref="Z14" xml:space="preserve"> IFERROR( INDEX($F$5:$F$65, MATCH(TRUE, EXACT($W14, $C$5:$C$65),0)), "")</f>
        <v>s</v>
      </c>
      <c r="AB14" s="98">
        <f t="shared" si="5"/>
        <v>10</v>
      </c>
      <c r="AC14" s="71"/>
      <c r="AD14" s="32"/>
      <c r="AE14" s="107"/>
      <c r="AF14" s="34"/>
      <c r="AH14" s="180">
        <f xml:space="preserve"> LEN(AI14)</f>
        <v>6</v>
      </c>
      <c r="AI14" s="148" t="str">
        <f xml:space="preserve"> _xlfn.CONCAT($AF$5:$AF$49)</f>
        <v>132750</v>
      </c>
      <c r="AR14" s="166">
        <f t="shared" si="0"/>
        <v>11</v>
      </c>
      <c r="AS14" s="167" t="s">
        <v>38</v>
      </c>
      <c r="AT14" s="168" t="s">
        <v>422</v>
      </c>
      <c r="AU14" s="169" t="s">
        <v>423</v>
      </c>
    </row>
    <row r="15" spans="2:48">
      <c r="B15" s="177">
        <f t="shared" si="1"/>
        <v>11</v>
      </c>
      <c r="C15" s="71" t="s">
        <v>190</v>
      </c>
      <c r="D15" s="178" t="str">
        <f>E15</f>
        <v>ㄎ</v>
      </c>
      <c r="E15" s="32" t="s">
        <v>424</v>
      </c>
      <c r="F15" s="34" t="s">
        <v>425</v>
      </c>
      <c r="G15" s="107" t="s">
        <v>418</v>
      </c>
      <c r="H15" s="172"/>
      <c r="I15" s="34"/>
      <c r="J15" s="71"/>
      <c r="K15" s="107" t="str">
        <f t="shared" si="2"/>
        <v>["ㄎ"] = "kh",</v>
      </c>
      <c r="L15" s="173"/>
      <c r="M15" s="173"/>
      <c r="N15" s="173"/>
      <c r="P15" s="77">
        <f t="shared" si="3"/>
        <v>11</v>
      </c>
      <c r="Q15" s="71" t="s">
        <v>328</v>
      </c>
      <c r="R15" s="32" t="str" cm="1">
        <f t="array" ref="R15" xml:space="preserve"> IFERROR( INDEX($D$5:$D$65, MATCH(TRUE, EXACT($Q15, $C$5:$C$65),0)), "")</f>
        <v>ㄘ</v>
      </c>
      <c r="S15" s="107" t="str" cm="1">
        <f t="array" ref="S15" xml:space="preserve"> IFERROR( INDEX($G$9:$G$65, MATCH(TRUE, EXACT($Q15, $C$5:$C$65),0)), "")</f>
        <v>ci-</v>
      </c>
      <c r="T15" s="181" t="str" cm="1">
        <f t="array" ref="T15" xml:space="preserve"> IFERROR( INDEX($F$5:$F$65, MATCH(TRUE, EXACT($Q15, $C$5:$C$65),0)), "")</f>
        <v>c</v>
      </c>
      <c r="V15" s="77">
        <f t="shared" si="4"/>
        <v>11</v>
      </c>
      <c r="W15" s="71" t="s">
        <v>426</v>
      </c>
      <c r="X15" s="32" t="str" cm="1">
        <f t="array" ref="X15" xml:space="preserve"> IFERROR( INDEX($D$5:$D$65, MATCH(TRUE, EXACT($W15, $C$5:$C$65),0)), "")</f>
        <v/>
      </c>
      <c r="Y15" s="107" t="str" cm="1">
        <f t="array" ref="Y15" xml:space="preserve"> IFERROR( INDEX($G$9:$G$65, MATCH(TRUE, EXACT($W15, $C$5:$C$65),0)), "")</f>
        <v/>
      </c>
      <c r="Z15" s="181" t="str" cm="1">
        <f t="array" ref="Z15" xml:space="preserve"> IFERROR( INDEX($F$5:$F$65, MATCH(TRUE, EXACT($W15, $C$5:$C$65),0)), "")</f>
        <v/>
      </c>
      <c r="AB15" s="98">
        <f t="shared" si="5"/>
        <v>11</v>
      </c>
      <c r="AC15" s="71"/>
      <c r="AD15" s="32"/>
      <c r="AE15" s="107"/>
      <c r="AF15" s="117"/>
      <c r="AH15" s="180">
        <f xml:space="preserve"> LEN(AI15)</f>
        <v>6</v>
      </c>
      <c r="AI15" s="148" t="str">
        <f xml:space="preserve"> _xlfn.CONCAT($AD$5:$AD$49)</f>
        <v xml:space="preserve"> ˪ˋ˫ˊ．</v>
      </c>
      <c r="AQ15" s="190"/>
      <c r="AR15" s="166">
        <f t="shared" si="0"/>
        <v>12</v>
      </c>
      <c r="AS15" s="167" t="s">
        <v>38</v>
      </c>
      <c r="AT15" s="168" t="s">
        <v>427</v>
      </c>
      <c r="AU15" s="169" t="s">
        <v>428</v>
      </c>
      <c r="AV15" s="190"/>
    </row>
    <row r="16" spans="2:48">
      <c r="B16" s="182">
        <f t="shared" si="1"/>
        <v>12</v>
      </c>
      <c r="C16" s="73" t="s">
        <v>34</v>
      </c>
      <c r="D16" s="191" t="s">
        <v>127</v>
      </c>
      <c r="E16" s="192" t="s">
        <v>87</v>
      </c>
      <c r="F16" s="44" t="s">
        <v>341</v>
      </c>
      <c r="G16" s="105" t="s">
        <v>140</v>
      </c>
      <c r="H16" s="172"/>
      <c r="I16" s="44"/>
      <c r="J16" s="73"/>
      <c r="K16" s="107" t="str">
        <f t="shared" si="2"/>
        <v>["ㄫ"] = "ng",</v>
      </c>
      <c r="L16" s="173"/>
      <c r="M16" s="173"/>
      <c r="N16" s="173"/>
      <c r="P16" s="78">
        <f t="shared" si="3"/>
        <v>12</v>
      </c>
      <c r="Q16" s="73" t="s">
        <v>287</v>
      </c>
      <c r="R16" s="42" t="str" cm="1">
        <f t="array" ref="R16" xml:space="preserve"> IFERROR( INDEX($D$5:$D$65, MATCH(TRUE, EXACT($Q16, $C$5:$C$65),0)), "")</f>
        <v>ㄐ</v>
      </c>
      <c r="S16" s="105" t="str" cm="1">
        <f t="array" ref="S16" xml:space="preserve"> IFERROR( INDEX($G$9:$G$65, MATCH(TRUE, EXACT($Q16, $C$5:$C$65),0)), "")</f>
        <v>h</v>
      </c>
      <c r="T16" s="187" t="str" cm="1">
        <f t="array" ref="T16" xml:space="preserve"> IFERROR( INDEX($F$5:$F$65, MATCH(TRUE, EXACT($Q16, $C$5:$C$65),0)), "")</f>
        <v>Z</v>
      </c>
      <c r="V16" s="78">
        <f t="shared" si="4"/>
        <v>12</v>
      </c>
      <c r="W16" s="73" t="s">
        <v>286</v>
      </c>
      <c r="X16" s="42" t="str" cm="1">
        <f t="array" ref="X16" xml:space="preserve"> IFERROR( INDEX($D$5:$D$65, MATCH(TRUE, EXACT($W16, $C$5:$C$65),0)), "")</f>
        <v/>
      </c>
      <c r="Y16" s="105" t="str" cm="1">
        <f t="array" ref="Y16" xml:space="preserve"> IFERROR( INDEX($G$9:$G$65, MATCH(TRUE, EXACT($W16, $C$5:$C$65),0)), "")</f>
        <v/>
      </c>
      <c r="Z16" s="187" t="str" cm="1">
        <f t="array" ref="Z16" xml:space="preserve"> IFERROR( INDEX($F$5:$F$65, MATCH(TRUE, EXACT($W16, $C$5:$C$65),0)), "")</f>
        <v/>
      </c>
      <c r="AB16" s="98">
        <f t="shared" si="5"/>
        <v>12</v>
      </c>
      <c r="AC16" s="71"/>
      <c r="AD16" s="32"/>
      <c r="AE16" s="107"/>
      <c r="AF16" s="34"/>
      <c r="AQ16" s="193"/>
      <c r="AR16" s="166">
        <f t="shared" si="0"/>
        <v>13</v>
      </c>
      <c r="AS16" s="167" t="s">
        <v>52</v>
      </c>
      <c r="AT16" s="168" t="s">
        <v>430</v>
      </c>
      <c r="AU16" s="169" t="s">
        <v>431</v>
      </c>
      <c r="AV16" s="193"/>
    </row>
    <row r="17" spans="2:48">
      <c r="B17" s="170">
        <f t="shared" si="1"/>
        <v>13</v>
      </c>
      <c r="C17" s="109" t="s">
        <v>329</v>
      </c>
      <c r="D17" s="26" t="s">
        <v>43</v>
      </c>
      <c r="E17" s="171" t="str">
        <f>D17</f>
        <v>ㄗ</v>
      </c>
      <c r="F17" s="28" t="s">
        <v>366</v>
      </c>
      <c r="G17" s="108" t="s">
        <v>366</v>
      </c>
      <c r="H17" s="172"/>
      <c r="I17" s="28" t="str">
        <f>_xlfn.CONCAT(F17:F20)</f>
        <v>zcsj</v>
      </c>
      <c r="J17" s="109" t="str">
        <f xml:space="preserve"> _xlfn.CONCAT(C17:C20)</f>
        <v>edEg</v>
      </c>
      <c r="K17" s="107" t="str">
        <f t="shared" si="2"/>
        <v>["ㄗ"] = "z",</v>
      </c>
      <c r="L17" s="173"/>
      <c r="M17" s="173"/>
      <c r="N17" s="173"/>
      <c r="P17" s="87">
        <f t="shared" si="3"/>
        <v>13</v>
      </c>
      <c r="Q17" s="109">
        <v>4</v>
      </c>
      <c r="R17" s="26" t="str" cm="1">
        <f t="array" ref="R17" xml:space="preserve"> IFERROR( INDEX($D$5:$D$65, MATCH(TRUE, EXACT($Q17, $C$5:$C$65),0)), "")</f>
        <v>ㄥ</v>
      </c>
      <c r="S17" s="108" cm="1">
        <f t="array" ref="S17" xml:space="preserve"> IFERROR( INDEX($G$9:$G$65, MATCH(TRUE, EXACT($Q17, $C$5:$C$65),0)), "")</f>
        <v>1</v>
      </c>
      <c r="T17" s="174" t="str" cm="1">
        <f t="array" ref="T17" xml:space="preserve"> IFERROR( INDEX($F$5:$F$65, MATCH(TRUE, EXACT($Q17, $C$5:$C$65),0)), "")</f>
        <v>W</v>
      </c>
      <c r="V17" s="87">
        <f t="shared" si="4"/>
        <v>13</v>
      </c>
      <c r="W17" s="188" t="s">
        <v>432</v>
      </c>
      <c r="X17" s="26" t="str" cm="1">
        <f t="array" ref="X17" xml:space="preserve"> IFERROR( INDEX($D$5:$D$65, MATCH(TRUE, EXACT($W17, $C$5:$C$65),0)), "")</f>
        <v/>
      </c>
      <c r="Y17" s="108" t="str" cm="1">
        <f t="array" ref="Y17" xml:space="preserve"> IFERROR( INDEX($G$9:$G$65, MATCH(TRUE, EXACT($W17, $C$5:$C$65),0)), "")</f>
        <v/>
      </c>
      <c r="Z17" s="174" t="str" cm="1">
        <f t="array" ref="Z17" xml:space="preserve"> IFERROR( INDEX($F$5:$F$65, MATCH(TRUE, EXACT($W17, $C$5:$C$65),0)), "")</f>
        <v/>
      </c>
      <c r="AB17" s="98">
        <f t="shared" si="5"/>
        <v>13</v>
      </c>
      <c r="AC17" s="71"/>
      <c r="AD17" s="32"/>
      <c r="AE17" s="107"/>
      <c r="AF17" s="34"/>
      <c r="AQ17" s="193"/>
      <c r="AR17" s="166">
        <f t="shared" si="0"/>
        <v>14</v>
      </c>
      <c r="AS17" s="167" t="s">
        <v>89</v>
      </c>
      <c r="AT17" s="168" t="s">
        <v>433</v>
      </c>
      <c r="AU17" s="169" t="s">
        <v>434</v>
      </c>
      <c r="AV17" s="193"/>
    </row>
    <row r="18" spans="2:48">
      <c r="B18" s="177">
        <f t="shared" si="1"/>
        <v>14</v>
      </c>
      <c r="C18" s="71" t="s">
        <v>309</v>
      </c>
      <c r="D18" s="32" t="s">
        <v>46</v>
      </c>
      <c r="E18" s="178" t="str">
        <f>D18</f>
        <v>ㄘ</v>
      </c>
      <c r="F18" s="34" t="s">
        <v>287</v>
      </c>
      <c r="G18" s="107" t="s">
        <v>287</v>
      </c>
      <c r="H18" s="172"/>
      <c r="I18" s="34"/>
      <c r="J18" s="71"/>
      <c r="K18" s="107" t="str">
        <f t="shared" si="2"/>
        <v>["ㄘ"] = "c",</v>
      </c>
      <c r="L18" s="173"/>
      <c r="M18" s="173"/>
      <c r="N18" s="173"/>
      <c r="P18" s="77">
        <f t="shared" si="3"/>
        <v>14</v>
      </c>
      <c r="Q18" s="71" t="s">
        <v>435</v>
      </c>
      <c r="R18" s="32" t="str" cm="1">
        <f t="array" ref="R18" xml:space="preserve"> IFERROR( INDEX($D$5:$D$65, MATCH(TRUE, EXACT($Q18, $C$5:$C$65),0)), "")</f>
        <v/>
      </c>
      <c r="S18" s="107" t="str" cm="1">
        <f t="array" ref="S18" xml:space="preserve"> IFERROR( INDEX($G$9:$G$65, MATCH(TRUE, EXACT($Q18, $C$5:$C$65),0)), "")</f>
        <v/>
      </c>
      <c r="T18" s="179" t="str" cm="1">
        <f t="array" ref="T18" xml:space="preserve"> IFERROR( INDEX($F$5:$F$65, MATCH(TRUE, EXACT($Q18, $C$5:$C$65),0)), "")</f>
        <v/>
      </c>
      <c r="V18" s="77">
        <f t="shared" si="4"/>
        <v>14</v>
      </c>
      <c r="W18" s="71" t="s">
        <v>436</v>
      </c>
      <c r="X18" s="32" t="str" cm="1">
        <f t="array" ref="X18" xml:space="preserve"> IFERROR( INDEX($D$5:$D$65, MATCH(TRUE, EXACT($W18, $C$5:$C$65),0)), "")</f>
        <v/>
      </c>
      <c r="Y18" s="107" t="str" cm="1">
        <f t="array" ref="Y18" xml:space="preserve"> IFERROR( INDEX($G$9:$G$65, MATCH(TRUE, EXACT($W18, $C$5:$C$65),0)), "")</f>
        <v/>
      </c>
      <c r="Z18" s="179" t="str" cm="1">
        <f t="array" ref="Z18" xml:space="preserve"> IFERROR( INDEX($F$5:$F$65, MATCH(TRUE, EXACT($W18, $C$5:$C$65),0)), "")</f>
        <v/>
      </c>
      <c r="AB18" s="98">
        <f t="shared" si="5"/>
        <v>14</v>
      </c>
      <c r="AC18" s="71"/>
      <c r="AD18" s="32"/>
      <c r="AE18" s="107"/>
      <c r="AF18" s="34"/>
      <c r="AQ18" s="193"/>
      <c r="AR18" s="166">
        <f t="shared" si="0"/>
        <v>15</v>
      </c>
      <c r="AS18" s="167" t="s">
        <v>89</v>
      </c>
      <c r="AT18" s="168" t="s">
        <v>184</v>
      </c>
      <c r="AU18" s="169" t="s">
        <v>437</v>
      </c>
      <c r="AV18" s="193"/>
    </row>
    <row r="19" spans="2:48">
      <c r="B19" s="177">
        <f t="shared" si="1"/>
        <v>15</v>
      </c>
      <c r="C19" s="71" t="s">
        <v>322</v>
      </c>
      <c r="D19" s="32" t="s">
        <v>50</v>
      </c>
      <c r="E19" s="178" t="str">
        <f>D19</f>
        <v>ㄙ</v>
      </c>
      <c r="F19" s="34" t="s">
        <v>338</v>
      </c>
      <c r="G19" s="107" t="s">
        <v>338</v>
      </c>
      <c r="H19" s="172"/>
      <c r="I19" s="34"/>
      <c r="J19" s="71"/>
      <c r="K19" s="107" t="str">
        <f t="shared" si="2"/>
        <v>["ㄙ"] = "s",</v>
      </c>
      <c r="L19" s="173"/>
      <c r="M19" s="173"/>
      <c r="N19" s="173"/>
      <c r="P19" s="77">
        <f t="shared" si="3"/>
        <v>15</v>
      </c>
      <c r="Q19" s="71" t="s">
        <v>438</v>
      </c>
      <c r="R19" s="32" t="str" cm="1">
        <f t="array" ref="R19" xml:space="preserve"> IFERROR( INDEX($D$5:$D$65, MATCH(TRUE, EXACT($Q19, $C$5:$C$65),0)), "")</f>
        <v/>
      </c>
      <c r="S19" s="107" t="str" cm="1">
        <f t="array" ref="S19" xml:space="preserve"> IFERROR( INDEX($G$9:$G$65, MATCH(TRUE, EXACT($Q19, $C$5:$C$65),0)), "")</f>
        <v/>
      </c>
      <c r="T19" s="181" t="str" cm="1">
        <f t="array" ref="T19" xml:space="preserve"> IFERROR( INDEX($F$5:$F$65, MATCH(TRUE, EXACT($Q19, $C$5:$C$65),0)), "")</f>
        <v/>
      </c>
      <c r="V19" s="77">
        <f t="shared" si="4"/>
        <v>15</v>
      </c>
      <c r="W19" s="71" t="s">
        <v>439</v>
      </c>
      <c r="X19" s="32" t="str" cm="1">
        <f t="array" ref="X19" xml:space="preserve"> IFERROR( INDEX($D$5:$D$65, MATCH(TRUE, EXACT($W19, $C$5:$C$65),0)), "")</f>
        <v/>
      </c>
      <c r="Y19" s="107" t="str" cm="1">
        <f t="array" ref="Y19" xml:space="preserve"> IFERROR( INDEX($G$9:$G$65, MATCH(TRUE, EXACT($W19, $C$5:$C$65),0)), "")</f>
        <v/>
      </c>
      <c r="Z19" s="181" t="str" cm="1">
        <f t="array" ref="Z19" xml:space="preserve"> IFERROR( INDEX($F$5:$F$65, MATCH(TRUE, EXACT($W19, $C$5:$C$65),0)), "")</f>
        <v/>
      </c>
      <c r="AB19" s="98">
        <f t="shared" si="5"/>
        <v>15</v>
      </c>
      <c r="AC19" s="71"/>
      <c r="AD19" s="32"/>
      <c r="AE19" s="107"/>
      <c r="AF19" s="117"/>
      <c r="AQ19" s="193"/>
      <c r="AR19" s="166">
        <f t="shared" si="0"/>
        <v>16</v>
      </c>
      <c r="AS19" s="167" t="s">
        <v>91</v>
      </c>
      <c r="AT19" s="168" t="s">
        <v>140</v>
      </c>
      <c r="AU19" s="169" t="s">
        <v>440</v>
      </c>
      <c r="AV19" s="193"/>
    </row>
    <row r="20" spans="2:48">
      <c r="B20" s="182">
        <f t="shared" si="1"/>
        <v>16</v>
      </c>
      <c r="C20" s="73" t="s">
        <v>184</v>
      </c>
      <c r="D20" s="191" t="s">
        <v>441</v>
      </c>
      <c r="E20" s="192" t="s">
        <v>442</v>
      </c>
      <c r="F20" s="44" t="s">
        <v>49</v>
      </c>
      <c r="G20" s="105" t="s">
        <v>254</v>
      </c>
      <c r="H20" s="172"/>
      <c r="I20" s="34"/>
      <c r="J20" s="71"/>
      <c r="K20" s="107" t="str">
        <f t="shared" si="2"/>
        <v>["ㆡ"] = "j",</v>
      </c>
      <c r="L20" s="173"/>
      <c r="M20" s="173"/>
      <c r="N20" s="173"/>
      <c r="P20" s="78">
        <f t="shared" si="3"/>
        <v>16</v>
      </c>
      <c r="Q20" s="73" t="s">
        <v>443</v>
      </c>
      <c r="R20" s="42" t="str" cm="1">
        <f t="array" ref="R20" xml:space="preserve"> IFERROR( INDEX($D$5:$D$65, MATCH(TRUE, EXACT($Q20, $C$5:$C$65),0)), "")</f>
        <v/>
      </c>
      <c r="S20" s="105" t="str" cm="1">
        <f t="array" ref="S20" xml:space="preserve"> IFERROR( INDEX($G$9:$G$65, MATCH(TRUE, EXACT($Q20, $C$5:$C$65),0)), "")</f>
        <v/>
      </c>
      <c r="T20" s="187" t="str" cm="1">
        <f t="array" ref="T20" xml:space="preserve"> IFERROR( INDEX($F$5:$F$65, MATCH(TRUE, EXACT($Q20, $C$5:$C$65),0)), "")</f>
        <v/>
      </c>
      <c r="V20" s="78">
        <f t="shared" si="4"/>
        <v>16</v>
      </c>
      <c r="W20" s="73" t="s">
        <v>444</v>
      </c>
      <c r="X20" s="42" t="str" cm="1">
        <f t="array" ref="X20" xml:space="preserve"> IFERROR( INDEX($D$5:$D$65, MATCH(TRUE, EXACT($W20, $C$5:$C$65),0)), "")</f>
        <v/>
      </c>
      <c r="Y20" s="105" t="str" cm="1">
        <f t="array" ref="Y20" xml:space="preserve"> IFERROR( INDEX($G$9:$G$65, MATCH(TRUE, EXACT($W20, $C$5:$C$65),0)), "")</f>
        <v/>
      </c>
      <c r="Z20" s="187" t="str" cm="1">
        <f t="array" ref="Z20" xml:space="preserve"> IFERROR( INDEX($F$5:$F$65, MATCH(TRUE, EXACT($W20, $C$5:$C$65),0)), "")</f>
        <v/>
      </c>
      <c r="AB20" s="98">
        <f t="shared" si="5"/>
        <v>16</v>
      </c>
      <c r="AC20" s="71"/>
      <c r="AD20" s="32"/>
      <c r="AE20" s="107"/>
      <c r="AF20" s="34"/>
      <c r="AR20" s="166">
        <f t="shared" si="0"/>
        <v>17</v>
      </c>
      <c r="AS20" s="167" t="s">
        <v>284</v>
      </c>
      <c r="AT20" s="168" t="s">
        <v>445</v>
      </c>
      <c r="AU20" s="169" t="s">
        <v>446</v>
      </c>
    </row>
    <row r="21" spans="2:48">
      <c r="B21" s="170">
        <f t="shared" si="1"/>
        <v>17</v>
      </c>
      <c r="C21" s="109" t="s">
        <v>305</v>
      </c>
      <c r="D21" s="171" t="s">
        <v>448</v>
      </c>
      <c r="E21" s="26" t="s">
        <v>89</v>
      </c>
      <c r="F21" s="28" t="s">
        <v>449</v>
      </c>
      <c r="G21" s="108" t="s">
        <v>450</v>
      </c>
      <c r="H21" s="172" t="s">
        <v>451</v>
      </c>
      <c r="I21" s="28" t="str">
        <f>_xlfn.CONCAT(F21:F25)</f>
        <v>ZCSJh</v>
      </c>
      <c r="J21" s="109" t="str">
        <f xml:space="preserve"> _xlfn.CONCAT(C21:C25)</f>
        <v>cuj8i</v>
      </c>
      <c r="K21" s="107" t="str">
        <f t="shared" si="2"/>
        <v>["ㄐ"] = "zi-",</v>
      </c>
      <c r="L21" s="194"/>
      <c r="M21" s="194"/>
      <c r="N21" s="173"/>
      <c r="P21" s="87">
        <f t="shared" si="3"/>
        <v>17</v>
      </c>
      <c r="Q21" s="109">
        <v>5</v>
      </c>
      <c r="R21" s="26" t="str" cm="1">
        <f t="array" ref="R21" xml:space="preserve"> IFERROR( INDEX($D$5:$D$65, MATCH(TRUE, EXACT($Q21, $C$5:$C$65),0)), "")</f>
        <v>鼻</v>
      </c>
      <c r="S21" s="108" cm="1">
        <f t="array" ref="S21" xml:space="preserve"> IFERROR( INDEX($G$9:$G$65, MATCH(TRUE, EXACT($Q21, $C$5:$C$65),0)), "")</f>
        <v>5</v>
      </c>
      <c r="T21" s="174" t="str" cm="1">
        <f t="array" ref="T21" xml:space="preserve"> IFERROR( INDEX($F$5:$F$65, MATCH(TRUE, EXACT($Q21, $C$5:$C$65),0)), "")</f>
        <v>B</v>
      </c>
      <c r="V21" s="87">
        <f t="shared" si="4"/>
        <v>17</v>
      </c>
      <c r="W21" s="188" t="s">
        <v>452</v>
      </c>
      <c r="X21" s="26" t="str" cm="1">
        <f t="array" ref="X21" xml:space="preserve"> IFERROR( INDEX($D$5:$D$65, MATCH(TRUE, EXACT($W21, $C$5:$C$65),0)), "")</f>
        <v/>
      </c>
      <c r="Y21" s="108" t="str" cm="1">
        <f t="array" ref="Y21" xml:space="preserve"> IFERROR( INDEX($G$9:$G$65, MATCH(TRUE, EXACT($W21, $C$5:$C$65),0)), "")</f>
        <v/>
      </c>
      <c r="Z21" s="174" t="str" cm="1">
        <f t="array" ref="Z21" xml:space="preserve"> IFERROR( INDEX($F$5:$F$65, MATCH(TRUE, EXACT($W21, $C$5:$C$65),0)), "")</f>
        <v/>
      </c>
      <c r="AB21" s="98">
        <f t="shared" si="5"/>
        <v>17</v>
      </c>
      <c r="AC21" s="71"/>
      <c r="AD21" s="32"/>
      <c r="AE21" s="107"/>
      <c r="AF21" s="34"/>
      <c r="AQ21" s="195"/>
      <c r="AR21" s="166">
        <f t="shared" si="0"/>
        <v>18</v>
      </c>
      <c r="AS21" s="167" t="s">
        <v>43</v>
      </c>
      <c r="AT21" s="168" t="s">
        <v>445</v>
      </c>
      <c r="AU21" s="169" t="s">
        <v>453</v>
      </c>
      <c r="AV21" s="195"/>
    </row>
    <row r="22" spans="2:48">
      <c r="B22" s="177">
        <f t="shared" si="1"/>
        <v>18</v>
      </c>
      <c r="C22" s="71" t="s">
        <v>196</v>
      </c>
      <c r="D22" s="178" t="s">
        <v>455</v>
      </c>
      <c r="E22" s="32" t="s">
        <v>91</v>
      </c>
      <c r="F22" s="34" t="s">
        <v>456</v>
      </c>
      <c r="G22" s="107" t="s">
        <v>457</v>
      </c>
      <c r="H22" s="172" t="s">
        <v>458</v>
      </c>
      <c r="I22" s="34"/>
      <c r="J22" s="71"/>
      <c r="K22" s="107" t="str">
        <f t="shared" si="2"/>
        <v>["ㄑ"] = "ci-",</v>
      </c>
      <c r="L22" s="173"/>
      <c r="M22" s="173"/>
      <c r="N22" s="173"/>
      <c r="P22" s="77">
        <f t="shared" si="3"/>
        <v>18</v>
      </c>
      <c r="Q22" s="71" t="s">
        <v>340</v>
      </c>
      <c r="R22" s="32" t="str" cm="1">
        <f t="array" ref="R22" xml:space="preserve"> IFERROR( INDEX($D$5:$D$65, MATCH(TRUE, EXACT($Q22, $C$5:$C$65),0)), "")</f>
        <v/>
      </c>
      <c r="S22" s="107" t="str" cm="1">
        <f t="array" ref="S22" xml:space="preserve"> IFERROR( INDEX($G$9:$G$65, MATCH(TRUE, EXACT($Q22, $C$5:$C$65),0)), "")</f>
        <v/>
      </c>
      <c r="T22" s="179" t="str" cm="1">
        <f t="array" ref="T22" xml:space="preserve"> IFERROR( INDEX($F$5:$F$65, MATCH(TRUE, EXACT($Q22, $C$5:$C$65),0)), "")</f>
        <v/>
      </c>
      <c r="V22" s="77">
        <f t="shared" si="4"/>
        <v>18</v>
      </c>
      <c r="W22" s="71" t="s">
        <v>337</v>
      </c>
      <c r="X22" s="32" t="str" cm="1">
        <f t="array" ref="X22" xml:space="preserve"> IFERROR( INDEX($D$5:$D$65, MATCH(TRUE, EXACT($W22, $C$5:$C$65),0)), "")</f>
        <v/>
      </c>
      <c r="Y22" s="107" t="str" cm="1">
        <f t="array" ref="Y22" xml:space="preserve"> IFERROR( INDEX($G$9:$G$65, MATCH(TRUE, EXACT($W22, $C$5:$C$65),0)), "")</f>
        <v/>
      </c>
      <c r="Z22" s="179" t="str" cm="1">
        <f t="array" ref="Z22" xml:space="preserve"> IFERROR( INDEX($F$5:$F$65, MATCH(TRUE, EXACT($W22, $C$5:$C$65),0)), "")</f>
        <v/>
      </c>
      <c r="AB22" s="98">
        <f t="shared" si="5"/>
        <v>18</v>
      </c>
      <c r="AC22" s="71"/>
      <c r="AD22" s="32"/>
      <c r="AE22" s="107"/>
      <c r="AF22" s="34"/>
      <c r="AQ22" s="195"/>
      <c r="AR22" s="166">
        <f t="shared" si="0"/>
        <v>19</v>
      </c>
      <c r="AS22" s="167" t="s">
        <v>43</v>
      </c>
      <c r="AT22" s="168" t="s">
        <v>305</v>
      </c>
      <c r="AU22" s="169" t="s">
        <v>459</v>
      </c>
      <c r="AV22" s="195"/>
    </row>
    <row r="23" spans="2:48">
      <c r="B23" s="177">
        <f t="shared" si="1"/>
        <v>19</v>
      </c>
      <c r="C23" s="71" t="s">
        <v>254</v>
      </c>
      <c r="D23" s="178" t="s">
        <v>284</v>
      </c>
      <c r="E23" s="178" t="s">
        <v>284</v>
      </c>
      <c r="F23" s="34" t="s">
        <v>460</v>
      </c>
      <c r="G23" s="107" t="s">
        <v>461</v>
      </c>
      <c r="H23" s="172" t="s">
        <v>462</v>
      </c>
      <c r="I23" s="34"/>
      <c r="J23" s="71"/>
      <c r="K23" s="107" t="str">
        <f t="shared" si="2"/>
        <v>["ㄒ"] = "si-",</v>
      </c>
      <c r="L23" s="173"/>
      <c r="M23" s="173"/>
      <c r="N23" s="173"/>
      <c r="P23" s="77"/>
      <c r="Q23" s="71"/>
      <c r="R23" s="32"/>
      <c r="S23" s="107"/>
      <c r="T23" s="179"/>
      <c r="V23" s="77"/>
      <c r="W23" s="71"/>
      <c r="X23" s="32"/>
      <c r="Y23" s="107"/>
      <c r="Z23" s="179"/>
      <c r="AB23" s="98"/>
      <c r="AC23" s="71"/>
      <c r="AD23" s="32"/>
      <c r="AE23" s="107"/>
      <c r="AF23" s="34"/>
      <c r="AQ23" s="195"/>
      <c r="AR23" s="166"/>
      <c r="AS23" s="167"/>
      <c r="AT23" s="168"/>
      <c r="AU23" s="169"/>
      <c r="AV23" s="195"/>
    </row>
    <row r="24" spans="2:48">
      <c r="B24" s="182">
        <f t="shared" si="1"/>
        <v>20</v>
      </c>
      <c r="C24" s="73" t="s">
        <v>589</v>
      </c>
      <c r="D24" s="191" t="s">
        <v>441</v>
      </c>
      <c r="E24" s="42" t="s">
        <v>593</v>
      </c>
      <c r="F24" s="44" t="s">
        <v>368</v>
      </c>
      <c r="G24" s="105" t="s">
        <v>581</v>
      </c>
      <c r="H24" s="172" t="s">
        <v>582</v>
      </c>
      <c r="I24" s="44"/>
      <c r="J24" s="73"/>
      <c r="K24" s="107" t="str">
        <f t="shared" si="2"/>
        <v>["ㆢ"] = "ji-",</v>
      </c>
      <c r="L24" s="196"/>
      <c r="M24" s="196"/>
      <c r="N24" s="173"/>
      <c r="P24" s="77">
        <f>P22+1</f>
        <v>19</v>
      </c>
      <c r="Q24" s="71" t="s">
        <v>42</v>
      </c>
      <c r="R24" s="32" t="str" cm="1">
        <f t="array" ref="R24" xml:space="preserve"> IFERROR( INDEX($D$5:$D$65, MATCH(TRUE, EXACT($Q24, $C$5:$C$65),0)), "")</f>
        <v>ㄖ</v>
      </c>
      <c r="S24" s="107" t="str" cm="1">
        <f t="array" ref="S24" xml:space="preserve"> IFERROR( INDEX($G$9:$G$65, MATCH(TRUE, EXACT($Q24, $C$5:$C$65),0)), "")</f>
        <v>ji-</v>
      </c>
      <c r="T24" s="181" t="str" cm="1">
        <f t="array" ref="T24" xml:space="preserve"> IFERROR( INDEX($F$5:$F$65, MATCH(TRUE, EXACT($Q24, $C$5:$C$65),0)), "")</f>
        <v>j</v>
      </c>
      <c r="V24" s="77">
        <f>V22+1</f>
        <v>19</v>
      </c>
      <c r="W24" s="71" t="s">
        <v>195</v>
      </c>
      <c r="X24" s="32" t="str" cm="1">
        <f t="array" ref="X24" xml:space="preserve"> IFERROR( INDEX($D$5:$D$65, MATCH(TRUE, EXACT($W24, $C$5:$C$65),0)), "")</f>
        <v/>
      </c>
      <c r="Y24" s="107" t="str" cm="1">
        <f t="array" ref="Y24" xml:space="preserve"> IFERROR( INDEX($G$9:$G$65, MATCH(TRUE, EXACT($W24, $C$5:$C$65),0)), "")</f>
        <v/>
      </c>
      <c r="Z24" s="181" t="str" cm="1">
        <f t="array" ref="Z24" xml:space="preserve"> IFERROR( INDEX($F$5:$F$65, MATCH(TRUE, EXACT($W24, $C$5:$C$65),0)), "")</f>
        <v/>
      </c>
      <c r="AB24" s="98">
        <f t="shared" si="5"/>
        <v>20</v>
      </c>
      <c r="AC24" s="71"/>
      <c r="AD24" s="32"/>
      <c r="AE24" s="107"/>
      <c r="AF24" s="117"/>
      <c r="AQ24" s="195"/>
      <c r="AR24" s="166">
        <f t="shared" si="0"/>
        <v>21</v>
      </c>
      <c r="AS24" s="167" t="s">
        <v>46</v>
      </c>
      <c r="AT24" s="168" t="s">
        <v>463</v>
      </c>
      <c r="AU24" s="169" t="s">
        <v>464</v>
      </c>
      <c r="AV24" s="195"/>
    </row>
    <row r="25" spans="2:48">
      <c r="B25" s="197">
        <f t="shared" si="1"/>
        <v>21</v>
      </c>
      <c r="C25" s="114" t="s">
        <v>279</v>
      </c>
      <c r="D25" s="83" t="s">
        <v>52</v>
      </c>
      <c r="E25" s="198" t="s">
        <v>52</v>
      </c>
      <c r="F25" s="199" t="s">
        <v>422</v>
      </c>
      <c r="G25" s="200" t="s">
        <v>422</v>
      </c>
      <c r="H25" s="185"/>
      <c r="I25" s="201"/>
      <c r="J25" s="109"/>
      <c r="K25" s="107" t="str">
        <f t="shared" si="2"/>
        <v>["ㄏ"] = "h",</v>
      </c>
      <c r="L25" s="202"/>
      <c r="M25" s="202"/>
      <c r="N25" s="173" t="str">
        <f xml:space="preserve"> "# " &amp; _xlfn.CONCAT(E26:E36)</f>
        <v># ㄧㆪㄨㆫㄚㆩㆤㆥㆦㆧㄜ</v>
      </c>
      <c r="P25" s="78">
        <f t="shared" ref="P25:P30" si="6">P24+1</f>
        <v>20</v>
      </c>
      <c r="Q25" s="73" t="s">
        <v>28</v>
      </c>
      <c r="R25" s="42" t="str" cm="1">
        <f t="array" ref="R25" xml:space="preserve"> IFERROR( INDEX($D$5:$D$65, MATCH(TRUE, EXACT($Q25, $C$5:$C$65),0)), "")</f>
        <v>ㄎ</v>
      </c>
      <c r="S25" s="105" t="str" cm="1">
        <f t="array" ref="S25" xml:space="preserve"> IFERROR( INDEX($G$9:$G$65, MATCH(TRUE, EXACT($Q25, $C$5:$C$65),0)), "")</f>
        <v>s</v>
      </c>
      <c r="T25" s="187" t="str" cm="1">
        <f t="array" ref="T25" xml:space="preserve"> IFERROR( INDEX($F$5:$F$65, MATCH(TRUE, EXACT($Q25, $C$5:$C$65),0)), "")</f>
        <v>K</v>
      </c>
      <c r="V25" s="78">
        <f t="shared" ref="V25:V30" si="7">V24+1</f>
        <v>20</v>
      </c>
      <c r="W25" s="73" t="s">
        <v>218</v>
      </c>
      <c r="X25" s="42" t="str" cm="1">
        <f t="array" ref="X25" xml:space="preserve"> IFERROR( INDEX($D$5:$D$65, MATCH(TRUE, EXACT($W25, $C$5:$C$65),0)), "")</f>
        <v/>
      </c>
      <c r="Y25" s="105" t="str" cm="1">
        <f t="array" ref="Y25" xml:space="preserve"> IFERROR( INDEX($G$9:$G$65, MATCH(TRUE, EXACT($W25, $C$5:$C$65),0)), "")</f>
        <v/>
      </c>
      <c r="Z25" s="187" t="str" cm="1">
        <f t="array" ref="Z25" xml:space="preserve"> IFERROR( INDEX($F$5:$F$65, MATCH(TRUE, EXACT($W25, $C$5:$C$65),0)), "")</f>
        <v/>
      </c>
      <c r="AB25" s="98">
        <f t="shared" si="5"/>
        <v>21</v>
      </c>
      <c r="AC25" s="71"/>
      <c r="AD25" s="32"/>
      <c r="AE25" s="107"/>
      <c r="AF25" s="34"/>
      <c r="AQ25" s="195"/>
      <c r="AR25" s="166">
        <f t="shared" si="0"/>
        <v>22</v>
      </c>
      <c r="AS25" s="167" t="s">
        <v>50</v>
      </c>
      <c r="AT25" s="168" t="s">
        <v>338</v>
      </c>
      <c r="AU25" s="169" t="s">
        <v>465</v>
      </c>
      <c r="AV25" s="195"/>
    </row>
    <row r="26" spans="2:48">
      <c r="B26" s="170">
        <f t="shared" si="1"/>
        <v>22</v>
      </c>
      <c r="C26" s="109" t="s">
        <v>37</v>
      </c>
      <c r="D26" s="171" t="str">
        <f>E26</f>
        <v>ㄧ</v>
      </c>
      <c r="E26" s="26" t="s">
        <v>466</v>
      </c>
      <c r="F26" s="28" t="s">
        <v>279</v>
      </c>
      <c r="G26" s="108" t="s">
        <v>279</v>
      </c>
      <c r="H26" s="172"/>
      <c r="I26" s="28" t="str">
        <f>_xlfn.CONCAT(F26:F29)</f>
        <v>iIuU</v>
      </c>
      <c r="J26" s="109" t="str">
        <f xml:space="preserve"> _xlfn.CONCAT(C26:C29)</f>
        <v>k,9l</v>
      </c>
      <c r="K26" s="107" t="str">
        <f t="shared" si="2"/>
        <v>["ㄧ"] = "i",</v>
      </c>
      <c r="L26" s="194" t="str">
        <f>_xlfn.CONCAT(F26:F36)</f>
        <v>iIuUaAeEOQo</v>
      </c>
      <c r="M26" s="194" t="str">
        <f>_xlfn.CONCAT(C26:C36)</f>
        <v>k,9l0;-UJ*I</v>
      </c>
      <c r="N26" s="194" t="str">
        <f xml:space="preserve"> "- xlit|" &amp; L26 &amp; "|" &amp; M26 &amp; "|"</f>
        <v>- xlit|iIuUaAeEOQo|k,9l0;-UJ*I|</v>
      </c>
      <c r="P26" s="87">
        <f t="shared" si="6"/>
        <v>21</v>
      </c>
      <c r="Q26" s="109">
        <v>6</v>
      </c>
      <c r="R26" s="26" t="str" cm="1">
        <f t="array" ref="R26" xml:space="preserve"> IFERROR( INDEX($D$5:$D$65, MATCH(TRUE, EXACT($Q26, $C$5:$C$65),0)), "")</f>
        <v>ㄣ</v>
      </c>
      <c r="S26" s="108" cm="1">
        <f t="array" ref="S26" xml:space="preserve"> IFERROR( INDEX($G$9:$G$65, MATCH(TRUE, EXACT($Q26, $C$5:$C$65),0)), "")</f>
        <v>3</v>
      </c>
      <c r="T26" s="174" t="str" cm="1">
        <f t="array" ref="T26" xml:space="preserve"> IFERROR( INDEX($F$5:$F$65, MATCH(TRUE, EXACT($Q26, $C$5:$C$65),0)), "")</f>
        <v>N</v>
      </c>
      <c r="V26" s="87">
        <f t="shared" si="7"/>
        <v>21</v>
      </c>
      <c r="W26" s="188" t="s">
        <v>467</v>
      </c>
      <c r="X26" s="26" t="str" cm="1">
        <f t="array" ref="X26" xml:space="preserve"> IFERROR( INDEX($D$5:$D$65, MATCH(TRUE, EXACT($W26, $C$5:$C$65),0)), "")</f>
        <v/>
      </c>
      <c r="Y26" s="108" t="str" cm="1">
        <f t="array" ref="Y26" xml:space="preserve"> IFERROR( INDEX($G$9:$G$65, MATCH(TRUE, EXACT($W26, $C$5:$C$65),0)), "")</f>
        <v/>
      </c>
      <c r="Z26" s="174" t="str" cm="1">
        <f t="array" ref="Z26" xml:space="preserve"> IFERROR( INDEX($F$5:$F$65, MATCH(TRUE, EXACT($W26, $C$5:$C$65),0)), "")</f>
        <v/>
      </c>
      <c r="AB26" s="98">
        <f t="shared" si="5"/>
        <v>22</v>
      </c>
      <c r="AC26" s="71"/>
      <c r="AD26" s="32"/>
      <c r="AE26" s="107"/>
      <c r="AF26" s="34"/>
      <c r="AQ26" s="195"/>
      <c r="AR26" s="166">
        <f t="shared" si="0"/>
        <v>23</v>
      </c>
      <c r="AS26" s="167" t="s">
        <v>58</v>
      </c>
      <c r="AT26" s="203" t="s">
        <v>279</v>
      </c>
      <c r="AU26" s="169" t="s">
        <v>468</v>
      </c>
      <c r="AV26" s="195"/>
    </row>
    <row r="27" spans="2:48">
      <c r="B27" s="204">
        <f t="shared" si="1"/>
        <v>23</v>
      </c>
      <c r="C27" s="71" t="s">
        <v>225</v>
      </c>
      <c r="D27" s="178" t="str">
        <f xml:space="preserve"> "ㄥ" &amp; E26</f>
        <v>ㄥㄧ</v>
      </c>
      <c r="E27" s="32" t="s">
        <v>111</v>
      </c>
      <c r="F27" s="34" t="s">
        <v>239</v>
      </c>
      <c r="G27" s="107" t="s">
        <v>253</v>
      </c>
      <c r="H27" s="172"/>
      <c r="I27" s="34"/>
      <c r="J27" s="71"/>
      <c r="K27" s="107" t="str">
        <f t="shared" si="2"/>
        <v>["ㆪ"] = "Ni",</v>
      </c>
      <c r="L27" s="173"/>
      <c r="M27" s="173"/>
      <c r="N27" s="173"/>
      <c r="P27" s="77">
        <f t="shared" si="6"/>
        <v>22</v>
      </c>
      <c r="Q27" s="71" t="s">
        <v>370</v>
      </c>
      <c r="R27" s="32" t="str" cm="1">
        <f t="array" ref="R27" xml:space="preserve"> IFERROR( INDEX($D$5:$D$65, MATCH(TRUE, EXACT($Q27, $C$5:$C$65),0)), "")</f>
        <v>ㄍ</v>
      </c>
      <c r="S27" s="107" t="str" cm="1">
        <f t="array" ref="S27" xml:space="preserve"> IFERROR( INDEX($G$9:$G$65, MATCH(TRUE, EXACT($Q27, $C$5:$C$65),0)), "")</f>
        <v>z</v>
      </c>
      <c r="T27" s="179" t="str" cm="1">
        <f t="array" ref="T27" xml:space="preserve"> IFERROR( INDEX($F$5:$F$65, MATCH(TRUE, EXACT($Q27, $C$5:$C$65),0)), "")</f>
        <v>k</v>
      </c>
      <c r="V27" s="77">
        <f t="shared" si="7"/>
        <v>22</v>
      </c>
      <c r="W27" s="71" t="s">
        <v>374</v>
      </c>
      <c r="X27" s="32" t="str" cm="1">
        <f t="array" ref="X27" xml:space="preserve"> IFERROR( INDEX($D$5:$D$65, MATCH(TRUE, EXACT($W27, $C$5:$C$65),0)), "")</f>
        <v/>
      </c>
      <c r="Y27" s="107" t="str" cm="1">
        <f t="array" ref="Y27" xml:space="preserve"> IFERROR( INDEX($G$9:$G$65, MATCH(TRUE, EXACT($W27, $C$5:$C$65),0)), "")</f>
        <v/>
      </c>
      <c r="Z27" s="179" t="str" cm="1">
        <f t="array" ref="Z27" xml:space="preserve"> IFERROR( INDEX($F$5:$F$65, MATCH(TRUE, EXACT($W27, $C$5:$C$65),0)), "")</f>
        <v/>
      </c>
      <c r="AB27" s="98">
        <f t="shared" si="5"/>
        <v>23</v>
      </c>
      <c r="AC27" s="71"/>
      <c r="AD27" s="32"/>
      <c r="AE27" s="107"/>
      <c r="AF27" s="34"/>
      <c r="AQ27" s="195"/>
      <c r="AR27" s="166">
        <f t="shared" si="0"/>
        <v>24</v>
      </c>
      <c r="AS27" s="167" t="s">
        <v>20</v>
      </c>
      <c r="AT27" s="203" t="s">
        <v>196</v>
      </c>
      <c r="AU27" s="169" t="s">
        <v>469</v>
      </c>
      <c r="AV27" s="195"/>
    </row>
    <row r="28" spans="2:48">
      <c r="B28" s="204">
        <f t="shared" si="1"/>
        <v>24</v>
      </c>
      <c r="C28" s="71" t="s">
        <v>264</v>
      </c>
      <c r="D28" s="178" t="str">
        <f>E28</f>
        <v>ㄨ</v>
      </c>
      <c r="E28" s="32" t="s">
        <v>56</v>
      </c>
      <c r="F28" s="34" t="s">
        <v>196</v>
      </c>
      <c r="G28" s="107" t="s">
        <v>196</v>
      </c>
      <c r="H28" s="172"/>
      <c r="I28" s="34"/>
      <c r="J28" s="71"/>
      <c r="K28" s="107" t="str">
        <f t="shared" si="2"/>
        <v>["ㄨ"] = "u",</v>
      </c>
      <c r="L28" s="173"/>
      <c r="M28" s="173"/>
      <c r="N28" s="173"/>
      <c r="P28" s="77">
        <f t="shared" si="6"/>
        <v>23</v>
      </c>
      <c r="Q28" s="71" t="s">
        <v>53</v>
      </c>
      <c r="R28" s="32" t="str" cm="1">
        <f t="array" ref="R28" xml:space="preserve"> IFERROR( INDEX($D$5:$D$65, MATCH(TRUE, EXACT($Q28, $C$5:$C$65),0)), "")</f>
        <v>ㄍㄏ</v>
      </c>
      <c r="S28" s="107" t="str" cm="1">
        <f t="array" ref="S28" xml:space="preserve"> IFERROR( INDEX($G$9:$G$65, MATCH(TRUE, EXACT($Q28, $C$5:$C$65),0)), "")</f>
        <v>c</v>
      </c>
      <c r="T28" s="181" t="str" cm="1">
        <f t="array" ref="T28" xml:space="preserve"> IFERROR( INDEX($F$5:$F$65, MATCH(TRUE, EXACT($Q28, $C$5:$C$65),0)), "")</f>
        <v>g</v>
      </c>
      <c r="V28" s="77">
        <f t="shared" si="7"/>
        <v>23</v>
      </c>
      <c r="W28" s="71" t="s">
        <v>375</v>
      </c>
      <c r="X28" s="32" t="str" cm="1">
        <f t="array" ref="X28" xml:space="preserve"> IFERROR( INDEX($D$5:$D$65, MATCH(TRUE, EXACT($W28, $C$5:$C$65),0)), "")</f>
        <v/>
      </c>
      <c r="Y28" s="107" t="str" cm="1">
        <f t="array" ref="Y28" xml:space="preserve"> IFERROR( INDEX($G$9:$G$65, MATCH(TRUE, EXACT($W28, $C$5:$C$65),0)), "")</f>
        <v/>
      </c>
      <c r="Z28" s="181" t="str" cm="1">
        <f t="array" ref="Z28" xml:space="preserve"> IFERROR( INDEX($F$5:$F$65, MATCH(TRUE, EXACT($W28, $C$5:$C$65),0)), "")</f>
        <v/>
      </c>
      <c r="AB28" s="98">
        <f t="shared" si="5"/>
        <v>24</v>
      </c>
      <c r="AC28" s="71"/>
      <c r="AD28" s="32"/>
      <c r="AE28" s="107"/>
      <c r="AF28" s="117"/>
      <c r="AQ28" s="195"/>
      <c r="AR28" s="166">
        <f t="shared" si="0"/>
        <v>25</v>
      </c>
      <c r="AS28" s="167" t="s">
        <v>67</v>
      </c>
      <c r="AT28" s="203" t="s">
        <v>143</v>
      </c>
      <c r="AU28" s="169" t="s">
        <v>470</v>
      </c>
      <c r="AV28" s="195"/>
    </row>
    <row r="29" spans="2:48">
      <c r="B29" s="204">
        <f t="shared" si="1"/>
        <v>25</v>
      </c>
      <c r="C29" s="71" t="s">
        <v>86</v>
      </c>
      <c r="D29" s="178" t="str">
        <f xml:space="preserve"> "ㄥ" &amp; E28</f>
        <v>ㄥㄨ</v>
      </c>
      <c r="E29" s="32" t="s">
        <v>113</v>
      </c>
      <c r="F29" s="34" t="s">
        <v>230</v>
      </c>
      <c r="G29" s="107" t="s">
        <v>245</v>
      </c>
      <c r="H29" s="172"/>
      <c r="I29" s="34"/>
      <c r="J29" s="71"/>
      <c r="K29" s="107" t="str">
        <f t="shared" si="2"/>
        <v>["ㆫ"] = "Nu",</v>
      </c>
      <c r="L29" s="173"/>
      <c r="M29" s="173"/>
      <c r="N29" s="173"/>
      <c r="P29" s="78">
        <f t="shared" si="6"/>
        <v>24</v>
      </c>
      <c r="Q29" s="73" t="s">
        <v>372</v>
      </c>
      <c r="R29" s="42" t="str" cm="1">
        <f t="array" ref="R29" xml:space="preserve"> IFERROR( INDEX($D$5:$D$65, MATCH(TRUE, EXACT($Q29, $C$5:$C$65),0)), "")</f>
        <v>ㄥ</v>
      </c>
      <c r="S29" s="105" t="str" cm="1">
        <f t="array" ref="S29" xml:space="preserve"> IFERROR( INDEX($G$9:$G$65, MATCH(TRUE, EXACT($Q29, $C$5:$C$65),0)), "")</f>
        <v>j</v>
      </c>
      <c r="T29" s="187" t="str" cm="1">
        <f t="array" ref="T29" xml:space="preserve"> IFERROR( INDEX($F$5:$F$65, MATCH(TRUE, EXACT($Q29, $C$5:$C$65),0)), "")</f>
        <v>w</v>
      </c>
      <c r="V29" s="78">
        <f t="shared" si="7"/>
        <v>24</v>
      </c>
      <c r="W29" s="73" t="s">
        <v>26</v>
      </c>
      <c r="X29" s="42" t="str" cm="1">
        <f t="array" ref="X29" xml:space="preserve"> IFERROR( INDEX($D$5:$D$65, MATCH(TRUE, EXACT($W29, $C$5:$C$65),0)), "")</f>
        <v/>
      </c>
      <c r="Y29" s="105" t="str" cm="1">
        <f t="array" ref="Y29" xml:space="preserve"> IFERROR( INDEX($G$9:$G$65, MATCH(TRUE, EXACT($W29, $C$5:$C$65),0)), "")</f>
        <v/>
      </c>
      <c r="Z29" s="187" t="str" cm="1">
        <f t="array" ref="Z29" xml:space="preserve"> IFERROR( INDEX($F$5:$F$65, MATCH(TRUE, EXACT($W29, $C$5:$C$65),0)), "")</f>
        <v/>
      </c>
      <c r="AB29" s="98">
        <f t="shared" si="5"/>
        <v>25</v>
      </c>
      <c r="AC29" s="71"/>
      <c r="AD29" s="32"/>
      <c r="AE29" s="107"/>
      <c r="AF29" s="34"/>
      <c r="AQ29" s="195"/>
      <c r="AR29" s="166">
        <f t="shared" si="0"/>
        <v>26</v>
      </c>
      <c r="AS29" s="167" t="s">
        <v>67</v>
      </c>
      <c r="AT29" s="203" t="s">
        <v>351</v>
      </c>
      <c r="AU29" s="169" t="s">
        <v>471</v>
      </c>
      <c r="AV29" s="195"/>
    </row>
    <row r="30" spans="2:48">
      <c r="B30" s="204">
        <f t="shared" si="1"/>
        <v>26</v>
      </c>
      <c r="C30" s="71" t="s">
        <v>219</v>
      </c>
      <c r="D30" s="178" t="str">
        <f>E30</f>
        <v>ㄚ</v>
      </c>
      <c r="E30" s="32" t="s">
        <v>359</v>
      </c>
      <c r="F30" s="34" t="s">
        <v>351</v>
      </c>
      <c r="G30" s="107" t="s">
        <v>351</v>
      </c>
      <c r="H30" s="172"/>
      <c r="I30" s="34" t="str">
        <f>_xlfn.CONCAT(F30:F36)</f>
        <v>aAeEOQo</v>
      </c>
      <c r="J30" s="71" t="str">
        <f xml:space="preserve"> _xlfn.CONCAT(C30:C36)</f>
        <v>0;-UJ*I</v>
      </c>
      <c r="K30" s="107" t="str">
        <f t="shared" si="2"/>
        <v>["ㄚ"] = "a",</v>
      </c>
      <c r="L30" s="173"/>
      <c r="M30" s="173"/>
      <c r="N30" s="173"/>
      <c r="P30" s="87">
        <f t="shared" si="6"/>
        <v>25</v>
      </c>
      <c r="Q30" s="109">
        <v>7</v>
      </c>
      <c r="R30" s="26" t="str" cm="1">
        <f t="array" ref="R30" xml:space="preserve"> IFERROR( INDEX($D$5:$D$65, MATCH(TRUE, EXACT($Q30, $C$5:$C$65),0)), "")</f>
        <v>ˉ</v>
      </c>
      <c r="S30" s="108" cm="1">
        <f t="array" ref="S30" xml:space="preserve"> IFERROR( INDEX($G$9:$G$65, MATCH(TRUE, EXACT($Q30, $C$5:$C$65),0)), "")</f>
        <v>7</v>
      </c>
      <c r="T30" s="174" cm="1">
        <f t="array" ref="T30" xml:space="preserve"> IFERROR( INDEX($F$5:$F$65, MATCH(TRUE, EXACT($Q30, $C$5:$C$65),0)), "")</f>
        <v>1</v>
      </c>
      <c r="V30" s="87">
        <f t="shared" si="7"/>
        <v>25</v>
      </c>
      <c r="W30" s="188" t="s">
        <v>472</v>
      </c>
      <c r="X30" s="26" t="str" cm="1">
        <f t="array" ref="X30" xml:space="preserve"> IFERROR( INDEX($D$5:$D$65, MATCH(TRUE, EXACT($W30, $C$5:$C$65),0)), "")</f>
        <v/>
      </c>
      <c r="Y30" s="108" t="str" cm="1">
        <f t="array" ref="Y30" xml:space="preserve"> IFERROR( INDEX($G$9:$G$65, MATCH(TRUE, EXACT($W30, $C$5:$C$65),0)), "")</f>
        <v/>
      </c>
      <c r="Z30" s="174" t="str" cm="1">
        <f t="array" ref="Z30" xml:space="preserve"> IFERROR( INDEX($F$5:$F$65, MATCH(TRUE, EXACT($W30, $C$5:$C$65),0)), "")</f>
        <v/>
      </c>
      <c r="AB30" s="98">
        <f t="shared" si="5"/>
        <v>26</v>
      </c>
      <c r="AC30" s="71"/>
      <c r="AD30" s="32"/>
      <c r="AE30" s="107"/>
      <c r="AF30" s="34"/>
      <c r="AQ30" s="195"/>
      <c r="AR30" s="166">
        <f t="shared" si="0"/>
        <v>27</v>
      </c>
      <c r="AS30" s="167" t="s">
        <v>473</v>
      </c>
      <c r="AT30" s="203" t="s">
        <v>346</v>
      </c>
      <c r="AU30" s="169" t="s">
        <v>474</v>
      </c>
      <c r="AV30" s="195"/>
    </row>
    <row r="31" spans="2:48">
      <c r="B31" s="204">
        <f t="shared" si="1"/>
        <v>27</v>
      </c>
      <c r="C31" s="71" t="s">
        <v>212</v>
      </c>
      <c r="D31" s="178" t="str">
        <f xml:space="preserve"> "ㄥ" &amp; E30</f>
        <v>ㄥㄚ</v>
      </c>
      <c r="E31" s="32" t="s">
        <v>115</v>
      </c>
      <c r="F31" s="34" t="s">
        <v>401</v>
      </c>
      <c r="G31" s="107" t="s">
        <v>278</v>
      </c>
      <c r="H31" s="172"/>
      <c r="I31" s="34"/>
      <c r="J31" s="71"/>
      <c r="K31" s="107" t="str">
        <f t="shared" si="2"/>
        <v>["ㆩ"] = "Na",</v>
      </c>
      <c r="L31" s="173"/>
      <c r="M31" s="173"/>
      <c r="N31" s="173"/>
      <c r="P31" s="77">
        <f t="shared" ref="P31:P36" si="8">P30+1</f>
        <v>26</v>
      </c>
      <c r="Q31" s="71" t="s">
        <v>57</v>
      </c>
      <c r="R31" s="32" t="str" cm="1">
        <f t="array" ref="R31" xml:space="preserve"> IFERROR( INDEX($D$5:$D$65, MATCH(TRUE, EXACT($Q31, $C$5:$C$65),0)), "")</f>
        <v>ㄑ</v>
      </c>
      <c r="S31" s="107" t="str" cm="1">
        <f t="array" ref="S31" xml:space="preserve"> IFERROR( INDEX($G$9:$G$65, MATCH(TRUE, EXACT($Q31, $C$5:$C$65),0)), "")</f>
        <v>i</v>
      </c>
      <c r="T31" s="179" t="str" cm="1">
        <f t="array" ref="T31" xml:space="preserve"> IFERROR( INDEX($F$5:$F$65, MATCH(TRUE, EXACT($Q31, $C$5:$C$65),0)), "")</f>
        <v>C</v>
      </c>
      <c r="V31" s="77">
        <f t="shared" ref="V31:V36" si="9">V30+1</f>
        <v>26</v>
      </c>
      <c r="W31" s="71" t="s">
        <v>230</v>
      </c>
      <c r="X31" s="32" t="str" cm="1">
        <f t="array" ref="X31" xml:space="preserve"> IFERROR( INDEX($D$5:$D$65, MATCH(TRUE, EXACT($W31, $C$5:$C$65),0)), "")</f>
        <v>ㄥㄝ</v>
      </c>
      <c r="Y31" s="107" t="str" cm="1">
        <f t="array" ref="Y31" xml:space="preserve"> IFERROR( INDEX($G$9:$G$65, MATCH(TRUE, EXACT($W31, $C$5:$C$65),0)), "")</f>
        <v>an</v>
      </c>
      <c r="Z31" s="179" t="str" cm="1">
        <f t="array" ref="Z31" xml:space="preserve"> IFERROR( INDEX($F$5:$F$65, MATCH(TRUE, EXACT($W31, $C$5:$C$65),0)), "")</f>
        <v>E</v>
      </c>
      <c r="AB31" s="98">
        <f t="shared" si="5"/>
        <v>27</v>
      </c>
      <c r="AC31" s="71"/>
      <c r="AD31" s="32"/>
      <c r="AE31" s="107"/>
      <c r="AF31" s="34"/>
      <c r="AQ31" s="195"/>
      <c r="AR31" s="166">
        <f t="shared" si="0"/>
        <v>28</v>
      </c>
      <c r="AS31" s="167" t="s">
        <v>61</v>
      </c>
      <c r="AT31" s="203" t="s">
        <v>65</v>
      </c>
      <c r="AU31" s="169" t="s">
        <v>475</v>
      </c>
      <c r="AV31" s="195"/>
    </row>
    <row r="32" spans="2:48">
      <c r="B32" s="204">
        <f t="shared" si="1"/>
        <v>28</v>
      </c>
      <c r="C32" s="205" t="s">
        <v>198</v>
      </c>
      <c r="D32" s="178" t="s">
        <v>477</v>
      </c>
      <c r="E32" s="32" t="s">
        <v>478</v>
      </c>
      <c r="F32" s="34" t="s">
        <v>329</v>
      </c>
      <c r="G32" s="107" t="s">
        <v>329</v>
      </c>
      <c r="H32" s="172"/>
      <c r="I32" s="34"/>
      <c r="J32" s="205"/>
      <c r="K32" s="107" t="str">
        <f t="shared" si="2"/>
        <v>["ㆤ"] = "e",</v>
      </c>
      <c r="L32" s="173"/>
      <c r="M32" s="173"/>
      <c r="N32" s="173"/>
      <c r="P32" s="77">
        <f t="shared" si="8"/>
        <v>27</v>
      </c>
      <c r="Q32" s="71" t="s">
        <v>49</v>
      </c>
      <c r="R32" s="32" t="str" cm="1">
        <f t="array" ref="R32" xml:space="preserve"> IFERROR( INDEX($D$5:$D$65, MATCH(TRUE, EXACT($Q32, $C$5:$C$65),0)), "")</f>
        <v>ㄒ</v>
      </c>
      <c r="S32" s="107" t="str" cm="1">
        <f t="array" ref="S32" xml:space="preserve"> IFERROR( INDEX($G$9:$G$65, MATCH(TRUE, EXACT($Q32, $C$5:$C$65),0)), "")</f>
        <v>Ni</v>
      </c>
      <c r="T32" s="181" t="str" cm="1">
        <f t="array" ref="T32" xml:space="preserve"> IFERROR( INDEX($F$5:$F$65, MATCH(TRUE, EXACT($Q32, $C$5:$C$65),0)), "")</f>
        <v>S</v>
      </c>
      <c r="V32" s="77">
        <f t="shared" si="9"/>
        <v>27</v>
      </c>
      <c r="W32" s="71" t="s">
        <v>368</v>
      </c>
      <c r="X32" s="32" t="str" cm="1">
        <f t="array" ref="X32" xml:space="preserve"> IFERROR( INDEX($D$5:$D$65, MATCH(TRUE, EXACT($W32, $C$5:$C$65),0)), "")</f>
        <v>ㄛ</v>
      </c>
      <c r="Y32" s="107" t="str" cm="1">
        <f t="array" ref="Y32" xml:space="preserve"> IFERROR( INDEX($G$9:$G$65, MATCH(TRUE, EXACT($W32, $C$5:$C$65),0)), "")</f>
        <v>ai</v>
      </c>
      <c r="Z32" s="181" t="str" cm="1">
        <f t="array" ref="Z32" xml:space="preserve"> IFERROR( INDEX($F$5:$F$65, MATCH(TRUE, EXACT($W32, $C$5:$C$65),0)), "")</f>
        <v>O</v>
      </c>
      <c r="AB32" s="98">
        <f t="shared" si="5"/>
        <v>28</v>
      </c>
      <c r="AC32" s="71"/>
      <c r="AD32" s="32"/>
      <c r="AE32" s="107"/>
      <c r="AF32" s="117"/>
      <c r="AQ32" s="195"/>
      <c r="AR32" s="166">
        <f t="shared" si="0"/>
        <v>29</v>
      </c>
      <c r="AS32" s="167" t="s">
        <v>61</v>
      </c>
      <c r="AT32" s="203" t="s">
        <v>330</v>
      </c>
      <c r="AU32" s="169" t="s">
        <v>479</v>
      </c>
      <c r="AV32" s="195"/>
    </row>
    <row r="33" spans="2:48">
      <c r="B33" s="204">
        <f t="shared" si="1"/>
        <v>29</v>
      </c>
      <c r="C33" s="205" t="s">
        <v>259</v>
      </c>
      <c r="D33" s="178" t="s">
        <v>480</v>
      </c>
      <c r="E33" s="32" t="s">
        <v>119</v>
      </c>
      <c r="F33" s="34" t="s">
        <v>322</v>
      </c>
      <c r="G33" s="107" t="s">
        <v>263</v>
      </c>
      <c r="H33" s="172"/>
      <c r="I33" s="34"/>
      <c r="J33" s="205"/>
      <c r="K33" s="107" t="str">
        <f t="shared" si="2"/>
        <v>["ㆥ"] = "Ne",</v>
      </c>
      <c r="L33" s="173"/>
      <c r="M33" s="173"/>
      <c r="N33" s="173"/>
      <c r="P33" s="78">
        <f t="shared" si="8"/>
        <v>28</v>
      </c>
      <c r="Q33" s="73" t="s">
        <v>84</v>
      </c>
      <c r="R33" s="42" t="str" cm="1">
        <f t="array" ref="R33" xml:space="preserve"> IFERROR( INDEX($D$5:$D$65, MATCH(TRUE, EXACT($Q33, $C$5:$C$65),0)), "")</f>
        <v>ㄛㄥ</v>
      </c>
      <c r="S33" s="105" t="str" cm="1">
        <f t="array" ref="S33" xml:space="preserve"> IFERROR( INDEX($G$9:$G$65, MATCH(TRUE, EXACT($Q33, $C$5:$C$65),0)), "")</f>
        <v>m</v>
      </c>
      <c r="T33" s="187" t="str" cm="1">
        <f t="array" ref="T33" xml:space="preserve"> IFERROR( INDEX($F$5:$F$65, MATCH(TRUE, EXACT($Q33, $C$5:$C$65),0)), "")</f>
        <v>]</v>
      </c>
      <c r="V33" s="78">
        <f t="shared" si="9"/>
        <v>28</v>
      </c>
      <c r="W33" s="73" t="s">
        <v>481</v>
      </c>
      <c r="X33" s="42" t="str" cm="1">
        <f t="array" ref="X33" xml:space="preserve"> IFERROR( INDEX($D$5:$D$65, MATCH(TRUE, EXACT($W33, $C$5:$C$65),0)), "")</f>
        <v>ㄠ</v>
      </c>
      <c r="Y33" s="105" t="str" cm="1">
        <f t="array" ref="Y33" xml:space="preserve"> IFERROR( INDEX($G$9:$G$65, MATCH(TRUE, EXACT($W33, $C$5:$C$65),0)), "")</f>
        <v>ong</v>
      </c>
      <c r="Z33" s="187" t="str" cm="1">
        <f t="array" ref="Z33" xml:space="preserve"> IFERROR( INDEX($F$5:$F$65, MATCH(TRUE, EXACT($W33, $C$5:$C$65),0)), "")</f>
        <v>x</v>
      </c>
      <c r="AB33" s="98">
        <f t="shared" si="5"/>
        <v>29</v>
      </c>
      <c r="AC33" s="71"/>
      <c r="AD33" s="32"/>
      <c r="AE33" s="107"/>
      <c r="AF33" s="34"/>
      <c r="AQ33" s="195"/>
      <c r="AR33" s="166">
        <f t="shared" si="0"/>
        <v>30</v>
      </c>
      <c r="AS33" s="167" t="s">
        <v>241</v>
      </c>
      <c r="AT33" s="203" t="s">
        <v>329</v>
      </c>
      <c r="AU33" s="169" t="s">
        <v>482</v>
      </c>
      <c r="AV33" s="195"/>
    </row>
    <row r="34" spans="2:48">
      <c r="B34" s="204">
        <f t="shared" si="1"/>
        <v>30</v>
      </c>
      <c r="C34" s="71" t="s">
        <v>249</v>
      </c>
      <c r="D34" s="178" t="s">
        <v>483</v>
      </c>
      <c r="E34" s="32" t="s">
        <v>336</v>
      </c>
      <c r="F34" s="34" t="s">
        <v>267</v>
      </c>
      <c r="G34" s="107" t="s">
        <v>346</v>
      </c>
      <c r="H34" s="172"/>
      <c r="I34" s="34"/>
      <c r="J34" s="71"/>
      <c r="K34" s="107" t="str">
        <f t="shared" si="2"/>
        <v>["ㆦ"] = "oo",</v>
      </c>
      <c r="L34" s="173"/>
      <c r="M34" s="173"/>
      <c r="N34" s="173"/>
      <c r="P34" s="87">
        <f t="shared" si="8"/>
        <v>29</v>
      </c>
      <c r="Q34" s="109">
        <v>8</v>
      </c>
      <c r="R34" s="26" t="str" cm="1">
        <f t="array" ref="R34" xml:space="preserve"> IFERROR( INDEX($D$5:$D$65, MATCH(TRUE, EXACT($Q34, $C$5:$C$65),0)), "")</f>
        <v>ㄖ</v>
      </c>
      <c r="S34" s="108" t="str" cm="1">
        <f t="array" ref="S34" xml:space="preserve"> IFERROR( INDEX($G$9:$G$65, MATCH(TRUE, EXACT($Q34, $C$5:$C$65),0)), "")</f>
        <v>u</v>
      </c>
      <c r="T34" s="174" t="str" cm="1">
        <f t="array" ref="T34" xml:space="preserve"> IFERROR( INDEX($F$5:$F$65, MATCH(TRUE, EXACT($Q34, $C$5:$C$65),0)), "")</f>
        <v>J</v>
      </c>
      <c r="V34" s="87">
        <f t="shared" si="9"/>
        <v>29</v>
      </c>
      <c r="W34" s="188" t="s">
        <v>484</v>
      </c>
      <c r="X34" s="26" t="str" cm="1">
        <f t="array" ref="X34" xml:space="preserve"> IFERROR( INDEX($D$5:$D$65, MATCH(TRUE, EXACT($W34, $C$5:$C$65),0)), "")</f>
        <v>ㄥㆦ</v>
      </c>
      <c r="Y34" s="108" t="str" cm="1">
        <f t="array" ref="Y34" xml:space="preserve"> IFERROR( INDEX($G$9:$G$65, MATCH(TRUE, EXACT($W34, $C$5:$C$65),0)), "")</f>
        <v>Nai</v>
      </c>
      <c r="Z34" s="174" t="str" cm="1">
        <f t="array" ref="Z34" xml:space="preserve"> IFERROR( INDEX($F$5:$F$65, MATCH(TRUE, EXACT($W34, $C$5:$C$65),0)), "")</f>
        <v>Q</v>
      </c>
      <c r="AB34" s="98">
        <f t="shared" si="5"/>
        <v>30</v>
      </c>
      <c r="AC34" s="206"/>
      <c r="AD34" s="207"/>
      <c r="AE34" s="208"/>
      <c r="AF34" s="209"/>
      <c r="AQ34" s="195"/>
      <c r="AR34" s="166">
        <f t="shared" si="0"/>
        <v>31</v>
      </c>
      <c r="AS34" s="167" t="s">
        <v>117</v>
      </c>
      <c r="AT34" s="203" t="s">
        <v>326</v>
      </c>
      <c r="AU34" s="169" t="s">
        <v>485</v>
      </c>
      <c r="AV34" s="195"/>
    </row>
    <row r="35" spans="2:48">
      <c r="B35" s="204">
        <f t="shared" si="1"/>
        <v>31</v>
      </c>
      <c r="C35" s="71" t="s">
        <v>281</v>
      </c>
      <c r="D35" s="178" t="str">
        <f xml:space="preserve"> "ㄥ" &amp; E34</f>
        <v>ㄥㆦ</v>
      </c>
      <c r="E35" s="32" t="s">
        <v>121</v>
      </c>
      <c r="F35" s="34" t="s">
        <v>397</v>
      </c>
      <c r="G35" s="107" t="s">
        <v>486</v>
      </c>
      <c r="H35" s="172"/>
      <c r="I35" s="34"/>
      <c r="J35" s="71"/>
      <c r="K35" s="107" t="str">
        <f t="shared" si="2"/>
        <v>["ㆧ"] = "Noo",</v>
      </c>
      <c r="L35" s="173"/>
      <c r="M35" s="173"/>
      <c r="N35" s="173"/>
      <c r="P35" s="77">
        <f t="shared" si="8"/>
        <v>30</v>
      </c>
      <c r="Q35" s="71" t="s">
        <v>55</v>
      </c>
      <c r="R35" s="32" t="str" cm="1">
        <f t="array" ref="R35" xml:space="preserve"> IFERROR( INDEX($D$5:$D$65, MATCH(TRUE, EXACT($Q35, $C$5:$C$65),0)), "")</f>
        <v>ㄏ</v>
      </c>
      <c r="S35" s="107" t="str" cm="1">
        <f t="array" ref="S35" xml:space="preserve"> IFERROR( INDEX($G$9:$G$65, MATCH(TRUE, EXACT($Q35, $C$5:$C$65),0)), "")</f>
        <v>Nu</v>
      </c>
      <c r="T35" s="179" t="str" cm="1">
        <f t="array" ref="T35" xml:space="preserve"> IFERROR( INDEX($F$5:$F$65, MATCH(TRUE, EXACT($Q35, $C$5:$C$65),0)), "")</f>
        <v>h</v>
      </c>
      <c r="V35" s="77">
        <f t="shared" si="9"/>
        <v>30</v>
      </c>
      <c r="W35" s="71" t="s">
        <v>239</v>
      </c>
      <c r="X35" s="32" t="str" cm="1">
        <f t="array" ref="X35" xml:space="preserve"> IFERROR( INDEX($D$5:$D$65, MATCH(TRUE, EXACT($W35, $C$5:$C$65),0)), "")</f>
        <v>ㄜ</v>
      </c>
      <c r="Y35" s="107" t="str" cm="1">
        <f t="array" ref="Y35" xml:space="preserve"> IFERROR( INDEX($G$9:$G$65, MATCH(TRUE, EXACT($W35, $C$5:$C$65),0)), "")</f>
        <v>au</v>
      </c>
      <c r="Z35" s="179" t="str" cm="1">
        <f t="array" ref="Z35" xml:space="preserve"> IFERROR( INDEX($F$5:$F$65, MATCH(TRUE, EXACT($W35, $C$5:$C$65),0)), "")</f>
        <v>o</v>
      </c>
      <c r="AB35" s="98">
        <f t="shared" si="5"/>
        <v>31</v>
      </c>
      <c r="AC35" s="210"/>
      <c r="AD35" s="207"/>
      <c r="AE35" s="208"/>
      <c r="AF35" s="209"/>
      <c r="AQ35" s="195"/>
      <c r="AR35" s="166">
        <f t="shared" si="0"/>
        <v>32</v>
      </c>
      <c r="AS35" s="167" t="s">
        <v>72</v>
      </c>
      <c r="AT35" s="203" t="s">
        <v>160</v>
      </c>
      <c r="AU35" s="169" t="s">
        <v>487</v>
      </c>
      <c r="AV35" s="195"/>
    </row>
    <row r="36" spans="2:48">
      <c r="B36" s="211">
        <f t="shared" si="1"/>
        <v>32</v>
      </c>
      <c r="C36" s="73" t="s">
        <v>275</v>
      </c>
      <c r="D36" s="183" t="str">
        <f>E36</f>
        <v>ㄜ</v>
      </c>
      <c r="E36" s="42" t="s">
        <v>64</v>
      </c>
      <c r="F36" s="44" t="s">
        <v>65</v>
      </c>
      <c r="G36" s="105" t="s">
        <v>65</v>
      </c>
      <c r="H36" s="172"/>
      <c r="I36" s="44"/>
      <c r="J36" s="73"/>
      <c r="K36" s="107" t="str">
        <f t="shared" si="2"/>
        <v>["ㄜ"] = "o",</v>
      </c>
      <c r="L36" s="196"/>
      <c r="M36" s="196"/>
      <c r="N36" s="173" t="str">
        <f xml:space="preserve"> "# " &amp; _xlfn.CONCAT(E37:E41)</f>
        <v># ㄢㄞㆮㄠㆯ</v>
      </c>
      <c r="P36" s="77">
        <f t="shared" si="8"/>
        <v>31</v>
      </c>
      <c r="Q36" s="71" t="s">
        <v>321</v>
      </c>
      <c r="R36" s="32" t="str" cm="1">
        <f t="array" ref="R36" xml:space="preserve"> IFERROR( INDEX($D$5:$D$65, MATCH(TRUE, EXACT($Q36, $C$5:$C$65),0)), "")</f>
        <v>ㄧ</v>
      </c>
      <c r="S36" s="107" t="str" cm="1">
        <f t="array" ref="S36" xml:space="preserve"> IFERROR( INDEX($G$9:$G$65, MATCH(TRUE, EXACT($Q36, $C$5:$C$65),0)), "")</f>
        <v>a</v>
      </c>
      <c r="T36" s="181" t="str" cm="1">
        <f t="array" ref="T36" xml:space="preserve"> IFERROR( INDEX($F$5:$F$65, MATCH(TRUE, EXACT($Q36, $C$5:$C$65),0)), "")</f>
        <v>i</v>
      </c>
      <c r="V36" s="77">
        <f t="shared" si="9"/>
        <v>31</v>
      </c>
      <c r="W36" s="71" t="s">
        <v>316</v>
      </c>
      <c r="X36" s="32" t="str" cm="1">
        <f t="array" ref="X36" xml:space="preserve"> IFERROR( INDEX($D$5:$D$65, MATCH(TRUE, EXACT($W36, $C$5:$C$65),0)), "")</f>
        <v/>
      </c>
      <c r="Y36" s="107" t="str" cm="1">
        <f t="array" ref="Y36" xml:space="preserve"> IFERROR( INDEX($G$9:$G$65, MATCH(TRUE, EXACT($W36, $C$5:$C$65),0)), "")</f>
        <v/>
      </c>
      <c r="Z36" s="181" t="str" cm="1">
        <f t="array" ref="Z36" xml:space="preserve"> IFERROR( INDEX($F$5:$F$65, MATCH(TRUE, EXACT($W36, $C$5:$C$65),0)), "")</f>
        <v/>
      </c>
      <c r="AB36" s="98">
        <f t="shared" si="5"/>
        <v>32</v>
      </c>
      <c r="AC36" s="206"/>
      <c r="AD36" s="207"/>
      <c r="AE36" s="208"/>
      <c r="AF36" s="209"/>
      <c r="AQ36" s="195"/>
      <c r="AR36" s="166">
        <f t="shared" si="0"/>
        <v>33</v>
      </c>
      <c r="AS36" s="167" t="s">
        <v>72</v>
      </c>
      <c r="AT36" s="203" t="s">
        <v>177</v>
      </c>
      <c r="AU36" s="169" t="s">
        <v>488</v>
      </c>
      <c r="AV36" s="195"/>
    </row>
    <row r="37" spans="2:48">
      <c r="B37" s="204">
        <f t="shared" si="1"/>
        <v>33</v>
      </c>
      <c r="C37" s="71" t="s">
        <v>223</v>
      </c>
      <c r="D37" s="178" t="str">
        <f>E37</f>
        <v>ㄢ</v>
      </c>
      <c r="E37" s="32" t="s">
        <v>97</v>
      </c>
      <c r="F37" s="34" t="s">
        <v>404</v>
      </c>
      <c r="G37" s="107" t="s">
        <v>177</v>
      </c>
      <c r="H37" s="172"/>
      <c r="I37" s="34" t="str">
        <f>_xlfn.CONCAT(F37:F45)</f>
        <v>@yYxX}{][</v>
      </c>
      <c r="J37" s="71" t="str">
        <f xml:space="preserve"> _xlfn.CONCAT(C37:C45)</f>
        <v>&lt;(LMo/pm.</v>
      </c>
      <c r="K37" s="107" t="str">
        <f t="shared" si="2"/>
        <v>["ㄢ"] = "an",</v>
      </c>
      <c r="L37" s="173" t="str">
        <f xml:space="preserve"> _xlfn.CONCAT(F37:F41)</f>
        <v>@yYxX</v>
      </c>
      <c r="M37" s="173" t="str">
        <f xml:space="preserve"> _xlfn.CONCAT(C37:C41)</f>
        <v>&lt;(LMo</v>
      </c>
      <c r="N37" s="194" t="str">
        <f xml:space="preserve"> "- xlit|" &amp; L37 &amp; "|" &amp; M37 &amp; "|"</f>
        <v>- xlit|@yYxX|&lt;(LMo|</v>
      </c>
      <c r="P37" s="78">
        <f>P36+1</f>
        <v>32</v>
      </c>
      <c r="Q37" s="73" t="s">
        <v>476</v>
      </c>
      <c r="R37" s="42" t="str" cm="1">
        <f t="array" ref="R37" xml:space="preserve"> IFERROR( INDEX($D$5:$D$65, MATCH(TRUE, EXACT($Q37, $C$5:$C$65),0)), "")</f>
        <v>ㄥㄧ</v>
      </c>
      <c r="S37" s="105" t="str" cm="1">
        <f t="array" ref="S37" xml:space="preserve"> IFERROR( INDEX($G$9:$G$65, MATCH(TRUE, EXACT($Q37, $C$5:$C$65),0)), "")</f>
        <v>Na</v>
      </c>
      <c r="T37" s="187" t="str" cm="1">
        <f t="array" ref="T37" xml:space="preserve"> IFERROR( INDEX($F$5:$F$65, MATCH(TRUE, EXACT($Q37, $C$5:$C$65),0)), "")</f>
        <v>I</v>
      </c>
      <c r="V37" s="78">
        <f>V36+1</f>
        <v>32</v>
      </c>
      <c r="W37" s="73" t="s">
        <v>476</v>
      </c>
      <c r="X37" s="42" t="str" cm="1">
        <f t="array" ref="X37" xml:space="preserve"> IFERROR( INDEX($D$5:$D$65, MATCH(TRUE, EXACT($W37, $C$5:$C$65),0)), "")</f>
        <v>ㄥㄧ</v>
      </c>
      <c r="Y37" s="105" t="str" cm="1">
        <f t="array" ref="Y37" xml:space="preserve"> IFERROR( INDEX($G$9:$G$65, MATCH(TRUE, EXACT($W37, $C$5:$C$65),0)), "")</f>
        <v>Na</v>
      </c>
      <c r="Z37" s="187" t="str" cm="1">
        <f t="array" ref="Z37" xml:space="preserve"> IFERROR( INDEX($F$5:$F$65, MATCH(TRUE, EXACT($W37, $C$5:$C$65),0)), "")</f>
        <v>I</v>
      </c>
      <c r="AB37" s="98">
        <f t="shared" si="5"/>
        <v>33</v>
      </c>
      <c r="AC37" s="206"/>
      <c r="AD37" s="207"/>
      <c r="AE37" s="208"/>
      <c r="AF37" s="209"/>
      <c r="AQ37" s="195"/>
      <c r="AR37" s="166">
        <f t="shared" si="0"/>
        <v>34</v>
      </c>
      <c r="AS37" s="167" t="s">
        <v>99</v>
      </c>
      <c r="AT37" s="203" t="s">
        <v>489</v>
      </c>
      <c r="AU37" s="169" t="s">
        <v>490</v>
      </c>
      <c r="AV37" s="195"/>
    </row>
    <row r="38" spans="2:48">
      <c r="B38" s="204">
        <f t="shared" ref="B38:B43" si="10" xml:space="preserve"> ROW() -4</f>
        <v>34</v>
      </c>
      <c r="C38" s="71" t="s">
        <v>240</v>
      </c>
      <c r="D38" s="178" t="str">
        <f>E38</f>
        <v>ㄞ</v>
      </c>
      <c r="E38" s="32" t="s">
        <v>241</v>
      </c>
      <c r="F38" s="34" t="s">
        <v>370</v>
      </c>
      <c r="G38" s="107" t="s">
        <v>71</v>
      </c>
      <c r="H38" s="172"/>
      <c r="I38" s="34"/>
      <c r="J38" s="71"/>
      <c r="K38" s="107" t="str">
        <f t="shared" si="2"/>
        <v>["ㄞ"] = "ai",</v>
      </c>
      <c r="L38" s="173"/>
      <c r="M38" s="173"/>
      <c r="N38" s="173"/>
      <c r="P38" s="87">
        <f t="shared" ref="P38:P45" si="11">P37+1</f>
        <v>33</v>
      </c>
      <c r="Q38" s="109">
        <v>9</v>
      </c>
      <c r="R38" s="26" t="str" cm="1">
        <f t="array" ref="R38" xml:space="preserve"> IFERROR( INDEX($D$5:$D$65, MATCH(TRUE, EXACT($Q38, $C$5:$C$65),0)), "")</f>
        <v>ㄨ</v>
      </c>
      <c r="S38" s="108" t="str" cm="1">
        <f t="array" ref="S38" xml:space="preserve"> IFERROR( INDEX($G$9:$G$65, MATCH(TRUE, EXACT($Q38, $C$5:$C$65),0)), "")</f>
        <v>e</v>
      </c>
      <c r="T38" s="174" t="str" cm="1">
        <f t="array" ref="T38" xml:space="preserve"> IFERROR( INDEX($F$5:$F$65, MATCH(TRUE, EXACT($Q38, $C$5:$C$65),0)), "")</f>
        <v>u</v>
      </c>
      <c r="V38" s="87">
        <f t="shared" ref="V38:V45" si="12">V37+1</f>
        <v>33</v>
      </c>
      <c r="W38" s="188" t="s">
        <v>491</v>
      </c>
      <c r="X38" s="26" t="str" cm="1">
        <f t="array" ref="X38" xml:space="preserve"> IFERROR( INDEX($D$5:$D$65, MATCH(TRUE, EXACT($W38, $C$5:$C$65),0)), "")</f>
        <v>ㄞ</v>
      </c>
      <c r="Y38" s="108" t="str" cm="1">
        <f t="array" ref="Y38" xml:space="preserve"> IFERROR( INDEX($G$9:$G$65, MATCH(TRUE, EXACT($W38, $C$5:$C$65),0)), "")</f>
        <v>om</v>
      </c>
      <c r="Z38" s="174" t="str" cm="1">
        <f t="array" ref="Z38" xml:space="preserve"> IFERROR( INDEX($F$5:$F$65, MATCH(TRUE, EXACT($W38, $C$5:$C$65),0)), "")</f>
        <v>y</v>
      </c>
      <c r="AB38" s="98">
        <f t="shared" si="5"/>
        <v>34</v>
      </c>
      <c r="AC38" s="206"/>
      <c r="AD38" s="207"/>
      <c r="AE38" s="208"/>
      <c r="AF38" s="209"/>
      <c r="AQ38" s="195"/>
      <c r="AR38" s="166">
        <f t="shared" si="0"/>
        <v>35</v>
      </c>
      <c r="AS38" s="167" t="s">
        <v>125</v>
      </c>
      <c r="AT38" s="203" t="s">
        <v>163</v>
      </c>
      <c r="AU38" s="169" t="s">
        <v>492</v>
      </c>
      <c r="AV38" s="195"/>
    </row>
    <row r="39" spans="2:48">
      <c r="B39" s="204">
        <f t="shared" si="10"/>
        <v>35</v>
      </c>
      <c r="C39" s="71" t="s">
        <v>231</v>
      </c>
      <c r="D39" s="178" t="str">
        <f xml:space="preserve"> "ㄥ" &amp; E38</f>
        <v>ㄥㄞ</v>
      </c>
      <c r="E39" s="32" t="s">
        <v>117</v>
      </c>
      <c r="F39" s="34" t="s">
        <v>374</v>
      </c>
      <c r="G39" s="107" t="s">
        <v>493</v>
      </c>
      <c r="H39" s="172"/>
      <c r="I39" s="34"/>
      <c r="J39" s="71"/>
      <c r="K39" s="107" t="str">
        <f t="shared" si="2"/>
        <v>["ㆮ"] = "Nai",</v>
      </c>
      <c r="L39" s="173"/>
      <c r="M39" s="173"/>
      <c r="N39" s="173"/>
      <c r="P39" s="77">
        <f t="shared" si="11"/>
        <v>34</v>
      </c>
      <c r="Q39" s="71" t="s">
        <v>66</v>
      </c>
      <c r="R39" s="32" t="str" cm="1">
        <f t="array" ref="R39" xml:space="preserve"> IFERROR( INDEX($D$5:$D$65, MATCH(TRUE, EXACT($Q39, $C$5:$C$65),0)), "")</f>
        <v>ㄥㄠ</v>
      </c>
      <c r="S39" s="107" t="str" cm="1">
        <f t="array" ref="S39" xml:space="preserve"> IFERROR( INDEX($G$9:$G$65, MATCH(TRUE, EXACT($Q39, $C$5:$C$65),0)), "")</f>
        <v>ang</v>
      </c>
      <c r="T39" s="179" t="str" cm="1">
        <f t="array" ref="T39" xml:space="preserve"> IFERROR( INDEX($F$5:$F$65, MATCH(TRUE, EXACT($Q39, $C$5:$C$65),0)), "")</f>
        <v>X</v>
      </c>
      <c r="V39" s="77">
        <f t="shared" si="12"/>
        <v>34</v>
      </c>
      <c r="W39" s="71" t="s">
        <v>69</v>
      </c>
      <c r="X39" s="32" t="str" cm="1">
        <f t="array" ref="X39" xml:space="preserve"> IFERROR( INDEX($D$5:$D$65, MATCH(TRUE, EXACT($W39, $C$5:$C$65),0)), "")</f>
        <v/>
      </c>
      <c r="Y39" s="107" t="str" cm="1">
        <f t="array" ref="Y39" xml:space="preserve"> IFERROR( INDEX($G$9:$G$65, MATCH(TRUE, EXACT($W39, $C$5:$C$65),0)), "")</f>
        <v/>
      </c>
      <c r="Z39" s="179" t="str" cm="1">
        <f t="array" ref="Z39" xml:space="preserve"> IFERROR( INDEX($F$5:$F$65, MATCH(TRUE, EXACT($W39, $C$5:$C$65),0)), "")</f>
        <v/>
      </c>
      <c r="AB39" s="98">
        <f t="shared" si="5"/>
        <v>35</v>
      </c>
      <c r="AC39" s="206"/>
      <c r="AD39" s="207"/>
      <c r="AE39" s="208"/>
      <c r="AF39" s="209"/>
      <c r="AQ39" s="195"/>
      <c r="AR39" s="166">
        <f t="shared" si="0"/>
        <v>36</v>
      </c>
      <c r="AS39" s="167" t="s">
        <v>145</v>
      </c>
      <c r="AT39" s="203" t="s">
        <v>494</v>
      </c>
      <c r="AU39" s="169" t="s">
        <v>495</v>
      </c>
      <c r="AV39" s="195"/>
    </row>
    <row r="40" spans="2:48">
      <c r="B40" s="204">
        <f t="shared" si="10"/>
        <v>36</v>
      </c>
      <c r="C40" s="71" t="s">
        <v>525</v>
      </c>
      <c r="D40" s="178" t="str">
        <f>E40</f>
        <v>ㄠ</v>
      </c>
      <c r="E40" s="32" t="s">
        <v>72</v>
      </c>
      <c r="F40" s="34" t="s">
        <v>413</v>
      </c>
      <c r="G40" s="107" t="s">
        <v>326</v>
      </c>
      <c r="H40" s="172"/>
      <c r="I40" s="34"/>
      <c r="J40" s="71"/>
      <c r="K40" s="107" t="str">
        <f t="shared" si="2"/>
        <v>["ㄠ"] = "au",</v>
      </c>
      <c r="L40" s="173"/>
      <c r="M40" s="173"/>
      <c r="N40" s="173"/>
      <c r="P40" s="77">
        <f t="shared" si="11"/>
        <v>35</v>
      </c>
      <c r="Q40" s="71" t="s">
        <v>496</v>
      </c>
      <c r="R40" s="32" t="str" cm="1">
        <f t="array" ref="R40" xml:space="preserve"> IFERROR( INDEX($D$5:$D$65, MATCH(TRUE, EXACT($Q40, $C$5:$C$65),0)), "")</f>
        <v>ㄥㄨ</v>
      </c>
      <c r="S40" s="107" t="str" cm="1">
        <f t="array" ref="S40" xml:space="preserve"> IFERROR( INDEX($G$9:$G$65, MATCH(TRUE, EXACT($Q40, $C$5:$C$65),0)), "")</f>
        <v>Ne</v>
      </c>
      <c r="T40" s="181" t="str" cm="1">
        <f t="array" ref="T40" xml:space="preserve"> IFERROR( INDEX($F$5:$F$65, MATCH(TRUE, EXACT($Q40, $C$5:$C$65),0)), "")</f>
        <v>U</v>
      </c>
      <c r="V40" s="77">
        <f t="shared" si="12"/>
        <v>35</v>
      </c>
      <c r="W40" s="71" t="s">
        <v>497</v>
      </c>
      <c r="X40" s="32" t="str" cm="1">
        <f t="array" ref="X40" xml:space="preserve"> IFERROR( INDEX($D$5:$D$65, MATCH(TRUE, EXACT($W40, $C$5:$C$65),0)), "")</f>
        <v>ㄥㄞ</v>
      </c>
      <c r="Y40" s="107" t="str" cm="1">
        <f t="array" ref="Y40" xml:space="preserve"> IFERROR( INDEX($G$9:$G$65, MATCH(TRUE, EXACT($W40, $C$5:$C$65),0)), "")</f>
        <v>am</v>
      </c>
      <c r="Z40" s="181" t="str" cm="1">
        <f t="array" ref="Z40" xml:space="preserve"> IFERROR( INDEX($F$5:$F$65, MATCH(TRUE, EXACT($W40, $C$5:$C$65),0)), "")</f>
        <v>Y</v>
      </c>
      <c r="AB40" s="98">
        <f t="shared" si="5"/>
        <v>36</v>
      </c>
      <c r="AC40" s="206"/>
      <c r="AD40" s="207"/>
      <c r="AE40" s="208"/>
      <c r="AF40" s="209"/>
      <c r="AR40" s="166">
        <f t="shared" si="0"/>
        <v>37</v>
      </c>
      <c r="AS40" s="167" t="s">
        <v>97</v>
      </c>
      <c r="AT40" s="203" t="s">
        <v>140</v>
      </c>
      <c r="AU40" s="169" t="s">
        <v>498</v>
      </c>
    </row>
    <row r="41" spans="2:48">
      <c r="B41" s="211">
        <f t="shared" si="10"/>
        <v>37</v>
      </c>
      <c r="C41" s="73" t="s">
        <v>65</v>
      </c>
      <c r="D41" s="183" t="str">
        <f xml:space="preserve"> "ㄥ" &amp; E40</f>
        <v>ㄥㄠ</v>
      </c>
      <c r="E41" s="42" t="s">
        <v>123</v>
      </c>
      <c r="F41" s="44" t="s">
        <v>414</v>
      </c>
      <c r="G41" s="105" t="s">
        <v>499</v>
      </c>
      <c r="H41" s="172"/>
      <c r="I41" s="34"/>
      <c r="J41" s="71"/>
      <c r="K41" s="107" t="str">
        <f t="shared" si="2"/>
        <v>["ㆯ"] = "Nau",</v>
      </c>
      <c r="L41" s="173"/>
      <c r="M41" s="173"/>
      <c r="N41" s="173" t="str">
        <f xml:space="preserve"> "# " &amp; _xlfn.CONCAT(E42:E46)</f>
        <v># ㆱㆰㆲㄤㆨ</v>
      </c>
      <c r="P41" s="78">
        <f t="shared" si="11"/>
        <v>36</v>
      </c>
      <c r="Q41" s="73" t="s">
        <v>500</v>
      </c>
      <c r="R41" s="42" t="str" cm="1">
        <f t="array" ref="R41" xml:space="preserve"> IFERROR( INDEX($D$5:$D$65, MATCH(TRUE, EXACT($Q41, $C$5:$C$65),0)), "")</f>
        <v>ㄤ</v>
      </c>
      <c r="S41" s="105" t="str" cm="1">
        <f t="array" ref="S41" xml:space="preserve"> IFERROR( INDEX($G$9:$G$65, MATCH(TRUE, EXACT($Q41, $C$5:$C$65),0)), "")</f>
        <v>n</v>
      </c>
      <c r="T41" s="187" t="str" cm="1">
        <f t="array" ref="T41" xml:space="preserve"> IFERROR( INDEX($F$5:$F$65, MATCH(TRUE, EXACT($Q41, $C$5:$C$65),0)), "")</f>
        <v>[</v>
      </c>
      <c r="V41" s="78">
        <f t="shared" si="12"/>
        <v>36</v>
      </c>
      <c r="W41" s="73" t="s">
        <v>500</v>
      </c>
      <c r="X41" s="42" t="str" cm="1">
        <f t="array" ref="X41" xml:space="preserve"> IFERROR( INDEX($D$5:$D$65, MATCH(TRUE, EXACT($W41, $C$5:$C$65),0)), "")</f>
        <v>ㄤ</v>
      </c>
      <c r="Y41" s="105" t="str" cm="1">
        <f t="array" ref="Y41" xml:space="preserve"> IFERROR( INDEX($G$9:$G$65, MATCH(TRUE, EXACT($W41, $C$5:$C$65),0)), "")</f>
        <v>n</v>
      </c>
      <c r="Z41" s="187" t="str" cm="1">
        <f t="array" ref="Z41" xml:space="preserve"> IFERROR( INDEX($F$5:$F$65, MATCH(TRUE, EXACT($W41, $C$5:$C$65),0)), "")</f>
        <v>[</v>
      </c>
      <c r="AB41" s="98">
        <f t="shared" si="5"/>
        <v>37</v>
      </c>
      <c r="AC41" s="206"/>
      <c r="AD41" s="207"/>
      <c r="AE41" s="208"/>
      <c r="AF41" s="209"/>
      <c r="AR41" s="166">
        <f t="shared" si="0"/>
        <v>38</v>
      </c>
      <c r="AS41" s="167" t="s">
        <v>76</v>
      </c>
      <c r="AT41" s="203" t="s">
        <v>207</v>
      </c>
      <c r="AU41" s="169" t="s">
        <v>501</v>
      </c>
    </row>
    <row r="42" spans="2:48">
      <c r="B42" s="204">
        <f t="shared" si="10"/>
        <v>38</v>
      </c>
      <c r="C42" s="205" t="s">
        <v>202</v>
      </c>
      <c r="D42" s="212" t="s">
        <v>502</v>
      </c>
      <c r="E42" s="213" t="s">
        <v>125</v>
      </c>
      <c r="F42" s="34" t="s">
        <v>503</v>
      </c>
      <c r="G42" s="107" t="s">
        <v>203</v>
      </c>
      <c r="H42" s="172"/>
      <c r="I42" s="28"/>
      <c r="J42" s="188"/>
      <c r="K42" s="107" t="str">
        <f t="shared" si="2"/>
        <v>["ㆱ"] = "om",</v>
      </c>
      <c r="L42" s="194" t="str">
        <f xml:space="preserve"> _xlfn.CONCAT(F42:F46)</f>
        <v>}{][R</v>
      </c>
      <c r="M42" s="194" t="str">
        <f xml:space="preserve"> _xlfn.CONCAT(C42:C46)</f>
        <v xml:space="preserve">/pm. </v>
      </c>
      <c r="N42" s="194" t="str">
        <f xml:space="preserve"> "- xlit|" &amp; L42 &amp; "|" &amp; M42 &amp; "|"</f>
        <v>- xlit|}{][R|/pm. |</v>
      </c>
      <c r="P42" s="87">
        <f t="shared" si="11"/>
        <v>37</v>
      </c>
      <c r="Q42" s="109">
        <v>0</v>
      </c>
      <c r="R42" s="26" t="str" cm="1">
        <f t="array" ref="R42" xml:space="preserve"> IFERROR( INDEX($D$5:$D$65, MATCH(TRUE, EXACT($Q42, $C$5:$C$65),0)), "")</f>
        <v>ㄚ</v>
      </c>
      <c r="S42" s="108" t="str" cm="1">
        <f t="array" ref="S42" xml:space="preserve"> IFERROR( INDEX($G$9:$G$65, MATCH(TRUE, EXACT($Q42, $C$5:$C$65),0)), "")</f>
        <v>oo</v>
      </c>
      <c r="T42" s="174" t="str" cm="1">
        <f t="array" ref="T42" xml:space="preserve"> IFERROR( INDEX($F$5:$F$65, MATCH(TRUE, EXACT($Q42, $C$5:$C$65),0)), "")</f>
        <v>a</v>
      </c>
      <c r="V42" s="87">
        <f t="shared" si="12"/>
        <v>37</v>
      </c>
      <c r="W42" s="188" t="s">
        <v>504</v>
      </c>
      <c r="X42" s="26" t="str" cm="1">
        <f t="array" ref="X42" xml:space="preserve"> IFERROR( INDEX($D$5:$D$65, MATCH(TRUE, EXACT($W42, $C$5:$C$65),0)), "")</f>
        <v/>
      </c>
      <c r="Y42" s="108" t="str" cm="1">
        <f t="array" ref="Y42" xml:space="preserve"> IFERROR( INDEX($G$9:$G$65, MATCH(TRUE, EXACT($W42, $C$5:$C$65),0)), "")</f>
        <v/>
      </c>
      <c r="Z42" s="174" t="str" cm="1">
        <f t="array" ref="Z42" xml:space="preserve"> IFERROR( INDEX($F$5:$F$65, MATCH(TRUE, EXACT($W42, $C$5:$C$65),0)), "")</f>
        <v/>
      </c>
      <c r="AB42" s="98">
        <f t="shared" si="5"/>
        <v>38</v>
      </c>
      <c r="AC42" s="206"/>
      <c r="AD42" s="207"/>
      <c r="AE42" s="208"/>
      <c r="AF42" s="209"/>
      <c r="AR42" s="166">
        <f t="shared" si="0"/>
        <v>39</v>
      </c>
      <c r="AS42" s="167" t="s">
        <v>95</v>
      </c>
      <c r="AT42" s="203" t="s">
        <v>203</v>
      </c>
      <c r="AU42" s="169" t="s">
        <v>505</v>
      </c>
    </row>
    <row r="43" spans="2:48">
      <c r="B43" s="204">
        <f t="shared" si="10"/>
        <v>39</v>
      </c>
      <c r="C43" s="205" t="s">
        <v>217</v>
      </c>
      <c r="D43" s="212" t="s">
        <v>506</v>
      </c>
      <c r="E43" s="213" t="s">
        <v>99</v>
      </c>
      <c r="F43" s="34" t="s">
        <v>507</v>
      </c>
      <c r="G43" s="107" t="s">
        <v>207</v>
      </c>
      <c r="H43" s="172"/>
      <c r="I43" s="34"/>
      <c r="J43" s="205"/>
      <c r="K43" s="107" t="str">
        <f t="shared" si="2"/>
        <v>["ㆰ"] = "am",</v>
      </c>
      <c r="L43" s="173"/>
      <c r="M43" s="173"/>
      <c r="N43" s="173"/>
      <c r="P43" s="77">
        <f t="shared" si="11"/>
        <v>38</v>
      </c>
      <c r="Q43" s="71" t="s">
        <v>21</v>
      </c>
      <c r="R43" s="32" t="str" cm="1">
        <f t="array" ref="R43" xml:space="preserve"> IFERROR( INDEX($D$5:$D$65, MATCH(TRUE, EXACT($Q43, $C$5:$C$65),0)), "")</f>
        <v>ㄚㄇ</v>
      </c>
      <c r="S43" s="107" t="str" cm="1">
        <f t="array" ref="S43" xml:space="preserve"> IFERROR( INDEX($G$9:$G$65, MATCH(TRUE, EXACT($Q43, $C$5:$C$65),0)), "")</f>
        <v>ng</v>
      </c>
      <c r="T43" s="179" t="str" cm="1">
        <f t="array" ref="T43" xml:space="preserve"> IFERROR( INDEX($F$5:$F$65, MATCH(TRUE, EXACT($Q43, $C$5:$C$65),0)), "")</f>
        <v>{</v>
      </c>
      <c r="V43" s="77">
        <f t="shared" si="12"/>
        <v>38</v>
      </c>
      <c r="W43" s="71" t="s">
        <v>358</v>
      </c>
      <c r="X43" s="32" t="str" cm="1">
        <f t="array" ref="X43" xml:space="preserve"> IFERROR( INDEX($D$5:$D$65, MATCH(TRUE, EXACT($W43, $C$5:$C$65),0)), "")</f>
        <v/>
      </c>
      <c r="Y43" s="107" t="str" cm="1">
        <f t="array" ref="Y43" xml:space="preserve"> IFERROR( INDEX($G$9:$G$65, MATCH(TRUE, EXACT($W43, $C$5:$C$65),0)), "")</f>
        <v/>
      </c>
      <c r="Z43" s="179" t="str" cm="1">
        <f t="array" ref="Z43" xml:space="preserve"> IFERROR( INDEX($F$5:$F$65, MATCH(TRUE, EXACT($W43, $C$5:$C$65),0)), "")</f>
        <v/>
      </c>
      <c r="AB43" s="98">
        <f t="shared" si="5"/>
        <v>39</v>
      </c>
      <c r="AC43" s="206"/>
      <c r="AD43" s="207"/>
      <c r="AE43" s="208"/>
      <c r="AF43" s="209"/>
      <c r="AR43" s="166">
        <f t="shared" si="0"/>
        <v>40</v>
      </c>
      <c r="AS43" s="167" t="s">
        <v>101</v>
      </c>
      <c r="AT43" s="203" t="s">
        <v>276</v>
      </c>
      <c r="AU43" s="169" t="s">
        <v>508</v>
      </c>
    </row>
    <row r="44" spans="2:48">
      <c r="B44" s="204">
        <f t="shared" ref="B44:B50" si="13" xml:space="preserve"> ROW() - 4</f>
        <v>40</v>
      </c>
      <c r="C44" s="205" t="s">
        <v>143</v>
      </c>
      <c r="D44" s="212" t="s">
        <v>510</v>
      </c>
      <c r="E44" s="213" t="s">
        <v>101</v>
      </c>
      <c r="F44" s="34" t="s">
        <v>511</v>
      </c>
      <c r="G44" s="107" t="s">
        <v>160</v>
      </c>
      <c r="H44" s="172"/>
      <c r="I44" s="34"/>
      <c r="J44" s="205"/>
      <c r="K44" s="107" t="str">
        <f t="shared" si="2"/>
        <v>["ㆲ"] = "ong",</v>
      </c>
      <c r="L44" s="173"/>
      <c r="M44" s="173"/>
      <c r="N44" s="173"/>
      <c r="P44" s="77">
        <f t="shared" si="11"/>
        <v>39</v>
      </c>
      <c r="Q44" s="71" t="s">
        <v>512</v>
      </c>
      <c r="R44" s="32" t="str" cm="1">
        <f t="array" ref="R44" xml:space="preserve"> IFERROR( INDEX($D$5:$D$65, MATCH(TRUE, EXACT($Q44, $C$5:$C$65),0)), "")</f>
        <v>ㄥㄚ</v>
      </c>
      <c r="S44" s="107" t="str" cm="1">
        <f t="array" ref="S44" xml:space="preserve"> IFERROR( INDEX($G$9:$G$65, MATCH(TRUE, EXACT($Q44, $C$5:$C$65),0)), "")</f>
        <v>Noo</v>
      </c>
      <c r="T44" s="181" t="str" cm="1">
        <f t="array" ref="T44" xml:space="preserve"> IFERROR( INDEX($F$5:$F$65, MATCH(TRUE, EXACT($Q44, $C$5:$C$65),0)), "")</f>
        <v>A</v>
      </c>
      <c r="V44" s="77">
        <f t="shared" si="12"/>
        <v>39</v>
      </c>
      <c r="W44" s="205" t="s">
        <v>509</v>
      </c>
      <c r="X44" s="32" t="str" cm="1">
        <f t="array" ref="X44" xml:space="preserve"> IFERROR( INDEX($D$5:$D$65, MATCH(TRUE, EXACT($W44, $C$5:$C$65),0)), "")</f>
        <v/>
      </c>
      <c r="Y44" s="107" t="str" cm="1">
        <f t="array" ref="Y44" xml:space="preserve"> IFERROR( INDEX($G$9:$G$65, MATCH(TRUE, EXACT($W44, $C$5:$C$65),0)), "")</f>
        <v/>
      </c>
      <c r="Z44" s="181" t="str" cm="1">
        <f t="array" ref="Z44" xml:space="preserve"> IFERROR( INDEX($F$5:$F$65, MATCH(TRUE, EXACT($W44, $C$5:$C$65),0)), "")</f>
        <v/>
      </c>
      <c r="AB44" s="98">
        <f t="shared" si="5"/>
        <v>40</v>
      </c>
      <c r="AC44" s="214" t="s">
        <v>364</v>
      </c>
      <c r="AD44" s="215" t="s">
        <v>364</v>
      </c>
      <c r="AE44" s="216">
        <v>1</v>
      </c>
      <c r="AF44" s="217">
        <v>1</v>
      </c>
      <c r="AR44" s="166">
        <f t="shared" si="0"/>
        <v>41</v>
      </c>
      <c r="AS44" s="167" t="s">
        <v>127</v>
      </c>
      <c r="AT44" s="203" t="s">
        <v>513</v>
      </c>
      <c r="AU44" s="169" t="s">
        <v>514</v>
      </c>
    </row>
    <row r="45" spans="2:48">
      <c r="B45" s="204">
        <f t="shared" si="13"/>
        <v>41</v>
      </c>
      <c r="C45" s="205" t="s">
        <v>594</v>
      </c>
      <c r="D45" s="178" t="str">
        <f>E45</f>
        <v>ㄤ</v>
      </c>
      <c r="E45" s="32" t="s">
        <v>95</v>
      </c>
      <c r="F45" s="34" t="s">
        <v>515</v>
      </c>
      <c r="G45" s="107" t="s">
        <v>163</v>
      </c>
      <c r="H45" s="172"/>
      <c r="I45" s="44"/>
      <c r="J45" s="218"/>
      <c r="K45" s="107" t="str">
        <f t="shared" si="2"/>
        <v>["ㄤ"] = "ang",</v>
      </c>
      <c r="L45" s="196"/>
      <c r="M45" s="196"/>
      <c r="N45" s="196"/>
      <c r="P45" s="78">
        <f t="shared" si="11"/>
        <v>40</v>
      </c>
      <c r="Q45" s="218" t="s">
        <v>516</v>
      </c>
      <c r="R45" s="42" t="str" cm="1">
        <f t="array" ref="R45" xml:space="preserve"> IFERROR( INDEX($D$5:$D$65, MATCH(TRUE, EXACT($Q45, $C$5:$C$65),0)), "")</f>
        <v>ㄛㄇ</v>
      </c>
      <c r="S45" s="105" t="str" cm="1">
        <f t="array" ref="S45" xml:space="preserve"> IFERROR( INDEX($G$9:$G$65, MATCH(TRUE, EXACT($Q45, $C$5:$C$65),0)), "")</f>
        <v>ir</v>
      </c>
      <c r="T45" s="187" t="str" cm="1">
        <f t="array" ref="T45" xml:space="preserve"> IFERROR( INDEX($F$5:$F$65, MATCH(TRUE, EXACT($Q45, $C$5:$C$65),0)), "")</f>
        <v>}</v>
      </c>
      <c r="V45" s="78">
        <f t="shared" si="12"/>
        <v>40</v>
      </c>
      <c r="W45" s="218" t="s">
        <v>517</v>
      </c>
      <c r="X45" s="42" t="str" cm="1">
        <f t="array" ref="X45" xml:space="preserve"> IFERROR( INDEX($D$5:$D$65, MATCH(TRUE, EXACT($W45, $C$5:$C$65),0)), "")</f>
        <v/>
      </c>
      <c r="Y45" s="105" t="str" cm="1">
        <f t="array" ref="Y45" xml:space="preserve"> IFERROR( INDEX($G$9:$G$65, MATCH(TRUE, EXACT($W45, $C$5:$C$65),0)), "")</f>
        <v/>
      </c>
      <c r="Z45" s="187" t="str" cm="1">
        <f t="array" ref="Z45" xml:space="preserve"> IFERROR( INDEX($F$5:$F$65, MATCH(TRUE, EXACT($W45, $C$5:$C$65),0)), "")</f>
        <v/>
      </c>
      <c r="AB45" s="98">
        <f t="shared" si="5"/>
        <v>41</v>
      </c>
      <c r="AC45" s="214">
        <v>3</v>
      </c>
      <c r="AD45" s="215" t="s">
        <v>105</v>
      </c>
      <c r="AE45" s="216">
        <v>3</v>
      </c>
      <c r="AF45" s="217">
        <v>3</v>
      </c>
      <c r="AR45" s="166">
        <f t="shared" si="0"/>
        <v>42</v>
      </c>
      <c r="AS45" s="167" t="s">
        <v>74</v>
      </c>
      <c r="AT45" s="203" t="s">
        <v>518</v>
      </c>
      <c r="AU45" s="169" t="s">
        <v>519</v>
      </c>
    </row>
    <row r="46" spans="2:48">
      <c r="B46" s="204">
        <f t="shared" si="13"/>
        <v>42</v>
      </c>
      <c r="C46" s="205" t="s">
        <v>194</v>
      </c>
      <c r="D46" s="32" t="s">
        <v>520</v>
      </c>
      <c r="E46" s="178" t="s">
        <v>521</v>
      </c>
      <c r="F46" s="34" t="s">
        <v>436</v>
      </c>
      <c r="G46" s="107" t="s">
        <v>522</v>
      </c>
      <c r="H46" s="172"/>
      <c r="I46" s="44" t="str">
        <f>_xlfn.CONCAT(F46:F49)</f>
        <v>RWMN</v>
      </c>
      <c r="J46" s="73" t="str">
        <f xml:space="preserve"> _xlfn.CONCAT(C46:C49)</f>
        <v xml:space="preserve"> 436</v>
      </c>
      <c r="K46" s="107" t="str">
        <f t="shared" si="2"/>
        <v>["ㆨ"] = "ir",</v>
      </c>
      <c r="L46" s="196"/>
      <c r="M46" s="196"/>
      <c r="N46" s="173" t="str">
        <f xml:space="preserve"> "# " &amp; _xlfn.CONCAT(E47:E49)</f>
        <v># ㆭㆬㄣ</v>
      </c>
      <c r="P46" s="77">
        <f>P45+1</f>
        <v>41</v>
      </c>
      <c r="Q46" s="205" t="s">
        <v>366</v>
      </c>
      <c r="R46" s="32" t="str" cm="1">
        <f t="array" ref="R46" xml:space="preserve"> IFERROR( INDEX($D$5:$D$65, MATCH(TRUE, EXACT($Q46, $C$5:$C$65),0)), "")</f>
        <v/>
      </c>
      <c r="S46" s="107" t="str" cm="1">
        <f t="array" ref="S46" xml:space="preserve"> IFERROR( INDEX($G$9:$G$65, MATCH(TRUE, EXACT($Q46, $C$5:$C$65),0)), "")</f>
        <v/>
      </c>
      <c r="T46" s="179" t="str" cm="1">
        <f t="array" ref="T46" xml:space="preserve"> IFERROR( INDEX($F$5:$F$65, MATCH(TRUE, EXACT($Q46, $C$5:$C$65),0)), "")</f>
        <v/>
      </c>
      <c r="V46" s="77">
        <f>V45+1</f>
        <v>41</v>
      </c>
      <c r="W46" s="205" t="s">
        <v>523</v>
      </c>
      <c r="X46" s="32" t="str" cm="1">
        <f t="array" ref="X46" xml:space="preserve"> IFERROR( INDEX($D$5:$D$65, MATCH(TRUE, EXACT($W46, $C$5:$C$65),0)), "")</f>
        <v/>
      </c>
      <c r="Y46" s="107" t="str" cm="1">
        <f t="array" ref="Y46" xml:space="preserve"> IFERROR( INDEX($G$9:$G$65, MATCH(TRUE, EXACT($W46, $C$5:$C$65),0)), "")</f>
        <v/>
      </c>
      <c r="Z46" s="179" t="str" cm="1">
        <f t="array" ref="Z46" xml:space="preserve"> IFERROR( INDEX($F$5:$F$65, MATCH(TRUE, EXACT($W46, $C$5:$C$65),0)), "")</f>
        <v/>
      </c>
      <c r="AB46" s="98">
        <f t="shared" si="5"/>
        <v>42</v>
      </c>
      <c r="AC46" s="214">
        <v>4</v>
      </c>
      <c r="AD46" s="215" t="s">
        <v>104</v>
      </c>
      <c r="AE46" s="216">
        <v>2</v>
      </c>
      <c r="AF46" s="217">
        <v>2</v>
      </c>
      <c r="AR46" s="166">
        <f t="shared" si="0"/>
        <v>43</v>
      </c>
      <c r="AS46" s="167" t="s">
        <v>54</v>
      </c>
      <c r="AT46" s="203" t="s">
        <v>270</v>
      </c>
      <c r="AU46" s="169" t="s">
        <v>524</v>
      </c>
    </row>
    <row r="47" spans="2:48">
      <c r="B47" s="219">
        <f t="shared" si="13"/>
        <v>43</v>
      </c>
      <c r="C47" s="188" t="s">
        <v>193</v>
      </c>
      <c r="D47" s="220" t="s">
        <v>127</v>
      </c>
      <c r="E47" s="221" t="s">
        <v>142</v>
      </c>
      <c r="F47" s="201" t="s">
        <v>410</v>
      </c>
      <c r="G47" s="222" t="s">
        <v>88</v>
      </c>
      <c r="H47" s="185"/>
      <c r="I47" s="201"/>
      <c r="J47" s="188"/>
      <c r="K47" s="107" t="str">
        <f t="shared" si="2"/>
        <v>["ㆭ"] = "ng",</v>
      </c>
      <c r="L47" s="202" t="str">
        <f>_xlfn.CONCAT(F47:F49)</f>
        <v>WMN</v>
      </c>
      <c r="M47" s="202" t="str">
        <f>_xlfn.CONCAT(C47:C49)</f>
        <v>436</v>
      </c>
      <c r="N47" s="194" t="str">
        <f xml:space="preserve"> "- xlit|" &amp; L47 &amp; "|" &amp; M47 &amp; "|"</f>
        <v>- xlit|WMN|436|</v>
      </c>
      <c r="P47" s="77">
        <f>P46+1</f>
        <v>42</v>
      </c>
      <c r="Q47" s="71" t="s">
        <v>515</v>
      </c>
      <c r="R47" s="32" t="str" cm="1">
        <f t="array" ref="R47" xml:space="preserve"> IFERROR( INDEX($D$5:$D$65, MATCH(TRUE, EXACT($Q47, $C$5:$C$65),0)), "")</f>
        <v/>
      </c>
      <c r="S47" s="107" t="str" cm="1">
        <f t="array" ref="S47" xml:space="preserve"> IFERROR( INDEX($G$9:$G$65, MATCH(TRUE, EXACT($Q47, $C$5:$C$65),0)), "")</f>
        <v/>
      </c>
      <c r="T47" s="179" t="str" cm="1">
        <f t="array" ref="T47" xml:space="preserve"> IFERROR( INDEX($F$5:$F$65, MATCH(TRUE, EXACT($Q47, $C$5:$C$65),0)), "")</f>
        <v/>
      </c>
      <c r="V47" s="77">
        <f>V46+1</f>
        <v>42</v>
      </c>
      <c r="W47" s="205" t="s">
        <v>507</v>
      </c>
      <c r="X47" s="32" t="str" cm="1">
        <f t="array" ref="X47" xml:space="preserve"> IFERROR( INDEX($D$5:$D$65, MATCH(TRUE, EXACT($W47, $C$5:$C$65),0)), "")</f>
        <v/>
      </c>
      <c r="Y47" s="107" t="str" cm="1">
        <f t="array" ref="Y47" xml:space="preserve"> IFERROR( INDEX($G$9:$G$65, MATCH(TRUE, EXACT($W47, $C$5:$C$65),0)), "")</f>
        <v/>
      </c>
      <c r="Z47" s="179" t="str" cm="1">
        <f t="array" ref="Z47" xml:space="preserve"> IFERROR( INDEX($F$5:$F$65, MATCH(TRUE, EXACT($W47, $C$5:$C$65),0)), "")</f>
        <v/>
      </c>
      <c r="AB47" s="98">
        <f t="shared" si="5"/>
        <v>43</v>
      </c>
      <c r="AC47" s="214">
        <v>5</v>
      </c>
      <c r="AD47" s="215" t="s">
        <v>107</v>
      </c>
      <c r="AE47" s="216">
        <v>7</v>
      </c>
      <c r="AF47" s="217">
        <v>7</v>
      </c>
    </row>
    <row r="48" spans="2:48">
      <c r="B48" s="204">
        <f t="shared" si="13"/>
        <v>44</v>
      </c>
      <c r="C48" s="71" t="s">
        <v>191</v>
      </c>
      <c r="D48" s="223" t="s">
        <v>83</v>
      </c>
      <c r="E48" s="70" t="s">
        <v>78</v>
      </c>
      <c r="F48" s="34" t="s">
        <v>525</v>
      </c>
      <c r="G48" s="111" t="s">
        <v>84</v>
      </c>
      <c r="H48" s="185"/>
      <c r="I48" s="34"/>
      <c r="J48" s="71"/>
      <c r="K48" s="107" t="str">
        <f t="shared" si="2"/>
        <v>["ㆬ"] = "m",</v>
      </c>
      <c r="L48" s="186"/>
      <c r="M48" s="186"/>
      <c r="N48" s="186"/>
      <c r="P48" s="77">
        <f>P47+1</f>
        <v>43</v>
      </c>
      <c r="Q48" s="205" t="s">
        <v>526</v>
      </c>
      <c r="R48" s="32" t="str" cm="1">
        <f t="array" ref="R48" xml:space="preserve"> IFERROR( INDEX($D$5:$D$65, MATCH(TRUE, EXACT($Q48, $C$5:$C$65),0)), "")</f>
        <v/>
      </c>
      <c r="S48" s="107" t="str" cm="1">
        <f t="array" ref="S48" xml:space="preserve"> IFERROR( INDEX($G$9:$G$65, MATCH(TRUE, EXACT($Q48, $C$5:$C$65),0)), "")</f>
        <v/>
      </c>
      <c r="T48" s="181" t="str" cm="1">
        <f t="array" ref="T48" xml:space="preserve"> IFERROR( INDEX($F$5:$F$65, MATCH(TRUE, EXACT($Q48, $C$5:$C$65),0)), "")</f>
        <v/>
      </c>
      <c r="V48" s="77">
        <f>V47+1</f>
        <v>43</v>
      </c>
      <c r="W48" s="205" t="s">
        <v>527</v>
      </c>
      <c r="X48" s="32" t="str" cm="1">
        <f t="array" ref="X48" xml:space="preserve"> IFERROR( INDEX($D$5:$D$65, MATCH(TRUE, EXACT($W48, $C$5:$C$65),0)), "")</f>
        <v/>
      </c>
      <c r="Y48" s="107" t="str" cm="1">
        <f t="array" ref="Y48" xml:space="preserve"> IFERROR( INDEX($G$9:$G$65, MATCH(TRUE, EXACT($W48, $C$5:$C$65),0)), "")</f>
        <v/>
      </c>
      <c r="Z48" s="181" t="str" cm="1">
        <f t="array" ref="Z48" xml:space="preserve"> IFERROR( INDEX($F$5:$F$65, MATCH(TRUE, EXACT($W48, $C$5:$C$65),0)), "")</f>
        <v/>
      </c>
      <c r="AB48" s="98">
        <f t="shared" si="5"/>
        <v>44</v>
      </c>
      <c r="AC48" s="214">
        <v>6</v>
      </c>
      <c r="AD48" s="215" t="s">
        <v>106</v>
      </c>
      <c r="AE48" s="216">
        <v>5</v>
      </c>
      <c r="AF48" s="217">
        <v>5</v>
      </c>
    </row>
    <row r="49" spans="2:39">
      <c r="B49" s="211">
        <f t="shared" si="13"/>
        <v>45</v>
      </c>
      <c r="C49" s="73" t="s">
        <v>175</v>
      </c>
      <c r="D49" s="224" t="str">
        <f>E49</f>
        <v>ㄣ</v>
      </c>
      <c r="E49" s="225" t="s">
        <v>76</v>
      </c>
      <c r="F49" s="44" t="s">
        <v>26</v>
      </c>
      <c r="G49" s="184" t="s">
        <v>372</v>
      </c>
      <c r="H49" s="185"/>
      <c r="I49" s="44"/>
      <c r="J49" s="73"/>
      <c r="K49" s="107" t="str">
        <f t="shared" si="2"/>
        <v>["ㄣ"] = "n",</v>
      </c>
      <c r="L49" s="226"/>
      <c r="M49" s="226"/>
      <c r="N49" s="186"/>
      <c r="P49" s="77">
        <f>P48+1</f>
        <v>44</v>
      </c>
      <c r="Q49" s="205" t="s">
        <v>528</v>
      </c>
      <c r="R49" s="32" t="str" cm="1">
        <f t="array" ref="R49" xml:space="preserve"> IFERROR( INDEX($D$5:$D$65, MATCH(TRUE, EXACT($Q49, $C$5:$C$65),0)), "")</f>
        <v/>
      </c>
      <c r="S49" s="107" t="str" cm="1">
        <f t="array" ref="S49" xml:space="preserve"> IFERROR( INDEX($G$9:$G$65, MATCH(TRUE, EXACT($Q49, $C$5:$C$65),0)), "")</f>
        <v/>
      </c>
      <c r="T49" s="179" t="str" cm="1">
        <f t="array" ref="T49" xml:space="preserve"> IFERROR( INDEX($F$5:$F$65, MATCH(TRUE, EXACT($Q49, $C$5:$C$65),0)), "")</f>
        <v/>
      </c>
      <c r="V49" s="77">
        <f>V48+1</f>
        <v>44</v>
      </c>
      <c r="W49" s="205" t="s">
        <v>529</v>
      </c>
      <c r="X49" s="32" t="str" cm="1">
        <f t="array" ref="X49" xml:space="preserve"> IFERROR( INDEX($D$5:$D$65, MATCH(TRUE, EXACT($W49, $C$5:$C$65),0)), "")</f>
        <v/>
      </c>
      <c r="Y49" s="107" t="str" cm="1">
        <f t="array" ref="Y49" xml:space="preserve"> IFERROR( INDEX($G$9:$G$65, MATCH(TRUE, EXACT($W49, $C$5:$C$65),0)), "")</f>
        <v/>
      </c>
      <c r="Z49" s="179" t="str" cm="1">
        <f t="array" ref="Z49" xml:space="preserve"> IFERROR( INDEX($F$5:$F$65, MATCH(TRUE, EXACT($W49, $C$5:$C$65),0)), "")</f>
        <v/>
      </c>
      <c r="AB49" s="98">
        <f t="shared" si="5"/>
        <v>45</v>
      </c>
      <c r="AC49" s="214">
        <v>7</v>
      </c>
      <c r="AD49" s="215" t="s">
        <v>530</v>
      </c>
      <c r="AE49" s="216">
        <v>8</v>
      </c>
      <c r="AF49" s="217">
        <v>0</v>
      </c>
    </row>
    <row r="50" spans="2:39">
      <c r="B50" s="211">
        <f t="shared" si="13"/>
        <v>46</v>
      </c>
      <c r="C50" s="218" t="s">
        <v>170</v>
      </c>
      <c r="D50" s="183" t="s">
        <v>80</v>
      </c>
      <c r="E50" s="183" t="s">
        <v>80</v>
      </c>
      <c r="F50" s="44" t="s">
        <v>218</v>
      </c>
      <c r="G50" s="105" t="s">
        <v>26</v>
      </c>
      <c r="H50" s="8" t="s">
        <v>538</v>
      </c>
      <c r="I50" s="34"/>
      <c r="J50" s="71"/>
      <c r="K50" s="107" t="str">
        <f t="shared" si="2"/>
        <v>["鼻"] = "N",</v>
      </c>
      <c r="L50" s="186"/>
      <c r="M50" s="186"/>
      <c r="N50" s="186"/>
      <c r="P50" s="77">
        <f>P49+1</f>
        <v>45</v>
      </c>
      <c r="Q50" s="205" t="s">
        <v>511</v>
      </c>
      <c r="R50" s="32" t="str" cm="1">
        <f t="array" ref="R50" xml:space="preserve"> IFERROR( INDEX($D$5:$D$65, MATCH(TRUE, EXACT($Q50, $C$5:$C$65),0)), "")</f>
        <v/>
      </c>
      <c r="S50" s="107" t="str" cm="1">
        <f t="array" ref="S50" xml:space="preserve"> IFERROR( INDEX($G$9:$G$65, MATCH(TRUE, EXACT($Q50, $C$5:$C$65),0)), "")</f>
        <v/>
      </c>
      <c r="T50" s="179" t="str" cm="1">
        <f t="array" ref="T50" xml:space="preserve"> IFERROR( INDEX($F$5:$F$65, MATCH(TRUE, EXACT($Q50, $C$5:$C$65),0)), "")</f>
        <v/>
      </c>
      <c r="V50" s="77">
        <f>V49+1</f>
        <v>45</v>
      </c>
      <c r="W50" s="205" t="s">
        <v>503</v>
      </c>
      <c r="X50" s="32" t="str" cm="1">
        <f t="array" ref="X50" xml:space="preserve"> IFERROR( INDEX($D$5:$D$65, MATCH(TRUE, EXACT($W50, $C$5:$C$65),0)), "")</f>
        <v/>
      </c>
      <c r="Y50" s="107" t="str" cm="1">
        <f t="array" ref="Y50" xml:space="preserve"> IFERROR( INDEX($G$9:$G$65, MATCH(TRUE, EXACT($W50, $C$5:$C$65),0)), "")</f>
        <v/>
      </c>
      <c r="Z50" s="179" t="str" cm="1">
        <f t="array" ref="Z50" xml:space="preserve"> IFERROR( INDEX($F$5:$F$65, MATCH(TRUE, EXACT($W50, $C$5:$C$65),0)), "")</f>
        <v/>
      </c>
    </row>
    <row r="51" spans="2:39">
      <c r="B51" s="204">
        <f xml:space="preserve"> ROW() -4</f>
        <v>47</v>
      </c>
      <c r="C51" s="71" t="s">
        <v>166</v>
      </c>
      <c r="D51" s="32" t="s">
        <v>531</v>
      </c>
      <c r="E51" s="178" t="s">
        <v>532</v>
      </c>
      <c r="F51" s="34">
        <v>1</v>
      </c>
      <c r="G51" s="107">
        <v>1</v>
      </c>
      <c r="H51" s="172"/>
      <c r="I51" s="28" t="str">
        <f>_xlfn.CONCAT(F51:F56)</f>
        <v>123570</v>
      </c>
      <c r="J51" s="109" t="str">
        <f xml:space="preserve"> _xlfn.CONCAT(C51:C56)</f>
        <v>743657</v>
      </c>
      <c r="K51" s="107" t="str">
        <f t="shared" si="2"/>
        <v>["ˉ"] = "1",</v>
      </c>
      <c r="L51" s="194"/>
      <c r="M51" s="194"/>
      <c r="N51" s="173"/>
      <c r="P51" s="78">
        <f t="shared" ref="P51:P60" si="14">P50+1</f>
        <v>46</v>
      </c>
      <c r="Q51" s="218" t="s">
        <v>533</v>
      </c>
      <c r="R51" s="42" t="str" cm="1">
        <f t="array" ref="R51" xml:space="preserve"> IFERROR( INDEX($D$5:$D$65, MATCH(TRUE, EXACT($Q51, $C$5:$C$65),0)), "")</f>
        <v/>
      </c>
      <c r="S51" s="105" t="str" cm="1">
        <f t="array" ref="S51" xml:space="preserve"> IFERROR( INDEX($G$9:$G$65, MATCH(TRUE, EXACT($Q51, $C$5:$C$65),0)), "")</f>
        <v/>
      </c>
      <c r="T51" s="187" t="str" cm="1">
        <f t="array" ref="T51" xml:space="preserve"> IFERROR( INDEX($F$5:$F$65, MATCH(TRUE, EXACT($Q51, $C$5:$C$65),0)), "")</f>
        <v/>
      </c>
      <c r="V51" s="78">
        <f t="shared" ref="V51:V60" si="15">V50+1</f>
        <v>46</v>
      </c>
      <c r="W51" s="218" t="s">
        <v>534</v>
      </c>
      <c r="X51" s="42" t="str" cm="1">
        <f t="array" ref="X51" xml:space="preserve"> IFERROR( INDEX($D$5:$D$65, MATCH(TRUE, EXACT($W51, $C$5:$C$65),0)), "")</f>
        <v/>
      </c>
      <c r="Y51" s="105" t="str" cm="1">
        <f t="array" ref="Y51" xml:space="preserve"> IFERROR( INDEX($G$9:$G$65, MATCH(TRUE, EXACT($W51, $C$5:$C$65),0)), "")</f>
        <v/>
      </c>
      <c r="Z51" s="187" t="str" cm="1">
        <f t="array" ref="Z51" xml:space="preserve"> IFERROR( INDEX($F$5:$F$65, MATCH(TRUE, EXACT($W51, $C$5:$C$65),0)), "")</f>
        <v/>
      </c>
    </row>
    <row r="52" spans="2:39">
      <c r="B52" s="204">
        <f xml:space="preserve"> ROW() -4</f>
        <v>48</v>
      </c>
      <c r="C52" s="71">
        <v>4</v>
      </c>
      <c r="D52" s="32" t="s">
        <v>104</v>
      </c>
      <c r="E52" s="178" t="s">
        <v>104</v>
      </c>
      <c r="F52" s="34">
        <v>2</v>
      </c>
      <c r="G52" s="107">
        <v>2</v>
      </c>
      <c r="H52" s="172"/>
      <c r="I52" s="34"/>
      <c r="J52" s="71"/>
      <c r="K52" s="107" t="str">
        <f t="shared" si="2"/>
        <v>["ˋ"] = "2",</v>
      </c>
      <c r="L52" s="173"/>
      <c r="M52" s="173"/>
      <c r="N52" s="173"/>
      <c r="P52" s="98">
        <f t="shared" si="14"/>
        <v>47</v>
      </c>
      <c r="Q52" s="71"/>
      <c r="R52" s="32"/>
      <c r="S52" s="107"/>
      <c r="T52" s="117"/>
      <c r="V52" s="98">
        <f t="shared" si="15"/>
        <v>47</v>
      </c>
      <c r="W52" s="71"/>
      <c r="X52" s="32"/>
      <c r="Y52" s="107" t="str">
        <f t="shared" ref="Y52:Y60" si="16" xml:space="preserve"> IFERROR( INDEX($G$9:$G$65, MATCH($X52, $D$5:$D$65,0)), "")</f>
        <v/>
      </c>
      <c r="Z52" s="117" t="str">
        <f t="shared" ref="Z52:Z60" si="17" xml:space="preserve"> IFERROR( INDEX($F$5:$F$65, MATCH($X52, $D$5:$D$65,0)), "")</f>
        <v/>
      </c>
    </row>
    <row r="53" spans="2:39">
      <c r="B53" s="204">
        <f xml:space="preserve"> ROW() - 4</f>
        <v>49</v>
      </c>
      <c r="C53" s="71">
        <v>3</v>
      </c>
      <c r="D53" s="227" t="s">
        <v>526</v>
      </c>
      <c r="E53" s="178" t="s">
        <v>105</v>
      </c>
      <c r="F53" s="34">
        <v>3</v>
      </c>
      <c r="G53" s="107">
        <v>3</v>
      </c>
      <c r="H53" s="172"/>
      <c r="I53" s="34"/>
      <c r="J53" s="71"/>
      <c r="K53" s="107" t="str">
        <f t="shared" si="2"/>
        <v>["˪"] = "3",</v>
      </c>
      <c r="L53" s="173"/>
      <c r="M53" s="173"/>
      <c r="N53" s="173"/>
      <c r="P53" s="98">
        <f t="shared" si="14"/>
        <v>48</v>
      </c>
      <c r="Q53" s="71"/>
      <c r="R53" s="32"/>
      <c r="S53" s="107"/>
      <c r="T53" s="34"/>
      <c r="V53" s="98">
        <f t="shared" si="15"/>
        <v>48</v>
      </c>
      <c r="W53" s="71"/>
      <c r="X53" s="32"/>
      <c r="Y53" s="107" t="str">
        <f t="shared" si="16"/>
        <v/>
      </c>
      <c r="Z53" s="34" t="str">
        <f t="shared" si="17"/>
        <v/>
      </c>
    </row>
    <row r="54" spans="2:39">
      <c r="B54" s="204">
        <f xml:space="preserve"> ROW() - 4</f>
        <v>50</v>
      </c>
      <c r="C54" s="71">
        <v>6</v>
      </c>
      <c r="D54" s="32" t="s">
        <v>535</v>
      </c>
      <c r="E54" s="178" t="s">
        <v>106</v>
      </c>
      <c r="F54" s="34">
        <v>5</v>
      </c>
      <c r="G54" s="107">
        <v>5</v>
      </c>
      <c r="H54" s="172"/>
      <c r="I54" s="34"/>
      <c r="J54" s="71"/>
      <c r="K54" s="107" t="str">
        <f t="shared" si="2"/>
        <v>["ˊ"] = "5",</v>
      </c>
      <c r="L54" s="173"/>
      <c r="M54" s="173"/>
      <c r="N54" s="173"/>
      <c r="P54" s="98">
        <f t="shared" si="14"/>
        <v>49</v>
      </c>
      <c r="Q54" s="71"/>
      <c r="R54" s="32"/>
      <c r="S54" s="107"/>
      <c r="T54" s="34"/>
      <c r="V54" s="98">
        <f t="shared" si="15"/>
        <v>49</v>
      </c>
      <c r="W54" s="71"/>
      <c r="X54" s="32"/>
      <c r="Y54" s="107" t="str">
        <f t="shared" si="16"/>
        <v/>
      </c>
      <c r="Z54" s="34" t="str">
        <f t="shared" si="17"/>
        <v/>
      </c>
    </row>
    <row r="55" spans="2:39">
      <c r="B55" s="204">
        <f xml:space="preserve"> ROW() - 4</f>
        <v>51</v>
      </c>
      <c r="C55" s="71">
        <v>5</v>
      </c>
      <c r="D55" s="227" t="s">
        <v>527</v>
      </c>
      <c r="E55" s="178" t="s">
        <v>107</v>
      </c>
      <c r="F55" s="34">
        <v>7</v>
      </c>
      <c r="G55" s="107">
        <v>7</v>
      </c>
      <c r="H55" s="172"/>
      <c r="I55" s="34"/>
      <c r="J55" s="71"/>
      <c r="K55" s="107" t="str">
        <f t="shared" si="2"/>
        <v>["˫"] = "7",</v>
      </c>
      <c r="L55" s="173"/>
      <c r="M55" s="173"/>
      <c r="N55" s="173"/>
      <c r="P55" s="98">
        <f t="shared" si="14"/>
        <v>50</v>
      </c>
      <c r="Q55" s="71"/>
      <c r="R55" s="32"/>
      <c r="S55" s="107"/>
      <c r="T55" s="34"/>
      <c r="V55" s="98">
        <f t="shared" si="15"/>
        <v>50</v>
      </c>
      <c r="W55" s="71"/>
      <c r="X55" s="32"/>
      <c r="Y55" s="107" t="str">
        <f t="shared" si="16"/>
        <v/>
      </c>
      <c r="Z55" s="34" t="str">
        <f t="shared" si="17"/>
        <v/>
      </c>
    </row>
    <row r="56" spans="2:39">
      <c r="B56" s="211">
        <f xml:space="preserve"> ROW() - 4</f>
        <v>52</v>
      </c>
      <c r="C56" s="71">
        <v>7</v>
      </c>
      <c r="D56" s="32" t="s">
        <v>536</v>
      </c>
      <c r="E56" s="178" t="s">
        <v>108</v>
      </c>
      <c r="F56" s="34">
        <v>0</v>
      </c>
      <c r="G56" s="107">
        <v>0</v>
      </c>
      <c r="I56" s="44"/>
      <c r="J56" s="73"/>
      <c r="K56" s="107" t="str">
        <f t="shared" si="2"/>
        <v>["˙"] = "0",</v>
      </c>
      <c r="L56" s="196"/>
      <c r="M56" s="196"/>
      <c r="N56" s="173"/>
      <c r="P56" s="98">
        <f t="shared" si="14"/>
        <v>51</v>
      </c>
      <c r="Q56" s="71"/>
      <c r="R56" s="32"/>
      <c r="S56" s="107"/>
      <c r="T56" s="117"/>
      <c r="V56" s="98">
        <f t="shared" si="15"/>
        <v>51</v>
      </c>
      <c r="W56" s="71"/>
      <c r="X56" s="32"/>
      <c r="Y56" s="107" t="str">
        <f t="shared" si="16"/>
        <v/>
      </c>
      <c r="Z56" s="117" t="str">
        <f t="shared" si="17"/>
        <v/>
      </c>
    </row>
    <row r="57" spans="2:39">
      <c r="H57" s="228"/>
      <c r="P57" s="98">
        <f t="shared" si="14"/>
        <v>52</v>
      </c>
      <c r="Q57" s="71"/>
      <c r="R57" s="32"/>
      <c r="S57" s="107"/>
      <c r="T57" s="34"/>
      <c r="V57" s="98">
        <f t="shared" si="15"/>
        <v>52</v>
      </c>
      <c r="W57" s="71"/>
      <c r="X57" s="32"/>
      <c r="Y57" s="107" t="str">
        <f t="shared" si="16"/>
        <v/>
      </c>
      <c r="Z57" s="34" t="str">
        <f t="shared" si="17"/>
        <v/>
      </c>
    </row>
    <row r="58" spans="2:39">
      <c r="B58" s="219">
        <v>49</v>
      </c>
      <c r="C58" s="109"/>
      <c r="D58" s="26" t="s">
        <v>89</v>
      </c>
      <c r="E58" s="26"/>
      <c r="F58" s="28"/>
      <c r="G58" s="108"/>
      <c r="H58" s="228"/>
      <c r="I58" s="34"/>
      <c r="J58" s="34"/>
      <c r="K58" s="34"/>
      <c r="L58" s="229"/>
      <c r="M58" s="229"/>
      <c r="N58" s="229"/>
      <c r="P58" s="98">
        <f t="shared" si="14"/>
        <v>53</v>
      </c>
      <c r="Q58" s="71"/>
      <c r="R58" s="32"/>
      <c r="S58" s="107"/>
      <c r="T58" s="34"/>
      <c r="V58" s="98">
        <f t="shared" si="15"/>
        <v>53</v>
      </c>
      <c r="W58" s="71"/>
      <c r="X58" s="32"/>
      <c r="Y58" s="107" t="str">
        <f t="shared" si="16"/>
        <v/>
      </c>
      <c r="Z58" s="34" t="str">
        <f t="shared" si="17"/>
        <v/>
      </c>
    </row>
    <row r="59" spans="2:39">
      <c r="B59" s="204">
        <v>50</v>
      </c>
      <c r="C59" s="71"/>
      <c r="D59" s="32" t="s">
        <v>91</v>
      </c>
      <c r="E59" s="32"/>
      <c r="F59" s="34"/>
      <c r="G59" s="107"/>
      <c r="H59" s="228"/>
      <c r="I59" s="34"/>
      <c r="J59" s="34"/>
      <c r="K59" s="34"/>
      <c r="L59" s="229"/>
      <c r="M59" s="229"/>
      <c r="N59" s="229"/>
      <c r="P59" s="98">
        <f t="shared" si="14"/>
        <v>54</v>
      </c>
      <c r="Q59" s="71"/>
      <c r="R59" s="32"/>
      <c r="S59" s="107"/>
      <c r="T59" s="34"/>
      <c r="V59" s="98">
        <f t="shared" si="15"/>
        <v>54</v>
      </c>
      <c r="W59" s="71"/>
      <c r="X59" s="32"/>
      <c r="Y59" s="107" t="str">
        <f t="shared" si="16"/>
        <v/>
      </c>
      <c r="Z59" s="34" t="str">
        <f t="shared" si="17"/>
        <v/>
      </c>
      <c r="AI59" s="230"/>
      <c r="AJ59" s="230"/>
      <c r="AK59" s="230"/>
      <c r="AL59" s="230"/>
    </row>
    <row r="60" spans="2:39">
      <c r="B60" s="204">
        <v>51</v>
      </c>
      <c r="C60" s="71"/>
      <c r="D60" s="32" t="s">
        <v>109</v>
      </c>
      <c r="E60" s="32"/>
      <c r="F60" s="34"/>
      <c r="G60" s="107"/>
      <c r="H60" s="228"/>
      <c r="I60" s="34"/>
      <c r="J60" s="34"/>
      <c r="K60" s="34"/>
      <c r="L60" s="229"/>
      <c r="M60" s="229"/>
      <c r="N60" s="229"/>
      <c r="P60" s="98">
        <f t="shared" si="14"/>
        <v>55</v>
      </c>
      <c r="Q60" s="71"/>
      <c r="R60" s="32"/>
      <c r="S60" s="107"/>
      <c r="T60" s="117"/>
      <c r="V60" s="98">
        <f t="shared" si="15"/>
        <v>55</v>
      </c>
      <c r="W60" s="71"/>
      <c r="X60" s="32"/>
      <c r="Y60" s="107" t="str">
        <f t="shared" si="16"/>
        <v/>
      </c>
      <c r="Z60" s="117" t="str">
        <f t="shared" si="17"/>
        <v/>
      </c>
      <c r="AI60" s="231">
        <v>5</v>
      </c>
      <c r="AJ60" s="231">
        <v>3</v>
      </c>
      <c r="AK60" s="230"/>
      <c r="AL60" s="230"/>
    </row>
    <row r="61" spans="2:39">
      <c r="B61" s="211">
        <v>52</v>
      </c>
      <c r="C61" s="73"/>
      <c r="D61" s="42" t="s">
        <v>284</v>
      </c>
      <c r="E61" s="42"/>
      <c r="F61" s="44"/>
      <c r="G61" s="105"/>
      <c r="H61" s="228"/>
      <c r="I61" s="34"/>
      <c r="J61" s="34"/>
      <c r="K61" s="34"/>
      <c r="L61" s="229"/>
      <c r="M61" s="229"/>
      <c r="N61" s="229"/>
      <c r="AI61" s="231"/>
      <c r="AJ61" s="231"/>
      <c r="AK61" s="230"/>
      <c r="AL61" s="230"/>
    </row>
    <row r="62" spans="2:39">
      <c r="B62" s="204">
        <v>53</v>
      </c>
      <c r="C62" s="71"/>
      <c r="D62" s="232" t="s">
        <v>399</v>
      </c>
      <c r="E62" s="232" t="s">
        <v>128</v>
      </c>
      <c r="F62" s="34"/>
      <c r="G62" s="107" t="s">
        <v>21</v>
      </c>
      <c r="H62" s="228"/>
      <c r="I62" s="34"/>
      <c r="J62" s="34"/>
      <c r="K62" s="34"/>
      <c r="L62" s="229"/>
      <c r="M62" s="229"/>
      <c r="N62" s="229"/>
      <c r="AI62" s="231">
        <v>1</v>
      </c>
      <c r="AJ62" s="231">
        <v>13</v>
      </c>
      <c r="AK62" s="230"/>
      <c r="AL62" s="230"/>
    </row>
    <row r="63" spans="2:39">
      <c r="B63" s="204">
        <v>54</v>
      </c>
      <c r="C63" s="71"/>
      <c r="D63" s="232" t="s">
        <v>407</v>
      </c>
      <c r="E63" s="232" t="s">
        <v>130</v>
      </c>
      <c r="F63" s="34"/>
      <c r="G63" s="107" t="s">
        <v>340</v>
      </c>
      <c r="H63" s="228"/>
      <c r="I63" s="34"/>
      <c r="J63" s="34"/>
      <c r="K63" s="34"/>
      <c r="L63" s="229"/>
      <c r="M63" s="229"/>
      <c r="N63" s="229"/>
      <c r="AI63" s="230"/>
      <c r="AJ63" s="230"/>
      <c r="AK63" s="230"/>
      <c r="AL63" s="230"/>
      <c r="AM63" s="138" t="s">
        <v>364</v>
      </c>
    </row>
    <row r="64" spans="2:39">
      <c r="B64" s="204">
        <v>55</v>
      </c>
      <c r="C64" s="71"/>
      <c r="D64" s="232" t="s">
        <v>424</v>
      </c>
      <c r="E64" s="232" t="s">
        <v>132</v>
      </c>
      <c r="F64" s="34"/>
      <c r="G64" s="107" t="s">
        <v>321</v>
      </c>
      <c r="H64" s="228"/>
      <c r="I64" s="34"/>
      <c r="J64" s="34"/>
      <c r="K64" s="34"/>
      <c r="L64" s="229"/>
      <c r="M64" s="229"/>
      <c r="N64" s="229"/>
      <c r="AI64" s="230"/>
      <c r="AJ64" s="230"/>
      <c r="AK64" s="230"/>
      <c r="AL64" s="230"/>
    </row>
    <row r="65" spans="1:48">
      <c r="B65" s="204">
        <f>B64+1</f>
        <v>56</v>
      </c>
      <c r="C65" s="71"/>
      <c r="D65" s="232" t="s">
        <v>52</v>
      </c>
      <c r="E65" s="232" t="s">
        <v>134</v>
      </c>
      <c r="F65" s="34"/>
      <c r="G65" s="107" t="s">
        <v>53</v>
      </c>
      <c r="I65" s="34"/>
      <c r="J65" s="34"/>
      <c r="K65" s="34"/>
      <c r="L65" s="229"/>
      <c r="M65" s="229"/>
      <c r="N65" s="229"/>
      <c r="AI65" s="230"/>
      <c r="AJ65" s="230"/>
      <c r="AK65" s="230"/>
      <c r="AL65" s="230"/>
    </row>
    <row r="66" spans="1:48" s="139" customFormat="1">
      <c r="A66" s="138"/>
      <c r="B66" s="204">
        <f xml:space="preserve"> ROW() -4</f>
        <v>62</v>
      </c>
      <c r="C66" s="71" t="str">
        <f xml:space="preserve"> CHAR(32)</f>
        <v xml:space="preserve"> </v>
      </c>
      <c r="D66" s="32" t="s">
        <v>531</v>
      </c>
      <c r="E66" s="178" t="s">
        <v>532</v>
      </c>
      <c r="F66" s="34">
        <v>1</v>
      </c>
      <c r="G66" s="107">
        <v>1</v>
      </c>
      <c r="L66" s="141"/>
      <c r="M66" s="141"/>
      <c r="N66" s="141"/>
      <c r="O66" s="138"/>
      <c r="P66" s="138"/>
      <c r="R66" s="8"/>
      <c r="S66" s="140"/>
      <c r="U66" s="138"/>
      <c r="V66" s="138"/>
      <c r="X66" s="8"/>
      <c r="Y66" s="140"/>
      <c r="AA66" s="138"/>
      <c r="AB66" s="138"/>
      <c r="AC66" s="138"/>
      <c r="AD66" s="138"/>
      <c r="AE66" s="138"/>
      <c r="AF66" s="138"/>
      <c r="AG66" s="138"/>
      <c r="AH66" s="138"/>
      <c r="AI66" s="148"/>
      <c r="AJ66" s="138"/>
      <c r="AK66" s="138"/>
      <c r="AL66" s="138"/>
      <c r="AM66" s="138"/>
      <c r="AN66" s="138"/>
      <c r="AO66" s="138"/>
      <c r="AP66" s="138"/>
      <c r="AQ66" s="145"/>
      <c r="AR66" s="145"/>
      <c r="AS66" s="145"/>
      <c r="AT66" s="145"/>
      <c r="AU66" s="145"/>
      <c r="AV66" s="145"/>
    </row>
    <row r="67" spans="1:48" s="139" customFormat="1">
      <c r="A67" s="138"/>
      <c r="B67" s="204">
        <f xml:space="preserve"> ROW() -4</f>
        <v>63</v>
      </c>
      <c r="C67" s="71">
        <v>4</v>
      </c>
      <c r="D67" s="32" t="s">
        <v>104</v>
      </c>
      <c r="E67" s="178" t="s">
        <v>104</v>
      </c>
      <c r="F67" s="34">
        <v>2</v>
      </c>
      <c r="G67" s="107">
        <v>2</v>
      </c>
      <c r="L67" s="141"/>
      <c r="M67" s="141"/>
      <c r="N67" s="141"/>
      <c r="O67" s="138"/>
      <c r="P67" s="138"/>
      <c r="R67" s="8"/>
      <c r="S67" s="140"/>
      <c r="U67" s="138"/>
      <c r="V67" s="138"/>
      <c r="X67" s="8"/>
      <c r="Y67" s="140"/>
      <c r="AA67" s="138"/>
      <c r="AB67" s="138"/>
      <c r="AC67" s="138"/>
      <c r="AD67" s="138"/>
      <c r="AE67" s="138"/>
      <c r="AF67" s="138"/>
      <c r="AG67" s="138"/>
      <c r="AH67" s="138"/>
      <c r="AI67" s="148"/>
      <c r="AJ67" s="138"/>
      <c r="AK67" s="138"/>
      <c r="AL67" s="138"/>
      <c r="AM67" s="138"/>
      <c r="AN67" s="138"/>
      <c r="AO67" s="138"/>
      <c r="AP67" s="138"/>
      <c r="AQ67" s="145"/>
      <c r="AR67" s="145"/>
      <c r="AS67" s="145"/>
      <c r="AT67" s="145"/>
      <c r="AU67" s="145"/>
      <c r="AV67" s="145"/>
    </row>
    <row r="68" spans="1:48" s="139" customFormat="1">
      <c r="A68" s="138"/>
      <c r="B68" s="204">
        <f xml:space="preserve"> ROW() - 4</f>
        <v>64</v>
      </c>
      <c r="C68" s="71">
        <v>3</v>
      </c>
      <c r="D68" s="32" t="s">
        <v>523</v>
      </c>
      <c r="E68" s="178" t="s">
        <v>105</v>
      </c>
      <c r="F68" s="34">
        <v>3</v>
      </c>
      <c r="G68" s="107">
        <v>3</v>
      </c>
      <c r="L68" s="141"/>
      <c r="M68" s="141"/>
      <c r="N68" s="141"/>
      <c r="O68" s="138"/>
      <c r="P68" s="138"/>
      <c r="R68" s="8"/>
      <c r="S68" s="140"/>
      <c r="U68" s="138"/>
      <c r="V68" s="138"/>
      <c r="X68" s="8"/>
      <c r="Y68" s="140"/>
      <c r="AA68" s="138"/>
      <c r="AB68" s="138"/>
      <c r="AC68" s="138"/>
      <c r="AD68" s="138"/>
      <c r="AE68" s="138"/>
      <c r="AF68" s="138"/>
      <c r="AG68" s="138"/>
      <c r="AH68" s="138"/>
      <c r="AI68" s="148"/>
      <c r="AJ68" s="138"/>
      <c r="AK68" s="138"/>
      <c r="AL68" s="138"/>
      <c r="AM68" s="138"/>
      <c r="AN68" s="138"/>
      <c r="AO68" s="138"/>
      <c r="AP68" s="138"/>
      <c r="AQ68" s="145"/>
      <c r="AR68" s="145"/>
      <c r="AS68" s="145"/>
      <c r="AT68" s="145"/>
      <c r="AU68" s="145"/>
      <c r="AV68" s="145"/>
    </row>
    <row r="69" spans="1:48" s="139" customFormat="1">
      <c r="A69" s="138"/>
      <c r="B69" s="204">
        <f xml:space="preserve"> ROW() - 4</f>
        <v>65</v>
      </c>
      <c r="C69" s="71">
        <v>6</v>
      </c>
      <c r="D69" s="32" t="s">
        <v>537</v>
      </c>
      <c r="E69" s="178" t="s">
        <v>106</v>
      </c>
      <c r="F69" s="34">
        <v>5</v>
      </c>
      <c r="G69" s="107">
        <v>5</v>
      </c>
      <c r="L69" s="141"/>
      <c r="M69" s="141"/>
      <c r="N69" s="141"/>
      <c r="O69" s="138"/>
      <c r="P69" s="138"/>
      <c r="R69" s="8"/>
      <c r="S69" s="140"/>
      <c r="U69" s="138"/>
      <c r="V69" s="138"/>
      <c r="X69" s="8"/>
      <c r="Y69" s="140"/>
      <c r="AA69" s="138"/>
      <c r="AB69" s="138"/>
      <c r="AC69" s="138"/>
      <c r="AD69" s="138"/>
      <c r="AE69" s="138"/>
      <c r="AF69" s="138"/>
      <c r="AG69" s="138"/>
      <c r="AH69" s="138"/>
      <c r="AI69" s="148"/>
      <c r="AJ69" s="138"/>
      <c r="AK69" s="138"/>
      <c r="AL69" s="138"/>
      <c r="AM69" s="138"/>
      <c r="AN69" s="138"/>
      <c r="AO69" s="138"/>
      <c r="AP69" s="138"/>
      <c r="AQ69" s="145"/>
      <c r="AR69" s="145"/>
      <c r="AS69" s="145"/>
      <c r="AT69" s="145"/>
      <c r="AU69" s="145"/>
      <c r="AV69" s="145"/>
    </row>
    <row r="70" spans="1:48" s="139" customFormat="1">
      <c r="A70" s="138"/>
      <c r="B70" s="204">
        <f xml:space="preserve"> ROW() - 4</f>
        <v>66</v>
      </c>
      <c r="C70" s="71">
        <v>5</v>
      </c>
      <c r="D70" s="227" t="s">
        <v>529</v>
      </c>
      <c r="E70" s="178" t="s">
        <v>107</v>
      </c>
      <c r="F70" s="34">
        <v>7</v>
      </c>
      <c r="G70" s="107">
        <v>7</v>
      </c>
      <c r="L70" s="141"/>
      <c r="M70" s="141"/>
      <c r="N70" s="141"/>
      <c r="O70" s="138"/>
      <c r="P70" s="138"/>
      <c r="R70" s="8"/>
      <c r="S70" s="140"/>
      <c r="U70" s="138"/>
      <c r="V70" s="138"/>
      <c r="X70" s="8"/>
      <c r="Y70" s="140"/>
      <c r="AA70" s="138"/>
      <c r="AB70" s="138"/>
      <c r="AC70" s="138"/>
      <c r="AD70" s="138"/>
      <c r="AE70" s="138"/>
      <c r="AF70" s="138"/>
      <c r="AG70" s="138"/>
      <c r="AH70" s="138"/>
      <c r="AI70" s="148"/>
      <c r="AJ70" s="138"/>
      <c r="AK70" s="138"/>
      <c r="AL70" s="138"/>
      <c r="AM70" s="138"/>
      <c r="AN70" s="138"/>
      <c r="AO70" s="138"/>
      <c r="AP70" s="138"/>
      <c r="AQ70" s="145"/>
      <c r="AR70" s="145"/>
      <c r="AS70" s="145"/>
      <c r="AT70" s="145"/>
      <c r="AU70" s="145"/>
      <c r="AV70" s="145"/>
    </row>
    <row r="71" spans="1:48" s="139" customFormat="1">
      <c r="A71" s="138"/>
      <c r="B71" s="211">
        <f xml:space="preserve"> ROW() - 4</f>
        <v>67</v>
      </c>
      <c r="C71" s="73">
        <v>7</v>
      </c>
      <c r="D71" s="42" t="s">
        <v>536</v>
      </c>
      <c r="E71" s="183" t="s">
        <v>108</v>
      </c>
      <c r="F71" s="44">
        <v>0</v>
      </c>
      <c r="G71" s="105">
        <v>8</v>
      </c>
      <c r="L71" s="141"/>
      <c r="M71" s="141"/>
      <c r="N71" s="141"/>
      <c r="O71" s="138"/>
      <c r="P71" s="138"/>
      <c r="R71" s="8"/>
      <c r="S71" s="140"/>
      <c r="U71" s="138"/>
      <c r="V71" s="138"/>
      <c r="X71" s="8"/>
      <c r="Y71" s="140"/>
      <c r="AA71" s="138"/>
      <c r="AB71" s="138"/>
      <c r="AC71" s="138"/>
      <c r="AD71" s="138"/>
      <c r="AE71" s="138"/>
      <c r="AF71" s="138"/>
      <c r="AG71" s="138"/>
      <c r="AH71" s="138"/>
      <c r="AI71" s="148"/>
      <c r="AJ71" s="138"/>
      <c r="AK71" s="138"/>
      <c r="AL71" s="138"/>
      <c r="AM71" s="138"/>
      <c r="AN71" s="138"/>
      <c r="AO71" s="138"/>
      <c r="AP71" s="138"/>
      <c r="AQ71" s="145"/>
      <c r="AR71" s="145"/>
      <c r="AS71" s="145"/>
      <c r="AT71" s="145"/>
      <c r="AU71" s="145"/>
      <c r="AV71" s="145"/>
    </row>
    <row r="73" spans="1:48" s="139" customFormat="1">
      <c r="A73" s="138"/>
      <c r="B73" s="138"/>
      <c r="D73" s="8"/>
      <c r="G73" s="140"/>
      <c r="L73" s="141"/>
      <c r="M73" s="141"/>
      <c r="N73" s="141"/>
      <c r="O73" s="138"/>
      <c r="P73" s="138"/>
      <c r="R73" s="8"/>
      <c r="S73" s="140"/>
      <c r="U73" s="138"/>
      <c r="V73" s="138"/>
      <c r="X73" s="8"/>
      <c r="Y73" s="140"/>
      <c r="AA73" s="138"/>
      <c r="AB73" s="138"/>
      <c r="AC73" s="138"/>
      <c r="AD73" s="138"/>
      <c r="AE73" s="138"/>
      <c r="AF73" s="138"/>
      <c r="AG73" s="138"/>
      <c r="AH73" s="138"/>
      <c r="AI73" s="148"/>
      <c r="AJ73" s="138"/>
      <c r="AK73" s="138"/>
      <c r="AL73" s="138"/>
      <c r="AM73" s="138"/>
      <c r="AN73" s="138"/>
      <c r="AO73" s="138"/>
      <c r="AP73" s="138"/>
      <c r="AQ73" s="145"/>
      <c r="AR73" s="145"/>
      <c r="AS73" s="145"/>
      <c r="AT73" s="145"/>
      <c r="AU73" s="145"/>
      <c r="AV73" s="145"/>
    </row>
    <row r="74" spans="1:48" s="139" customFormat="1">
      <c r="A74" s="138"/>
      <c r="B74" s="138"/>
      <c r="D74" s="8"/>
      <c r="E74" s="8"/>
      <c r="G74" s="140"/>
      <c r="L74" s="141"/>
      <c r="M74" s="141"/>
      <c r="N74" s="141"/>
      <c r="O74" s="138"/>
      <c r="P74" s="138"/>
      <c r="R74" s="8"/>
      <c r="S74" s="140"/>
      <c r="U74" s="138"/>
      <c r="V74" s="138"/>
      <c r="X74" s="8"/>
      <c r="Y74" s="140"/>
      <c r="AA74" s="138"/>
      <c r="AB74" s="138"/>
      <c r="AC74" s="138"/>
      <c r="AD74" s="138"/>
      <c r="AE74" s="138"/>
      <c r="AF74" s="138"/>
      <c r="AG74" s="138"/>
      <c r="AH74" s="138"/>
      <c r="AI74" s="148"/>
      <c r="AJ74" s="138"/>
      <c r="AK74" s="138"/>
      <c r="AL74" s="138"/>
      <c r="AM74" s="138"/>
      <c r="AN74" s="138"/>
      <c r="AO74" s="138"/>
      <c r="AP74" s="138"/>
      <c r="AQ74" s="145"/>
      <c r="AR74" s="145"/>
      <c r="AS74" s="145"/>
      <c r="AT74" s="145"/>
      <c r="AU74" s="145"/>
      <c r="AV74" s="145"/>
    </row>
    <row r="75" spans="1:48" s="139" customFormat="1">
      <c r="A75" s="138"/>
      <c r="B75" s="138"/>
      <c r="D75" s="8"/>
      <c r="E75" s="8"/>
      <c r="G75" s="140"/>
      <c r="L75" s="141"/>
      <c r="M75" s="141"/>
      <c r="N75" s="141"/>
      <c r="O75" s="138"/>
      <c r="P75" s="138"/>
      <c r="R75" s="8"/>
      <c r="S75" s="140"/>
      <c r="U75" s="138"/>
      <c r="V75" s="138"/>
      <c r="X75" s="8"/>
      <c r="Y75" s="140"/>
      <c r="AA75" s="138"/>
      <c r="AB75" s="138"/>
      <c r="AC75" s="138"/>
      <c r="AD75" s="138"/>
      <c r="AE75" s="138"/>
      <c r="AF75" s="138"/>
      <c r="AG75" s="138"/>
      <c r="AH75" s="138"/>
      <c r="AI75" s="148"/>
      <c r="AJ75" s="138"/>
      <c r="AK75" s="138"/>
      <c r="AL75" s="138"/>
      <c r="AM75" s="138"/>
      <c r="AN75" s="138"/>
      <c r="AO75" s="138"/>
      <c r="AP75" s="138"/>
      <c r="AQ75" s="145"/>
      <c r="AR75" s="145"/>
      <c r="AS75" s="145"/>
      <c r="AT75" s="145"/>
      <c r="AU75" s="145"/>
      <c r="AV75" s="145"/>
    </row>
    <row r="76" spans="1:48" s="139" customFormat="1">
      <c r="A76" s="138"/>
      <c r="B76" s="138"/>
      <c r="D76" s="8"/>
      <c r="E76" s="8"/>
      <c r="G76" s="140"/>
      <c r="L76" s="141"/>
      <c r="M76" s="141"/>
      <c r="N76" s="141"/>
      <c r="O76" s="138"/>
      <c r="P76" s="138"/>
      <c r="R76" s="8"/>
      <c r="S76" s="140"/>
      <c r="U76" s="138"/>
      <c r="V76" s="138"/>
      <c r="X76" s="8"/>
      <c r="Y76" s="140"/>
      <c r="AA76" s="138"/>
      <c r="AB76" s="138"/>
      <c r="AC76" s="138"/>
      <c r="AD76" s="138"/>
      <c r="AE76" s="138"/>
      <c r="AF76" s="138"/>
      <c r="AG76" s="138"/>
      <c r="AH76" s="138"/>
      <c r="AI76" s="148"/>
      <c r="AJ76" s="138"/>
      <c r="AK76" s="138"/>
      <c r="AL76" s="138"/>
      <c r="AM76" s="138"/>
      <c r="AN76" s="138"/>
      <c r="AO76" s="138"/>
      <c r="AP76" s="138"/>
      <c r="AQ76" s="145"/>
      <c r="AR76" s="145"/>
      <c r="AS76" s="145"/>
      <c r="AT76" s="145"/>
      <c r="AU76" s="145"/>
      <c r="AV76" s="145"/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rgb="FFFF0000"/>
  </sheetPr>
  <dimension ref="B1:DA99"/>
  <sheetViews>
    <sheetView zoomScaleNormal="100" workbookViewId="0">
      <pane ySplit="2" topLeftCell="A3" activePane="bottomLeft" state="frozen"/>
      <selection activeCell="W1" sqref="W1"/>
      <selection pane="bottomLeft" activeCell="BG11" sqref="BG11"/>
    </sheetView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hidden="1" customWidth="1" outlineLevel="1"/>
    <col min="9" max="10" width="10.09765625" style="3" hidden="1" customWidth="1" outlineLevel="1"/>
    <col min="11" max="11" width="5.09765625" style="2" customWidth="1" collapsed="1"/>
    <col min="12" max="12" width="4.69921875" style="2" hidden="1" customWidth="1" outlineLevel="1"/>
    <col min="13" max="13" width="10.09765625" style="4" hidden="1" customWidth="1" outlineLevel="1"/>
    <col min="14" max="14" width="10.09765625" style="3" hidden="1" customWidth="1" outlineLevel="1"/>
    <col min="15" max="15" width="5.09765625" style="2" hidden="1" customWidth="1" outlineLevel="1"/>
    <col min="16" max="16" width="4.69921875" style="2" hidden="1" customWidth="1" outlineLevel="1"/>
    <col min="17" max="17" width="10.09765625" style="2" hidden="1" customWidth="1" outlineLevel="1"/>
    <col min="18" max="18" width="10.09765625" style="5" hidden="1" customWidth="1" outlineLevel="1"/>
    <col min="19" max="19" width="0" style="2" hidden="1" customWidth="1" outlineLevel="1"/>
    <col min="20" max="20" width="4.69921875" style="2" hidden="1" customWidth="1" outlineLevel="1"/>
    <col min="21" max="23" width="9.796875" style="2" hidden="1" customWidth="1" outlineLevel="1"/>
    <col min="24" max="24" width="0" hidden="1" customWidth="1" outlineLevel="1"/>
    <col min="25" max="25" width="9.796875" style="361" customWidth="1" collapsed="1"/>
    <col min="26" max="26" width="5.59765625" customWidth="1"/>
    <col min="27" max="27" width="10.296875" style="2" customWidth="1"/>
    <col min="28" max="29" width="10.296875" style="372" customWidth="1"/>
    <col min="30" max="30" width="10.296875" style="473" customWidth="1"/>
    <col min="31" max="31" width="10.296875" style="372" customWidth="1"/>
    <col min="33" max="33" width="14.19921875" customWidth="1"/>
    <col min="34" max="34" width="10.59765625" style="361" customWidth="1"/>
    <col min="35" max="35" width="11.69921875" style="2" customWidth="1"/>
    <col min="36" max="36" width="13.5" style="372" customWidth="1"/>
    <col min="37" max="37" width="4.296875" style="2" customWidth="1"/>
    <col min="38" max="38" width="5.5" style="2" customWidth="1"/>
    <col min="39" max="52" width="8.796875" style="2"/>
    <col min="53" max="53" width="8.796875" style="11"/>
    <col min="54" max="54" width="7.69921875" style="2" customWidth="1"/>
    <col min="55" max="57" width="3.69921875" style="387" customWidth="1"/>
    <col min="58" max="106" width="3.69921875" style="2" customWidth="1"/>
    <col min="107" max="16384" width="8.796875" style="2"/>
  </cols>
  <sheetData>
    <row r="1" spans="2:105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X1" s="361"/>
      <c r="Y1" s="2"/>
      <c r="Z1" s="7" t="s">
        <v>5</v>
      </c>
      <c r="AA1" s="139"/>
      <c r="AB1" s="139"/>
      <c r="AC1" s="8"/>
      <c r="AD1" s="480"/>
      <c r="AE1" s="138"/>
      <c r="AF1" s="361"/>
      <c r="AG1" s="361"/>
      <c r="AH1" s="2"/>
      <c r="AI1" s="372"/>
      <c r="AJ1" s="2"/>
      <c r="AY1" s="11"/>
      <c r="BA1" s="2"/>
      <c r="BB1" s="387"/>
      <c r="BE1" s="2"/>
    </row>
    <row r="2" spans="2:105" ht="26.25" thickBot="1">
      <c r="B2" s="404" t="s">
        <v>635</v>
      </c>
      <c r="I2" s="13" t="s">
        <v>583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622</v>
      </c>
      <c r="U2" s="371" t="s">
        <v>11</v>
      </c>
      <c r="V2" s="371" t="s">
        <v>624</v>
      </c>
      <c r="W2" s="371" t="s">
        <v>623</v>
      </c>
      <c r="X2" s="371" t="s">
        <v>638</v>
      </c>
      <c r="Y2" s="371"/>
      <c r="Z2" s="503" t="s">
        <v>14</v>
      </c>
      <c r="AA2" s="355" t="s">
        <v>19</v>
      </c>
      <c r="AB2" s="357" t="s">
        <v>583</v>
      </c>
      <c r="AC2" s="356" t="s">
        <v>639</v>
      </c>
      <c r="AD2" s="481" t="s">
        <v>640</v>
      </c>
      <c r="AE2" s="504" t="s">
        <v>388</v>
      </c>
      <c r="AF2" s="371"/>
      <c r="AG2" s="371"/>
      <c r="AH2" s="2"/>
      <c r="AI2" s="372"/>
      <c r="AJ2" s="2"/>
      <c r="AY2" s="11"/>
      <c r="BA2" s="2"/>
      <c r="BB2" s="387"/>
      <c r="BE2" s="2"/>
    </row>
    <row r="3" spans="2:105" ht="33" thickTop="1">
      <c r="B3" s="2">
        <f xml:space="preserve"> SEARCH("|",$B$2,1)</f>
        <v>5</v>
      </c>
      <c r="H3" s="2">
        <f xml:space="preserve"> ROW() - 2</f>
        <v>1</v>
      </c>
      <c r="I3" s="136" t="str">
        <f t="shared" ref="I3:I34" si="0" xml:space="preserve"> IFERROR( MID($B$6, $H3, 1), "")</f>
        <v>p</v>
      </c>
      <c r="J3" s="136" t="str">
        <f t="shared" ref="J3:J34" si="1" xml:space="preserve"> IFERROR( MID($B$7, $H3, 1), "")</f>
        <v>1</v>
      </c>
      <c r="L3" s="2">
        <v>1</v>
      </c>
      <c r="M3" s="21" t="str">
        <f t="shared" ref="M3:M19" si="2" xml:space="preserve"> IFERROR( MID($B$15, $H3, 1), "")</f>
        <v>1</v>
      </c>
      <c r="N3" s="21" t="str">
        <f t="shared" ref="N3:N34" si="3" xml:space="preserve"> IFERROR( MID($B$16, $H3, 1), "")</f>
        <v>ㄅ</v>
      </c>
      <c r="P3" s="2">
        <v>1</v>
      </c>
      <c r="Q3" s="22" t="str">
        <f t="shared" ref="Q3:Q44" si="4" xml:space="preserve"> IFERROR( MID($B$25, $P3, 1), "")</f>
        <v>p</v>
      </c>
      <c r="R3" s="22" t="str">
        <f t="shared" ref="R3:R44" si="5" xml:space="preserve"> IFERROR( MID($B$26, $P3, 1), "")</f>
        <v>ㄅ</v>
      </c>
      <c r="T3" s="2">
        <v>1</v>
      </c>
      <c r="U3" s="363" t="str">
        <f t="shared" ref="U3:U34" si="6" xml:space="preserve"> J3</f>
        <v>1</v>
      </c>
      <c r="V3" s="365" t="str">
        <f t="shared" ref="V3:V34" si="7">I3</f>
        <v>p</v>
      </c>
      <c r="W3" s="364" t="e" cm="1">
        <f t="array" ref="W3" xml:space="preserve"> INDEX(#REF!, MATCH(TRUE, EXACT(表格1_33411[[#This Row],[注音編碼]], 注音編碼對照表[按鍵編碼]), 0))</f>
        <v>#REF!</v>
      </c>
      <c r="X3" s="366" t="str" cm="1">
        <f t="array" ref="X3" xml:space="preserve"> INDEX(注音編碼對照表!$D$3:$D$59, MATCH(TRUE, EXACT(表格1_33411[[#This Row],[注音編碼]], 注音編碼對照表!$H$3:$H$55), 0))</f>
        <v>ph</v>
      </c>
      <c r="Y3" s="24"/>
      <c r="Z3" s="31">
        <f>ROW() - 2</f>
        <v>1</v>
      </c>
      <c r="AA3" s="71" t="str">
        <f>注音編碼對照表!$G3</f>
        <v>1</v>
      </c>
      <c r="AB3" s="354" t="str" cm="1">
        <f t="array" ref="AB3" xml:space="preserve"> INDEX(注音編碼對照表[按鍵編碼], MATCH(TRUE, EXACT(RIME設定解析!$AA3, 注音編碼對照表[鍵盤按鍵] ),0))</f>
        <v>b</v>
      </c>
      <c r="AC3" s="32" t="str" cm="1">
        <f t="array" ref="AC3" xml:space="preserve"> INDEX(注音編碼對照表[方音符號], MATCH(TRUE, EXACT(RIME設定解析!$AA3, 注音編碼對照表[鍵盤按鍵] ),0))</f>
        <v>ㄅ</v>
      </c>
      <c r="AD3" s="482" t="e" cm="1">
        <f t="array" ref="AD3" xml:space="preserve"> INDEX(#REF!, MATCH(TRUE, EXACT(RIME設定解析!$AA3, 注音編碼對照表[鍵盤按鍵] ),0))</f>
        <v>#REF!</v>
      </c>
      <c r="AE3" s="430" t="str" cm="1">
        <f t="array" ref="AE3" xml:space="preserve"> INDEX(注音編碼對照表[台語音標], MATCH(TRUE, EXACT(RIME設定解析!$AA3, 注音編碼對照表[鍵盤按鍵] ),0))</f>
        <v>p</v>
      </c>
      <c r="AF3" s="366"/>
      <c r="AG3" s="366" t="e">
        <f t="shared" ref="AG3:AG25" si="8" xml:space="preserve"> """" &amp; AA3 &amp; """ : " &amp; AD3</f>
        <v>#REF!</v>
      </c>
      <c r="AH3" s="2"/>
      <c r="AI3" s="336" t="e">
        <f xml:space="preserve"> "  alphabet: '" &amp; _xlfn.CONCAT(AA$3:AA$49) &amp; "'"</f>
        <v>#REF!</v>
      </c>
      <c r="AJ3" s="386"/>
      <c r="AK3" s="386"/>
      <c r="AL3" s="386"/>
      <c r="AM3" s="386"/>
      <c r="AN3" s="386"/>
      <c r="AO3" s="386"/>
      <c r="AP3" s="386"/>
      <c r="AQ3" s="386"/>
      <c r="AY3" s="11"/>
      <c r="BA3" s="2"/>
      <c r="BB3" s="387"/>
      <c r="BE3" s="2"/>
    </row>
    <row r="4" spans="2:105" ht="32.25">
      <c r="B4" s="2">
        <f xml:space="preserve"> SEARCH("|",$B$2,B3+1)</f>
        <v>57</v>
      </c>
      <c r="H4" s="2">
        <f t="shared" ref="H4:H54" si="9" xml:space="preserve"> ROW() - 2</f>
        <v>2</v>
      </c>
      <c r="I4" s="136" t="str">
        <f t="shared" si="0"/>
        <v>b</v>
      </c>
      <c r="J4" s="136" t="str">
        <f t="shared" si="1"/>
        <v>!</v>
      </c>
      <c r="L4" s="2">
        <v>2</v>
      </c>
      <c r="M4" s="21" t="str">
        <f t="shared" si="2"/>
        <v>!</v>
      </c>
      <c r="N4" s="21" t="str">
        <f t="shared" si="3"/>
        <v></v>
      </c>
      <c r="P4" s="2">
        <v>2</v>
      </c>
      <c r="Q4" s="22" t="str">
        <f t="shared" si="4"/>
        <v>P</v>
      </c>
      <c r="R4" s="22" t="str">
        <f t="shared" si="5"/>
        <v>ㄆ</v>
      </c>
      <c r="T4" s="2">
        <v>2</v>
      </c>
      <c r="U4" s="363" t="str">
        <f t="shared" si="6"/>
        <v>!</v>
      </c>
      <c r="V4" s="365" t="str">
        <f t="shared" si="7"/>
        <v>b</v>
      </c>
      <c r="W4" s="364" t="e" cm="1">
        <f t="array" ref="W4" xml:space="preserve"> INDEX(#REF!, MATCH(TRUE, EXACT(表格1_33411[[#This Row],[注音編碼]], 注音編碼對照表[按鍵編碼]), 0))</f>
        <v>#REF!</v>
      </c>
      <c r="X4" s="366" t="str" cm="1">
        <f t="array" ref="X4" xml:space="preserve"> INDEX(注音編碼對照表!$D$3:$D$59, MATCH(TRUE, EXACT(表格1_33411[[#This Row],[注音編碼]], 注音編碼對照表!$H$3:$H$55), 0))</f>
        <v>p</v>
      </c>
      <c r="Y4" s="24"/>
      <c r="Z4" s="31">
        <f t="shared" ref="Z4:Z58" si="10">ROW() - 2</f>
        <v>2</v>
      </c>
      <c r="AA4" s="71" t="str">
        <f>注音編碼對照表!$G4</f>
        <v>q</v>
      </c>
      <c r="AB4" s="354" t="str" cm="1">
        <f t="array" ref="AB4" xml:space="preserve"> INDEX(注音編碼對照表[按鍵編碼], MATCH(TRUE, EXACT(RIME設定解析!$AA4, 注音編碼對照表[鍵盤按鍵] ),0))</f>
        <v>p</v>
      </c>
      <c r="AC4" s="32" t="str" cm="1">
        <f t="array" ref="AC4" xml:space="preserve"> INDEX(注音編碼對照表[方音符號], MATCH(TRUE, EXACT(RIME設定解析!$AA4, 注音編碼對照表[鍵盤按鍵] ),0))</f>
        <v>ㄆ</v>
      </c>
      <c r="AD4" s="482" t="e" cm="1">
        <f t="array" ref="AD4" xml:space="preserve"> INDEX(#REF!, MATCH(TRUE, EXACT(RIME設定解析!$AA4, 注音編碼對照表[鍵盤按鍵] ),0))</f>
        <v>#REF!</v>
      </c>
      <c r="AE4" s="430" t="str" cm="1">
        <f t="array" ref="AE4" xml:space="preserve"> INDEX(注音編碼對照表[台語音標], MATCH(TRUE, EXACT(RIME設定解析!$AA4, 注音編碼對照表[鍵盤按鍵] ),0))</f>
        <v>ph</v>
      </c>
      <c r="AF4" s="366"/>
      <c r="AG4" s="366" t="e">
        <f t="shared" si="8"/>
        <v>#REF!</v>
      </c>
      <c r="AH4" s="2"/>
      <c r="AI4" s="336" t="e">
        <f xml:space="preserve"> "  initials: '" &amp; _xlfn.CONCAT(AA$3:AA$43) &amp; "'"</f>
        <v>#REF!</v>
      </c>
      <c r="AJ4" s="386"/>
      <c r="AK4" s="386"/>
      <c r="AL4" s="386"/>
      <c r="AM4" s="386"/>
      <c r="AN4" s="386"/>
      <c r="AO4" s="386"/>
      <c r="AP4" s="386"/>
      <c r="AQ4" s="386"/>
      <c r="AY4" s="11"/>
      <c r="BA4" s="2"/>
      <c r="BB4" s="387"/>
      <c r="BE4" s="2"/>
    </row>
    <row r="5" spans="2:105" ht="32.25">
      <c r="B5" s="2">
        <f xml:space="preserve"> SEARCH("|",$B$2,B4+1)</f>
        <v>109</v>
      </c>
      <c r="H5" s="2">
        <f t="shared" si="9"/>
        <v>3</v>
      </c>
      <c r="I5" s="136" t="str">
        <f t="shared" si="0"/>
        <v>P</v>
      </c>
      <c r="J5" s="136" t="str">
        <f t="shared" si="1"/>
        <v>q</v>
      </c>
      <c r="L5" s="2">
        <v>3</v>
      </c>
      <c r="M5" s="21" t="str">
        <f t="shared" si="2"/>
        <v>q</v>
      </c>
      <c r="N5" s="21" t="str">
        <f t="shared" si="3"/>
        <v>ㄆ</v>
      </c>
      <c r="P5" s="2">
        <v>3</v>
      </c>
      <c r="Q5" s="22" t="str">
        <f t="shared" si="4"/>
        <v>b</v>
      </c>
      <c r="R5" s="22" t="str">
        <f t="shared" si="5"/>
        <v>ㆠ</v>
      </c>
      <c r="T5" s="2">
        <v>3</v>
      </c>
      <c r="U5" s="363" t="str">
        <f t="shared" si="6"/>
        <v>q</v>
      </c>
      <c r="V5" s="365" t="str">
        <f t="shared" si="7"/>
        <v>P</v>
      </c>
      <c r="W5" s="364" t="e" cm="1">
        <f t="array" ref="W5" xml:space="preserve"> INDEX(#REF!, MATCH(TRUE, EXACT(表格1_33411[[#This Row],[注音編碼]], 注音編碼對照表[按鍵編碼]), 0))</f>
        <v>#REF!</v>
      </c>
      <c r="X5" s="366" t="e" cm="1">
        <f t="array" ref="X5" xml:space="preserve"> INDEX(注音編碼對照表!$D$3:$D$59, MATCH(TRUE, EXACT(表格1_33411[[#This Row],[注音編碼]], 注音編碼對照表!$H$3:$H$55), 0))</f>
        <v>#N/A</v>
      </c>
      <c r="Y5" s="24"/>
      <c r="Z5" s="31">
        <f t="shared" si="10"/>
        <v>3</v>
      </c>
      <c r="AA5" s="71" t="str">
        <f>注音編碼對照表!$G5</f>
        <v>!</v>
      </c>
      <c r="AB5" s="354" t="str" cm="1">
        <f t="array" ref="AB5" xml:space="preserve"> INDEX(注音編碼對照表[按鍵編碼], MATCH(TRUE, EXACT(RIME設定解析!$AA5, 注音編碼對照表[鍵盤按鍵] ),0))</f>
        <v>B</v>
      </c>
      <c r="AC5" s="32" t="str" cm="1">
        <f t="array" ref="AC5" xml:space="preserve"> INDEX(注音編碼對照表[方音符號], MATCH(TRUE, EXACT(RIME設定解析!$AA5, 注音編碼對照表[鍵盤按鍵] ),0))</f>
        <v>ㆠ</v>
      </c>
      <c r="AD5" s="482" t="e" cm="1">
        <f t="array" ref="AD5" xml:space="preserve"> INDEX(#REF!, MATCH(TRUE, EXACT(RIME設定解析!$AA5, 注音編碼對照表[鍵盤按鍵] ),0))</f>
        <v>#REF!</v>
      </c>
      <c r="AE5" s="430" t="str" cm="1">
        <f t="array" ref="AE5" xml:space="preserve"> INDEX(注音編碼對照表[台語音標], MATCH(TRUE, EXACT(RIME設定解析!$AA5, 注音編碼對照表[鍵盤按鍵] ),0))</f>
        <v>b</v>
      </c>
      <c r="AF5" s="366"/>
      <c r="AG5" s="366" t="e">
        <f t="shared" si="8"/>
        <v>#REF!</v>
      </c>
      <c r="AH5" s="2"/>
      <c r="AI5" s="336" t="str">
        <f xml:space="preserve"> "  finals:   '" &amp; _xlfn.CONCAT(AA$44:AA$49) &amp; "'"</f>
        <v xml:space="preserve">  finals:   ' 43657'</v>
      </c>
      <c r="AJ5" s="386"/>
      <c r="AK5" s="386"/>
      <c r="AL5" s="386"/>
      <c r="AM5" s="386"/>
      <c r="AN5" s="386"/>
      <c r="AO5" s="386"/>
      <c r="AP5" s="386"/>
      <c r="AQ5" s="386"/>
      <c r="AY5" s="11"/>
      <c r="BA5" s="2"/>
      <c r="BB5" s="387"/>
      <c r="BE5" s="2"/>
    </row>
    <row r="6" spans="2:105" ht="32.25">
      <c r="B6" s="50" t="str">
        <f xml:space="preserve"> MID($B$2,B3+1, B4-B3-1)</f>
        <v>pbPmtTnlkgKhzcsjZCSwiuMaOoeyxB@N[WRIUAQEYX}{]123570</v>
      </c>
      <c r="C6" s="51">
        <f xml:space="preserve"> LEN(B6)</f>
        <v>51</v>
      </c>
      <c r="H6" s="2">
        <f t="shared" si="9"/>
        <v>4</v>
      </c>
      <c r="I6" s="136" t="str">
        <f t="shared" si="0"/>
        <v>m</v>
      </c>
      <c r="J6" s="136" t="str">
        <f t="shared" si="1"/>
        <v>a</v>
      </c>
      <c r="L6" s="2">
        <v>4</v>
      </c>
      <c r="M6" s="21" t="str">
        <f t="shared" si="2"/>
        <v>a</v>
      </c>
      <c r="N6" s="21" t="str">
        <f t="shared" si="3"/>
        <v>ㄇ</v>
      </c>
      <c r="P6" s="2">
        <v>4</v>
      </c>
      <c r="Q6" s="22" t="str">
        <f t="shared" si="4"/>
        <v>t</v>
      </c>
      <c r="R6" s="22" t="str">
        <f t="shared" si="5"/>
        <v>ㄉ</v>
      </c>
      <c r="T6" s="2">
        <v>4</v>
      </c>
      <c r="U6" s="363" t="str">
        <f t="shared" si="6"/>
        <v>a</v>
      </c>
      <c r="V6" s="365" t="str">
        <f t="shared" si="7"/>
        <v>m</v>
      </c>
      <c r="W6" s="364" t="e" cm="1">
        <f t="array" ref="W6" xml:space="preserve"> INDEX(#REF!, MATCH(TRUE, EXACT(表格1_33411[[#This Row],[注音編碼]], 注音編碼對照表[按鍵編碼]), 0))</f>
        <v>#REF!</v>
      </c>
      <c r="X6" s="366" t="str" cm="1">
        <f t="array" ref="X6" xml:space="preserve"> INDEX(注音編碼對照表!$D$3:$D$59, MATCH(TRUE, EXACT(表格1_33411[[#This Row],[注音編碼]], 注音編碼對照表!$H$3:$H$55), 0))</f>
        <v>m</v>
      </c>
      <c r="Y6" s="24"/>
      <c r="Z6" s="31">
        <f t="shared" si="10"/>
        <v>4</v>
      </c>
      <c r="AA6" s="71" t="str">
        <f>注音編碼對照表!$G6</f>
        <v>a</v>
      </c>
      <c r="AB6" s="354" t="str" cm="1">
        <f t="array" ref="AB6" xml:space="preserve"> INDEX(注音編碼對照表[按鍵編碼], MATCH(TRUE, EXACT(RIME設定解析!$AA6, 注音編碼對照表[鍵盤按鍵] ),0))</f>
        <v>m</v>
      </c>
      <c r="AC6" s="32" t="str" cm="1">
        <f t="array" ref="AC6" xml:space="preserve"> INDEX(注音編碼對照表[方音符號], MATCH(TRUE, EXACT(RIME設定解析!$AA6, 注音編碼對照表[鍵盤按鍵] ),0))</f>
        <v>ㄇ</v>
      </c>
      <c r="AD6" s="482" t="e" cm="1">
        <f t="array" ref="AD6" xml:space="preserve"> INDEX(#REF!, MATCH(TRUE, EXACT(RIME設定解析!$AA6, 注音編碼對照表[鍵盤按鍵] ),0))</f>
        <v>#REF!</v>
      </c>
      <c r="AE6" s="430" t="str" cm="1">
        <f t="array" ref="AE6" xml:space="preserve"> INDEX(注音編碼對照表[台語音標], MATCH(TRUE, EXACT(RIME設定解析!$AA6, 注音編碼對照表[鍵盤按鍵] ),0))</f>
        <v>m</v>
      </c>
      <c r="AF6" s="366"/>
      <c r="AG6" s="366" t="e">
        <f t="shared" si="8"/>
        <v>#REF!</v>
      </c>
      <c r="AH6" s="2"/>
      <c r="AI6" s="372"/>
      <c r="AJ6" s="2"/>
      <c r="AY6" s="11"/>
      <c r="BA6" s="2"/>
      <c r="BB6" s="387"/>
      <c r="BE6" s="2"/>
    </row>
    <row r="7" spans="2:105" ht="32.25">
      <c r="B7" s="50" t="str">
        <f xml:space="preserve"> MID($B$2,B4+1, B5-B4-1)</f>
        <v>1!qa2wsxeEdcyhnbYHN?ujm8ik,9l.0p;/-UJ*I&lt;(LOA: 43657</v>
      </c>
      <c r="C7" s="51">
        <f xml:space="preserve"> LEN(B7)</f>
        <v>51</v>
      </c>
      <c r="H7" s="2">
        <f t="shared" si="9"/>
        <v>5</v>
      </c>
      <c r="I7" s="136" t="str">
        <f t="shared" si="0"/>
        <v>t</v>
      </c>
      <c r="J7" s="136" t="str">
        <f t="shared" si="1"/>
        <v>2</v>
      </c>
      <c r="L7" s="2">
        <v>5</v>
      </c>
      <c r="M7" s="21" t="str">
        <f t="shared" si="2"/>
        <v>2</v>
      </c>
      <c r="N7" s="21" t="str">
        <f t="shared" si="3"/>
        <v>ㄉ</v>
      </c>
      <c r="P7" s="2">
        <v>5</v>
      </c>
      <c r="Q7" s="22" t="str">
        <f t="shared" si="4"/>
        <v>T</v>
      </c>
      <c r="R7" s="22" t="str">
        <f t="shared" si="5"/>
        <v>ㄊ</v>
      </c>
      <c r="T7" s="2">
        <v>5</v>
      </c>
      <c r="U7" s="363" t="str">
        <f t="shared" si="6"/>
        <v>2</v>
      </c>
      <c r="V7" s="365" t="str">
        <f t="shared" si="7"/>
        <v>t</v>
      </c>
      <c r="W7" s="364" t="e" cm="1">
        <f t="array" ref="W7" xml:space="preserve"> INDEX(#REF!, MATCH(TRUE, EXACT(表格1_33411[[#This Row],[注音編碼]], 注音編碼對照表[按鍵編碼]), 0))</f>
        <v>#REF!</v>
      </c>
      <c r="X7" s="366" t="str" cm="1">
        <f t="array" ref="X7" xml:space="preserve"> INDEX(注音編碼對照表!$D$3:$D$59, MATCH(TRUE, EXACT(表格1_33411[[#This Row],[注音編碼]], 注音編碼對照表!$H$3:$H$55), 0))</f>
        <v>th</v>
      </c>
      <c r="Y7" s="24"/>
      <c r="Z7" s="31">
        <f t="shared" si="10"/>
        <v>5</v>
      </c>
      <c r="AA7" s="71" t="str">
        <f>注音編碼對照表!$G7</f>
        <v>2</v>
      </c>
      <c r="AB7" s="354" t="str" cm="1">
        <f t="array" ref="AB7" xml:space="preserve"> INDEX(注音編碼對照表[按鍵編碼], MATCH(TRUE, EXACT(RIME設定解析!$AA7, 注音編碼對照表[鍵盤按鍵] ),0))</f>
        <v>d</v>
      </c>
      <c r="AC7" s="32" t="str" cm="1">
        <f t="array" ref="AC7" xml:space="preserve"> INDEX(注音編碼對照表[方音符號], MATCH(TRUE, EXACT(RIME設定解析!$AA7, 注音編碼對照表[鍵盤按鍵] ),0))</f>
        <v>ㄉ</v>
      </c>
      <c r="AD7" s="482" t="e" cm="1">
        <f t="array" ref="AD7" xml:space="preserve"> INDEX(#REF!, MATCH(TRUE, EXACT(RIME設定解析!$AA7, 注音編碼對照表[鍵盤按鍵] ),0))</f>
        <v>#REF!</v>
      </c>
      <c r="AE7" s="430" t="str" cm="1">
        <f t="array" ref="AE7" xml:space="preserve"> INDEX(注音編碼對照表[台語音標], MATCH(TRUE, EXACT(RIME設定解析!$AA7, 注音編碼對照表[鍵盤按鍵] ),0))</f>
        <v>t</v>
      </c>
      <c r="AF7" s="366"/>
      <c r="AG7" s="366" t="e">
        <f t="shared" si="8"/>
        <v>#REF!</v>
      </c>
      <c r="AH7" s="2"/>
      <c r="AI7" s="372"/>
      <c r="AJ7" s="2"/>
      <c r="AY7" s="11"/>
      <c r="BA7" s="2"/>
      <c r="BB7" s="387"/>
      <c r="BE7" s="2"/>
    </row>
    <row r="8" spans="2:105" ht="32.25">
      <c r="H8" s="2">
        <f t="shared" si="9"/>
        <v>6</v>
      </c>
      <c r="I8" s="136" t="str">
        <f t="shared" si="0"/>
        <v>T</v>
      </c>
      <c r="J8" s="136" t="str">
        <f t="shared" si="1"/>
        <v>w</v>
      </c>
      <c r="L8" s="2">
        <v>6</v>
      </c>
      <c r="M8" s="21" t="str">
        <f t="shared" si="2"/>
        <v>w</v>
      </c>
      <c r="N8" s="21" t="str">
        <f t="shared" si="3"/>
        <v>ㄊ</v>
      </c>
      <c r="P8" s="2">
        <v>6</v>
      </c>
      <c r="Q8" s="22" t="str">
        <f t="shared" si="4"/>
        <v>d</v>
      </c>
      <c r="R8" s="22" t="str">
        <f t="shared" si="5"/>
        <v>ㄌ</v>
      </c>
      <c r="T8" s="2">
        <v>6</v>
      </c>
      <c r="U8" s="363" t="str">
        <f t="shared" si="6"/>
        <v>w</v>
      </c>
      <c r="V8" s="365" t="str">
        <f t="shared" si="7"/>
        <v>T</v>
      </c>
      <c r="W8" s="364" t="e" cm="1">
        <f t="array" ref="W8" xml:space="preserve"> INDEX(#REF!, MATCH(TRUE, EXACT(表格1_33411[[#This Row],[注音編碼]], 注音編碼對照表[按鍵編碼]), 0))</f>
        <v>#REF!</v>
      </c>
      <c r="X8" s="366" t="e" cm="1">
        <f t="array" ref="X8" xml:space="preserve"> INDEX(注音編碼對照表!$D$3:$D$59, MATCH(TRUE, EXACT(表格1_33411[[#This Row],[注音編碼]], 注音編碼對照表!$H$3:$H$55), 0))</f>
        <v>#N/A</v>
      </c>
      <c r="Y8" s="24"/>
      <c r="Z8" s="31">
        <f t="shared" si="10"/>
        <v>6</v>
      </c>
      <c r="AA8" s="71" t="str">
        <f>注音編碼對照表!$G8</f>
        <v>w</v>
      </c>
      <c r="AB8" s="354" t="str" cm="1">
        <f t="array" ref="AB8" xml:space="preserve"> INDEX(注音編碼對照表[按鍵編碼], MATCH(TRUE, EXACT(RIME設定解析!$AA8, 注音編碼對照表[鍵盤按鍵] ),0))</f>
        <v>t</v>
      </c>
      <c r="AC8" s="32" t="str" cm="1">
        <f t="array" ref="AC8" xml:space="preserve"> INDEX(注音編碼對照表[方音符號], MATCH(TRUE, EXACT(RIME設定解析!$AA8, 注音編碼對照表[鍵盤按鍵] ),0))</f>
        <v>ㄊ</v>
      </c>
      <c r="AD8" s="482" t="e" cm="1">
        <f t="array" ref="AD8" xml:space="preserve"> INDEX(#REF!, MATCH(TRUE, EXACT(RIME設定解析!$AA8, 注音編碼對照表[鍵盤按鍵] ),0))</f>
        <v>#REF!</v>
      </c>
      <c r="AE8" s="430" t="str" cm="1">
        <f t="array" ref="AE8" xml:space="preserve"> INDEX(注音編碼對照表[台語音標], MATCH(TRUE, EXACT(RIME設定解析!$AA8, 注音編碼對照表[鍵盤按鍵] ),0))</f>
        <v>th</v>
      </c>
      <c r="AF8" s="366"/>
      <c r="AG8" s="366" t="e">
        <f t="shared" si="8"/>
        <v>#REF!</v>
      </c>
      <c r="AH8" s="2"/>
      <c r="AI8" s="373" t="s">
        <v>630</v>
      </c>
      <c r="AJ8" s="2"/>
      <c r="AK8" s="397" t="e">
        <f xml:space="preserve"> """xlit|" &amp; AK9 &amp; "|" &amp; AK10 &amp; "|"""</f>
        <v>#N/A</v>
      </c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00"/>
      <c r="BA8" s="2"/>
      <c r="BB8" s="514" cm="1">
        <f t="array" ref="BB8" xml:space="preserve"> COLUMN() - COLUMN($BB:$BB)</f>
        <v>0</v>
      </c>
      <c r="BC8" s="514" cm="1">
        <f t="array" ref="BC8" xml:space="preserve"> COLUMN() - COLUMN($BB:$BB)</f>
        <v>1</v>
      </c>
      <c r="BD8" s="514" cm="1">
        <f t="array" ref="BD8" xml:space="preserve"> COLUMN() - COLUMN($BB:$BB)</f>
        <v>2</v>
      </c>
      <c r="BE8" s="514" cm="1">
        <f t="array" ref="BE8" xml:space="preserve"> COLUMN() - COLUMN($BB:$BB)</f>
        <v>3</v>
      </c>
      <c r="BF8" s="514" cm="1">
        <f t="array" ref="BF8" xml:space="preserve"> COLUMN() - COLUMN($BB:$BB)</f>
        <v>4</v>
      </c>
      <c r="BG8" s="514" cm="1">
        <f t="array" ref="BG8" xml:space="preserve"> COLUMN() - COLUMN($BB:$BB)</f>
        <v>5</v>
      </c>
      <c r="BH8" s="514" cm="1">
        <f t="array" ref="BH8" xml:space="preserve"> COLUMN() - COLUMN($BB:$BB)</f>
        <v>6</v>
      </c>
      <c r="BI8" s="514" cm="1">
        <f t="array" ref="BI8" xml:space="preserve"> COLUMN() - COLUMN($BB:$BB)</f>
        <v>7</v>
      </c>
      <c r="BJ8" s="514" cm="1">
        <f t="array" ref="BJ8" xml:space="preserve"> COLUMN() - COLUMN($BB:$BB)</f>
        <v>8</v>
      </c>
      <c r="BK8" s="514" cm="1">
        <f t="array" ref="BK8" xml:space="preserve"> COLUMN() - COLUMN($BB:$BB)</f>
        <v>9</v>
      </c>
      <c r="BL8" s="514" cm="1">
        <f t="array" ref="BL8" xml:space="preserve"> COLUMN() - COLUMN($BB:$BB)</f>
        <v>10</v>
      </c>
      <c r="BM8" s="514" cm="1">
        <f t="array" ref="BM8" xml:space="preserve"> COLUMN() - COLUMN($BB:$BB)</f>
        <v>11</v>
      </c>
      <c r="BN8" s="514" cm="1">
        <f t="array" ref="BN8" xml:space="preserve"> COLUMN() - COLUMN($BB:$BB)</f>
        <v>12</v>
      </c>
      <c r="BO8" s="514" cm="1">
        <f t="array" ref="BO8" xml:space="preserve"> COLUMN() - COLUMN($BB:$BB)</f>
        <v>13</v>
      </c>
      <c r="BP8" s="514" cm="1">
        <f t="array" ref="BP8" xml:space="preserve"> COLUMN() - COLUMN($BB:$BB)</f>
        <v>14</v>
      </c>
      <c r="BQ8" s="514" cm="1">
        <f t="array" ref="BQ8" xml:space="preserve"> COLUMN() - COLUMN($BB:$BB)</f>
        <v>15</v>
      </c>
      <c r="BR8" s="514" cm="1">
        <f t="array" ref="BR8" xml:space="preserve"> COLUMN() - COLUMN($BB:$BB)</f>
        <v>16</v>
      </c>
      <c r="BS8" s="514" cm="1">
        <f t="array" ref="BS8" xml:space="preserve"> COLUMN() - COLUMN($BB:$BB)</f>
        <v>17</v>
      </c>
      <c r="BT8" s="514" cm="1">
        <f t="array" ref="BT8" xml:space="preserve"> COLUMN() - COLUMN($BB:$BB)</f>
        <v>18</v>
      </c>
      <c r="BU8" s="514" cm="1">
        <f t="array" ref="BU8" xml:space="preserve"> COLUMN() - COLUMN($BB:$BB)</f>
        <v>19</v>
      </c>
      <c r="BV8" s="514" cm="1">
        <f t="array" ref="BV8" xml:space="preserve"> COLUMN() - COLUMN($BB:$BB)</f>
        <v>20</v>
      </c>
      <c r="BW8" s="514" cm="1">
        <f t="array" ref="BW8" xml:space="preserve"> COLUMN() - COLUMN($BB:$BB)</f>
        <v>21</v>
      </c>
      <c r="BX8" s="514" cm="1">
        <f t="array" ref="BX8" xml:space="preserve"> COLUMN() - COLUMN($BB:$BB)</f>
        <v>22</v>
      </c>
      <c r="BY8" s="514" cm="1">
        <f t="array" ref="BY8" xml:space="preserve"> COLUMN() - COLUMN($BB:$BB)</f>
        <v>23</v>
      </c>
      <c r="BZ8" s="514" cm="1">
        <f t="array" ref="BZ8" xml:space="preserve"> COLUMN() - COLUMN($BB:$BB)</f>
        <v>24</v>
      </c>
      <c r="CA8" s="514" cm="1">
        <f t="array" ref="CA8" xml:space="preserve"> COLUMN() - COLUMN($BB:$BB)</f>
        <v>25</v>
      </c>
      <c r="CB8" s="514" cm="1">
        <f t="array" ref="CB8" xml:space="preserve"> COLUMN() - COLUMN($BB:$BB)</f>
        <v>26</v>
      </c>
      <c r="CC8" s="514" cm="1">
        <f t="array" ref="CC8" xml:space="preserve"> COLUMN() - COLUMN($BB:$BB)</f>
        <v>27</v>
      </c>
      <c r="CD8" s="514" cm="1">
        <f t="array" ref="CD8" xml:space="preserve"> COLUMN() - COLUMN($BB:$BB)</f>
        <v>28</v>
      </c>
      <c r="CE8" s="514" cm="1">
        <f t="array" ref="CE8" xml:space="preserve"> COLUMN() - COLUMN($BB:$BB)</f>
        <v>29</v>
      </c>
      <c r="CF8" s="514" cm="1">
        <f t="array" ref="CF8" xml:space="preserve"> COLUMN() - COLUMN($BB:$BB)</f>
        <v>30</v>
      </c>
      <c r="CG8" s="514" cm="1">
        <f t="array" ref="CG8" xml:space="preserve"> COLUMN() - COLUMN($BB:$BB)</f>
        <v>31</v>
      </c>
      <c r="CH8" s="514" cm="1">
        <f t="array" ref="CH8" xml:space="preserve"> COLUMN() - COLUMN($BB:$BB)</f>
        <v>32</v>
      </c>
      <c r="CI8" s="514" cm="1">
        <f t="array" ref="CI8" xml:space="preserve"> COLUMN() - COLUMN($BB:$BB)</f>
        <v>33</v>
      </c>
      <c r="CJ8" s="514" cm="1">
        <f t="array" ref="CJ8" xml:space="preserve"> COLUMN() - COLUMN($BB:$BB)</f>
        <v>34</v>
      </c>
      <c r="CK8" s="514" cm="1">
        <f t="array" ref="CK8" xml:space="preserve"> COLUMN() - COLUMN($BB:$BB)</f>
        <v>35</v>
      </c>
      <c r="CL8" s="514" cm="1">
        <f t="array" ref="CL8" xml:space="preserve"> COLUMN() - COLUMN($BB:$BB)</f>
        <v>36</v>
      </c>
      <c r="CM8" s="514" cm="1">
        <f t="array" ref="CM8" xml:space="preserve"> COLUMN() - COLUMN($BB:$BB)</f>
        <v>37</v>
      </c>
      <c r="CN8" s="514" cm="1">
        <f t="array" ref="CN8" xml:space="preserve"> COLUMN() - COLUMN($BB:$BB)</f>
        <v>38</v>
      </c>
      <c r="CO8" s="514" cm="1">
        <f t="array" ref="CO8" xml:space="preserve"> COLUMN() - COLUMN($BB:$BB)</f>
        <v>39</v>
      </c>
      <c r="CP8" s="514" cm="1">
        <f t="array" ref="CP8" xml:space="preserve"> COLUMN() - COLUMN($BB:$BB)</f>
        <v>40</v>
      </c>
      <c r="CQ8" s="514" cm="1">
        <f t="array" ref="CQ8" xml:space="preserve"> COLUMN() - COLUMN($BB:$BB)</f>
        <v>41</v>
      </c>
      <c r="CR8" s="514" cm="1">
        <f t="array" ref="CR8" xml:space="preserve"> COLUMN() - COLUMN($BB:$BB)</f>
        <v>42</v>
      </c>
      <c r="CS8" s="514" cm="1">
        <f t="array" ref="CS8" xml:space="preserve"> COLUMN() - COLUMN($BB:$BB)</f>
        <v>43</v>
      </c>
      <c r="CT8" s="514" cm="1">
        <f t="array" ref="CT8" xml:space="preserve"> COLUMN() - COLUMN($BB:$BB)</f>
        <v>44</v>
      </c>
      <c r="CU8" s="514" cm="1">
        <f t="array" ref="CU8" xml:space="preserve"> COLUMN() - COLUMN($BB:$BB)</f>
        <v>45</v>
      </c>
      <c r="CV8" s="514" cm="1">
        <f t="array" ref="CV8" xml:space="preserve"> COLUMN() - COLUMN($BB:$BB)</f>
        <v>46</v>
      </c>
      <c r="CW8" s="514" cm="1">
        <f t="array" ref="CW8" xml:space="preserve"> COLUMN() - COLUMN($BB:$BB)</f>
        <v>47</v>
      </c>
      <c r="CX8" s="514" cm="1">
        <f t="array" ref="CX8" xml:space="preserve"> COLUMN() - COLUMN($BB:$BB)</f>
        <v>48</v>
      </c>
      <c r="CY8" s="514" cm="1">
        <f t="array" ref="CY8" xml:space="preserve"> COLUMN() - COLUMN($BB:$BB)</f>
        <v>49</v>
      </c>
      <c r="CZ8" s="514" cm="1">
        <f t="array" ref="CZ8" xml:space="preserve"> COLUMN() - COLUMN($BB:$BB)</f>
        <v>50</v>
      </c>
      <c r="DA8" s="514" cm="1">
        <f t="array" ref="DA8" xml:space="preserve"> COLUMN() - COLUMN($BB:$BB)</f>
        <v>51</v>
      </c>
    </row>
    <row r="9" spans="2:105" ht="32.25">
      <c r="H9" s="2">
        <f t="shared" si="9"/>
        <v>7</v>
      </c>
      <c r="I9" s="136" t="str">
        <f t="shared" si="0"/>
        <v>n</v>
      </c>
      <c r="J9" s="136" t="str">
        <f t="shared" si="1"/>
        <v>s</v>
      </c>
      <c r="L9" s="2">
        <v>7</v>
      </c>
      <c r="M9" s="21" t="str">
        <f t="shared" si="2"/>
        <v>s</v>
      </c>
      <c r="N9" s="21" t="str">
        <f t="shared" si="3"/>
        <v>ㄋ</v>
      </c>
      <c r="P9" s="2">
        <v>7</v>
      </c>
      <c r="Q9" s="22" t="str">
        <f t="shared" si="4"/>
        <v>k</v>
      </c>
      <c r="R9" s="22" t="str">
        <f t="shared" si="5"/>
        <v>ㄍ</v>
      </c>
      <c r="T9" s="2">
        <v>7</v>
      </c>
      <c r="U9" s="363" t="str">
        <f t="shared" si="6"/>
        <v>s</v>
      </c>
      <c r="V9" s="365" t="str">
        <f t="shared" si="7"/>
        <v>n</v>
      </c>
      <c r="W9" s="364" t="e" cm="1">
        <f t="array" ref="W9" xml:space="preserve"> INDEX(#REF!, MATCH(TRUE, EXACT(表格1_33411[[#This Row],[注音編碼]], 注音編碼對照表[按鍵編碼]), 0))</f>
        <v>#REF!</v>
      </c>
      <c r="X9" s="366" t="str" cm="1">
        <f t="array" ref="X9" xml:space="preserve"> INDEX(注音編碼對照表!$D$3:$D$59, MATCH(TRUE, EXACT(表格1_33411[[#This Row],[注音編碼]], 注音編碼對照表!$H$3:$H$55), 0))</f>
        <v>n</v>
      </c>
      <c r="Y9" s="24"/>
      <c r="Z9" s="31">
        <f t="shared" si="10"/>
        <v>7</v>
      </c>
      <c r="AA9" s="71" t="str">
        <f>注音編碼對照表!$G9</f>
        <v>s</v>
      </c>
      <c r="AB9" s="354" t="str" cm="1">
        <f t="array" ref="AB9" xml:space="preserve"> INDEX(注音編碼對照表[按鍵編碼], MATCH(TRUE, EXACT(RIME設定解析!$AA9, 注音編碼對照表[鍵盤按鍵] ),0))</f>
        <v>n</v>
      </c>
      <c r="AC9" s="32" t="str" cm="1">
        <f t="array" ref="AC9" xml:space="preserve"> INDEX(注音編碼對照表[方音符號], MATCH(TRUE, EXACT(RIME設定解析!$AA9, 注音編碼對照表[鍵盤按鍵] ),0))</f>
        <v>ㄋ</v>
      </c>
      <c r="AD9" s="482" t="e" cm="1">
        <f t="array" ref="AD9" xml:space="preserve"> INDEX(#REF!, MATCH(TRUE, EXACT(RIME設定解析!$AA9, 注音編碼對照表[鍵盤按鍵] ),0))</f>
        <v>#REF!</v>
      </c>
      <c r="AE9" s="430" t="str" cm="1">
        <f t="array" ref="AE9" xml:space="preserve"> INDEX(注音編碼對照表[台語音標], MATCH(TRUE, EXACT(RIME設定解析!$AA9, 注音編碼對照表[鍵盤按鍵] ),0))</f>
        <v>n</v>
      </c>
      <c r="AF9" s="366"/>
      <c r="AG9" s="366" t="e">
        <f t="shared" si="8"/>
        <v>#REF!</v>
      </c>
      <c r="AH9" s="2"/>
      <c r="AI9" s="374" t="s">
        <v>624</v>
      </c>
      <c r="AJ9" s="1" t="e">
        <f xml:space="preserve"> LEN(AK9)</f>
        <v>#N/A</v>
      </c>
      <c r="AK9" s="505" t="e">
        <f xml:space="preserve"> _xlfn.CONCAT(AB$3:AB$49)</f>
        <v>#N/A</v>
      </c>
      <c r="AL9" s="506"/>
      <c r="AM9" s="506"/>
      <c r="AN9" s="506"/>
      <c r="AO9" s="506"/>
      <c r="AP9" s="506"/>
      <c r="AQ9" s="506"/>
      <c r="AR9" s="506"/>
      <c r="AS9" s="506"/>
      <c r="AT9" s="506"/>
      <c r="AU9" s="506"/>
      <c r="AV9" s="506"/>
      <c r="AW9" s="506"/>
      <c r="AX9" s="38" t="s">
        <v>25</v>
      </c>
      <c r="AY9" s="401" t="s">
        <v>230</v>
      </c>
      <c r="AZ9" s="40" t="e">
        <f xml:space="preserve"> FIND(AY9, AK9)</f>
        <v>#N/A</v>
      </c>
      <c r="BA9" s="2"/>
      <c r="BB9" s="363"/>
      <c r="BC9" s="515" t="e">
        <f xml:space="preserve"> MID($AK$9, BC$8, 1)</f>
        <v>#N/A</v>
      </c>
      <c r="BD9" s="515" t="e">
        <f t="shared" ref="BD9:CX9" si="11" xml:space="preserve"> MID($AK$9, BD$8, 1)</f>
        <v>#N/A</v>
      </c>
      <c r="BE9" s="515" t="e">
        <f t="shared" si="11"/>
        <v>#N/A</v>
      </c>
      <c r="BF9" s="515" t="e">
        <f t="shared" si="11"/>
        <v>#N/A</v>
      </c>
      <c r="BG9" s="515" t="e">
        <f t="shared" si="11"/>
        <v>#N/A</v>
      </c>
      <c r="BH9" s="515" t="e">
        <f t="shared" si="11"/>
        <v>#N/A</v>
      </c>
      <c r="BI9" s="515" t="e">
        <f t="shared" si="11"/>
        <v>#N/A</v>
      </c>
      <c r="BJ9" s="515" t="e">
        <f t="shared" si="11"/>
        <v>#N/A</v>
      </c>
      <c r="BK9" s="515" t="e">
        <f t="shared" si="11"/>
        <v>#N/A</v>
      </c>
      <c r="BL9" s="515" t="e">
        <f t="shared" si="11"/>
        <v>#N/A</v>
      </c>
      <c r="BM9" s="515" t="e">
        <f t="shared" si="11"/>
        <v>#N/A</v>
      </c>
      <c r="BN9" s="515" t="e">
        <f t="shared" si="11"/>
        <v>#N/A</v>
      </c>
      <c r="BO9" s="515" t="e">
        <f t="shared" si="11"/>
        <v>#N/A</v>
      </c>
      <c r="BP9" s="515" t="e">
        <f t="shared" si="11"/>
        <v>#N/A</v>
      </c>
      <c r="BQ9" s="515" t="e">
        <f t="shared" si="11"/>
        <v>#N/A</v>
      </c>
      <c r="BR9" s="515" t="e">
        <f t="shared" si="11"/>
        <v>#N/A</v>
      </c>
      <c r="BS9" s="515" t="e">
        <f t="shared" si="11"/>
        <v>#N/A</v>
      </c>
      <c r="BT9" s="515" t="e">
        <f t="shared" si="11"/>
        <v>#N/A</v>
      </c>
      <c r="BU9" s="515" t="e">
        <f t="shared" si="11"/>
        <v>#N/A</v>
      </c>
      <c r="BV9" s="515" t="e">
        <f t="shared" si="11"/>
        <v>#N/A</v>
      </c>
      <c r="BW9" s="515" t="e">
        <f t="shared" si="11"/>
        <v>#N/A</v>
      </c>
      <c r="BX9" s="515" t="e">
        <f t="shared" si="11"/>
        <v>#N/A</v>
      </c>
      <c r="BY9" s="515" t="e">
        <f t="shared" si="11"/>
        <v>#N/A</v>
      </c>
      <c r="BZ9" s="515" t="e">
        <f t="shared" si="11"/>
        <v>#N/A</v>
      </c>
      <c r="CA9" s="515" t="e">
        <f t="shared" si="11"/>
        <v>#N/A</v>
      </c>
      <c r="CB9" s="515" t="e">
        <f t="shared" si="11"/>
        <v>#N/A</v>
      </c>
      <c r="CC9" s="515" t="e">
        <f t="shared" si="11"/>
        <v>#N/A</v>
      </c>
      <c r="CD9" s="515" t="e">
        <f t="shared" si="11"/>
        <v>#N/A</v>
      </c>
      <c r="CE9" s="515" t="e">
        <f t="shared" si="11"/>
        <v>#N/A</v>
      </c>
      <c r="CF9" s="516" t="e">
        <f t="shared" si="11"/>
        <v>#N/A</v>
      </c>
      <c r="CG9" s="515" t="e">
        <f t="shared" si="11"/>
        <v>#N/A</v>
      </c>
      <c r="CH9" s="515" t="e">
        <f t="shared" si="11"/>
        <v>#N/A</v>
      </c>
      <c r="CI9" s="515" t="e">
        <f t="shared" si="11"/>
        <v>#N/A</v>
      </c>
      <c r="CJ9" s="515" t="e">
        <f t="shared" si="11"/>
        <v>#N/A</v>
      </c>
      <c r="CK9" s="515" t="e">
        <f t="shared" si="11"/>
        <v>#N/A</v>
      </c>
      <c r="CL9" s="515" t="e">
        <f t="shared" si="11"/>
        <v>#N/A</v>
      </c>
      <c r="CM9" s="515" t="e">
        <f t="shared" si="11"/>
        <v>#N/A</v>
      </c>
      <c r="CN9" s="515" t="e">
        <f t="shared" si="11"/>
        <v>#N/A</v>
      </c>
      <c r="CO9" s="515" t="e">
        <f t="shared" si="11"/>
        <v>#N/A</v>
      </c>
      <c r="CP9" s="515" t="e">
        <f t="shared" si="11"/>
        <v>#N/A</v>
      </c>
      <c r="CQ9" s="516" t="e">
        <f t="shared" si="11"/>
        <v>#N/A</v>
      </c>
      <c r="CR9" s="515" t="e">
        <f t="shared" si="11"/>
        <v>#N/A</v>
      </c>
      <c r="CS9" s="515" t="e">
        <f t="shared" si="11"/>
        <v>#N/A</v>
      </c>
      <c r="CT9" s="515" t="e">
        <f t="shared" si="11"/>
        <v>#N/A</v>
      </c>
      <c r="CU9" s="515" t="e">
        <f t="shared" si="11"/>
        <v>#N/A</v>
      </c>
      <c r="CV9" s="515" t="e">
        <f t="shared" si="11"/>
        <v>#N/A</v>
      </c>
      <c r="CW9" s="515" t="e">
        <f t="shared" si="11"/>
        <v>#N/A</v>
      </c>
      <c r="CX9" s="517" t="e">
        <f t="shared" si="11"/>
        <v>#N/A</v>
      </c>
      <c r="CY9" s="517" t="e">
        <f t="shared" ref="CY9:DA9" si="12" xml:space="preserve"> MID($AK$9, CY$13, 1)</f>
        <v>#N/A</v>
      </c>
      <c r="CZ9" s="517" t="e">
        <f t="shared" si="12"/>
        <v>#N/A</v>
      </c>
      <c r="DA9" s="517" t="e">
        <f t="shared" si="12"/>
        <v>#N/A</v>
      </c>
    </row>
    <row r="10" spans="2:105" ht="32.25">
      <c r="B10" s="1" t="s">
        <v>2</v>
      </c>
      <c r="H10" s="2">
        <f t="shared" si="9"/>
        <v>8</v>
      </c>
      <c r="I10" s="136" t="str">
        <f t="shared" si="0"/>
        <v>l</v>
      </c>
      <c r="J10" s="136" t="str">
        <f t="shared" si="1"/>
        <v>x</v>
      </c>
      <c r="L10" s="2">
        <v>8</v>
      </c>
      <c r="M10" s="21" t="str">
        <f t="shared" si="2"/>
        <v>x</v>
      </c>
      <c r="N10" s="21" t="str">
        <f t="shared" si="3"/>
        <v>ㄌ</v>
      </c>
      <c r="P10" s="2">
        <v>8</v>
      </c>
      <c r="Q10" s="22" t="str">
        <f t="shared" si="4"/>
        <v>K</v>
      </c>
      <c r="R10" s="22" t="str">
        <f t="shared" si="5"/>
        <v>ㄎ</v>
      </c>
      <c r="T10" s="2">
        <v>8</v>
      </c>
      <c r="U10" s="363" t="str">
        <f t="shared" si="6"/>
        <v>x</v>
      </c>
      <c r="V10" s="365" t="str">
        <f t="shared" si="7"/>
        <v>l</v>
      </c>
      <c r="W10" s="364" t="e" cm="1">
        <f t="array" ref="W10" xml:space="preserve"> INDEX(#REF!, MATCH(TRUE, EXACT(表格1_33411[[#This Row],[注音編碼]], 注音編碼對照表[按鍵編碼]), 0))</f>
        <v>#REF!</v>
      </c>
      <c r="X10" s="366" t="str" cm="1">
        <f t="array" ref="X10" xml:space="preserve"> INDEX(注音編碼對照表!$D$3:$D$59, MATCH(TRUE, EXACT(表格1_33411[[#This Row],[注音編碼]], 注音編碼對照表!$H$3:$H$55), 0))</f>
        <v>l</v>
      </c>
      <c r="Y10" s="24"/>
      <c r="Z10" s="31">
        <f t="shared" si="10"/>
        <v>8</v>
      </c>
      <c r="AA10" s="71" t="str">
        <f>注音編碼對照表!$G10</f>
        <v>x</v>
      </c>
      <c r="AB10" s="354" t="str" cm="1">
        <f t="array" ref="AB10" xml:space="preserve"> INDEX(注音編碼對照表[按鍵編碼], MATCH(TRUE, EXACT(RIME設定解析!$AA10, 注音編碼對照表[鍵盤按鍵] ),0))</f>
        <v>l</v>
      </c>
      <c r="AC10" s="32" t="str" cm="1">
        <f t="array" ref="AC10" xml:space="preserve"> INDEX(注音編碼對照表[方音符號], MATCH(TRUE, EXACT(RIME設定解析!$AA10, 注音編碼對照表[鍵盤按鍵] ),0))</f>
        <v>ㄌ</v>
      </c>
      <c r="AD10" s="482" t="e" cm="1">
        <f t="array" ref="AD10" xml:space="preserve"> INDEX(#REF!, MATCH(TRUE, EXACT(RIME設定解析!$AA10, 注音編碼對照表[鍵盤按鍵] ),0))</f>
        <v>#REF!</v>
      </c>
      <c r="AE10" s="430" t="str" cm="1">
        <f t="array" ref="AE10" xml:space="preserve"> INDEX(注音編碼對照表[台語音標], MATCH(TRUE, EXACT(RIME設定解析!$AA10, 注音編碼對照表[鍵盤按鍵] ),0))</f>
        <v>l</v>
      </c>
      <c r="AF10" s="366"/>
      <c r="AG10" s="366" t="e">
        <f t="shared" si="8"/>
        <v>#REF!</v>
      </c>
      <c r="AH10" s="2"/>
      <c r="AI10" s="375" t="s">
        <v>11</v>
      </c>
      <c r="AJ10" s="1" t="e">
        <f xml:space="preserve"> LEN(AK10)</f>
        <v>#REF!</v>
      </c>
      <c r="AK10" s="505" t="e">
        <f>_xlfn.CONCAT(AA3:AA49)</f>
        <v>#REF!</v>
      </c>
      <c r="AL10" s="506"/>
      <c r="AM10" s="506"/>
      <c r="AN10" s="506"/>
      <c r="AO10" s="506"/>
      <c r="AP10" s="506"/>
      <c r="AQ10" s="506"/>
      <c r="AR10" s="506"/>
      <c r="AS10" s="506"/>
      <c r="AT10" s="507" t="e">
        <f xml:space="preserve"> MID("/", AJ9, 1)</f>
        <v>#N/A</v>
      </c>
      <c r="AU10" s="506"/>
      <c r="AV10" s="506"/>
      <c r="AW10" s="506"/>
      <c r="AY10" s="49" t="e">
        <f xml:space="preserve"> MID(AK10, AZ9, 1)</f>
        <v>#REF!</v>
      </c>
      <c r="AZ10" s="40"/>
      <c r="BA10" s="2"/>
      <c r="BB10" s="363"/>
      <c r="BC10" s="515" t="e">
        <f xml:space="preserve"> MID($AK$10, BC$8, 1)</f>
        <v>#REF!</v>
      </c>
      <c r="BD10" s="515" t="e">
        <f t="shared" ref="BD10:CX10" si="13" xml:space="preserve"> MID($AK$10, BD$8, 1)</f>
        <v>#REF!</v>
      </c>
      <c r="BE10" s="515" t="e">
        <f t="shared" si="13"/>
        <v>#REF!</v>
      </c>
      <c r="BF10" s="515" t="e">
        <f t="shared" si="13"/>
        <v>#REF!</v>
      </c>
      <c r="BG10" s="515" t="e">
        <f t="shared" si="13"/>
        <v>#REF!</v>
      </c>
      <c r="BH10" s="515" t="e">
        <f t="shared" si="13"/>
        <v>#REF!</v>
      </c>
      <c r="BI10" s="515" t="e">
        <f t="shared" si="13"/>
        <v>#REF!</v>
      </c>
      <c r="BJ10" s="515" t="e">
        <f t="shared" si="13"/>
        <v>#REF!</v>
      </c>
      <c r="BK10" s="515" t="e">
        <f t="shared" si="13"/>
        <v>#REF!</v>
      </c>
      <c r="BL10" s="515" t="e">
        <f t="shared" si="13"/>
        <v>#REF!</v>
      </c>
      <c r="BM10" s="515" t="e">
        <f t="shared" si="13"/>
        <v>#REF!</v>
      </c>
      <c r="BN10" s="515" t="e">
        <f t="shared" si="13"/>
        <v>#REF!</v>
      </c>
      <c r="BO10" s="515" t="e">
        <f t="shared" si="13"/>
        <v>#REF!</v>
      </c>
      <c r="BP10" s="515" t="e">
        <f t="shared" si="13"/>
        <v>#REF!</v>
      </c>
      <c r="BQ10" s="515" t="e">
        <f t="shared" si="13"/>
        <v>#REF!</v>
      </c>
      <c r="BR10" s="515" t="e">
        <f t="shared" si="13"/>
        <v>#REF!</v>
      </c>
      <c r="BS10" s="515" t="e">
        <f t="shared" si="13"/>
        <v>#REF!</v>
      </c>
      <c r="BT10" s="515" t="e">
        <f t="shared" si="13"/>
        <v>#REF!</v>
      </c>
      <c r="BU10" s="515" t="e">
        <f t="shared" si="13"/>
        <v>#REF!</v>
      </c>
      <c r="BV10" s="515" t="e">
        <f t="shared" si="13"/>
        <v>#REF!</v>
      </c>
      <c r="BW10" s="515" t="e">
        <f t="shared" si="13"/>
        <v>#REF!</v>
      </c>
      <c r="BX10" s="515" t="e">
        <f t="shared" si="13"/>
        <v>#REF!</v>
      </c>
      <c r="BY10" s="515" t="e">
        <f t="shared" si="13"/>
        <v>#REF!</v>
      </c>
      <c r="BZ10" s="515" t="e">
        <f t="shared" si="13"/>
        <v>#REF!</v>
      </c>
      <c r="CA10" s="515" t="e">
        <f t="shared" si="13"/>
        <v>#REF!</v>
      </c>
      <c r="CB10" s="515" t="e">
        <f t="shared" si="13"/>
        <v>#REF!</v>
      </c>
      <c r="CC10" s="515" t="e">
        <f t="shared" si="13"/>
        <v>#REF!</v>
      </c>
      <c r="CD10" s="515" t="e">
        <f t="shared" si="13"/>
        <v>#REF!</v>
      </c>
      <c r="CE10" s="515" t="e">
        <f t="shared" si="13"/>
        <v>#REF!</v>
      </c>
      <c r="CF10" s="516" t="e">
        <f t="shared" si="13"/>
        <v>#REF!</v>
      </c>
      <c r="CG10" s="515" t="e">
        <f t="shared" si="13"/>
        <v>#REF!</v>
      </c>
      <c r="CH10" s="515" t="e">
        <f t="shared" si="13"/>
        <v>#REF!</v>
      </c>
      <c r="CI10" s="515" t="e">
        <f t="shared" si="13"/>
        <v>#REF!</v>
      </c>
      <c r="CJ10" s="515" t="e">
        <f t="shared" si="13"/>
        <v>#REF!</v>
      </c>
      <c r="CK10" s="515" t="e">
        <f t="shared" si="13"/>
        <v>#REF!</v>
      </c>
      <c r="CL10" s="515" t="e">
        <f t="shared" si="13"/>
        <v>#REF!</v>
      </c>
      <c r="CM10" s="515" t="e">
        <f t="shared" si="13"/>
        <v>#REF!</v>
      </c>
      <c r="CN10" s="515" t="e">
        <f t="shared" si="13"/>
        <v>#REF!</v>
      </c>
      <c r="CO10" s="515" t="e">
        <f t="shared" si="13"/>
        <v>#REF!</v>
      </c>
      <c r="CP10" s="515" t="e">
        <f t="shared" si="13"/>
        <v>#REF!</v>
      </c>
      <c r="CQ10" s="516" t="e">
        <f t="shared" si="13"/>
        <v>#REF!</v>
      </c>
      <c r="CR10" s="515" t="e">
        <f t="shared" si="13"/>
        <v>#REF!</v>
      </c>
      <c r="CS10" s="515" t="e">
        <f t="shared" si="13"/>
        <v>#REF!</v>
      </c>
      <c r="CT10" s="515" t="e">
        <f t="shared" si="13"/>
        <v>#REF!</v>
      </c>
      <c r="CU10" s="515" t="e">
        <f t="shared" si="13"/>
        <v>#REF!</v>
      </c>
      <c r="CV10" s="515" t="e">
        <f t="shared" si="13"/>
        <v>#REF!</v>
      </c>
      <c r="CW10" s="515" t="e">
        <f t="shared" si="13"/>
        <v>#REF!</v>
      </c>
      <c r="CX10" s="517" t="e">
        <f t="shared" si="13"/>
        <v>#REF!</v>
      </c>
      <c r="CY10" s="517" t="e">
        <f t="shared" ref="CY10:DA10" si="14" xml:space="preserve"> MID($AK$10, CY$13, 1)</f>
        <v>#REF!</v>
      </c>
      <c r="CZ10" s="517" t="e">
        <f t="shared" si="14"/>
        <v>#REF!</v>
      </c>
      <c r="DA10" s="517" t="e">
        <f t="shared" si="14"/>
        <v>#REF!</v>
      </c>
    </row>
    <row r="11" spans="2:105" ht="32.25">
      <c r="B11" s="362" t="s">
        <v>636</v>
      </c>
      <c r="H11" s="2">
        <f t="shared" si="9"/>
        <v>9</v>
      </c>
      <c r="I11" s="136" t="str">
        <f t="shared" si="0"/>
        <v>k</v>
      </c>
      <c r="J11" s="136" t="str">
        <f t="shared" si="1"/>
        <v>e</v>
      </c>
      <c r="L11" s="2">
        <v>9</v>
      </c>
      <c r="M11" s="21" t="str">
        <f t="shared" si="2"/>
        <v>e</v>
      </c>
      <c r="N11" s="21" t="str">
        <f t="shared" si="3"/>
        <v>ㄍ</v>
      </c>
      <c r="P11" s="2">
        <v>9</v>
      </c>
      <c r="Q11" s="22" t="str">
        <f t="shared" si="4"/>
        <v>g</v>
      </c>
      <c r="R11" s="22" t="str">
        <f t="shared" si="5"/>
        <v>ㆣ</v>
      </c>
      <c r="T11" s="2">
        <v>9</v>
      </c>
      <c r="U11" s="363" t="str">
        <f t="shared" si="6"/>
        <v>e</v>
      </c>
      <c r="V11" s="365" t="str">
        <f t="shared" si="7"/>
        <v>k</v>
      </c>
      <c r="W11" s="364" t="e" cm="1">
        <f t="array" ref="W11" xml:space="preserve"> INDEX(#REF!, MATCH(TRUE, EXACT(表格1_33411[[#This Row],[注音編碼]], 注音編碼對照表[按鍵編碼]), 0))</f>
        <v>#REF!</v>
      </c>
      <c r="X11" s="366" t="str" cm="1">
        <f t="array" ref="X11" xml:space="preserve"> INDEX(注音編碼對照表!$D$3:$D$59, MATCH(TRUE, EXACT(表格1_33411[[#This Row],[注音編碼]], 注音編碼對照表!$H$3:$H$55), 0))</f>
        <v>kh</v>
      </c>
      <c r="Y11" s="24"/>
      <c r="Z11" s="31">
        <f t="shared" si="10"/>
        <v>9</v>
      </c>
      <c r="AA11" s="71" t="str">
        <f>注音編碼對照表!$G15</f>
        <v>y</v>
      </c>
      <c r="AB11" s="354" t="str" cm="1">
        <f t="array" ref="AB11" xml:space="preserve"> INDEX(注音編碼對照表[按鍵編碼], MATCH(TRUE, EXACT(RIME設定解析!$AA11, 注音編碼對照表[鍵盤按鍵] ),0))</f>
        <v>z</v>
      </c>
      <c r="AC11" s="32" t="str" cm="1">
        <f t="array" ref="AC11" xml:space="preserve"> INDEX(注音編碼對照表[方音符號], MATCH(TRUE, EXACT(RIME設定解析!$AA11, 注音編碼對照表[鍵盤按鍵] ),0))</f>
        <v>ㄗ</v>
      </c>
      <c r="AD11" s="482" t="e" cm="1">
        <f t="array" ref="AD11" xml:space="preserve"> INDEX(#REF!, MATCH(TRUE, EXACT(RIME設定解析!$AA11, 注音編碼對照表[鍵盤按鍵] ),0))</f>
        <v>#REF!</v>
      </c>
      <c r="AE11" s="430" t="str" cm="1">
        <f t="array" ref="AE11" xml:space="preserve"> INDEX(注音編碼對照表[台語音標], MATCH(TRUE, EXACT(RIME設定解析!$AA11, 注音編碼對照表[鍵盤按鍵] ),0))</f>
        <v>z</v>
      </c>
      <c r="AF11" s="366"/>
      <c r="AG11" s="366" t="e">
        <f t="shared" si="8"/>
        <v>#REF!</v>
      </c>
      <c r="AH11" s="2"/>
      <c r="AI11" s="376"/>
      <c r="AJ11" s="37"/>
      <c r="AK11" s="37"/>
      <c r="AT11" s="48"/>
      <c r="AY11" s="11"/>
      <c r="BA11" s="2"/>
      <c r="BB11" s="387"/>
      <c r="BE11" s="2"/>
    </row>
    <row r="12" spans="2:105" ht="32.25">
      <c r="B12" s="2">
        <f xml:space="preserve"> SEARCH("|",$B$11,1)</f>
        <v>5</v>
      </c>
      <c r="H12" s="2">
        <f t="shared" si="9"/>
        <v>10</v>
      </c>
      <c r="I12" s="136" t="str">
        <f t="shared" si="0"/>
        <v>g</v>
      </c>
      <c r="J12" s="136" t="str">
        <f t="shared" si="1"/>
        <v>E</v>
      </c>
      <c r="L12" s="2">
        <v>10</v>
      </c>
      <c r="M12" s="21" t="str">
        <f t="shared" si="2"/>
        <v>E</v>
      </c>
      <c r="N12" s="21" t="str">
        <f t="shared" si="3"/>
        <v></v>
      </c>
      <c r="P12" s="2">
        <v>10</v>
      </c>
      <c r="Q12" s="22" t="str">
        <f t="shared" si="4"/>
        <v>c</v>
      </c>
      <c r="R12" s="22" t="str">
        <f t="shared" si="5"/>
        <v>ㄗ</v>
      </c>
      <c r="T12" s="2">
        <v>10</v>
      </c>
      <c r="U12" s="363" t="str">
        <f t="shared" si="6"/>
        <v>E</v>
      </c>
      <c r="V12" s="365" t="str">
        <f t="shared" si="7"/>
        <v>g</v>
      </c>
      <c r="W12" s="364" t="e" cm="1">
        <f t="array" ref="W12" xml:space="preserve"> INDEX(#REF!, MATCH(TRUE, EXACT(表格1_33411[[#This Row],[注音編碼]], 注音編碼對照表[按鍵編碼]), 0))</f>
        <v>#REF!</v>
      </c>
      <c r="X12" s="366" t="str" cm="1">
        <f t="array" ref="X12" xml:space="preserve"> INDEX(注音編碼對照表!$D$3:$D$59, MATCH(TRUE, EXACT(表格1_33411[[#This Row],[注音編碼]], 注音編碼對照表!$H$3:$H$55), 0))</f>
        <v>k</v>
      </c>
      <c r="Y12" s="24"/>
      <c r="Z12" s="31">
        <f t="shared" si="10"/>
        <v>10</v>
      </c>
      <c r="AA12" s="71" t="str">
        <f>注音編碼對照表!$G16</f>
        <v>h</v>
      </c>
      <c r="AB12" s="354" t="str" cm="1">
        <f t="array" ref="AB12" xml:space="preserve"> INDEX(注音編碼對照表[按鍵編碼], MATCH(TRUE, EXACT(RIME設定解析!$AA12, 注音編碼對照表[鍵盤按鍵] ),0))</f>
        <v>c</v>
      </c>
      <c r="AC12" s="32" t="str" cm="1">
        <f t="array" ref="AC12" xml:space="preserve"> INDEX(注音編碼對照表[方音符號], MATCH(TRUE, EXACT(RIME設定解析!$AA12, 注音編碼對照表[鍵盤按鍵] ),0))</f>
        <v>ㄘ</v>
      </c>
      <c r="AD12" s="482" t="e" cm="1">
        <f t="array" ref="AD12" xml:space="preserve"> INDEX(#REF!, MATCH(TRUE, EXACT(RIME設定解析!$AA12, 注音編碼對照表[鍵盤按鍵] ),0))</f>
        <v>#REF!</v>
      </c>
      <c r="AE12" s="430" t="str" cm="1">
        <f t="array" ref="AE12" xml:space="preserve"> INDEX(注音編碼對照表[台語音標], MATCH(TRUE, EXACT(RIME設定解析!$AA12, 注音編碼對照表[鍵盤按鍵] ),0))</f>
        <v>c</v>
      </c>
      <c r="AF12" s="366"/>
      <c r="AG12" s="366" t="e">
        <f t="shared" si="8"/>
        <v>#REF!</v>
      </c>
      <c r="AH12" s="2"/>
      <c r="AI12" s="372"/>
      <c r="AJ12" s="2"/>
      <c r="AK12" s="48"/>
      <c r="AY12" s="11"/>
      <c r="BA12" s="2"/>
      <c r="BB12" s="387"/>
      <c r="BE12" s="2"/>
    </row>
    <row r="13" spans="2:105" ht="32.25">
      <c r="B13" s="2">
        <f xml:space="preserve"> SEARCH("|",$B$11,B12+1)</f>
        <v>56</v>
      </c>
      <c r="H13" s="2">
        <f t="shared" si="9"/>
        <v>11</v>
      </c>
      <c r="I13" s="136" t="str">
        <f t="shared" si="0"/>
        <v>K</v>
      </c>
      <c r="J13" s="136" t="str">
        <f t="shared" si="1"/>
        <v>d</v>
      </c>
      <c r="L13" s="2">
        <v>11</v>
      </c>
      <c r="M13" s="21" t="str">
        <f t="shared" si="2"/>
        <v>d</v>
      </c>
      <c r="N13" s="21" t="str">
        <f t="shared" si="3"/>
        <v>ㄎ</v>
      </c>
      <c r="P13" s="2">
        <v>11</v>
      </c>
      <c r="Q13" s="22" t="str">
        <f t="shared" si="4"/>
        <v>C</v>
      </c>
      <c r="R13" s="22" t="str">
        <f t="shared" si="5"/>
        <v>ㄘ</v>
      </c>
      <c r="T13" s="2">
        <v>11</v>
      </c>
      <c r="U13" s="363" t="str">
        <f t="shared" si="6"/>
        <v>d</v>
      </c>
      <c r="V13" s="365" t="str">
        <f t="shared" si="7"/>
        <v>K</v>
      </c>
      <c r="W13" s="364" t="e" cm="1">
        <f t="array" ref="W13" xml:space="preserve"> INDEX(#REF!, MATCH(TRUE, EXACT(表格1_33411[[#This Row],[注音編碼]], 注音編碼對照表[按鍵編碼]), 0))</f>
        <v>#REF!</v>
      </c>
      <c r="X13" s="366" t="e" cm="1">
        <f t="array" ref="X13" xml:space="preserve"> INDEX(注音編碼對照表!$D$3:$D$59, MATCH(TRUE, EXACT(表格1_33411[[#This Row],[注音編碼]], 注音編碼對照表!$H$3:$H$55), 0))</f>
        <v>#N/A</v>
      </c>
      <c r="Y13" s="24"/>
      <c r="Z13" s="31">
        <f t="shared" si="10"/>
        <v>11</v>
      </c>
      <c r="AA13" s="71" t="str">
        <f>注音編碼對照表!$G17</f>
        <v>Y</v>
      </c>
      <c r="AB13" s="354" t="str" cm="1">
        <f t="array" ref="AB13" xml:space="preserve"> INDEX(注音編碼對照表[按鍵編碼], MATCH(TRUE, EXACT(RIME設定解析!$AA13, 注音編碼對照表[鍵盤按鍵] ),0))</f>
        <v>Z</v>
      </c>
      <c r="AC13" s="32" t="str" cm="1">
        <f t="array" ref="AC13" xml:space="preserve"> INDEX(注音編碼對照表[方音符號], MATCH(TRUE, EXACT(RIME設定解析!$AA13, 注音編碼對照表[鍵盤按鍵] ),0))</f>
        <v>ㆡ</v>
      </c>
      <c r="AD13" s="482" t="e" cm="1">
        <f t="array" ref="AD13" xml:space="preserve"> INDEX(#REF!, MATCH(TRUE, EXACT(RIME設定解析!$AA13, 注音編碼對照表[鍵盤按鍵] ),0))</f>
        <v>#REF!</v>
      </c>
      <c r="AE13" s="430" t="str" cm="1">
        <f t="array" ref="AE13" xml:space="preserve"> INDEX(注音編碼對照表[台語音標], MATCH(TRUE, EXACT(RIME設定解析!$AA13, 注音編碼對照表[鍵盤按鍵] ),0))</f>
        <v>j</v>
      </c>
      <c r="AF13" s="366"/>
      <c r="AG13" s="366" t="e">
        <f t="shared" si="8"/>
        <v>#REF!</v>
      </c>
      <c r="AH13" s="2"/>
      <c r="AI13" s="373" t="s">
        <v>35</v>
      </c>
      <c r="AJ13" s="2"/>
      <c r="AK13" s="398" t="e">
        <f xml:space="preserve"> """xlit|" &amp; AK14 &amp; "|" &amp; AK15 &amp; "|"""</f>
        <v>#REF!</v>
      </c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00"/>
      <c r="BA13" s="2"/>
      <c r="BB13" s="514" cm="1">
        <f t="array" ref="BB13" xml:space="preserve"> COLUMN() - COLUMN($BB:$BB)</f>
        <v>0</v>
      </c>
      <c r="BC13" s="514" cm="1">
        <f t="array" ref="BC13" xml:space="preserve"> COLUMN() - COLUMN($BB:$BB)</f>
        <v>1</v>
      </c>
      <c r="BD13" s="514" cm="1">
        <f t="array" ref="BD13" xml:space="preserve"> COLUMN() - COLUMN($BB:$BB)</f>
        <v>2</v>
      </c>
      <c r="BE13" s="514" cm="1">
        <f t="array" ref="BE13" xml:space="preserve"> COLUMN() - COLUMN($BB:$BB)</f>
        <v>3</v>
      </c>
      <c r="BF13" s="514" cm="1">
        <f t="array" ref="BF13" xml:space="preserve"> COLUMN() - COLUMN($BB:$BB)</f>
        <v>4</v>
      </c>
      <c r="BG13" s="514" cm="1">
        <f t="array" ref="BG13" xml:space="preserve"> COLUMN() - COLUMN($BB:$BB)</f>
        <v>5</v>
      </c>
      <c r="BH13" s="514" cm="1">
        <f t="array" ref="BH13" xml:space="preserve"> COLUMN() - COLUMN($BB:$BB)</f>
        <v>6</v>
      </c>
      <c r="BI13" s="514" cm="1">
        <f t="array" ref="BI13" xml:space="preserve"> COLUMN() - COLUMN($BB:$BB)</f>
        <v>7</v>
      </c>
      <c r="BJ13" s="514" cm="1">
        <f t="array" ref="BJ13" xml:space="preserve"> COLUMN() - COLUMN($BB:$BB)</f>
        <v>8</v>
      </c>
      <c r="BK13" s="514" cm="1">
        <f t="array" ref="BK13" xml:space="preserve"> COLUMN() - COLUMN($BB:$BB)</f>
        <v>9</v>
      </c>
      <c r="BL13" s="514" cm="1">
        <f t="array" ref="BL13" xml:space="preserve"> COLUMN() - COLUMN($BB:$BB)</f>
        <v>10</v>
      </c>
      <c r="BM13" s="514" cm="1">
        <f t="array" ref="BM13" xml:space="preserve"> COLUMN() - COLUMN($BB:$BB)</f>
        <v>11</v>
      </c>
      <c r="BN13" s="514" cm="1">
        <f t="array" ref="BN13" xml:space="preserve"> COLUMN() - COLUMN($BB:$BB)</f>
        <v>12</v>
      </c>
      <c r="BO13" s="514" cm="1">
        <f t="array" ref="BO13" xml:space="preserve"> COLUMN() - COLUMN($BB:$BB)</f>
        <v>13</v>
      </c>
      <c r="BP13" s="514" cm="1">
        <f t="array" ref="BP13" xml:space="preserve"> COLUMN() - COLUMN($BB:$BB)</f>
        <v>14</v>
      </c>
      <c r="BQ13" s="514" cm="1">
        <f t="array" ref="BQ13" xml:space="preserve"> COLUMN() - COLUMN($BB:$BB)</f>
        <v>15</v>
      </c>
      <c r="BR13" s="514" cm="1">
        <f t="array" ref="BR13" xml:space="preserve"> COLUMN() - COLUMN($BB:$BB)</f>
        <v>16</v>
      </c>
      <c r="BS13" s="514" cm="1">
        <f t="array" ref="BS13" xml:space="preserve"> COLUMN() - COLUMN($BB:$BB)</f>
        <v>17</v>
      </c>
      <c r="BT13" s="514" cm="1">
        <f t="array" ref="BT13" xml:space="preserve"> COLUMN() - COLUMN($BB:$BB)</f>
        <v>18</v>
      </c>
      <c r="BU13" s="514" cm="1">
        <f t="array" ref="BU13" xml:space="preserve"> COLUMN() - COLUMN($BB:$BB)</f>
        <v>19</v>
      </c>
      <c r="BV13" s="514" cm="1">
        <f t="array" ref="BV13" xml:space="preserve"> COLUMN() - COLUMN($BB:$BB)</f>
        <v>20</v>
      </c>
      <c r="BW13" s="514" cm="1">
        <f t="array" ref="BW13" xml:space="preserve"> COLUMN() - COLUMN($BB:$BB)</f>
        <v>21</v>
      </c>
      <c r="BX13" s="514" cm="1">
        <f t="array" ref="BX13" xml:space="preserve"> COLUMN() - COLUMN($BB:$BB)</f>
        <v>22</v>
      </c>
      <c r="BY13" s="514" cm="1">
        <f t="array" ref="BY13" xml:space="preserve"> COLUMN() - COLUMN($BB:$BB)</f>
        <v>23</v>
      </c>
      <c r="BZ13" s="514" cm="1">
        <f t="array" ref="BZ13" xml:space="preserve"> COLUMN() - COLUMN($BB:$BB)</f>
        <v>24</v>
      </c>
      <c r="CA13" s="514" cm="1">
        <f t="array" ref="CA13" xml:space="preserve"> COLUMN() - COLUMN($BB:$BB)</f>
        <v>25</v>
      </c>
      <c r="CB13" s="514" cm="1">
        <f t="array" ref="CB13" xml:space="preserve"> COLUMN() - COLUMN($BB:$BB)</f>
        <v>26</v>
      </c>
      <c r="CC13" s="514" cm="1">
        <f t="array" ref="CC13" xml:space="preserve"> COLUMN() - COLUMN($BB:$BB)</f>
        <v>27</v>
      </c>
      <c r="CD13" s="514" cm="1">
        <f t="array" ref="CD13" xml:space="preserve"> COLUMN() - COLUMN($BB:$BB)</f>
        <v>28</v>
      </c>
      <c r="CE13" s="514" cm="1">
        <f t="array" ref="CE13" xml:space="preserve"> COLUMN() - COLUMN($BB:$BB)</f>
        <v>29</v>
      </c>
      <c r="CF13" s="514" cm="1">
        <f t="array" ref="CF13" xml:space="preserve"> COLUMN() - COLUMN($BB:$BB)</f>
        <v>30</v>
      </c>
      <c r="CG13" s="514" cm="1">
        <f t="array" ref="CG13" xml:space="preserve"> COLUMN() - COLUMN($BB:$BB)</f>
        <v>31</v>
      </c>
      <c r="CH13" s="514" cm="1">
        <f t="array" ref="CH13" xml:space="preserve"> COLUMN() - COLUMN($BB:$BB)</f>
        <v>32</v>
      </c>
      <c r="CI13" s="514" cm="1">
        <f t="array" ref="CI13" xml:space="preserve"> COLUMN() - COLUMN($BB:$BB)</f>
        <v>33</v>
      </c>
      <c r="CJ13" s="514" cm="1">
        <f t="array" ref="CJ13" xml:space="preserve"> COLUMN() - COLUMN($BB:$BB)</f>
        <v>34</v>
      </c>
      <c r="CK13" s="514" cm="1">
        <f t="array" ref="CK13" xml:space="preserve"> COLUMN() - COLUMN($BB:$BB)</f>
        <v>35</v>
      </c>
      <c r="CL13" s="514" cm="1">
        <f t="array" ref="CL13" xml:space="preserve"> COLUMN() - COLUMN($BB:$BB)</f>
        <v>36</v>
      </c>
      <c r="CM13" s="514" cm="1">
        <f t="array" ref="CM13" xml:space="preserve"> COLUMN() - COLUMN($BB:$BB)</f>
        <v>37</v>
      </c>
      <c r="CN13" s="514" cm="1">
        <f t="array" ref="CN13" xml:space="preserve"> COLUMN() - COLUMN($BB:$BB)</f>
        <v>38</v>
      </c>
      <c r="CO13" s="514" cm="1">
        <f t="array" ref="CO13" xml:space="preserve"> COLUMN() - COLUMN($BB:$BB)</f>
        <v>39</v>
      </c>
      <c r="CP13" s="514" cm="1">
        <f t="array" ref="CP13" xml:space="preserve"> COLUMN() - COLUMN($BB:$BB)</f>
        <v>40</v>
      </c>
      <c r="CQ13" s="514" cm="1">
        <f t="array" ref="CQ13" xml:space="preserve"> COLUMN() - COLUMN($BB:$BB)</f>
        <v>41</v>
      </c>
      <c r="CR13" s="514" cm="1">
        <f t="array" ref="CR13" xml:space="preserve"> COLUMN() - COLUMN($BB:$BB)</f>
        <v>42</v>
      </c>
      <c r="CS13" s="514" cm="1">
        <f t="array" ref="CS13" xml:space="preserve"> COLUMN() - COLUMN($BB:$BB)</f>
        <v>43</v>
      </c>
      <c r="CT13" s="514" cm="1">
        <f t="array" ref="CT13" xml:space="preserve"> COLUMN() - COLUMN($BB:$BB)</f>
        <v>44</v>
      </c>
      <c r="CU13" s="514" cm="1">
        <f t="array" ref="CU13" xml:space="preserve"> COLUMN() - COLUMN($BB:$BB)</f>
        <v>45</v>
      </c>
      <c r="CV13" s="514" cm="1">
        <f t="array" ref="CV13" xml:space="preserve"> COLUMN() - COLUMN($BB:$BB)</f>
        <v>46</v>
      </c>
      <c r="CW13" s="514" cm="1">
        <f t="array" ref="CW13" xml:space="preserve"> COLUMN() - COLUMN($BB:$BB)</f>
        <v>47</v>
      </c>
      <c r="CX13" s="514" cm="1">
        <f t="array" ref="CX13" xml:space="preserve"> COLUMN() - COLUMN($BB:$BB)</f>
        <v>48</v>
      </c>
      <c r="CY13" s="514" cm="1">
        <f t="array" ref="CY13" xml:space="preserve"> COLUMN() - COLUMN($BB:$BB)</f>
        <v>49</v>
      </c>
      <c r="CZ13" s="514" cm="1">
        <f t="array" ref="CZ13" xml:space="preserve"> COLUMN() - COLUMN($BB:$BB)</f>
        <v>50</v>
      </c>
      <c r="DA13" s="514" cm="1">
        <f t="array" ref="DA13" xml:space="preserve"> COLUMN() - COLUMN($BB:$BB)</f>
        <v>51</v>
      </c>
    </row>
    <row r="14" spans="2:105" ht="32.25">
      <c r="B14" s="2">
        <f xml:space="preserve"> SEARCH("|",$B$11,B13+1)</f>
        <v>108</v>
      </c>
      <c r="H14" s="2">
        <f t="shared" si="9"/>
        <v>12</v>
      </c>
      <c r="I14" s="136" t="str">
        <f t="shared" si="0"/>
        <v>h</v>
      </c>
      <c r="J14" s="136" t="str">
        <f t="shared" si="1"/>
        <v>c</v>
      </c>
      <c r="L14" s="2">
        <v>12</v>
      </c>
      <c r="M14" s="21" t="str">
        <f t="shared" si="2"/>
        <v>c</v>
      </c>
      <c r="N14" s="21" t="str">
        <f t="shared" si="3"/>
        <v>ㄏ</v>
      </c>
      <c r="P14" s="2">
        <v>12</v>
      </c>
      <c r="Q14" s="22" t="str">
        <f t="shared" si="4"/>
        <v>z</v>
      </c>
      <c r="R14" s="22" t="str">
        <f t="shared" si="5"/>
        <v>ㆡ</v>
      </c>
      <c r="T14" s="2">
        <v>12</v>
      </c>
      <c r="U14" s="363" t="str">
        <f t="shared" si="6"/>
        <v>c</v>
      </c>
      <c r="V14" s="365" t="str">
        <f t="shared" si="7"/>
        <v>h</v>
      </c>
      <c r="W14" s="364" t="e" cm="1">
        <f t="array" ref="W14" xml:space="preserve"> INDEX(#REF!, MATCH(TRUE, EXACT(表格1_33411[[#This Row],[注音編碼]], 注音編碼對照表[按鍵編碼]), 0))</f>
        <v>#REF!</v>
      </c>
      <c r="X14" s="366" t="str" cm="1">
        <f t="array" ref="X14" xml:space="preserve"> INDEX(注音編碼對照表!$D$3:$D$59, MATCH(TRUE, EXACT(表格1_33411[[#This Row],[注音編碼]], 注音編碼對照表!$H$3:$H$55), 0))</f>
        <v>h</v>
      </c>
      <c r="Y14" s="24"/>
      <c r="Z14" s="31">
        <f t="shared" si="10"/>
        <v>12</v>
      </c>
      <c r="AA14" s="71" t="str">
        <f>注音編碼對照表!$G18</f>
        <v>n</v>
      </c>
      <c r="AB14" s="354" t="str" cm="1">
        <f t="array" ref="AB14" xml:space="preserve"> INDEX(注音編碼對照表[按鍵編碼], MATCH(TRUE, EXACT(RIME設定解析!$AA14, 注音編碼對照表[鍵盤按鍵] ),0))</f>
        <v>s</v>
      </c>
      <c r="AC14" s="32" t="str" cm="1">
        <f t="array" ref="AC14" xml:space="preserve"> INDEX(注音編碼對照表[方音符號], MATCH(TRUE, EXACT(RIME設定解析!$AA14, 注音編碼對照表[鍵盤按鍵] ),0))</f>
        <v>ㄙ</v>
      </c>
      <c r="AD14" s="482" t="e" cm="1">
        <f t="array" ref="AD14" xml:space="preserve"> INDEX(#REF!, MATCH(TRUE, EXACT(RIME設定解析!$AA14, 注音編碼對照表[鍵盤按鍵] ),0))</f>
        <v>#REF!</v>
      </c>
      <c r="AE14" s="430" t="str" cm="1">
        <f t="array" ref="AE14" xml:space="preserve"> INDEX(注音編碼對照表[台語音標], MATCH(TRUE, EXACT(RIME設定解析!$AA14, 注音編碼對照表[鍵盤按鍵] ),0))</f>
        <v>s</v>
      </c>
      <c r="AF14" s="366"/>
      <c r="AG14" s="366" t="e">
        <f t="shared" si="8"/>
        <v>#REF!</v>
      </c>
      <c r="AH14" s="2"/>
      <c r="AI14" s="375" t="s">
        <v>11</v>
      </c>
      <c r="AJ14" s="1" t="e">
        <f xml:space="preserve"> LEN(AK14)</f>
        <v>#REF!</v>
      </c>
      <c r="AK14" s="505" t="e">
        <f xml:space="preserve"> _xlfn.CONCAT($AA3:$AA$49)</f>
        <v>#REF!</v>
      </c>
      <c r="AX14" s="38" t="s">
        <v>25</v>
      </c>
      <c r="AY14" s="402" t="e">
        <f>AY10</f>
        <v>#REF!</v>
      </c>
      <c r="AZ14" s="40" t="e">
        <f xml:space="preserve"> FIND(AY14, AK14)</f>
        <v>#REF!</v>
      </c>
      <c r="BA14" s="2"/>
      <c r="BB14" s="388"/>
      <c r="BC14" s="510" t="e">
        <f t="shared" ref="BC14:CG14" si="15" xml:space="preserve"> MID($AK$14, BC$13, 1)</f>
        <v>#REF!</v>
      </c>
      <c r="BD14" s="509" t="e">
        <f t="shared" si="15"/>
        <v>#REF!</v>
      </c>
      <c r="BE14" s="510" t="e">
        <f t="shared" si="15"/>
        <v>#REF!</v>
      </c>
      <c r="BF14" s="510" t="e">
        <f t="shared" si="15"/>
        <v>#REF!</v>
      </c>
      <c r="BG14" s="510" t="e">
        <f t="shared" si="15"/>
        <v>#REF!</v>
      </c>
      <c r="BH14" s="510" t="e">
        <f t="shared" si="15"/>
        <v>#REF!</v>
      </c>
      <c r="BI14" s="510" t="e">
        <f t="shared" si="15"/>
        <v>#REF!</v>
      </c>
      <c r="BJ14" s="510" t="e">
        <f t="shared" si="15"/>
        <v>#REF!</v>
      </c>
      <c r="BK14" s="510" t="e">
        <f t="shared" si="15"/>
        <v>#REF!</v>
      </c>
      <c r="BL14" s="510" t="e">
        <f t="shared" si="15"/>
        <v>#REF!</v>
      </c>
      <c r="BM14" s="510" t="e">
        <f t="shared" si="15"/>
        <v>#REF!</v>
      </c>
      <c r="BN14" s="510" t="e">
        <f t="shared" si="15"/>
        <v>#REF!</v>
      </c>
      <c r="BO14" s="510" t="e">
        <f t="shared" si="15"/>
        <v>#REF!</v>
      </c>
      <c r="BP14" s="510" t="e">
        <f t="shared" si="15"/>
        <v>#REF!</v>
      </c>
      <c r="BQ14" s="510" t="e">
        <f t="shared" si="15"/>
        <v>#REF!</v>
      </c>
      <c r="BR14" s="510" t="e">
        <f t="shared" si="15"/>
        <v>#REF!</v>
      </c>
      <c r="BS14" s="510" t="e">
        <f t="shared" si="15"/>
        <v>#REF!</v>
      </c>
      <c r="BT14" s="510" t="e">
        <f t="shared" si="15"/>
        <v>#REF!</v>
      </c>
      <c r="BU14" s="510" t="e">
        <f t="shared" si="15"/>
        <v>#REF!</v>
      </c>
      <c r="BV14" s="510" t="e">
        <f t="shared" si="15"/>
        <v>#REF!</v>
      </c>
      <c r="BW14" s="510" t="e">
        <f t="shared" si="15"/>
        <v>#REF!</v>
      </c>
      <c r="BX14" s="510" t="e">
        <f t="shared" si="15"/>
        <v>#REF!</v>
      </c>
      <c r="BY14" s="510" t="e">
        <f t="shared" si="15"/>
        <v>#REF!</v>
      </c>
      <c r="BZ14" s="510" t="e">
        <f t="shared" si="15"/>
        <v>#REF!</v>
      </c>
      <c r="CA14" s="510" t="e">
        <f t="shared" si="15"/>
        <v>#REF!</v>
      </c>
      <c r="CB14" s="510" t="e">
        <f t="shared" si="15"/>
        <v>#REF!</v>
      </c>
      <c r="CC14" s="510" t="e">
        <f t="shared" si="15"/>
        <v>#REF!</v>
      </c>
      <c r="CD14" s="510" t="e">
        <f t="shared" si="15"/>
        <v>#REF!</v>
      </c>
      <c r="CE14" s="513" t="e">
        <f t="shared" si="15"/>
        <v>#REF!</v>
      </c>
      <c r="CF14" s="512" t="e">
        <f t="shared" si="15"/>
        <v>#REF!</v>
      </c>
      <c r="CG14" s="510" t="e">
        <f t="shared" si="15"/>
        <v>#REF!</v>
      </c>
      <c r="CH14" s="510" t="e">
        <f t="shared" ref="CH14:DA14" si="16" xml:space="preserve"> MID($AK$14, CH$13, 1)</f>
        <v>#REF!</v>
      </c>
      <c r="CI14" s="510" t="e">
        <f t="shared" si="16"/>
        <v>#REF!</v>
      </c>
      <c r="CJ14" s="510" t="e">
        <f t="shared" si="16"/>
        <v>#REF!</v>
      </c>
      <c r="CK14" s="510" t="e">
        <f t="shared" si="16"/>
        <v>#REF!</v>
      </c>
      <c r="CL14" s="510" t="e">
        <f t="shared" si="16"/>
        <v>#REF!</v>
      </c>
      <c r="CM14" s="510" t="e">
        <f t="shared" si="16"/>
        <v>#REF!</v>
      </c>
      <c r="CN14" s="510" t="e">
        <f t="shared" si="16"/>
        <v>#REF!</v>
      </c>
      <c r="CO14" s="510" t="e">
        <f t="shared" si="16"/>
        <v>#REF!</v>
      </c>
      <c r="CP14" s="511" t="e">
        <f t="shared" si="16"/>
        <v>#REF!</v>
      </c>
      <c r="CQ14" s="511" t="e">
        <f t="shared" si="16"/>
        <v>#REF!</v>
      </c>
      <c r="CR14" s="511" t="e">
        <f t="shared" si="16"/>
        <v>#REF!</v>
      </c>
      <c r="CS14" s="511" t="e">
        <f t="shared" si="16"/>
        <v>#REF!</v>
      </c>
      <c r="CT14" s="511" t="e">
        <f t="shared" si="16"/>
        <v>#REF!</v>
      </c>
      <c r="CU14" s="511" t="e">
        <f t="shared" si="16"/>
        <v>#REF!</v>
      </c>
      <c r="CV14" s="510" t="e">
        <f t="shared" si="16"/>
        <v>#REF!</v>
      </c>
      <c r="CW14" s="510" t="e">
        <f t="shared" si="16"/>
        <v>#REF!</v>
      </c>
      <c r="CX14" s="389" t="e">
        <f t="shared" si="16"/>
        <v>#REF!</v>
      </c>
      <c r="CY14" s="389" t="e">
        <f t="shared" si="16"/>
        <v>#REF!</v>
      </c>
      <c r="CZ14" s="389" t="e">
        <f t="shared" si="16"/>
        <v>#REF!</v>
      </c>
      <c r="DA14" s="389" t="e">
        <f t="shared" si="16"/>
        <v>#REF!</v>
      </c>
    </row>
    <row r="15" spans="2:105" ht="32.25">
      <c r="B15" s="50" t="str">
        <f xml:space="preserve"> MID($B$11,B12+1, B13-B12-1)</f>
        <v>1!qa2wsxeEdcyhnbYHN?ujm8ik,9l.0p;/-UJ*I&lt;(LOA:43657</v>
      </c>
      <c r="C15" s="51">
        <f xml:space="preserve"> LEN(B15)</f>
        <v>50</v>
      </c>
      <c r="H15" s="2">
        <f t="shared" si="9"/>
        <v>13</v>
      </c>
      <c r="I15" s="136" t="str">
        <f t="shared" si="0"/>
        <v>z</v>
      </c>
      <c r="J15" s="367" t="str">
        <f t="shared" si="1"/>
        <v>y</v>
      </c>
      <c r="L15" s="2">
        <v>13</v>
      </c>
      <c r="M15" s="368" t="str">
        <f t="shared" si="2"/>
        <v>y</v>
      </c>
      <c r="N15" s="21" t="str">
        <f t="shared" si="3"/>
        <v>ㄗ</v>
      </c>
      <c r="P15" s="2">
        <v>13</v>
      </c>
      <c r="Q15" s="22" t="str">
        <f t="shared" si="4"/>
        <v>s</v>
      </c>
      <c r="R15" s="22" t="str">
        <f t="shared" si="5"/>
        <v>ㄙ</v>
      </c>
      <c r="T15" s="2">
        <v>13</v>
      </c>
      <c r="U15" s="363" t="str">
        <f t="shared" si="6"/>
        <v>y</v>
      </c>
      <c r="V15" s="365" t="str">
        <f t="shared" si="7"/>
        <v>z</v>
      </c>
      <c r="W15" s="364" t="e" cm="1">
        <f t="array" ref="W15" xml:space="preserve"> INDEX(#REF!, MATCH(TRUE, EXACT(表格1_33411[[#This Row],[注音編碼]], 注音編碼對照表[按鍵編碼]), 0))</f>
        <v>#REF!</v>
      </c>
      <c r="X15" s="366" t="str" cm="1">
        <f t="array" ref="X15" xml:space="preserve"> INDEX(注音編碼對照表!$D$3:$D$59, MATCH(TRUE, EXACT(表格1_33411[[#This Row],[注音編碼]], 注音編碼對照表!$H$3:$H$55), 0))</f>
        <v>z</v>
      </c>
      <c r="Y15" s="24"/>
      <c r="Z15" s="31">
        <f t="shared" si="10"/>
        <v>13</v>
      </c>
      <c r="AA15" s="71" t="str">
        <f>注音編碼對照表!$G11</f>
        <v>e</v>
      </c>
      <c r="AB15" s="354" t="str" cm="1">
        <f t="array" ref="AB15" xml:space="preserve"> INDEX(注音編碼對照表[按鍵編碼], MATCH(TRUE, EXACT(RIME設定解析!$AA15, 注音編碼對照表[鍵盤按鍵] ),0))</f>
        <v>g</v>
      </c>
      <c r="AC15" s="32" t="str" cm="1">
        <f t="array" ref="AC15" xml:space="preserve"> INDEX(注音編碼對照表[方音符號], MATCH(TRUE, EXACT(RIME設定解析!$AA15, 注音編碼對照表[鍵盤按鍵] ),0))</f>
        <v>ㄍ</v>
      </c>
      <c r="AD15" s="482" t="e" cm="1">
        <f t="array" ref="AD15" xml:space="preserve"> INDEX(#REF!, MATCH(TRUE, EXACT(RIME設定解析!$AA15, 注音編碼對照表[鍵盤按鍵] ),0))</f>
        <v>#REF!</v>
      </c>
      <c r="AE15" s="430" t="str" cm="1">
        <f t="array" ref="AE15" xml:space="preserve"> INDEX(注音編碼對照表[台語音標], MATCH(TRUE, EXACT(RIME設定解析!$AA15, 注音編碼對照表[鍵盤按鍵] ),0))</f>
        <v>k</v>
      </c>
      <c r="AF15" s="366"/>
      <c r="AG15" s="366" t="e">
        <f t="shared" si="8"/>
        <v>#REF!</v>
      </c>
      <c r="AH15" s="2"/>
      <c r="AI15" s="377" t="s">
        <v>13</v>
      </c>
      <c r="AJ15" s="1" t="e">
        <f xml:space="preserve"> LEN(AK15)</f>
        <v>#N/A</v>
      </c>
      <c r="AK15" s="508" t="e">
        <f xml:space="preserve"> _xlfn.CONCAT($AC3:$AC$49)</f>
        <v>#N/A</v>
      </c>
      <c r="AY15" s="49" t="e">
        <f xml:space="preserve"> MID(AK15, AZ14, 1)</f>
        <v>#N/A</v>
      </c>
      <c r="AZ15" s="40"/>
      <c r="BA15" s="2"/>
      <c r="BB15" s="388"/>
      <c r="BC15" s="510" t="e">
        <f t="shared" ref="BC15:CG15" si="17" xml:space="preserve"> MID($AK$15, BC$13, 1)</f>
        <v>#N/A</v>
      </c>
      <c r="BD15" s="510" t="e">
        <f t="shared" si="17"/>
        <v>#N/A</v>
      </c>
      <c r="BE15" s="510" t="e">
        <f t="shared" si="17"/>
        <v>#N/A</v>
      </c>
      <c r="BF15" s="510" t="e">
        <f t="shared" si="17"/>
        <v>#N/A</v>
      </c>
      <c r="BG15" s="510" t="e">
        <f t="shared" si="17"/>
        <v>#N/A</v>
      </c>
      <c r="BH15" s="510" t="e">
        <f t="shared" si="17"/>
        <v>#N/A</v>
      </c>
      <c r="BI15" s="510" t="e">
        <f t="shared" si="17"/>
        <v>#N/A</v>
      </c>
      <c r="BJ15" s="510" t="e">
        <f t="shared" si="17"/>
        <v>#N/A</v>
      </c>
      <c r="BK15" s="510" t="e">
        <f t="shared" si="17"/>
        <v>#N/A</v>
      </c>
      <c r="BL15" s="510" t="e">
        <f t="shared" si="17"/>
        <v>#N/A</v>
      </c>
      <c r="BM15" s="510" t="e">
        <f t="shared" si="17"/>
        <v>#N/A</v>
      </c>
      <c r="BN15" s="510" t="e">
        <f t="shared" si="17"/>
        <v>#N/A</v>
      </c>
      <c r="BO15" s="510" t="e">
        <f t="shared" si="17"/>
        <v>#N/A</v>
      </c>
      <c r="BP15" s="510" t="e">
        <f t="shared" si="17"/>
        <v>#N/A</v>
      </c>
      <c r="BQ15" s="510" t="e">
        <f t="shared" si="17"/>
        <v>#N/A</v>
      </c>
      <c r="BR15" s="510" t="e">
        <f t="shared" si="17"/>
        <v>#N/A</v>
      </c>
      <c r="BS15" s="510" t="e">
        <f t="shared" si="17"/>
        <v>#N/A</v>
      </c>
      <c r="BT15" s="510" t="e">
        <f t="shared" si="17"/>
        <v>#N/A</v>
      </c>
      <c r="BU15" s="510" t="e">
        <f t="shared" si="17"/>
        <v>#N/A</v>
      </c>
      <c r="BV15" s="510" t="e">
        <f t="shared" si="17"/>
        <v>#N/A</v>
      </c>
      <c r="BW15" s="510" t="e">
        <f t="shared" si="17"/>
        <v>#N/A</v>
      </c>
      <c r="BX15" s="510" t="e">
        <f t="shared" si="17"/>
        <v>#N/A</v>
      </c>
      <c r="BY15" s="510" t="e">
        <f t="shared" si="17"/>
        <v>#N/A</v>
      </c>
      <c r="BZ15" s="510" t="e">
        <f t="shared" si="17"/>
        <v>#N/A</v>
      </c>
      <c r="CA15" s="510" t="e">
        <f t="shared" si="17"/>
        <v>#N/A</v>
      </c>
      <c r="CB15" s="510" t="e">
        <f t="shared" si="17"/>
        <v>#N/A</v>
      </c>
      <c r="CC15" s="510" t="e">
        <f t="shared" si="17"/>
        <v>#N/A</v>
      </c>
      <c r="CD15" s="510" t="e">
        <f t="shared" si="17"/>
        <v>#N/A</v>
      </c>
      <c r="CE15" s="513" t="e">
        <f t="shared" si="17"/>
        <v>#N/A</v>
      </c>
      <c r="CF15" s="512" t="e">
        <f t="shared" si="17"/>
        <v>#N/A</v>
      </c>
      <c r="CG15" s="510" t="e">
        <f t="shared" si="17"/>
        <v>#N/A</v>
      </c>
      <c r="CH15" s="510" t="e">
        <f t="shared" ref="CH15:DA15" si="18" xml:space="preserve"> MID($AK$15, CH$13, 1)</f>
        <v>#N/A</v>
      </c>
      <c r="CI15" s="510" t="e">
        <f t="shared" si="18"/>
        <v>#N/A</v>
      </c>
      <c r="CJ15" s="510" t="e">
        <f t="shared" si="18"/>
        <v>#N/A</v>
      </c>
      <c r="CK15" s="510" t="e">
        <f t="shared" si="18"/>
        <v>#N/A</v>
      </c>
      <c r="CL15" s="510" t="e">
        <f t="shared" si="18"/>
        <v>#N/A</v>
      </c>
      <c r="CM15" s="510" t="e">
        <f t="shared" si="18"/>
        <v>#N/A</v>
      </c>
      <c r="CN15" s="510" t="e">
        <f t="shared" si="18"/>
        <v>#N/A</v>
      </c>
      <c r="CO15" s="510" t="e">
        <f t="shared" si="18"/>
        <v>#N/A</v>
      </c>
      <c r="CP15" s="511" t="e">
        <f t="shared" si="18"/>
        <v>#N/A</v>
      </c>
      <c r="CQ15" s="511" t="e">
        <f t="shared" si="18"/>
        <v>#N/A</v>
      </c>
      <c r="CR15" s="511" t="e">
        <f t="shared" si="18"/>
        <v>#N/A</v>
      </c>
      <c r="CS15" s="511" t="e">
        <f t="shared" si="18"/>
        <v>#N/A</v>
      </c>
      <c r="CT15" s="511" t="e">
        <f t="shared" si="18"/>
        <v>#N/A</v>
      </c>
      <c r="CU15" s="511" t="e">
        <f t="shared" si="18"/>
        <v>#N/A</v>
      </c>
      <c r="CV15" s="510" t="e">
        <f t="shared" si="18"/>
        <v>#N/A</v>
      </c>
      <c r="CW15" s="510" t="e">
        <f t="shared" si="18"/>
        <v>#N/A</v>
      </c>
      <c r="CX15" s="389" t="e">
        <f t="shared" si="18"/>
        <v>#N/A</v>
      </c>
      <c r="CY15" s="389" t="e">
        <f t="shared" si="18"/>
        <v>#N/A</v>
      </c>
      <c r="CZ15" s="389" t="e">
        <f t="shared" si="18"/>
        <v>#N/A</v>
      </c>
      <c r="DA15" s="389" t="e">
        <f t="shared" si="18"/>
        <v>#N/A</v>
      </c>
    </row>
    <row r="16" spans="2:105" ht="32.25">
      <c r="B16" s="369" t="str">
        <f xml:space="preserve"> MID($B$11,B13+1, B14-B13-1)</f>
        <v>ㄅㄆㄇㄉㄊㄋㄌㄍㄎㄏㄗㄘㄙㄖㄐㄑㄒㄥㄧㄨㄇㄚㆦㄜㄝㄞㄠｎㄢㄣㄤㄥㄦㆪㆫㆩㆧㆥㆮㆯㆱㆰㆲˋ'ˇ\"˙</v>
      </c>
      <c r="C16" s="51">
        <f xml:space="preserve"> LEN(B16)</f>
        <v>51</v>
      </c>
      <c r="H16" s="2">
        <f t="shared" si="9"/>
        <v>14</v>
      </c>
      <c r="I16" s="136" t="str">
        <f t="shared" si="0"/>
        <v>c</v>
      </c>
      <c r="J16" s="136" t="str">
        <f t="shared" si="1"/>
        <v>h</v>
      </c>
      <c r="L16" s="2">
        <v>14</v>
      </c>
      <c r="M16" s="21" t="str">
        <f t="shared" si="2"/>
        <v>h</v>
      </c>
      <c r="N16" s="21" t="str">
        <f t="shared" si="3"/>
        <v>ㄘ</v>
      </c>
      <c r="P16" s="2">
        <v>14</v>
      </c>
      <c r="Q16" s="22" t="str">
        <f t="shared" si="4"/>
        <v>h</v>
      </c>
      <c r="R16" s="22" t="str">
        <f t="shared" si="5"/>
        <v>ㄏ</v>
      </c>
      <c r="T16" s="2">
        <v>14</v>
      </c>
      <c r="U16" s="363" t="str">
        <f t="shared" si="6"/>
        <v>h</v>
      </c>
      <c r="V16" s="365" t="str">
        <f t="shared" si="7"/>
        <v>c</v>
      </c>
      <c r="W16" s="364" t="e" cm="1">
        <f t="array" ref="W16" xml:space="preserve"> INDEX(#REF!, MATCH(TRUE, EXACT(表格1_33411[[#This Row],[注音編碼]], 注音編碼對照表[按鍵編碼]), 0))</f>
        <v>#REF!</v>
      </c>
      <c r="X16" s="366" t="str" cm="1">
        <f t="array" ref="X16" xml:space="preserve"> INDEX(注音編碼對照表!$D$3:$D$59, MATCH(TRUE, EXACT(表格1_33411[[#This Row],[注音編碼]], 注音編碼對照表!$H$3:$H$55), 0))</f>
        <v>c</v>
      </c>
      <c r="Y16" s="24"/>
      <c r="Z16" s="31">
        <f t="shared" si="10"/>
        <v>14</v>
      </c>
      <c r="AA16" s="71" t="str">
        <f>注音編碼對照表!$G12</f>
        <v>d</v>
      </c>
      <c r="AB16" s="354" t="str" cm="1">
        <f t="array" ref="AB16" xml:space="preserve"> INDEX(注音編碼對照表[按鍵編碼], MATCH(TRUE, EXACT(RIME設定解析!$AA16, 注音編碼對照表[鍵盤按鍵] ),0))</f>
        <v>k</v>
      </c>
      <c r="AC16" s="32" t="str" cm="1">
        <f t="array" ref="AC16" xml:space="preserve"> INDEX(注音編碼對照表[方音符號], MATCH(TRUE, EXACT(RIME設定解析!$AA16, 注音編碼對照表[鍵盤按鍵] ),0))</f>
        <v>ㄎ</v>
      </c>
      <c r="AD16" s="482" t="e" cm="1">
        <f t="array" ref="AD16" xml:space="preserve"> INDEX(#REF!, MATCH(TRUE, EXACT(RIME設定解析!$AA16, 注音編碼對照表[鍵盤按鍵] ),0))</f>
        <v>#REF!</v>
      </c>
      <c r="AE16" s="430" t="str" cm="1">
        <f t="array" ref="AE16" xml:space="preserve"> INDEX(注音編碼對照表[台語音標], MATCH(TRUE, EXACT(RIME設定解析!$AA16, 注音編碼對照表[鍵盤按鍵] ),0))</f>
        <v>kh</v>
      </c>
      <c r="AF16" s="366"/>
      <c r="AG16" s="366" t="e">
        <f t="shared" si="8"/>
        <v>#REF!</v>
      </c>
      <c r="AH16" s="2"/>
      <c r="AI16" s="372"/>
      <c r="AJ16" s="2"/>
      <c r="AL16" s="54"/>
      <c r="AY16" s="11"/>
      <c r="BA16" s="2"/>
      <c r="BB16" s="387"/>
      <c r="BE16" s="2"/>
    </row>
    <row r="17" spans="2:57" ht="32.25">
      <c r="H17" s="2">
        <f t="shared" si="9"/>
        <v>15</v>
      </c>
      <c r="I17" s="136" t="str">
        <f t="shared" si="0"/>
        <v>s</v>
      </c>
      <c r="J17" s="136" t="str">
        <f t="shared" si="1"/>
        <v>n</v>
      </c>
      <c r="L17" s="2">
        <v>15</v>
      </c>
      <c r="M17" s="21" t="str">
        <f t="shared" si="2"/>
        <v>n</v>
      </c>
      <c r="N17" s="21" t="str">
        <f t="shared" si="3"/>
        <v>ㄙ</v>
      </c>
      <c r="P17" s="2">
        <v>15</v>
      </c>
      <c r="Q17" s="22" t="str">
        <f t="shared" si="4"/>
        <v>i</v>
      </c>
      <c r="R17" s="22" t="str">
        <f t="shared" si="5"/>
        <v>ㄧ</v>
      </c>
      <c r="T17" s="2">
        <v>15</v>
      </c>
      <c r="U17" s="363" t="str">
        <f t="shared" si="6"/>
        <v>n</v>
      </c>
      <c r="V17" s="365" t="str">
        <f t="shared" si="7"/>
        <v>s</v>
      </c>
      <c r="W17" s="364" t="e" cm="1">
        <f t="array" ref="W17" xml:space="preserve"> INDEX(#REF!, MATCH(TRUE, EXACT(表格1_33411[[#This Row],[注音編碼]], 注音編碼對照表[按鍵編碼]), 0))</f>
        <v>#REF!</v>
      </c>
      <c r="X17" s="366" t="str" cm="1">
        <f t="array" ref="X17" xml:space="preserve"> INDEX(注音編碼對照表!$D$3:$D$59, MATCH(TRUE, EXACT(表格1_33411[[#This Row],[注音編碼]], 注音編碼對照表!$H$3:$H$55), 0))</f>
        <v>s</v>
      </c>
      <c r="Y17" s="24"/>
      <c r="Z17" s="31">
        <f t="shared" si="10"/>
        <v>15</v>
      </c>
      <c r="AA17" s="71" t="str">
        <f>注音編碼對照表!$G13</f>
        <v>E</v>
      </c>
      <c r="AB17" s="354" t="str" cm="1">
        <f t="array" ref="AB17" xml:space="preserve"> INDEX(注音編碼對照表[按鍵編碼], MATCH(TRUE, EXACT(RIME設定解析!$AA17, 注音編碼對照表[鍵盤按鍵] ),0))</f>
        <v>G</v>
      </c>
      <c r="AC17" s="32" t="str" cm="1">
        <f t="array" ref="AC17" xml:space="preserve"> INDEX(注音編碼對照表[方音符號], MATCH(TRUE, EXACT(RIME設定解析!$AA17, 注音編碼對照表[鍵盤按鍵] ),0))</f>
        <v>ㆣ</v>
      </c>
      <c r="AD17" s="482" t="e" cm="1">
        <f t="array" ref="AD17" xml:space="preserve"> INDEX(#REF!, MATCH(TRUE, EXACT(RIME設定解析!$AA17, 注音編碼對照表[鍵盤按鍵] ),0))</f>
        <v>#REF!</v>
      </c>
      <c r="AE17" s="430" t="str" cm="1">
        <f t="array" ref="AE17" xml:space="preserve"> INDEX(注音編碼對照表[台語音標], MATCH(TRUE, EXACT(RIME設定解析!$AA17, 注音編碼對照表[鍵盤按鍵] ),0))</f>
        <v>g</v>
      </c>
      <c r="AF17" s="366"/>
      <c r="AG17" s="366" t="e">
        <f t="shared" si="8"/>
        <v>#REF!</v>
      </c>
      <c r="AH17" s="2"/>
      <c r="AI17" s="373" t="s">
        <v>45</v>
      </c>
      <c r="AJ17" s="2"/>
      <c r="AK17" s="399" t="e">
        <f xml:space="preserve"> """xlit|" &amp; AK18 &amp; "|" &amp; AK19 &amp; "|"""</f>
        <v>#N/A</v>
      </c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00"/>
      <c r="BA17" s="2"/>
      <c r="BB17" s="387"/>
      <c r="BE17" s="2"/>
    </row>
    <row r="18" spans="2:57" ht="32.25">
      <c r="H18" s="2">
        <f t="shared" si="9"/>
        <v>16</v>
      </c>
      <c r="I18" s="136" t="str">
        <f t="shared" si="0"/>
        <v>j</v>
      </c>
      <c r="J18" s="136" t="str">
        <f t="shared" si="1"/>
        <v>b</v>
      </c>
      <c r="L18" s="2">
        <v>16</v>
      </c>
      <c r="M18" s="21" t="str">
        <f t="shared" si="2"/>
        <v>b</v>
      </c>
      <c r="N18" s="21" t="str">
        <f t="shared" si="3"/>
        <v>ㄖ</v>
      </c>
      <c r="P18" s="2">
        <v>16</v>
      </c>
      <c r="Q18" s="22" t="str">
        <f t="shared" si="4"/>
        <v>u</v>
      </c>
      <c r="R18" s="22" t="str">
        <f t="shared" si="5"/>
        <v>ㄨ</v>
      </c>
      <c r="T18" s="2">
        <v>16</v>
      </c>
      <c r="U18" s="363" t="str">
        <f t="shared" si="6"/>
        <v>b</v>
      </c>
      <c r="V18" s="365" t="str">
        <f t="shared" si="7"/>
        <v>j</v>
      </c>
      <c r="W18" s="364" t="e" cm="1">
        <f t="array" ref="W18" xml:space="preserve"> INDEX(#REF!, MATCH(TRUE, EXACT(表格1_33411[[#This Row],[注音編碼]], 注音編碼對照表[按鍵編碼]), 0))</f>
        <v>#REF!</v>
      </c>
      <c r="X18" s="366" t="e" cm="1">
        <f t="array" ref="X18" xml:space="preserve"> INDEX(注音編碼對照表!$D$3:$D$59, MATCH(TRUE, EXACT(表格1_33411[[#This Row],[注音編碼]], 注音編碼對照表!$H$3:$H$55), 0))</f>
        <v>#N/A</v>
      </c>
      <c r="Y18" s="24"/>
      <c r="Z18" s="31">
        <f t="shared" si="10"/>
        <v>16</v>
      </c>
      <c r="AA18" s="71" t="str">
        <f>注音編碼對照表!$G45</f>
        <v>z</v>
      </c>
      <c r="AB18" s="354" t="str" cm="1">
        <f t="array" ref="AB18" xml:space="preserve"> INDEX(注音編碼對照表[按鍵編碼], MATCH(TRUE, EXACT(RIME設定解析!$AA18, 注音編碼對照表[鍵盤按鍵] ),0))</f>
        <v>w</v>
      </c>
      <c r="AC18" s="32" t="str" cm="1">
        <f t="array" ref="AC18" xml:space="preserve"> INDEX(注音編碼對照表[方音符號], MATCH(TRUE, EXACT(RIME設定解析!$AA18, 注音編碼對照表[鍵盤按鍵] ),0))</f>
        <v>ㄫ</v>
      </c>
      <c r="AD18" s="482" t="e" cm="1">
        <f t="array" ref="AD18" xml:space="preserve"> INDEX(#REF!, MATCH(TRUE, EXACT(RIME設定解析!$AA18, 注音編碼對照表[鍵盤按鍵] ),0))</f>
        <v>#REF!</v>
      </c>
      <c r="AE18" s="430" t="str" cm="1">
        <f t="array" ref="AE18" xml:space="preserve"> INDEX(注音編碼對照表[台語音標], MATCH(TRUE, EXACT(RIME設定解析!$AA18, 注音編碼對照表[鍵盤按鍵] ),0))</f>
        <v>ng-</v>
      </c>
      <c r="AF18" s="366"/>
      <c r="AG18" s="366" t="e">
        <f t="shared" si="8"/>
        <v>#REF!</v>
      </c>
      <c r="AH18" s="2"/>
      <c r="AI18" s="374" t="s">
        <v>583</v>
      </c>
      <c r="AJ18" s="1" t="e">
        <f xml:space="preserve"> LEN(AK18)</f>
        <v>#N/A</v>
      </c>
      <c r="AK18" s="37" t="e">
        <f xml:space="preserve"> _xlfn.CONCAT(AB$3:AB$49)</f>
        <v>#N/A</v>
      </c>
      <c r="AX18" s="38" t="s">
        <v>25</v>
      </c>
      <c r="AY18" s="402" t="str">
        <f>AY9</f>
        <v>U</v>
      </c>
      <c r="AZ18" s="40" t="e">
        <f xml:space="preserve"> FIND(AY18, AK18)</f>
        <v>#N/A</v>
      </c>
      <c r="BA18" s="2"/>
      <c r="BB18" s="387"/>
      <c r="BE18" s="2"/>
    </row>
    <row r="19" spans="2:57" ht="32.25">
      <c r="H19" s="2">
        <f t="shared" si="9"/>
        <v>17</v>
      </c>
      <c r="I19" s="136" t="str">
        <f t="shared" si="0"/>
        <v>Z</v>
      </c>
      <c r="J19" s="367" t="str">
        <f t="shared" si="1"/>
        <v>Y</v>
      </c>
      <c r="L19" s="2">
        <v>17</v>
      </c>
      <c r="M19" s="368" t="str">
        <f t="shared" si="2"/>
        <v>Y</v>
      </c>
      <c r="N19" s="21" t="str">
        <f t="shared" si="3"/>
        <v>ㄐ</v>
      </c>
      <c r="P19" s="2">
        <v>17</v>
      </c>
      <c r="Q19" s="22" t="str">
        <f t="shared" si="4"/>
        <v>a</v>
      </c>
      <c r="R19" s="22" t="str">
        <f t="shared" si="5"/>
        <v>ㄚ</v>
      </c>
      <c r="T19" s="2">
        <v>17</v>
      </c>
      <c r="U19" s="363" t="str">
        <f t="shared" si="6"/>
        <v>Y</v>
      </c>
      <c r="V19" s="365" t="str">
        <f t="shared" si="7"/>
        <v>Z</v>
      </c>
      <c r="W19" s="364" t="e" cm="1">
        <f t="array" ref="W19" xml:space="preserve"> INDEX(#REF!, MATCH(TRUE, EXACT(表格1_33411[[#This Row],[注音編碼]], 注音編碼對照表[按鍵編碼]), 0))</f>
        <v>#REF!</v>
      </c>
      <c r="X19" s="366" t="str" cm="1">
        <f t="array" ref="X19" xml:space="preserve"> INDEX(注音編碼對照表!$D$3:$D$59, MATCH(TRUE, EXACT(表格1_33411[[#This Row],[注音編碼]], 注音編碼對照表!$H$3:$H$55), 0))</f>
        <v>j</v>
      </c>
      <c r="Y19" s="24"/>
      <c r="Z19" s="31">
        <f t="shared" si="10"/>
        <v>17</v>
      </c>
      <c r="AA19" s="71" t="str">
        <f>注音編碼對照表!$G14</f>
        <v>c</v>
      </c>
      <c r="AB19" s="354" t="str" cm="1">
        <f t="array" ref="AB19" xml:space="preserve"> INDEX(注音編碼對照表[按鍵編碼], MATCH(TRUE, EXACT(RIME設定解析!$AA19, 注音編碼對照表[鍵盤按鍵] ),0))</f>
        <v>h</v>
      </c>
      <c r="AC19" s="32" t="str" cm="1">
        <f t="array" ref="AC19" xml:space="preserve"> INDEX(注音編碼對照表[方音符號], MATCH(TRUE, EXACT(RIME設定解析!$AA19, 注音編碼對照表[鍵盤按鍵] ),0))</f>
        <v>ㄏ</v>
      </c>
      <c r="AD19" s="482" t="e" cm="1">
        <f t="array" ref="AD19" xml:space="preserve"> INDEX(#REF!, MATCH(TRUE, EXACT(RIME設定解析!$AA19, 注音編碼對照表[鍵盤按鍵] ),0))</f>
        <v>#REF!</v>
      </c>
      <c r="AE19" s="430" t="str" cm="1">
        <f t="array" ref="AE19" xml:space="preserve"> INDEX(注音編碼對照表[台語音標], MATCH(TRUE, EXACT(RIME設定解析!$AA19, 注音編碼對照表[鍵盤按鍵] ),0))</f>
        <v>h</v>
      </c>
      <c r="AF19" s="366"/>
      <c r="AG19" s="366" t="e">
        <f t="shared" si="8"/>
        <v>#REF!</v>
      </c>
      <c r="AH19" s="2"/>
      <c r="AI19" s="377" t="s">
        <v>623</v>
      </c>
      <c r="AJ19" s="1" t="e">
        <f xml:space="preserve"> LEN(AK19)</f>
        <v>#N/A</v>
      </c>
      <c r="AK19" s="378" t="e">
        <f xml:space="preserve"> _xlfn.CONCAT(AC3:AC49)</f>
        <v>#N/A</v>
      </c>
      <c r="AY19" s="49" t="e">
        <f xml:space="preserve"> MID(AK19, AZ18, 1)</f>
        <v>#N/A</v>
      </c>
      <c r="AZ19" s="40"/>
      <c r="BA19" s="2"/>
      <c r="BB19" s="387"/>
      <c r="BE19" s="2"/>
    </row>
    <row r="20" spans="2:57" ht="32.25">
      <c r="B20" s="1" t="s">
        <v>60</v>
      </c>
      <c r="H20" s="2">
        <f t="shared" si="9"/>
        <v>18</v>
      </c>
      <c r="I20" s="136" t="str">
        <f t="shared" si="0"/>
        <v>C</v>
      </c>
      <c r="J20" s="367" t="str">
        <f t="shared" si="1"/>
        <v>H</v>
      </c>
      <c r="L20" s="2">
        <v>18</v>
      </c>
      <c r="M20" s="368" t="str">
        <f>J20</f>
        <v>H</v>
      </c>
      <c r="N20" s="21" t="str">
        <f t="shared" si="3"/>
        <v>ㄑ</v>
      </c>
      <c r="P20" s="2">
        <v>18</v>
      </c>
      <c r="Q20" s="22" t="str">
        <f t="shared" si="4"/>
        <v>o</v>
      </c>
      <c r="R20" s="22" t="str">
        <f t="shared" si="5"/>
        <v>ㆦ</v>
      </c>
      <c r="T20" s="2">
        <v>18</v>
      </c>
      <c r="U20" s="363" t="str">
        <f t="shared" si="6"/>
        <v>H</v>
      </c>
      <c r="V20" s="365" t="str">
        <f t="shared" si="7"/>
        <v>C</v>
      </c>
      <c r="W20" s="364" t="e" cm="1">
        <f t="array" ref="W20" xml:space="preserve"> INDEX(#REF!, MATCH(TRUE, EXACT(表格1_33411[[#This Row],[注音編碼]], 注音編碼對照表[按鍵編碼]), 0))</f>
        <v>#REF!</v>
      </c>
      <c r="X20" s="366" t="e" cm="1">
        <f t="array" ref="X20" xml:space="preserve"> INDEX(注音編碼對照表!$D$3:$D$59, MATCH(TRUE, EXACT(表格1_33411[[#This Row],[注音編碼]], 注音編碼對照表!$H$3:$H$55), 0))</f>
        <v>#N/A</v>
      </c>
      <c r="Y20" s="24"/>
      <c r="Z20" s="31">
        <f t="shared" si="10"/>
        <v>18</v>
      </c>
      <c r="AA20" s="71" t="str">
        <f>注音編碼對照表!$G23</f>
        <v>u</v>
      </c>
      <c r="AB20" s="354" t="str" cm="1">
        <f t="array" ref="AB20" xml:space="preserve"> INDEX(注音編碼對照表[按鍵編碼], MATCH(TRUE, EXACT(RIME設定解析!$AA20, 注音編碼對照表[鍵盤按鍵] ),0))</f>
        <v>i</v>
      </c>
      <c r="AC20" s="32" t="str" cm="1">
        <f t="array" ref="AC20" xml:space="preserve"> INDEX(注音編碼對照表[方音符號], MATCH(TRUE, EXACT(RIME設定解析!$AA20, 注音編碼對照表[鍵盤按鍵] ),0))</f>
        <v>ㄧ</v>
      </c>
      <c r="AD20" s="482" t="e" cm="1">
        <f t="array" ref="AD20" xml:space="preserve"> INDEX(#REF!, MATCH(TRUE, EXACT(RIME設定解析!$AA20, 注音編碼對照表[鍵盤按鍵] ),0))</f>
        <v>#REF!</v>
      </c>
      <c r="AE20" s="430" t="str" cm="1">
        <f t="array" ref="AE20" xml:space="preserve"> INDEX(注音編碼對照表[台語音標], MATCH(TRUE, EXACT(RIME設定解析!$AA20, 注音編碼對照表[鍵盤按鍵] ),0))</f>
        <v>i</v>
      </c>
      <c r="AF20" s="366"/>
      <c r="AG20" s="366" t="e">
        <f t="shared" si="8"/>
        <v>#REF!</v>
      </c>
      <c r="AH20" s="2"/>
      <c r="AI20" s="372"/>
      <c r="AJ20" s="2"/>
      <c r="AY20" s="11"/>
      <c r="BA20" s="2"/>
      <c r="BB20" s="387"/>
      <c r="BE20" s="2"/>
    </row>
    <row r="21" spans="2:57" ht="32.25">
      <c r="B21" s="12" t="s">
        <v>63</v>
      </c>
      <c r="H21" s="2">
        <f t="shared" si="9"/>
        <v>19</v>
      </c>
      <c r="I21" s="136" t="str">
        <f t="shared" si="0"/>
        <v>S</v>
      </c>
      <c r="J21" s="367" t="str">
        <f t="shared" si="1"/>
        <v>N</v>
      </c>
      <c r="L21" s="2">
        <v>19</v>
      </c>
      <c r="M21" s="368" t="str">
        <f>J21</f>
        <v>N</v>
      </c>
      <c r="N21" s="21" t="str">
        <f t="shared" si="3"/>
        <v>ㄒ</v>
      </c>
      <c r="P21" s="2">
        <v>19</v>
      </c>
      <c r="Q21" s="22" t="str">
        <f t="shared" si="4"/>
        <v>ø</v>
      </c>
      <c r="R21" s="22" t="str">
        <f t="shared" si="5"/>
        <v>ㄜ</v>
      </c>
      <c r="T21" s="2">
        <v>19</v>
      </c>
      <c r="U21" s="363" t="str">
        <f t="shared" si="6"/>
        <v>N</v>
      </c>
      <c r="V21" s="365" t="str">
        <f t="shared" si="7"/>
        <v>S</v>
      </c>
      <c r="W21" s="364" t="e" cm="1">
        <f t="array" ref="W21" xml:space="preserve"> INDEX(#REF!, MATCH(TRUE, EXACT(表格1_33411[[#This Row],[注音編碼]], 注音編碼對照表[按鍵編碼]), 0))</f>
        <v>#REF!</v>
      </c>
      <c r="X21" s="366" t="e" cm="1">
        <f t="array" ref="X21" xml:space="preserve"> INDEX(注音編碼對照表!$D$3:$D$59, MATCH(TRUE, EXACT(表格1_33411[[#This Row],[注音編碼]], 注音編碼對照表!$H$3:$H$55), 0))</f>
        <v>#N/A</v>
      </c>
      <c r="Y21" s="24"/>
      <c r="Z21" s="31">
        <f t="shared" si="10"/>
        <v>19</v>
      </c>
      <c r="AA21" s="71" t="str">
        <f>注音編碼對照表!$G25</f>
        <v>j</v>
      </c>
      <c r="AB21" s="354" t="str" cm="1">
        <f t="array" ref="AB21" xml:space="preserve"> INDEX(注音編碼對照表[按鍵編碼], MATCH(TRUE, EXACT(RIME設定解析!$AA21, 注音編碼對照表[鍵盤按鍵] ),0))</f>
        <v>u</v>
      </c>
      <c r="AC21" s="32" t="str" cm="1">
        <f t="array" ref="AC21" xml:space="preserve"> INDEX(注音編碼對照表[方音符號], MATCH(TRUE, EXACT(RIME設定解析!$AA21, 注音編碼對照表[鍵盤按鍵] ),0))</f>
        <v>ㄨ</v>
      </c>
      <c r="AD21" s="482" t="e" cm="1">
        <f t="array" ref="AD21" xml:space="preserve"> INDEX(#REF!, MATCH(TRUE, EXACT(RIME設定解析!$AA21, 注音編碼對照表[鍵盤按鍵] ),0))</f>
        <v>#REF!</v>
      </c>
      <c r="AE21" s="430" t="str" cm="1">
        <f t="array" ref="AE21" xml:space="preserve"> INDEX(注音編碼對照表[台語音標], MATCH(TRUE, EXACT(RIME設定解析!$AA21, 注音編碼對照表[鍵盤按鍵] ),0))</f>
        <v>u</v>
      </c>
      <c r="AF21" s="366"/>
      <c r="AG21" s="366" t="e">
        <f t="shared" si="8"/>
        <v>#REF!</v>
      </c>
      <c r="AH21" s="2"/>
      <c r="AI21" s="372"/>
      <c r="AJ21" s="2"/>
      <c r="AY21" s="11"/>
      <c r="BA21" s="2"/>
      <c r="BB21" s="387"/>
      <c r="BE21" s="2"/>
    </row>
    <row r="22" spans="2:57" ht="32.25">
      <c r="B22" s="2">
        <f xml:space="preserve"> SEARCH("|",B21,1)</f>
        <v>7</v>
      </c>
      <c r="H22" s="2">
        <f t="shared" si="9"/>
        <v>20</v>
      </c>
      <c r="I22" s="136" t="str">
        <f t="shared" si="0"/>
        <v>w</v>
      </c>
      <c r="J22" s="367" t="str">
        <f t="shared" si="1"/>
        <v>?</v>
      </c>
      <c r="L22" s="2">
        <v>20</v>
      </c>
      <c r="M22" s="368" t="str">
        <f>J22</f>
        <v>?</v>
      </c>
      <c r="N22" s="21" t="str">
        <f t="shared" si="3"/>
        <v>ㄥ</v>
      </c>
      <c r="P22" s="2">
        <v>20</v>
      </c>
      <c r="Q22" s="22" t="str">
        <f t="shared" si="4"/>
        <v>e</v>
      </c>
      <c r="R22" s="22" t="str">
        <f t="shared" si="5"/>
        <v>ㆤ</v>
      </c>
      <c r="T22" s="2">
        <v>20</v>
      </c>
      <c r="U22" s="363" t="str">
        <f t="shared" si="6"/>
        <v>?</v>
      </c>
      <c r="V22" s="365" t="str">
        <f t="shared" si="7"/>
        <v>w</v>
      </c>
      <c r="W22" s="364" t="e" cm="1">
        <f t="array" ref="W22" xml:space="preserve"> INDEX(#REF!, MATCH(TRUE, EXACT(表格1_33411[[#This Row],[注音編碼]], 注音編碼對照表[按鍵編碼]), 0))</f>
        <v>#REF!</v>
      </c>
      <c r="X22" s="366" t="str" cm="1">
        <f t="array" ref="X22" xml:space="preserve"> INDEX(注音編碼對照表!$D$3:$D$59, MATCH(TRUE, EXACT(表格1_33411[[#This Row],[注音編碼]], 注音編碼對照表!$H$3:$H$55), 0))</f>
        <v>ng-</v>
      </c>
      <c r="Y22" s="24"/>
      <c r="Z22" s="31">
        <f t="shared" si="10"/>
        <v>20</v>
      </c>
      <c r="AA22" s="71" t="str">
        <f>注音編碼對照表!$G27</f>
        <v>8</v>
      </c>
      <c r="AB22" s="354" t="str" cm="1">
        <f t="array" ref="AB22" xml:space="preserve"> INDEX(注音編碼對照表[按鍵編碼], MATCH(TRUE, EXACT(RIME設定解析!$AA22, 注音編碼對照表[鍵盤按鍵] ),0))</f>
        <v>a</v>
      </c>
      <c r="AC22" s="32" t="str" cm="1">
        <f t="array" ref="AC22" xml:space="preserve"> INDEX(注音編碼對照表[方音符號], MATCH(TRUE, EXACT(RIME設定解析!$AA22, 注音編碼對照表[鍵盤按鍵] ),0))</f>
        <v>ㄚ</v>
      </c>
      <c r="AD22" s="482" t="e" cm="1">
        <f t="array" ref="AD22" xml:space="preserve"> INDEX(#REF!, MATCH(TRUE, EXACT(RIME設定解析!$AA22, 注音編碼對照表[鍵盤按鍵] ),0))</f>
        <v>#REF!</v>
      </c>
      <c r="AE22" s="430" t="str" cm="1">
        <f t="array" ref="AE22" xml:space="preserve"> INDEX(注音編碼對照表[台語音標], MATCH(TRUE, EXACT(RIME設定解析!$AA22, 注音編碼對照表[鍵盤按鍵] ),0))</f>
        <v>a</v>
      </c>
      <c r="AF22" s="366"/>
      <c r="AG22" s="366" t="e">
        <f t="shared" si="8"/>
        <v>#REF!</v>
      </c>
      <c r="AH22" s="2"/>
      <c r="AI22" s="372"/>
      <c r="AJ22" s="2"/>
      <c r="AY22" s="11"/>
      <c r="BA22" s="2"/>
      <c r="BB22" s="387"/>
      <c r="BE22" s="2"/>
    </row>
    <row r="23" spans="2:57" ht="32.25">
      <c r="B23" s="2">
        <f xml:space="preserve"> SEARCH("|",B21,B22+1)</f>
        <v>34</v>
      </c>
      <c r="H23" s="2">
        <f t="shared" si="9"/>
        <v>21</v>
      </c>
      <c r="I23" s="136" t="str">
        <f t="shared" si="0"/>
        <v>i</v>
      </c>
      <c r="J23" s="136" t="str">
        <f t="shared" si="1"/>
        <v>u</v>
      </c>
      <c r="L23" s="2">
        <v>21</v>
      </c>
      <c r="M23" s="21" t="str">
        <f t="shared" ref="M23:M54" si="19" xml:space="preserve"> IFERROR( MID($B$15, $H23, 1), "")</f>
        <v>u</v>
      </c>
      <c r="N23" s="21" t="str">
        <f t="shared" si="3"/>
        <v>ㄧ</v>
      </c>
      <c r="P23" s="2">
        <v>21</v>
      </c>
      <c r="Q23" s="22" t="str">
        <f t="shared" si="4"/>
        <v>I</v>
      </c>
      <c r="R23" s="22" t="str">
        <f t="shared" si="5"/>
        <v>ㄞ</v>
      </c>
      <c r="T23" s="2">
        <v>21</v>
      </c>
      <c r="U23" s="363" t="str">
        <f t="shared" si="6"/>
        <v>u</v>
      </c>
      <c r="V23" s="365" t="str">
        <f t="shared" si="7"/>
        <v>i</v>
      </c>
      <c r="W23" s="364" t="e" cm="1">
        <f t="array" ref="W23" xml:space="preserve"> INDEX(#REF!, MATCH(TRUE, EXACT(表格1_33411[[#This Row],[注音編碼]], 注音編碼對照表[按鍵編碼]), 0))</f>
        <v>#REF!</v>
      </c>
      <c r="X23" s="366" t="str" cm="1">
        <f t="array" ref="X23" xml:space="preserve"> INDEX(注音編碼對照表!$D$3:$D$59, MATCH(TRUE, EXACT(表格1_33411[[#This Row],[注音編碼]], 注音編碼對照表!$H$3:$H$55), 0))</f>
        <v>i</v>
      </c>
      <c r="Y23" s="24"/>
      <c r="Z23" s="31">
        <f t="shared" si="10"/>
        <v>21</v>
      </c>
      <c r="AA23" s="71" t="str">
        <f>注音編碼對照表!$G29</f>
        <v>i</v>
      </c>
      <c r="AB23" s="354" t="str" cm="1">
        <f t="array" ref="AB23" xml:space="preserve"> INDEX(注音編碼對照表[按鍵編碼], MATCH(TRUE, EXACT(RIME設定解析!$AA23, 注音編碼對照表[鍵盤按鍵] ),0))</f>
        <v>O</v>
      </c>
      <c r="AC23" s="32" t="str" cm="1">
        <f t="array" ref="AC23" xml:space="preserve"> INDEX(注音編碼對照表[方音符號], MATCH(TRUE, EXACT(RIME設定解析!$AA23, 注音編碼對照表[鍵盤按鍵] ),0))</f>
        <v>ㆦ</v>
      </c>
      <c r="AD23" s="482" t="e" cm="1">
        <f t="array" ref="AD23" xml:space="preserve"> INDEX(#REF!, MATCH(TRUE, EXACT(RIME設定解析!$AA23, 注音編碼對照表[鍵盤按鍵] ),0))</f>
        <v>#REF!</v>
      </c>
      <c r="AE23" s="430" t="str" cm="1">
        <f t="array" ref="AE23" xml:space="preserve"> INDEX(注音編碼對照表[台語音標], MATCH(TRUE, EXACT(RIME設定解析!$AA23, 注音編碼對照表[鍵盤按鍵] ),0))</f>
        <v>oo</v>
      </c>
      <c r="AF23" s="366"/>
      <c r="AG23" s="366" t="e">
        <f t="shared" si="8"/>
        <v>#REF!</v>
      </c>
      <c r="AH23" s="2"/>
      <c r="AI23" s="372"/>
      <c r="AJ23" s="2"/>
      <c r="AY23" s="11"/>
      <c r="BA23" s="2"/>
      <c r="BB23" s="387"/>
      <c r="BE23" s="2"/>
    </row>
    <row r="24" spans="2:57" ht="32.25">
      <c r="B24" s="2">
        <f xml:space="preserve"> SEARCH("|",B21,B23+1)</f>
        <v>61</v>
      </c>
      <c r="H24" s="2">
        <f t="shared" si="9"/>
        <v>22</v>
      </c>
      <c r="I24" s="136" t="str">
        <f t="shared" si="0"/>
        <v>u</v>
      </c>
      <c r="J24" s="136" t="str">
        <f t="shared" si="1"/>
        <v>j</v>
      </c>
      <c r="L24" s="2">
        <v>22</v>
      </c>
      <c r="M24" s="21" t="str">
        <f t="shared" si="19"/>
        <v>j</v>
      </c>
      <c r="N24" s="21" t="str">
        <f t="shared" si="3"/>
        <v>ㄨ</v>
      </c>
      <c r="P24" s="2">
        <v>22</v>
      </c>
      <c r="Q24" s="22" t="str">
        <f t="shared" si="4"/>
        <v>U</v>
      </c>
      <c r="R24" s="22" t="str">
        <f t="shared" si="5"/>
        <v>ㄠ</v>
      </c>
      <c r="T24" s="2">
        <v>22</v>
      </c>
      <c r="U24" s="363" t="str">
        <f t="shared" si="6"/>
        <v>j</v>
      </c>
      <c r="V24" s="365" t="str">
        <f t="shared" si="7"/>
        <v>u</v>
      </c>
      <c r="W24" s="364" t="e" cm="1">
        <f t="array" ref="W24" xml:space="preserve"> INDEX(#REF!, MATCH(TRUE, EXACT(表格1_33411[[#This Row],[注音編碼]], 注音編碼對照表[按鍵編碼]), 0))</f>
        <v>#REF!</v>
      </c>
      <c r="X24" s="366" t="str" cm="1">
        <f t="array" ref="X24" xml:space="preserve"> INDEX(注音編碼對照表!$D$3:$D$59, MATCH(TRUE, EXACT(表格1_33411[[#This Row],[注音編碼]], 注音編碼對照表!$H$3:$H$55), 0))</f>
        <v>u</v>
      </c>
      <c r="Y24" s="24"/>
      <c r="Z24" s="77">
        <f t="shared" si="10"/>
        <v>22</v>
      </c>
      <c r="AA24" s="71" t="str">
        <f>注音編碼對照表!$G31</f>
        <v>k</v>
      </c>
      <c r="AB24" s="354" t="str" cm="1">
        <f t="array" ref="AB24" xml:space="preserve"> INDEX(注音編碼對照表[按鍵編碼], MATCH(TRUE, EXACT(RIME設定解析!$AA24, 注音編碼對照表[鍵盤按鍵] ),0))</f>
        <v>o</v>
      </c>
      <c r="AC24" s="32" t="str" cm="1">
        <f t="array" ref="AC24" xml:space="preserve"> INDEX(注音編碼對照表[方音符號], MATCH(TRUE, EXACT(RIME設定解析!$AA24, 注音編碼對照表[鍵盤按鍵] ),0))</f>
        <v>ㄜ</v>
      </c>
      <c r="AD24" s="482" t="e" cm="1">
        <f t="array" ref="AD24" xml:space="preserve"> INDEX(#REF!, MATCH(TRUE, EXACT(RIME設定解析!$AA24, 注音編碼對照表[鍵盤按鍵] ),0))</f>
        <v>#REF!</v>
      </c>
      <c r="AE24" s="430" t="str" cm="1">
        <f t="array" ref="AE24" xml:space="preserve"> INDEX(注音編碼對照表[台語音標], MATCH(TRUE, EXACT(RIME設定解析!$AA24, 注音編碼對照表[鍵盤按鍵] ),0))</f>
        <v>o</v>
      </c>
      <c r="AF24" s="366"/>
      <c r="AG24" s="366" t="e">
        <f t="shared" si="8"/>
        <v>#REF!</v>
      </c>
      <c r="AH24" s="2"/>
      <c r="AI24" s="372"/>
      <c r="AJ24" s="2"/>
      <c r="AY24" s="11"/>
      <c r="BA24" s="2"/>
      <c r="BB24" s="387"/>
      <c r="BE24" s="2"/>
    </row>
    <row r="25" spans="2:57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9"/>
        <v>23</v>
      </c>
      <c r="I25" s="136" t="str">
        <f t="shared" si="0"/>
        <v>M</v>
      </c>
      <c r="J25" s="136" t="str">
        <f t="shared" si="1"/>
        <v>m</v>
      </c>
      <c r="L25" s="2">
        <v>23</v>
      </c>
      <c r="M25" s="21" t="str">
        <f t="shared" si="19"/>
        <v>m</v>
      </c>
      <c r="N25" s="21" t="str">
        <f t="shared" si="3"/>
        <v>ㄇ</v>
      </c>
      <c r="P25" s="2">
        <v>23</v>
      </c>
      <c r="Q25" s="22" t="str">
        <f t="shared" si="4"/>
        <v>B</v>
      </c>
      <c r="R25" s="22" t="str">
        <f t="shared" si="5"/>
        <v>ㆬ</v>
      </c>
      <c r="T25" s="2">
        <v>23</v>
      </c>
      <c r="U25" s="363" t="str">
        <f t="shared" si="6"/>
        <v>m</v>
      </c>
      <c r="V25" s="365" t="str">
        <f t="shared" si="7"/>
        <v>M</v>
      </c>
      <c r="W25" s="364" t="e" cm="1">
        <f t="array" ref="W25" xml:space="preserve"> INDEX(#REF!, MATCH(TRUE, EXACT(表格1_33411[[#This Row],[注音編碼]], 注音編碼對照表[按鍵編碼]), 0))</f>
        <v>#REF!</v>
      </c>
      <c r="X25" s="366" t="str" cm="1">
        <f t="array" ref="X25" xml:space="preserve"> INDEX(注音編碼對照表!$D$3:$D$59, MATCH(TRUE, EXACT(表格1_33411[[#This Row],[注音編碼]], 注音編碼對照表!$H$3:$H$55), 0))</f>
        <v>-m</v>
      </c>
      <c r="Y25" s="24"/>
      <c r="Z25" s="77">
        <f t="shared" si="10"/>
        <v>23</v>
      </c>
      <c r="AA25" s="71" t="str">
        <f>注音編碼對照表!$G32</f>
        <v>,</v>
      </c>
      <c r="AB25" s="354" t="str" cm="1">
        <f t="array" ref="AB25" xml:space="preserve"> INDEX(注音編碼對照表[按鍵編碼], MATCH(TRUE, EXACT(RIME設定解析!$AA25, 注音編碼對照表[鍵盤按鍵] ),0))</f>
        <v>e</v>
      </c>
      <c r="AC25" s="32" t="str" cm="1">
        <f t="array" ref="AC25" xml:space="preserve"> INDEX(注音編碼對照表[方音符號], MATCH(TRUE, EXACT(RIME設定解析!$AA25, 注音編碼對照表[鍵盤按鍵] ),0))</f>
        <v>ㆤ</v>
      </c>
      <c r="AD25" s="482" t="e" cm="1">
        <f t="array" ref="AD25" xml:space="preserve"> INDEX(#REF!, MATCH(TRUE, EXACT(RIME設定解析!$AA25, 注音編碼對照表[鍵盤按鍵] ),0))</f>
        <v>#REF!</v>
      </c>
      <c r="AE25" s="430" t="str" cm="1">
        <f t="array" ref="AE25" xml:space="preserve"> INDEX(注音編碼對照表[台語音標], MATCH(TRUE, EXACT(RIME設定解析!$AA25, 注音編碼對照表[鍵盤按鍵] ),0))</f>
        <v>e</v>
      </c>
      <c r="AF25" s="366"/>
      <c r="AG25" s="366" t="e">
        <f t="shared" si="8"/>
        <v>#REF!</v>
      </c>
      <c r="AH25" s="2"/>
      <c r="AI25" s="372"/>
      <c r="AJ25" s="2"/>
      <c r="AY25" s="11"/>
      <c r="BA25" s="2"/>
      <c r="BB25" s="387"/>
      <c r="BE25" s="2"/>
    </row>
    <row r="26" spans="2:57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9"/>
        <v>24</v>
      </c>
      <c r="I26" s="136" t="str">
        <f t="shared" si="0"/>
        <v>a</v>
      </c>
      <c r="J26" s="136" t="str">
        <f t="shared" si="1"/>
        <v>8</v>
      </c>
      <c r="L26" s="2">
        <v>24</v>
      </c>
      <c r="M26" s="21" t="str">
        <f t="shared" si="19"/>
        <v>8</v>
      </c>
      <c r="N26" s="21" t="str">
        <f t="shared" si="3"/>
        <v>ㄚ</v>
      </c>
      <c r="P26" s="2">
        <v>24</v>
      </c>
      <c r="Q26" s="22" t="str">
        <f t="shared" si="4"/>
        <v>D</v>
      </c>
      <c r="R26" s="22" t="str">
        <f t="shared" si="5"/>
        <v>ㄣ</v>
      </c>
      <c r="T26" s="2">
        <v>24</v>
      </c>
      <c r="U26" s="363" t="str">
        <f t="shared" si="6"/>
        <v>8</v>
      </c>
      <c r="V26" s="365" t="str">
        <f t="shared" si="7"/>
        <v>a</v>
      </c>
      <c r="W26" s="364" t="e" cm="1">
        <f t="array" ref="W26" xml:space="preserve"> INDEX(#REF!, MATCH(TRUE, EXACT(表格1_33411[[#This Row],[注音編碼]], 注音編碼對照表[按鍵編碼]), 0))</f>
        <v>#REF!</v>
      </c>
      <c r="X26" s="366" t="str" cm="1">
        <f t="array" ref="X26" xml:space="preserve"> INDEX(注音編碼對照表!$D$3:$D$59, MATCH(TRUE, EXACT(表格1_33411[[#This Row],[注音編碼]], 注音編碼對照表!$H$3:$H$55), 0))</f>
        <v>a</v>
      </c>
      <c r="Y26" s="24"/>
      <c r="Z26" s="77">
        <f t="shared" si="10"/>
        <v>24</v>
      </c>
      <c r="AA26" s="71" t="str">
        <f>注音編碼對照表!$G34</f>
        <v>9</v>
      </c>
      <c r="AB26" s="354" t="str" cm="1">
        <f t="array" ref="AB26" xml:space="preserve"> INDEX(注音編碼對照表[按鍵編碼], MATCH(TRUE, EXACT(RIME設定解析!$AA26, 注音編碼對照表[鍵盤按鍵] ),0))</f>
        <v>x</v>
      </c>
      <c r="AC26" s="32" t="str" cm="1">
        <f t="array" ref="AC26" xml:space="preserve"> INDEX(注音編碼對照表[方音符號], MATCH(TRUE, EXACT(RIME設定解析!$AA26, 注音編碼對照表[鍵盤按鍵] ),0))</f>
        <v>ㄞ</v>
      </c>
      <c r="AD26" s="482" t="e" cm="1">
        <f t="array" ref="AD26" xml:space="preserve"> INDEX(#REF!, MATCH(TRUE, EXACT(RIME設定解析!$AA26, 注音編碼對照表[鍵盤按鍵] ),0))</f>
        <v>#REF!</v>
      </c>
      <c r="AE26" s="430" t="str" cm="1">
        <f t="array" ref="AE26" xml:space="preserve"> INDEX(注音編碼對照表[台語音標], MATCH(TRUE, EXACT(RIME設定解析!$AA26, 注音編碼對照表[鍵盤按鍵] ),0))</f>
        <v>ai</v>
      </c>
      <c r="AF26" s="366"/>
      <c r="AG26" s="366" t="e">
        <f xml:space="preserve"> """" &amp; AA31 &amp; """ : " &amp; AD31</f>
        <v>#REF!</v>
      </c>
      <c r="AH26" s="2"/>
      <c r="AI26" s="372" t="s">
        <v>67</v>
      </c>
      <c r="AJ26" s="2"/>
      <c r="AY26" s="11"/>
      <c r="BA26" s="2"/>
      <c r="BB26" s="387"/>
      <c r="BE26" s="2"/>
    </row>
    <row r="27" spans="2:57" ht="32.25">
      <c r="H27" s="2">
        <f t="shared" si="9"/>
        <v>25</v>
      </c>
      <c r="I27" s="136" t="str">
        <f t="shared" si="0"/>
        <v>O</v>
      </c>
      <c r="J27" s="136" t="str">
        <f t="shared" si="1"/>
        <v>i</v>
      </c>
      <c r="L27" s="2">
        <v>25</v>
      </c>
      <c r="M27" s="21" t="str">
        <f t="shared" si="19"/>
        <v>i</v>
      </c>
      <c r="N27" s="21" t="str">
        <f t="shared" si="3"/>
        <v>ㆦ</v>
      </c>
      <c r="P27" s="2">
        <v>25</v>
      </c>
      <c r="Q27" s="22" t="str">
        <f t="shared" si="4"/>
        <v>G</v>
      </c>
      <c r="R27" s="22" t="str">
        <f t="shared" si="5"/>
        <v>ㆭ</v>
      </c>
      <c r="T27" s="2">
        <v>25</v>
      </c>
      <c r="U27" s="363" t="str">
        <f t="shared" si="6"/>
        <v>i</v>
      </c>
      <c r="V27" s="365" t="str">
        <f t="shared" si="7"/>
        <v>O</v>
      </c>
      <c r="W27" s="364" t="e" cm="1">
        <f t="array" ref="W27" xml:space="preserve"> INDEX(#REF!, MATCH(TRUE, EXACT(表格1_33411[[#This Row],[注音編碼]], 注音編碼對照表[按鍵編碼]), 0))</f>
        <v>#REF!</v>
      </c>
      <c r="X27" s="366" t="str" cm="1">
        <f t="array" ref="X27" xml:space="preserve"> INDEX(注音編碼對照表!$D$3:$D$59, MATCH(TRUE, EXACT(表格1_33411[[#This Row],[注音編碼]], 注音編碼對照表!$H$3:$H$55), 0))</f>
        <v>oo</v>
      </c>
      <c r="Y27" s="24"/>
      <c r="Z27" s="77">
        <f t="shared" si="10"/>
        <v>25</v>
      </c>
      <c r="AA27" s="71" t="str">
        <f>注音編碼對照表!$G36</f>
        <v>l</v>
      </c>
      <c r="AB27" s="354" t="str" cm="1">
        <f t="array" ref="AB27" xml:space="preserve"> INDEX(注音編碼對照表[按鍵編碼], MATCH(TRUE, EXACT(RIME設定解析!$AA27, 注音編碼對照表[鍵盤按鍵] ),0))</f>
        <v>y</v>
      </c>
      <c r="AC27" s="32" t="str" cm="1">
        <f t="array" ref="AC27" xml:space="preserve"> INDEX(注音編碼對照表[方音符號], MATCH(TRUE, EXACT(RIME設定解析!$AA27, 注音編碼對照表[鍵盤按鍵] ),0))</f>
        <v>ㄠ</v>
      </c>
      <c r="AD27" s="482" t="e" cm="1">
        <f t="array" ref="AD27" xml:space="preserve"> INDEX(#REF!, MATCH(TRUE, EXACT(RIME設定解析!$AA27, 注音編碼對照表[鍵盤按鍵] ),0))</f>
        <v>#REF!</v>
      </c>
      <c r="AE27" s="430" t="str" cm="1">
        <f t="array" ref="AE27" xml:space="preserve"> INDEX(注音編碼對照表[台語音標], MATCH(TRUE, EXACT(RIME設定解析!$AA27, 注音編碼對照表[鍵盤按鍵] ),0))</f>
        <v>au</v>
      </c>
      <c r="AF27" s="366"/>
      <c r="AG27" s="366" t="e">
        <f xml:space="preserve"> """" &amp; AA26 &amp; """ : " &amp; AD26</f>
        <v>#REF!</v>
      </c>
      <c r="AH27" s="2"/>
      <c r="AI27" s="372" t="s">
        <v>121</v>
      </c>
      <c r="AJ27" s="2"/>
      <c r="AY27" s="11"/>
      <c r="BA27" s="2"/>
      <c r="BB27" s="387"/>
      <c r="BE27" s="2"/>
    </row>
    <row r="28" spans="2:57" ht="32.25">
      <c r="H28" s="2">
        <f t="shared" si="9"/>
        <v>26</v>
      </c>
      <c r="I28" s="136" t="str">
        <f t="shared" si="0"/>
        <v>o</v>
      </c>
      <c r="J28" s="136" t="str">
        <f t="shared" si="1"/>
        <v>k</v>
      </c>
      <c r="L28" s="2">
        <v>26</v>
      </c>
      <c r="M28" s="21" t="str">
        <f t="shared" si="19"/>
        <v>k</v>
      </c>
      <c r="N28" s="21" t="str">
        <f t="shared" si="3"/>
        <v>ㄜ</v>
      </c>
      <c r="P28" s="2">
        <v>26</v>
      </c>
      <c r="Q28" s="22" t="str">
        <f t="shared" si="4"/>
        <v>N</v>
      </c>
      <c r="R28" s="22" t="str">
        <f t="shared" si="5"/>
        <v>ｎ</v>
      </c>
      <c r="T28" s="2">
        <v>26</v>
      </c>
      <c r="U28" s="363" t="str">
        <f t="shared" si="6"/>
        <v>k</v>
      </c>
      <c r="V28" s="365" t="str">
        <f t="shared" si="7"/>
        <v>o</v>
      </c>
      <c r="W28" s="364" t="e" cm="1">
        <f t="array" ref="W28" xml:space="preserve"> INDEX(#REF!, MATCH(TRUE, EXACT(表格1_33411[[#This Row],[注音編碼]], 注音編碼對照表[按鍵編碼]), 0))</f>
        <v>#REF!</v>
      </c>
      <c r="X28" s="366" t="str" cm="1">
        <f t="array" ref="X28" xml:space="preserve"> INDEX(注音編碼對照表!$D$3:$D$59, MATCH(TRUE, EXACT(表格1_33411[[#This Row],[注音編碼]], 注音編碼對照表!$H$3:$H$55), 0))</f>
        <v>o</v>
      </c>
      <c r="Y28" s="24"/>
      <c r="Z28" s="77">
        <f t="shared" si="10"/>
        <v>26</v>
      </c>
      <c r="AA28" s="71" t="str">
        <f>注音編碼對照表!$G38</f>
        <v>0</v>
      </c>
      <c r="AB28" s="354" t="str" cm="1">
        <f t="array" ref="AB28" xml:space="preserve"> INDEX(注音編碼對照表[按鍵編碼], MATCH(TRUE, EXACT(RIME設定解析!$AA28, 注音編碼對照表[鍵盤按鍵] ),0))</f>
        <v>@</v>
      </c>
      <c r="AC28" s="32" t="str" cm="1">
        <f t="array" ref="AC28" xml:space="preserve"> INDEX(注音編碼對照表[方音符號], MATCH(TRUE, EXACT(RIME設定解析!$AA28, 注音編碼對照表[鍵盤按鍵] ),0))</f>
        <v>ㄢ</v>
      </c>
      <c r="AD28" s="482" t="e" cm="1">
        <f t="array" ref="AD28" xml:space="preserve"> INDEX(#REF!, MATCH(TRUE, EXACT(RIME設定解析!$AA28, 注音編碼對照表[鍵盤按鍵] ),0))</f>
        <v>#REF!</v>
      </c>
      <c r="AE28" s="430" t="str" cm="1">
        <f t="array" ref="AE28" xml:space="preserve"> INDEX(注音編碼對照表[台語音標], MATCH(TRUE, EXACT(RIME設定解析!$AA28, 注音編碼對照表[鍵盤按鍵] ),0))</f>
        <v>an</v>
      </c>
      <c r="AF28" s="366"/>
      <c r="AG28" s="366" t="e">
        <f xml:space="preserve"> """" &amp; AA27 &amp; """ : " &amp; AD27</f>
        <v>#REF!</v>
      </c>
      <c r="AH28" s="2"/>
      <c r="AI28" s="372" t="s">
        <v>473</v>
      </c>
      <c r="AJ28" s="2"/>
      <c r="AY28" s="11"/>
      <c r="BA28" s="2"/>
      <c r="BB28" s="387"/>
      <c r="BE28" s="2"/>
    </row>
    <row r="29" spans="2:57" ht="32.25">
      <c r="H29" s="2">
        <f t="shared" si="9"/>
        <v>27</v>
      </c>
      <c r="I29" s="136" t="str">
        <f t="shared" si="0"/>
        <v>e</v>
      </c>
      <c r="J29" s="136" t="str">
        <f t="shared" si="1"/>
        <v>,</v>
      </c>
      <c r="L29" s="2">
        <v>27</v>
      </c>
      <c r="M29" s="21" t="str">
        <f t="shared" si="19"/>
        <v>,</v>
      </c>
      <c r="N29" s="21" t="str">
        <f t="shared" si="3"/>
        <v>ㄝ</v>
      </c>
      <c r="P29" s="2">
        <v>27</v>
      </c>
      <c r="Q29" s="22" t="str">
        <f t="shared" si="4"/>
        <v/>
      </c>
      <c r="R29" s="22" t="str">
        <f t="shared" si="5"/>
        <v/>
      </c>
      <c r="T29" s="2">
        <v>27</v>
      </c>
      <c r="U29" s="363" t="str">
        <f t="shared" si="6"/>
        <v>,</v>
      </c>
      <c r="V29" s="365" t="str">
        <f t="shared" si="7"/>
        <v>e</v>
      </c>
      <c r="W29" s="364" t="e" cm="1">
        <f t="array" ref="W29" xml:space="preserve"> INDEX(#REF!, MATCH(TRUE, EXACT(表格1_33411[[#This Row],[注音編碼]], 注音編碼對照表[按鍵編碼]), 0))</f>
        <v>#REF!</v>
      </c>
      <c r="X29" s="366" t="str" cm="1">
        <f t="array" ref="X29" xml:space="preserve"> INDEX(注音編碼對照表!$D$3:$D$59, MATCH(TRUE, EXACT(表格1_33411[[#This Row],[注音編碼]], 注音編碼對照表!$H$3:$H$55), 0))</f>
        <v>e</v>
      </c>
      <c r="Y29" s="24"/>
      <c r="Z29" s="77">
        <f t="shared" si="10"/>
        <v>27</v>
      </c>
      <c r="AA29" s="71" t="str">
        <f>注音編碼對照表!$G40</f>
        <v>;</v>
      </c>
      <c r="AB29" s="354" t="str" cm="1">
        <f t="array" ref="AB29" xml:space="preserve"> INDEX(注音編碼對照表[按鍵編碼], MATCH(TRUE, EXACT(RIME設定解析!$AA29, 注音編碼對照表[鍵盤按鍵] ),0))</f>
        <v>G</v>
      </c>
      <c r="AC29" s="32" t="str" cm="1">
        <f t="array" ref="AC29" xml:space="preserve"> INDEX(注音編碼對照表[方音符號], MATCH(TRUE, EXACT(RIME設定解析!$AA29, 注音編碼對照表[鍵盤按鍵] ),0))</f>
        <v>ㄤ</v>
      </c>
      <c r="AD29" s="482" t="e" cm="1">
        <f t="array" ref="AD29" xml:space="preserve"> INDEX(#REF!, MATCH(TRUE, EXACT(RIME設定解析!$AA29, 注音編碼對照表[鍵盤按鍵] ),0))</f>
        <v>#REF!</v>
      </c>
      <c r="AE29" s="430" t="str" cm="1">
        <f t="array" ref="AE29" xml:space="preserve"> INDEX(注音編碼對照表[台語音標], MATCH(TRUE, EXACT(RIME設定解析!$AA29, 注音編碼對照表[鍵盤按鍵] ),0))</f>
        <v>ang</v>
      </c>
      <c r="AF29" s="366"/>
      <c r="AG29" s="366" t="e">
        <f xml:space="preserve"> """" &amp; AA28 &amp; """ : " &amp; AD28</f>
        <v>#REF!</v>
      </c>
      <c r="AH29" s="2"/>
      <c r="AI29" s="372" t="s">
        <v>61</v>
      </c>
      <c r="AJ29" s="2"/>
      <c r="AY29" s="11"/>
      <c r="BA29" s="2"/>
      <c r="BB29" s="387"/>
      <c r="BE29" s="2"/>
    </row>
    <row r="30" spans="2:57" ht="32.25">
      <c r="H30" s="2">
        <f t="shared" si="9"/>
        <v>28</v>
      </c>
      <c r="I30" s="136" t="str">
        <f t="shared" si="0"/>
        <v>y</v>
      </c>
      <c r="J30" s="136" t="str">
        <f t="shared" si="1"/>
        <v>9</v>
      </c>
      <c r="L30" s="2">
        <v>28</v>
      </c>
      <c r="M30" s="21" t="str">
        <f t="shared" si="19"/>
        <v>9</v>
      </c>
      <c r="N30" s="21" t="str">
        <f t="shared" si="3"/>
        <v>ㄞ</v>
      </c>
      <c r="P30" s="2">
        <v>28</v>
      </c>
      <c r="Q30" s="22" t="str">
        <f t="shared" si="4"/>
        <v/>
      </c>
      <c r="R30" s="22" t="str">
        <f t="shared" si="5"/>
        <v/>
      </c>
      <c r="T30" s="2">
        <v>28</v>
      </c>
      <c r="U30" s="363" t="str">
        <f t="shared" si="6"/>
        <v>9</v>
      </c>
      <c r="V30" s="365" t="str">
        <f t="shared" si="7"/>
        <v>y</v>
      </c>
      <c r="W30" s="364" t="e" cm="1">
        <f t="array" ref="W30" xml:space="preserve"> INDEX(#REF!, MATCH(TRUE, EXACT(表格1_33411[[#This Row],[注音編碼]], 注音編碼對照表[按鍵編碼]), 0))</f>
        <v>#REF!</v>
      </c>
      <c r="X30" s="366" t="str" cm="1">
        <f t="array" ref="X30" xml:space="preserve"> INDEX(注音編碼對照表!$D$3:$D$59, MATCH(TRUE, EXACT(表格1_33411[[#This Row],[注音編碼]], 注音編碼對照表!$H$3:$H$55), 0))</f>
        <v>au</v>
      </c>
      <c r="Y30" s="24"/>
      <c r="Z30" s="77">
        <f t="shared" si="10"/>
        <v>28</v>
      </c>
      <c r="AA30" s="71" t="str">
        <f>注音編碼對照表!$G41</f>
        <v>-</v>
      </c>
      <c r="AB30" s="354" t="str" cm="1">
        <f t="array" ref="AB30" xml:space="preserve"> INDEX(注音編碼對照表[按鍵編碼], MATCH(TRUE, EXACT(RIME設定解析!$AA30, 注音編碼對照表[鍵盤按鍵] ),0))</f>
        <v>R</v>
      </c>
      <c r="AC30" s="32" t="str" cm="1">
        <f t="array" ref="AC30" xml:space="preserve"> INDEX(注音編碼對照表[方音符號], MATCH(TRUE, EXACT(RIME設定解析!$AA30, 注音編碼對照表[鍵盤按鍵] ),0))</f>
        <v>ㆨ</v>
      </c>
      <c r="AD30" s="482" t="e" cm="1">
        <f t="array" ref="AD30" xml:space="preserve"> INDEX(#REF!, MATCH(TRUE, EXACT(RIME設定解析!$AA30, 注音編碼對照表[鍵盤按鍵] ),0))</f>
        <v>#REF!</v>
      </c>
      <c r="AE30" s="430" t="str" cm="1">
        <f t="array" ref="AE30" xml:space="preserve"> INDEX(注音編碼對照表[台語音標], MATCH(TRUE, EXACT(RIME設定解析!$AA30, 注音編碼對照表[鍵盤按鍵] ),0))</f>
        <v>ir</v>
      </c>
      <c r="AF30" s="366"/>
      <c r="AG30" s="366" t="e">
        <f xml:space="preserve"> """" &amp; AA29 &amp; """ : " &amp; AD29</f>
        <v>#REF!</v>
      </c>
      <c r="AH30" s="2"/>
      <c r="AI30" s="372" t="s">
        <v>119</v>
      </c>
      <c r="AJ30" s="2"/>
      <c r="AY30" s="11"/>
      <c r="BA30" s="2"/>
      <c r="BB30" s="387"/>
      <c r="BE30" s="2"/>
    </row>
    <row r="31" spans="2:57" ht="32.25">
      <c r="H31" s="2">
        <f t="shared" si="9"/>
        <v>29</v>
      </c>
      <c r="I31" s="136" t="str">
        <f t="shared" si="0"/>
        <v>x</v>
      </c>
      <c r="J31" s="136" t="str">
        <f t="shared" si="1"/>
        <v>l</v>
      </c>
      <c r="L31" s="2">
        <v>29</v>
      </c>
      <c r="M31" s="21" t="str">
        <f t="shared" si="19"/>
        <v>l</v>
      </c>
      <c r="N31" s="21" t="str">
        <f t="shared" si="3"/>
        <v>ㄠ</v>
      </c>
      <c r="P31" s="2">
        <v>29</v>
      </c>
      <c r="Q31" s="22" t="str">
        <f t="shared" si="4"/>
        <v/>
      </c>
      <c r="R31" s="22" t="str">
        <f t="shared" si="5"/>
        <v/>
      </c>
      <c r="T31" s="2">
        <v>29</v>
      </c>
      <c r="U31" s="363" t="str">
        <f t="shared" si="6"/>
        <v>l</v>
      </c>
      <c r="V31" s="365" t="str">
        <f t="shared" si="7"/>
        <v>x</v>
      </c>
      <c r="W31" s="364" t="e" cm="1">
        <f t="array" ref="W31" xml:space="preserve"> INDEX(#REF!, MATCH(TRUE, EXACT(表格1_33411[[#This Row],[注音編碼]], 注音編碼對照表[按鍵編碼]), 0))</f>
        <v>#REF!</v>
      </c>
      <c r="X31" s="366" t="str" cm="1">
        <f t="array" ref="X31" xml:space="preserve"> INDEX(注音編碼對照表!$D$3:$D$59, MATCH(TRUE, EXACT(表格1_33411[[#This Row],[注音編碼]], 注音編碼對照表!$H$3:$H$55), 0))</f>
        <v>ai</v>
      </c>
      <c r="Y31" s="24"/>
      <c r="Z31" s="77">
        <f t="shared" si="10"/>
        <v>29</v>
      </c>
      <c r="AA31" s="71" t="str">
        <f>注音編碼對照表!$G24</f>
        <v>U</v>
      </c>
      <c r="AB31" s="354" t="str" cm="1">
        <f t="array" ref="AB31" xml:space="preserve"> INDEX(注音編碼對照表[按鍵編碼], MATCH(TRUE, EXACT(RIME設定解析!$AA31, 注音編碼對照表[鍵盤按鍵] ),0))</f>
        <v>I</v>
      </c>
      <c r="AC31" s="32" t="str" cm="1">
        <f t="array" ref="AC31" xml:space="preserve"> INDEX(注音編碼對照表[方音符號], MATCH(TRUE, EXACT(RIME設定解析!$AA31, 注音編碼對照表[鍵盤按鍵] ),0))</f>
        <v>ㆪ</v>
      </c>
      <c r="AD31" s="482" t="e" cm="1">
        <f t="array" ref="AD31" xml:space="preserve"> INDEX(#REF!, MATCH(TRUE, EXACT(RIME設定解析!$AA31, 注音編碼對照表[鍵盤按鍵] ),0))</f>
        <v>#REF!</v>
      </c>
      <c r="AE31" s="430" t="str" cm="1">
        <f t="array" ref="AE31" xml:space="preserve"> INDEX(注音編碼對照表[台語音標], MATCH(TRUE, EXACT(RIME設定解析!$AA31, 注音編碼對照表[鍵盤按鍵] ),0))</f>
        <v>inn</v>
      </c>
      <c r="AF31" s="366"/>
      <c r="AG31" s="366" t="e">
        <f xml:space="preserve"> """" &amp; AA30 &amp; """ : " &amp; AD30</f>
        <v>#REF!</v>
      </c>
      <c r="AH31" s="2"/>
      <c r="AI31" s="372" t="s">
        <v>241</v>
      </c>
      <c r="AJ31" s="2"/>
      <c r="AY31" s="11"/>
      <c r="BA31" s="2"/>
      <c r="BB31" s="387"/>
      <c r="BE31" s="2"/>
    </row>
    <row r="32" spans="2:57" ht="32.25">
      <c r="H32" s="2">
        <f t="shared" si="9"/>
        <v>30</v>
      </c>
      <c r="I32" s="136" t="str">
        <f t="shared" si="0"/>
        <v>B</v>
      </c>
      <c r="J32" s="136" t="str">
        <f t="shared" si="1"/>
        <v>.</v>
      </c>
      <c r="L32" s="2">
        <v>30</v>
      </c>
      <c r="M32" s="21" t="str">
        <f t="shared" si="19"/>
        <v>.</v>
      </c>
      <c r="N32" s="21" t="str">
        <f t="shared" si="3"/>
        <v>ｎ</v>
      </c>
      <c r="P32" s="2">
        <v>30</v>
      </c>
      <c r="Q32" s="22" t="str">
        <f t="shared" si="4"/>
        <v/>
      </c>
      <c r="R32" s="22" t="str">
        <f t="shared" si="5"/>
        <v/>
      </c>
      <c r="T32" s="2">
        <v>30</v>
      </c>
      <c r="U32" s="363" t="str">
        <f t="shared" si="6"/>
        <v>.</v>
      </c>
      <c r="V32" s="365" t="str">
        <f t="shared" si="7"/>
        <v>B</v>
      </c>
      <c r="W32" s="364" t="e" cm="1">
        <f t="array" ref="W32" xml:space="preserve"> INDEX(#REF!, MATCH(TRUE, EXACT(表格1_33411[[#This Row],[注音編碼]], 注音編碼對照表[按鍵編碼]), 0))</f>
        <v>#REF!</v>
      </c>
      <c r="X32" s="366" t="str" cm="1">
        <f t="array" ref="X32" xml:space="preserve"> INDEX(注音編碼對照表!$D$3:$D$59, MATCH(TRUE, EXACT(表格1_33411[[#This Row],[注音編碼]], 注音編碼對照表!$H$3:$H$55), 0))</f>
        <v>b</v>
      </c>
      <c r="Y32" s="24"/>
      <c r="Z32" s="77">
        <f t="shared" si="10"/>
        <v>30</v>
      </c>
      <c r="AA32" s="71" t="str">
        <f>注音編碼對照表!$G26</f>
        <v>J</v>
      </c>
      <c r="AB32" s="354" t="str" cm="1">
        <f t="array" ref="AB32" xml:space="preserve"> INDEX(注音編碼對照表[按鍵編碼], MATCH(TRUE, EXACT(RIME設定解析!$AA32, 注音編碼對照表[鍵盤按鍵] ),0))</f>
        <v>U</v>
      </c>
      <c r="AC32" s="32" t="str" cm="1">
        <f t="array" ref="AC32" xml:space="preserve"> INDEX(注音編碼對照表[方音符號], MATCH(TRUE, EXACT(RIME設定解析!$AA32, 注音編碼對照表[鍵盤按鍵] ),0))</f>
        <v>ㆫ</v>
      </c>
      <c r="AD32" s="482" t="e" cm="1">
        <f t="array" ref="AD32" xml:space="preserve"> INDEX(#REF!, MATCH(TRUE, EXACT(RIME設定解析!$AA32, 注音編碼對照表[鍵盤按鍵] ),0))</f>
        <v>#REF!</v>
      </c>
      <c r="AE32" s="430" t="str" cm="1">
        <f t="array" ref="AE32" xml:space="preserve"> INDEX(注音編碼對照表[台語音標], MATCH(TRUE, EXACT(RIME設定解析!$AA32, 注音編碼對照表[鍵盤按鍵] ),0))</f>
        <v>unn</v>
      </c>
      <c r="AF32" s="366"/>
      <c r="AG32" s="366" t="e">
        <f xml:space="preserve"> """" &amp; AA32 &amp; """ : " &amp; AD32</f>
        <v>#REF!</v>
      </c>
      <c r="AH32" s="2"/>
      <c r="AI32" s="372" t="s">
        <v>117</v>
      </c>
      <c r="AY32" s="11"/>
      <c r="BA32" s="2"/>
      <c r="BB32" s="387"/>
      <c r="BE32" s="2"/>
    </row>
    <row r="33" spans="2:57" ht="32.25">
      <c r="H33" s="2">
        <f t="shared" si="9"/>
        <v>31</v>
      </c>
      <c r="I33" s="136" t="str">
        <f t="shared" si="0"/>
        <v>@</v>
      </c>
      <c r="J33" s="136" t="str">
        <f t="shared" si="1"/>
        <v>0</v>
      </c>
      <c r="L33" s="2">
        <v>31</v>
      </c>
      <c r="M33" s="21" t="str">
        <f t="shared" si="19"/>
        <v>0</v>
      </c>
      <c r="N33" s="21" t="str">
        <f t="shared" si="3"/>
        <v>ㄢ</v>
      </c>
      <c r="P33" s="2">
        <v>31</v>
      </c>
      <c r="Q33" s="22" t="str">
        <f t="shared" si="4"/>
        <v/>
      </c>
      <c r="R33" s="22" t="str">
        <f t="shared" si="5"/>
        <v/>
      </c>
      <c r="T33" s="2">
        <v>31</v>
      </c>
      <c r="U33" s="363" t="str">
        <f t="shared" si="6"/>
        <v>0</v>
      </c>
      <c r="V33" s="365" t="str">
        <f t="shared" si="7"/>
        <v>@</v>
      </c>
      <c r="W33" s="364" t="e" cm="1">
        <f t="array" ref="W33" xml:space="preserve"> INDEX(#REF!, MATCH(TRUE, EXACT(表格1_33411[[#This Row],[注音編碼]], 注音編碼對照表[按鍵編碼]), 0))</f>
        <v>#REF!</v>
      </c>
      <c r="X33" s="366" t="str" cm="1">
        <f t="array" ref="X33" xml:space="preserve"> INDEX(注音編碼對照表!$D$3:$D$59, MATCH(TRUE, EXACT(表格1_33411[[#This Row],[注音編碼]], 注音編碼對照表!$H$3:$H$55), 0))</f>
        <v>an</v>
      </c>
      <c r="Y33" s="24"/>
      <c r="Z33" s="77">
        <f t="shared" si="10"/>
        <v>31</v>
      </c>
      <c r="AA33" s="71" t="str">
        <f>注音編碼對照表!$G28</f>
        <v>*</v>
      </c>
      <c r="AB33" s="354" t="str" cm="1">
        <f t="array" ref="AB33" xml:space="preserve"> INDEX(注音編碼對照表[按鍵編碼], MATCH(TRUE, EXACT(RIME設定解析!$AA33, 注音編碼對照表[鍵盤按鍵] ),0))</f>
        <v>A</v>
      </c>
      <c r="AC33" s="32" t="str" cm="1">
        <f t="array" ref="AC33" xml:space="preserve"> INDEX(注音編碼對照表[方音符號], MATCH(TRUE, EXACT(RIME設定解析!$AA33, 注音編碼對照表[鍵盤按鍵] ),0))</f>
        <v>ㆩ</v>
      </c>
      <c r="AD33" s="482" t="e" cm="1">
        <f t="array" ref="AD33" xml:space="preserve"> INDEX(#REF!, MATCH(TRUE, EXACT(RIME設定解析!$AA33, 注音編碼對照表[鍵盤按鍵] ),0))</f>
        <v>#REF!</v>
      </c>
      <c r="AE33" s="430" t="str" cm="1">
        <f t="array" ref="AE33" xml:space="preserve"> INDEX(注音編碼對照表[台語音標], MATCH(TRUE, EXACT(RIME設定解析!$AA33, 注音編碼對照表[鍵盤按鍵] ),0))</f>
        <v>ann</v>
      </c>
      <c r="AF33" s="366"/>
      <c r="AG33" s="366" t="e">
        <f xml:space="preserve"> """" &amp; AA33 &amp; """ : " &amp; AD33</f>
        <v>#REF!</v>
      </c>
      <c r="AH33" s="2"/>
      <c r="AI33" s="372" t="s">
        <v>72</v>
      </c>
      <c r="AJ33" s="2"/>
      <c r="AY33" s="11"/>
      <c r="BA33" s="2"/>
      <c r="BB33" s="387"/>
      <c r="BE33" s="2"/>
    </row>
    <row r="34" spans="2:57" ht="32.25">
      <c r="H34" s="2">
        <f t="shared" si="9"/>
        <v>32</v>
      </c>
      <c r="I34" s="136" t="str">
        <f t="shared" si="0"/>
        <v>N</v>
      </c>
      <c r="J34" s="136" t="str">
        <f t="shared" si="1"/>
        <v>p</v>
      </c>
      <c r="L34" s="2">
        <v>32</v>
      </c>
      <c r="M34" s="21" t="str">
        <f t="shared" si="19"/>
        <v>p</v>
      </c>
      <c r="N34" s="21" t="str">
        <f t="shared" si="3"/>
        <v>ㄣ</v>
      </c>
      <c r="P34" s="2">
        <v>32</v>
      </c>
      <c r="Q34" s="22" t="str">
        <f t="shared" si="4"/>
        <v/>
      </c>
      <c r="R34" s="22" t="str">
        <f t="shared" si="5"/>
        <v/>
      </c>
      <c r="T34" s="2">
        <v>32</v>
      </c>
      <c r="U34" s="363" t="str">
        <f t="shared" si="6"/>
        <v>p</v>
      </c>
      <c r="V34" s="365" t="str">
        <f t="shared" si="7"/>
        <v>N</v>
      </c>
      <c r="W34" s="364" t="e" cm="1">
        <f t="array" ref="W34" xml:space="preserve"> INDEX(#REF!, MATCH(TRUE, EXACT(表格1_33411[[#This Row],[注音編碼]], 注音編碼對照表[按鍵編碼]), 0))</f>
        <v>#REF!</v>
      </c>
      <c r="X34" s="366" t="str" cm="1">
        <f t="array" ref="X34" xml:space="preserve"> INDEX(注音編碼對照表!$D$3:$D$59, MATCH(TRUE, EXACT(表格1_33411[[#This Row],[注音編碼]], 注音編碼對照表!$H$3:$H$55), 0))</f>
        <v>enn</v>
      </c>
      <c r="Y34" s="24"/>
      <c r="Z34" s="77">
        <f t="shared" si="10"/>
        <v>32</v>
      </c>
      <c r="AA34" s="71" t="str">
        <f>注音編碼對照表!$G30</f>
        <v>I</v>
      </c>
      <c r="AB34" s="354" t="str" cm="1">
        <f t="array" ref="AB34" xml:space="preserve"> INDEX(注音編碼對照表[按鍵編碼], MATCH(TRUE, EXACT(RIME設定解析!$AA34, 注音編碼對照表[鍵盤按鍵] ),0))</f>
        <v>Q</v>
      </c>
      <c r="AC34" s="32" t="str" cm="1">
        <f t="array" ref="AC34" xml:space="preserve"> INDEX(注音編碼對照表[方音符號], MATCH(TRUE, EXACT(RIME設定解析!$AA34, 注音編碼對照表[鍵盤按鍵] ),0))</f>
        <v>ㆧ</v>
      </c>
      <c r="AD34" s="482" t="e" cm="1">
        <f t="array" ref="AD34" xml:space="preserve"> INDEX(#REF!, MATCH(TRUE, EXACT(RIME設定解析!$AA34, 注音編碼對照表[鍵盤按鍵] ),0))</f>
        <v>#REF!</v>
      </c>
      <c r="AE34" s="430" t="str" cm="1">
        <f t="array" ref="AE34" xml:space="preserve"> INDEX(注音編碼對照表[台語音標], MATCH(TRUE, EXACT(RIME設定解析!$AA34, 注音編碼對照表[鍵盤按鍵] ),0))</f>
        <v>onn</v>
      </c>
      <c r="AF34" s="366"/>
      <c r="AG34" s="366" t="e">
        <f xml:space="preserve"> """" &amp; AA34 &amp; """ : " &amp; AD34</f>
        <v>#REF!</v>
      </c>
      <c r="AH34" s="2"/>
      <c r="AI34" s="372" t="s">
        <v>123</v>
      </c>
      <c r="AJ34" s="2"/>
      <c r="AY34" s="11"/>
      <c r="BA34" s="2"/>
      <c r="BB34" s="387"/>
      <c r="BE34" s="2"/>
    </row>
    <row r="35" spans="2:57" ht="32.25">
      <c r="H35" s="2">
        <f t="shared" si="9"/>
        <v>33</v>
      </c>
      <c r="I35" s="136" t="str">
        <f t="shared" ref="I35:I54" si="20" xml:space="preserve"> IFERROR( MID($B$6, $H35, 1), "")</f>
        <v>[</v>
      </c>
      <c r="J35" s="136" t="str">
        <f t="shared" ref="J35:J54" si="21" xml:space="preserve"> IFERROR( MID($B$7, $H35, 1), "")</f>
        <v>;</v>
      </c>
      <c r="L35" s="2">
        <v>33</v>
      </c>
      <c r="M35" s="21" t="str">
        <f t="shared" si="19"/>
        <v>;</v>
      </c>
      <c r="N35" s="21" t="str">
        <f t="shared" ref="N35:N54" si="22" xml:space="preserve"> IFERROR( MID($B$16, $H35, 1), "")</f>
        <v>ㄤ</v>
      </c>
      <c r="P35" s="2">
        <v>33</v>
      </c>
      <c r="Q35" s="22" t="str">
        <f t="shared" si="4"/>
        <v/>
      </c>
      <c r="R35" s="22" t="str">
        <f t="shared" si="5"/>
        <v/>
      </c>
      <c r="T35" s="2">
        <v>33</v>
      </c>
      <c r="U35" s="363" t="str">
        <f t="shared" ref="U35:U53" si="23" xml:space="preserve"> J35</f>
        <v>;</v>
      </c>
      <c r="V35" s="365" t="str">
        <f t="shared" ref="V35:V53" si="24">I35</f>
        <v>[</v>
      </c>
      <c r="W35" s="364" t="e" cm="1">
        <f t="array" ref="W35" xml:space="preserve"> INDEX(#REF!, MATCH(TRUE, EXACT(表格1_33411[[#This Row],[注音編碼]], 注音編碼對照表[按鍵編碼]), 0))</f>
        <v>#REF!</v>
      </c>
      <c r="X35" s="366" t="str" cm="1">
        <f t="array" ref="X35" xml:space="preserve"> INDEX(注音編碼對照表!$D$3:$D$59, MATCH(TRUE, EXACT(表格1_33411[[#This Row],[注音編碼]], 注音編碼對照表!$H$3:$H$55), 0))</f>
        <v>am</v>
      </c>
      <c r="Y35" s="24"/>
      <c r="Z35" s="77">
        <f t="shared" si="10"/>
        <v>33</v>
      </c>
      <c r="AA35" s="71" t="str">
        <f>注音編碼對照表!$G33</f>
        <v>&lt;</v>
      </c>
      <c r="AB35" s="354" t="str" cm="1">
        <f t="array" ref="AB35" xml:space="preserve"> INDEX(注音編碼對照表[按鍵編碼], MATCH(TRUE, EXACT(RIME設定解析!$AA35, 注音編碼對照表[鍵盤按鍵] ),0))</f>
        <v>E</v>
      </c>
      <c r="AC35" s="32" t="str" cm="1">
        <f t="array" ref="AC35" xml:space="preserve"> INDEX(注音編碼對照表[方音符號], MATCH(TRUE, EXACT(RIME設定解析!$AA35, 注音編碼對照表[鍵盤按鍵] ),0))</f>
        <v>ㆥ</v>
      </c>
      <c r="AD35" s="482" t="e" cm="1">
        <f t="array" ref="AD35" xml:space="preserve"> INDEX(#REF!, MATCH(TRUE, EXACT(RIME設定解析!$AA35, 注音編碼對照表[鍵盤按鍵] ),0))</f>
        <v>#REF!</v>
      </c>
      <c r="AE35" s="430" t="str" cm="1">
        <f t="array" ref="AE35" xml:space="preserve"> INDEX(注音編碼對照表[台語音標], MATCH(TRUE, EXACT(RIME設定解析!$AA35, 注音編碼對照表[鍵盤按鍵] ),0))</f>
        <v>enn</v>
      </c>
      <c r="AF35" s="366"/>
      <c r="AG35" s="366" t="e">
        <f t="shared" ref="AG35:AG39" si="25" xml:space="preserve"> """" &amp; AA35 &amp; """ : " &amp; AD35</f>
        <v>#REF!</v>
      </c>
      <c r="AH35" s="2"/>
      <c r="AI35" s="372" t="s">
        <v>97</v>
      </c>
      <c r="AJ35" s="2"/>
      <c r="AY35" s="11"/>
      <c r="BA35" s="2"/>
      <c r="BB35" s="387"/>
      <c r="BE35" s="2"/>
    </row>
    <row r="36" spans="2:57" ht="32.25">
      <c r="H36" s="2">
        <f t="shared" si="9"/>
        <v>34</v>
      </c>
      <c r="I36" s="136" t="str">
        <f t="shared" si="20"/>
        <v>W</v>
      </c>
      <c r="J36" s="136" t="str">
        <f t="shared" si="21"/>
        <v>/</v>
      </c>
      <c r="L36" s="2">
        <v>34</v>
      </c>
      <c r="M36" s="21" t="str">
        <f t="shared" si="19"/>
        <v>/</v>
      </c>
      <c r="N36" s="21" t="str">
        <f t="shared" si="22"/>
        <v>ㄥ</v>
      </c>
      <c r="P36" s="2">
        <v>34</v>
      </c>
      <c r="Q36" s="22" t="str">
        <f t="shared" si="4"/>
        <v/>
      </c>
      <c r="R36" s="22" t="str">
        <f t="shared" si="5"/>
        <v/>
      </c>
      <c r="T36" s="2">
        <v>34</v>
      </c>
      <c r="U36" s="363" t="str">
        <f t="shared" si="23"/>
        <v>/</v>
      </c>
      <c r="V36" s="365" t="str">
        <f t="shared" si="24"/>
        <v>W</v>
      </c>
      <c r="W36" s="364" t="e" cm="1">
        <f t="array" ref="W36" xml:space="preserve"> INDEX(#REF!, MATCH(TRUE, EXACT(表格1_33411[[#This Row],[注音編碼]], 注音編碼對照表[按鍵編碼]), 0))</f>
        <v>#REF!</v>
      </c>
      <c r="X36" s="366" t="str" cm="1">
        <f t="array" ref="X36" xml:space="preserve"> INDEX(注音編碼對照表!$D$3:$D$59, MATCH(TRUE, EXACT(表格1_33411[[#This Row],[注音編碼]], 注音編碼對照表!$H$3:$H$55), 0))</f>
        <v>-ng</v>
      </c>
      <c r="Y36" s="24"/>
      <c r="Z36" s="77">
        <f t="shared" si="10"/>
        <v>34</v>
      </c>
      <c r="AA36" s="71" t="str">
        <f>注音編碼對照表!$G35</f>
        <v>(</v>
      </c>
      <c r="AB36" s="354" t="str" cm="1">
        <f t="array" ref="AB36" xml:space="preserve"> INDEX(注音編碼對照表[按鍵編碼], MATCH(TRUE, EXACT(RIME設定解析!$AA36, 注音編碼對照表[鍵盤按鍵] ),0))</f>
        <v>X</v>
      </c>
      <c r="AC36" s="32" t="str" cm="1">
        <f t="array" ref="AC36" xml:space="preserve"> INDEX(注音編碼對照表[方音符號], MATCH(TRUE, EXACT(RIME設定解析!$AA36, 注音編碼對照表[鍵盤按鍵] ),0))</f>
        <v>ㆮ</v>
      </c>
      <c r="AD36" s="482" t="e" cm="1">
        <f t="array" ref="AD36" xml:space="preserve"> INDEX(#REF!, MATCH(TRUE, EXACT(RIME設定解析!$AA36, 注音編碼對照表[鍵盤按鍵] ),0))</f>
        <v>#REF!</v>
      </c>
      <c r="AE36" s="430" t="str" cm="1">
        <f t="array" ref="AE36" xml:space="preserve"> INDEX(注音編碼對照表[台語音標], MATCH(TRUE, EXACT(RIME設定解析!$AA36, 注音編碼對照表[鍵盤按鍵] ),0))</f>
        <v>ainn</v>
      </c>
      <c r="AF36" s="366"/>
      <c r="AG36" s="366" t="e">
        <f t="shared" si="25"/>
        <v>#REF!</v>
      </c>
      <c r="AH36" s="2"/>
      <c r="AI36" s="372" t="s">
        <v>95</v>
      </c>
      <c r="AJ36" s="2"/>
      <c r="AY36" s="11"/>
      <c r="BA36" s="2"/>
      <c r="BB36" s="387"/>
      <c r="BE36" s="2"/>
    </row>
    <row r="37" spans="2:57" ht="32.25">
      <c r="H37" s="2">
        <f t="shared" si="9"/>
        <v>35</v>
      </c>
      <c r="I37" s="136" t="str">
        <f t="shared" si="20"/>
        <v>R</v>
      </c>
      <c r="J37" s="136" t="str">
        <f t="shared" si="21"/>
        <v>-</v>
      </c>
      <c r="L37" s="2">
        <v>35</v>
      </c>
      <c r="M37" s="21" t="str">
        <f t="shared" si="19"/>
        <v>-</v>
      </c>
      <c r="N37" s="21" t="str">
        <f t="shared" si="22"/>
        <v>ㄦ</v>
      </c>
      <c r="P37" s="2">
        <v>35</v>
      </c>
      <c r="Q37" s="22" t="str">
        <f t="shared" si="4"/>
        <v/>
      </c>
      <c r="R37" s="22" t="str">
        <f t="shared" si="5"/>
        <v/>
      </c>
      <c r="T37" s="2">
        <v>35</v>
      </c>
      <c r="U37" s="363" t="str">
        <f t="shared" si="23"/>
        <v>-</v>
      </c>
      <c r="V37" s="365" t="str">
        <f t="shared" si="24"/>
        <v>R</v>
      </c>
      <c r="W37" s="364" t="e" cm="1">
        <f t="array" ref="W37" xml:space="preserve"> INDEX(#REF!, MATCH(TRUE, EXACT(表格1_33411[[#This Row],[注音編碼]], 注音編碼對照表[按鍵編碼]), 0))</f>
        <v>#REF!</v>
      </c>
      <c r="X37" s="366" t="str" cm="1">
        <f t="array" ref="X37" xml:space="preserve"> INDEX(注音編碼對照表!$D$3:$D$59, MATCH(TRUE, EXACT(表格1_33411[[#This Row],[注音編碼]], 注音編碼對照表!$H$3:$H$55), 0))</f>
        <v>ir</v>
      </c>
      <c r="Y37" s="24"/>
      <c r="Z37" s="77">
        <f t="shared" si="10"/>
        <v>35</v>
      </c>
      <c r="AA37" s="71" t="str">
        <f>注音編碼對照表!$G37</f>
        <v>L</v>
      </c>
      <c r="AB37" s="354" t="str" cm="1">
        <f t="array" ref="AB37" xml:space="preserve"> INDEX(注音編碼對照表[按鍵編碼], MATCH(TRUE, EXACT(RIME設定解析!$AA37, 注音編碼對照表[鍵盤按鍵] ),0))</f>
        <v>Y</v>
      </c>
      <c r="AC37" s="32" t="str" cm="1">
        <f t="array" ref="AC37" xml:space="preserve"> INDEX(注音編碼對照表[方音符號], MATCH(TRUE, EXACT(RIME設定解析!$AA37, 注音編碼對照表[鍵盤按鍵] ),0))</f>
        <v>ㆯ</v>
      </c>
      <c r="AD37" s="482" t="e" cm="1">
        <f t="array" ref="AD37" xml:space="preserve"> INDEX(#REF!, MATCH(TRUE, EXACT(RIME設定解析!$AA37, 注音編碼對照表[鍵盤按鍵] ),0))</f>
        <v>#REF!</v>
      </c>
      <c r="AE37" s="430" t="str" cm="1">
        <f t="array" ref="AE37" xml:space="preserve"> INDEX(注音編碼對照表[台語音標], MATCH(TRUE, EXACT(RIME設定解析!$AA37, 注音編碼對照表[鍵盤按鍵] ),0))</f>
        <v>aunn</v>
      </c>
      <c r="AF37" s="366"/>
      <c r="AG37" s="366" t="e">
        <f t="shared" si="25"/>
        <v>#REF!</v>
      </c>
      <c r="AH37" s="2"/>
      <c r="AI37" s="372" t="s">
        <v>101</v>
      </c>
      <c r="AJ37" s="2"/>
      <c r="AY37" s="11"/>
      <c r="BA37" s="2"/>
      <c r="BB37" s="387"/>
      <c r="BE37" s="2"/>
    </row>
    <row r="38" spans="2:57" ht="32.25">
      <c r="H38" s="2">
        <f t="shared" si="9"/>
        <v>36</v>
      </c>
      <c r="I38" s="136" t="str">
        <f t="shared" si="20"/>
        <v>I</v>
      </c>
      <c r="J38" s="136" t="str">
        <f t="shared" si="21"/>
        <v>U</v>
      </c>
      <c r="L38" s="2">
        <v>36</v>
      </c>
      <c r="M38" s="21" t="str">
        <f t="shared" si="19"/>
        <v>U</v>
      </c>
      <c r="N38" s="21" t="str">
        <f t="shared" si="22"/>
        <v>ㆪ</v>
      </c>
      <c r="P38" s="2">
        <v>36</v>
      </c>
      <c r="Q38" s="22" t="str">
        <f t="shared" si="4"/>
        <v/>
      </c>
      <c r="R38" s="22" t="str">
        <f t="shared" si="5"/>
        <v/>
      </c>
      <c r="T38" s="2">
        <v>36</v>
      </c>
      <c r="U38" s="363" t="str">
        <f t="shared" si="23"/>
        <v>U</v>
      </c>
      <c r="V38" s="365" t="str">
        <f t="shared" si="24"/>
        <v>I</v>
      </c>
      <c r="W38" s="364" t="e" cm="1">
        <f t="array" ref="W38" xml:space="preserve"> INDEX(#REF!, MATCH(TRUE, EXACT(表格1_33411[[#This Row],[注音編碼]], 注音編碼對照表[按鍵編碼]), 0))</f>
        <v>#REF!</v>
      </c>
      <c r="X38" s="366" t="str" cm="1">
        <f t="array" ref="X38" xml:space="preserve"> INDEX(注音編碼對照表!$D$3:$D$59, MATCH(TRUE, EXACT(表格1_33411[[#This Row],[注音編碼]], 注音編碼對照表!$H$3:$H$55), 0))</f>
        <v>inn</v>
      </c>
      <c r="Y38" s="24"/>
      <c r="Z38" s="77">
        <f t="shared" si="10"/>
        <v>36</v>
      </c>
      <c r="AA38" s="71" t="str">
        <f>注音編碼對照表!$G42</f>
        <v>[</v>
      </c>
      <c r="AB38" s="354" t="str" cm="1">
        <f t="array" ref="AB38" xml:space="preserve"> INDEX(注音編碼對照表[按鍵編碼], MATCH(TRUE, EXACT(RIME設定解析!$AA38, 注音編碼對照表[鍵盤按鍵] ),0))</f>
        <v>[</v>
      </c>
      <c r="AC38" s="32" t="str" cm="1">
        <f t="array" ref="AC38" xml:space="preserve"> INDEX(注音編碼對照表[方音符號], MATCH(TRUE, EXACT(RIME設定解析!$AA38, 注音編碼對照表[鍵盤按鍵] ),0))</f>
        <v>ㆰ</v>
      </c>
      <c r="AD38" s="482" t="e" cm="1">
        <f t="array" ref="AD38" xml:space="preserve"> INDEX(#REF!, MATCH(TRUE, EXACT(RIME設定解析!$AA38, 注音編碼對照表[鍵盤按鍵] ),0))</f>
        <v>#REF!</v>
      </c>
      <c r="AE38" s="430" t="str" cm="1">
        <f t="array" ref="AE38" xml:space="preserve"> INDEX(注音編碼對照表[台語音標], MATCH(TRUE, EXACT(RIME設定解析!$AA38, 注音編碼對照表[鍵盤按鍵] ),0))</f>
        <v>am</v>
      </c>
      <c r="AF38" s="366"/>
      <c r="AG38" s="366" t="e">
        <f t="shared" si="25"/>
        <v>#REF!</v>
      </c>
      <c r="AH38" s="2"/>
      <c r="AI38" s="372" t="s">
        <v>591</v>
      </c>
      <c r="AJ38" s="2"/>
      <c r="AY38" s="11"/>
      <c r="BA38" s="2"/>
      <c r="BB38" s="387"/>
      <c r="BE38" s="2"/>
    </row>
    <row r="39" spans="2:57" ht="32.25">
      <c r="H39" s="2">
        <f t="shared" si="9"/>
        <v>37</v>
      </c>
      <c r="I39" s="136" t="str">
        <f t="shared" si="20"/>
        <v>U</v>
      </c>
      <c r="J39" s="136" t="str">
        <f t="shared" si="21"/>
        <v>J</v>
      </c>
      <c r="L39" s="2">
        <v>37</v>
      </c>
      <c r="M39" s="21" t="str">
        <f t="shared" si="19"/>
        <v>J</v>
      </c>
      <c r="N39" s="21" t="str">
        <f t="shared" si="22"/>
        <v>ㆫ</v>
      </c>
      <c r="P39" s="2">
        <v>37</v>
      </c>
      <c r="Q39" s="22" t="str">
        <f t="shared" si="4"/>
        <v/>
      </c>
      <c r="R39" s="22" t="str">
        <f t="shared" si="5"/>
        <v/>
      </c>
      <c r="T39" s="2">
        <v>37</v>
      </c>
      <c r="U39" s="363" t="str">
        <f t="shared" si="23"/>
        <v>J</v>
      </c>
      <c r="V39" s="365" t="str">
        <f t="shared" si="24"/>
        <v>U</v>
      </c>
      <c r="W39" s="364" t="e" cm="1">
        <f t="array" ref="W39" xml:space="preserve"> INDEX(#REF!, MATCH(TRUE, EXACT(表格1_33411[[#This Row],[注音編碼]], 注音編碼對照表[按鍵編碼]), 0))</f>
        <v>#REF!</v>
      </c>
      <c r="X39" s="366" t="str" cm="1">
        <f t="array" ref="X39" xml:space="preserve"> INDEX(注音編碼對照表!$D$3:$D$59, MATCH(TRUE, EXACT(表格1_33411[[#This Row],[注音編碼]], 注音編碼對照表!$H$3:$H$55), 0))</f>
        <v>unn</v>
      </c>
      <c r="Y39" s="24"/>
      <c r="Z39" s="77">
        <f t="shared" si="10"/>
        <v>37</v>
      </c>
      <c r="AA39" s="71" t="str">
        <f>注音編碼對照表!$G44</f>
        <v>'</v>
      </c>
      <c r="AB39" s="354" t="str" cm="1">
        <f t="array" ref="AB39" xml:space="preserve"> INDEX(注音編碼對照表[按鍵編碼], MATCH(TRUE, EXACT(RIME設定解析!$AA39, 注音編碼對照表[鍵盤按鍵] ),0))</f>
        <v>H</v>
      </c>
      <c r="AC39" s="32" t="str" cm="1">
        <f t="array" ref="AC39" xml:space="preserve"> INDEX(注音編碼對照表[方音符號], MATCH(TRUE, EXACT(RIME設定解析!$AA39, 注音編碼對照表[鍵盤按鍵] ),0))</f>
        <v>ㆲ</v>
      </c>
      <c r="AD39" s="482" t="e" cm="1">
        <f t="array" ref="AD39" xml:space="preserve"> INDEX(#REF!, MATCH(TRUE, EXACT(RIME設定解析!$AA39, 注音編碼對照表[鍵盤按鍵] ),0))</f>
        <v>#REF!</v>
      </c>
      <c r="AE39" s="430" t="str" cm="1">
        <f t="array" ref="AE39" xml:space="preserve"> INDEX(注音編碼對照表[台語音標], MATCH(TRUE, EXACT(RIME設定解析!$AA39, 注音編碼對照表[鍵盤按鍵] ),0))</f>
        <v>ong</v>
      </c>
      <c r="AF39" s="366"/>
      <c r="AG39" s="366" t="e">
        <f t="shared" si="25"/>
        <v>#REF!</v>
      </c>
      <c r="AH39" s="2"/>
      <c r="AI39" s="372" t="s">
        <v>125</v>
      </c>
      <c r="AJ39" s="2"/>
      <c r="AY39" s="11"/>
      <c r="BA39" s="2"/>
      <c r="BB39" s="387"/>
      <c r="BE39" s="2"/>
    </row>
    <row r="40" spans="2:57" ht="32.25">
      <c r="H40" s="2">
        <f t="shared" si="9"/>
        <v>38</v>
      </c>
      <c r="I40" s="136" t="str">
        <f t="shared" si="20"/>
        <v>A</v>
      </c>
      <c r="J40" s="136" t="str">
        <f t="shared" si="21"/>
        <v>*</v>
      </c>
      <c r="L40" s="2">
        <v>38</v>
      </c>
      <c r="M40" s="21" t="str">
        <f t="shared" si="19"/>
        <v>*</v>
      </c>
      <c r="N40" s="21" t="str">
        <f t="shared" si="22"/>
        <v>ㆩ</v>
      </c>
      <c r="P40" s="2">
        <v>38</v>
      </c>
      <c r="Q40" s="22" t="str">
        <f t="shared" si="4"/>
        <v/>
      </c>
      <c r="R40" s="22" t="str">
        <f t="shared" si="5"/>
        <v/>
      </c>
      <c r="T40" s="2">
        <v>38</v>
      </c>
      <c r="U40" s="363" t="str">
        <f t="shared" si="23"/>
        <v>*</v>
      </c>
      <c r="V40" s="365" t="str">
        <f t="shared" si="24"/>
        <v>A</v>
      </c>
      <c r="W40" s="364" t="e" cm="1">
        <f t="array" ref="W40" xml:space="preserve"> INDEX(#REF!, MATCH(TRUE, EXACT(表格1_33411[[#This Row],[注音編碼]], 注音編碼對照表[按鍵編碼]), 0))</f>
        <v>#REF!</v>
      </c>
      <c r="X40" s="366" t="str" cm="1">
        <f t="array" ref="X40" xml:space="preserve"> INDEX(注音編碼對照表!$D$3:$D$59, MATCH(TRUE, EXACT(表格1_33411[[#This Row],[注音編碼]], 注音編碼對照表!$H$3:$H$55), 0))</f>
        <v>ann</v>
      </c>
      <c r="Y40" s="24"/>
      <c r="Z40" s="77">
        <f t="shared" si="10"/>
        <v>38</v>
      </c>
      <c r="AA40" s="71" t="str">
        <f>注音編碼對照表!$G46</f>
        <v>\</v>
      </c>
      <c r="AB40" s="354" t="str" cm="1">
        <f t="array" ref="AB40" xml:space="preserve"> INDEX(注音編碼對照表[按鍵編碼], MATCH(TRUE, EXACT(RIME設定解析!$AA40, 注音編碼對照表[鍵盤按鍵] ),0))</f>
        <v>W</v>
      </c>
      <c r="AC40" s="32" t="str" cm="1">
        <f t="array" ref="AC40" xml:space="preserve"> INDEX(注音編碼對照表[方音符號], MATCH(TRUE, EXACT(RIME設定解析!$AA40, 注音編碼對照表[鍵盤按鍵] ),0))</f>
        <v>ㆭ</v>
      </c>
      <c r="AD40" s="482" t="e" cm="1">
        <f t="array" ref="AD40" xml:space="preserve"> INDEX(#REF!, MATCH(TRUE, EXACT(RIME設定解析!$AA40, 注音編碼對照表[鍵盤按鍵] ),0))</f>
        <v>#REF!</v>
      </c>
      <c r="AE40" s="430" t="str" cm="1">
        <f t="array" ref="AE40" xml:space="preserve"> INDEX(注音編碼對照表[台語音標], MATCH(TRUE, EXACT(RIME設定解析!$AA40, 注音編碼對照表[鍵盤按鍵] ),0))</f>
        <v>-ng</v>
      </c>
      <c r="AF40" s="366"/>
      <c r="AG40" s="366" t="str">
        <f xml:space="preserve"> """" &amp; AA56 &amp; """ : " &amp; AD56</f>
        <v xml:space="preserve">"" : </v>
      </c>
      <c r="AH40" s="2"/>
      <c r="AI40" s="372" t="s">
        <v>99</v>
      </c>
      <c r="AJ40" s="2"/>
      <c r="AY40" s="11"/>
      <c r="BA40" s="2"/>
      <c r="BB40" s="387"/>
      <c r="BE40" s="2"/>
    </row>
    <row r="41" spans="2:57" ht="32.25">
      <c r="H41" s="2">
        <f t="shared" si="9"/>
        <v>39</v>
      </c>
      <c r="I41" s="136" t="str">
        <f t="shared" si="20"/>
        <v>Q</v>
      </c>
      <c r="J41" s="136" t="str">
        <f t="shared" si="21"/>
        <v>I</v>
      </c>
      <c r="L41" s="2">
        <v>39</v>
      </c>
      <c r="M41" s="21" t="str">
        <f t="shared" si="19"/>
        <v>I</v>
      </c>
      <c r="N41" s="21" t="str">
        <f t="shared" si="22"/>
        <v>ㆧ</v>
      </c>
      <c r="P41" s="2">
        <v>39</v>
      </c>
      <c r="Q41" s="22" t="str">
        <f t="shared" si="4"/>
        <v/>
      </c>
      <c r="R41" s="22" t="str">
        <f t="shared" si="5"/>
        <v/>
      </c>
      <c r="T41" s="2">
        <v>39</v>
      </c>
      <c r="U41" s="363" t="str">
        <f t="shared" si="23"/>
        <v>I</v>
      </c>
      <c r="V41" s="365" t="str">
        <f t="shared" si="24"/>
        <v>Q</v>
      </c>
      <c r="W41" s="364" t="e" cm="1">
        <f t="array" ref="W41" xml:space="preserve"> INDEX(#REF!, MATCH(TRUE, EXACT(表格1_33411[[#This Row],[注音編碼]], 注音編碼對照表[按鍵編碼]), 0))</f>
        <v>#REF!</v>
      </c>
      <c r="X41" s="366" t="str" cm="1">
        <f t="array" ref="X41" xml:space="preserve"> INDEX(注音編碼對照表!$D$3:$D$59, MATCH(TRUE, EXACT(表格1_33411[[#This Row],[注音編碼]], 注音編碼對照表!$H$3:$H$55), 0))</f>
        <v>onn</v>
      </c>
      <c r="Y41" s="24"/>
      <c r="Z41" s="77">
        <f t="shared" si="10"/>
        <v>39</v>
      </c>
      <c r="AA41" s="71" t="e">
        <f>注音編碼對照表!#REF!</f>
        <v>#REF!</v>
      </c>
      <c r="AB41" s="354" t="e" cm="1">
        <f t="array" ref="AB41" xml:space="preserve"> INDEX(注音編碼對照表[按鍵編碼], MATCH(TRUE, EXACT(RIME設定解析!$AA41, 注音編碼對照表[鍵盤按鍵] ),0))</f>
        <v>#N/A</v>
      </c>
      <c r="AC41" s="32" t="e" cm="1">
        <f t="array" ref="AC41" xml:space="preserve"> INDEX(注音編碼對照表[方音符號], MATCH(TRUE, EXACT(RIME設定解析!$AA41, 注音編碼對照表[鍵盤按鍵] ),0))</f>
        <v>#N/A</v>
      </c>
      <c r="AD41" s="482" t="e" cm="1">
        <f t="array" ref="AD41" xml:space="preserve"> INDEX(#REF!, MATCH(TRUE, EXACT(RIME設定解析!$AA41, 注音編碼對照表[鍵盤按鍵] ),0))</f>
        <v>#REF!</v>
      </c>
      <c r="AE41" s="430" t="e" cm="1">
        <f t="array" ref="AE41" xml:space="preserve"> INDEX(注音編碼對照表[台語音標], MATCH(TRUE, EXACT(RIME設定解析!$AA41, 注音編碼對照表[鍵盤按鍵] ),0))</f>
        <v>#N/A</v>
      </c>
      <c r="AF41" s="366"/>
      <c r="AG41" s="366" t="e">
        <f t="shared" ref="AG41:AG53" si="26" xml:space="preserve"> """" &amp; AA40 &amp; """ : " &amp; AD40</f>
        <v>#REF!</v>
      </c>
      <c r="AH41" s="2"/>
      <c r="AI41" s="372" t="s">
        <v>145</v>
      </c>
      <c r="AJ41" s="2"/>
      <c r="AY41" s="11"/>
      <c r="BA41" s="2"/>
      <c r="BB41" s="387"/>
      <c r="BE41" s="2"/>
    </row>
    <row r="42" spans="2:57" ht="32.25">
      <c r="H42" s="2">
        <f t="shared" si="9"/>
        <v>40</v>
      </c>
      <c r="I42" s="136" t="str">
        <f t="shared" si="20"/>
        <v>E</v>
      </c>
      <c r="J42" s="136" t="str">
        <f t="shared" si="21"/>
        <v>&lt;</v>
      </c>
      <c r="L42" s="2">
        <v>40</v>
      </c>
      <c r="M42" s="21" t="str">
        <f t="shared" si="19"/>
        <v>&lt;</v>
      </c>
      <c r="N42" s="21" t="str">
        <f t="shared" si="22"/>
        <v>ㆥ</v>
      </c>
      <c r="P42" s="2">
        <v>40</v>
      </c>
      <c r="Q42" s="22" t="str">
        <f t="shared" si="4"/>
        <v/>
      </c>
      <c r="R42" s="22" t="str">
        <f t="shared" si="5"/>
        <v/>
      </c>
      <c r="T42" s="2">
        <v>40</v>
      </c>
      <c r="U42" s="363" t="str">
        <f t="shared" si="23"/>
        <v>&lt;</v>
      </c>
      <c r="V42" s="365" t="str">
        <f t="shared" si="24"/>
        <v>E</v>
      </c>
      <c r="W42" s="364" t="e" cm="1">
        <f t="array" ref="W42" xml:space="preserve"> INDEX(#REF!, MATCH(TRUE, EXACT(表格1_33411[[#This Row],[注音編碼]], 注音編碼對照表[按鍵編碼]), 0))</f>
        <v>#REF!</v>
      </c>
      <c r="X42" s="366" t="str" cm="1">
        <f t="array" ref="X42" xml:space="preserve"> INDEX(注音編碼對照表!$D$3:$D$59, MATCH(TRUE, EXACT(表格1_33411[[#This Row],[注音編碼]], 注音編碼對照表!$H$3:$H$55), 0))</f>
        <v>enn</v>
      </c>
      <c r="Y42" s="24"/>
      <c r="Z42" s="77">
        <f t="shared" si="10"/>
        <v>40</v>
      </c>
      <c r="AA42" s="71" t="str">
        <f>注音編碼對照表!$G48</f>
        <v>m</v>
      </c>
      <c r="AB42" s="354" t="str" cm="1">
        <f t="array" ref="AB42" xml:space="preserve"> INDEX(注音編碼對照表[按鍵編碼], MATCH(TRUE, EXACT(RIME設定解析!$AA42, 注音編碼對照表[鍵盤按鍵] ),0))</f>
        <v>M</v>
      </c>
      <c r="AC42" s="32" t="str" cm="1">
        <f t="array" ref="AC42" xml:space="preserve"> INDEX(注音編碼對照表[方音符號], MATCH(TRUE, EXACT(RIME設定解析!$AA42, 注音編碼對照表[鍵盤按鍵] ),0))</f>
        <v>ㆬ</v>
      </c>
      <c r="AD42" s="482" t="e" cm="1">
        <f t="array" ref="AD42" xml:space="preserve"> INDEX(#REF!, MATCH(TRUE, EXACT(RIME設定解析!$AA42, 注音編碼對照表[鍵盤按鍵] ),0))</f>
        <v>#REF!</v>
      </c>
      <c r="AE42" s="430" t="str" cm="1">
        <f t="array" ref="AE42" xml:space="preserve"> INDEX(注音編碼對照表[台語音標], MATCH(TRUE, EXACT(RIME設定解析!$AA42, 注音編碼對照表[鍵盤按鍵] ),0))</f>
        <v>-m</v>
      </c>
      <c r="AF42" s="366"/>
      <c r="AG42" s="366" t="e">
        <f t="shared" si="26"/>
        <v>#REF!</v>
      </c>
      <c r="AH42" s="2"/>
      <c r="AI42" s="372" t="s">
        <v>74</v>
      </c>
      <c r="AJ42" s="2"/>
      <c r="AY42" s="11"/>
      <c r="BA42" s="2"/>
      <c r="BB42" s="387"/>
      <c r="BE42" s="2"/>
    </row>
    <row r="43" spans="2:57" ht="32.25">
      <c r="H43" s="2">
        <f t="shared" si="9"/>
        <v>41</v>
      </c>
      <c r="I43" s="136" t="str">
        <f t="shared" si="20"/>
        <v>Y</v>
      </c>
      <c r="J43" s="136" t="str">
        <f t="shared" si="21"/>
        <v>(</v>
      </c>
      <c r="L43" s="2">
        <v>41</v>
      </c>
      <c r="M43" s="21" t="str">
        <f t="shared" si="19"/>
        <v>(</v>
      </c>
      <c r="N43" s="21" t="str">
        <f t="shared" si="22"/>
        <v>ㆮ</v>
      </c>
      <c r="P43" s="2">
        <v>41</v>
      </c>
      <c r="Q43" s="22" t="str">
        <f t="shared" si="4"/>
        <v/>
      </c>
      <c r="R43" s="22" t="str">
        <f t="shared" si="5"/>
        <v/>
      </c>
      <c r="T43" s="2">
        <v>41</v>
      </c>
      <c r="U43" s="363" t="str">
        <f t="shared" si="23"/>
        <v>(</v>
      </c>
      <c r="V43" s="365" t="str">
        <f t="shared" si="24"/>
        <v>Y</v>
      </c>
      <c r="W43" s="364" t="e" cm="1">
        <f t="array" ref="W43" xml:space="preserve"> INDEX(#REF!, MATCH(TRUE, EXACT(表格1_33411[[#This Row],[注音編碼]], 注音編碼對照表[按鍵編碼]), 0))</f>
        <v>#REF!</v>
      </c>
      <c r="X43" s="366" t="str" cm="1">
        <f t="array" ref="X43" xml:space="preserve"> INDEX(注音編碼對照表!$D$3:$D$59, MATCH(TRUE, EXACT(表格1_33411[[#This Row],[注音編碼]], 注音編碼對照表!$H$3:$H$55), 0))</f>
        <v>aunn</v>
      </c>
      <c r="Y43" s="24"/>
      <c r="Z43" s="77">
        <f t="shared" si="10"/>
        <v>41</v>
      </c>
      <c r="AA43" s="71" t="str">
        <f>注音編碼對照表!$G49</f>
        <v>.</v>
      </c>
      <c r="AB43" s="354" t="str" cm="1">
        <f t="array" ref="AB43" xml:space="preserve"> INDEX(注音編碼對照表[按鍵編碼], MATCH(TRUE, EXACT(RIME設定解析!$AA43, 注音編碼對照表[鍵盤按鍵] ),0))</f>
        <v>E</v>
      </c>
      <c r="AC43" s="32" t="str" cm="1">
        <f t="array" ref="AC43" xml:space="preserve"> INDEX(注音編碼對照表[方音符號], MATCH(TRUE, EXACT(RIME設定解析!$AA43, 注音編碼對照表[鍵盤按鍵] ),0))</f>
        <v>ㄬ</v>
      </c>
      <c r="AD43" s="482" t="e" cm="1">
        <f t="array" ref="AD43" xml:space="preserve"> INDEX(#REF!, MATCH(TRUE, EXACT(RIME設定解析!$AA43, 注音編碼對照表[鍵盤按鍵] ),0))</f>
        <v>#REF!</v>
      </c>
      <c r="AE43" s="430" t="str" cm="1">
        <f t="array" ref="AE43" xml:space="preserve"> INDEX(注音編碼對照表[台語音標], MATCH(TRUE, EXACT(RIME設定解析!$AA43, 注音編碼對照表[鍵盤按鍵] ),0))</f>
        <v>-nn</v>
      </c>
      <c r="AF43" s="366"/>
      <c r="AG43" s="366" t="e">
        <f t="shared" si="26"/>
        <v>#REF!</v>
      </c>
      <c r="AH43" s="2"/>
      <c r="AI43" s="372" t="s">
        <v>76</v>
      </c>
      <c r="AJ43" s="2"/>
      <c r="AY43" s="11"/>
      <c r="BA43" s="2"/>
      <c r="BB43" s="387"/>
      <c r="BE43" s="2"/>
    </row>
    <row r="44" spans="2:57" ht="32.25">
      <c r="H44" s="2">
        <f t="shared" si="9"/>
        <v>42</v>
      </c>
      <c r="I44" s="136" t="str">
        <f t="shared" si="20"/>
        <v>X</v>
      </c>
      <c r="J44" s="136" t="str">
        <f t="shared" si="21"/>
        <v>L</v>
      </c>
      <c r="L44" s="2">
        <v>42</v>
      </c>
      <c r="M44" s="21" t="str">
        <f t="shared" si="19"/>
        <v>L</v>
      </c>
      <c r="N44" s="21" t="str">
        <f t="shared" si="22"/>
        <v>ㆯ</v>
      </c>
      <c r="P44" s="2">
        <v>42</v>
      </c>
      <c r="Q44" s="22" t="str">
        <f t="shared" si="4"/>
        <v/>
      </c>
      <c r="R44" s="22" t="str">
        <f t="shared" si="5"/>
        <v/>
      </c>
      <c r="T44" s="2">
        <v>42</v>
      </c>
      <c r="U44" s="363" t="str">
        <f t="shared" si="23"/>
        <v>L</v>
      </c>
      <c r="V44" s="365" t="str">
        <f t="shared" si="24"/>
        <v>X</v>
      </c>
      <c r="W44" s="364" t="e" cm="1">
        <f t="array" ref="W44" xml:space="preserve"> INDEX(#REF!, MATCH(TRUE, EXACT(表格1_33411[[#This Row],[注音編碼]], 注音編碼對照表[按鍵編碼]), 0))</f>
        <v>#REF!</v>
      </c>
      <c r="X44" s="366" t="str" cm="1">
        <f t="array" ref="X44" xml:space="preserve"> INDEX(注音編碼對照表!$D$3:$D$59, MATCH(TRUE, EXACT(表格1_33411[[#This Row],[注音編碼]], 注音編碼對照表!$H$3:$H$55), 0))</f>
        <v>ainn</v>
      </c>
      <c r="Y44" s="24"/>
      <c r="Z44" s="87">
        <f t="shared" si="10"/>
        <v>42</v>
      </c>
      <c r="AA44" s="71" t="str">
        <f>注音編碼對照表!$G50</f>
        <v xml:space="preserve"> </v>
      </c>
      <c r="AB44" s="428" t="str" cm="1">
        <f t="array" ref="AB44" xml:space="preserve"> INDEX(注音編碼對照表[按鍵編碼], MATCH(TRUE, EXACT(RIME設定解析!$AA44, 注音編碼對照表[鍵盤按鍵] ),0))</f>
        <v>1</v>
      </c>
      <c r="AC44" s="26" t="str" cm="1">
        <f t="array" ref="AC44" xml:space="preserve"> INDEX(注音編碼對照表[方音符號], MATCH(TRUE, EXACT(RIME設定解析!$AA44, 注音編碼對照表[鍵盤按鍵] ),0))</f>
        <v>ˉ</v>
      </c>
      <c r="AD44" s="499" t="e" cm="1">
        <f t="array" ref="AD44" xml:space="preserve"> INDEX(#REF!, MATCH(TRUE, EXACT(RIME設定解析!$AA44, 注音編碼對照表[鍵盤按鍵] ),0))</f>
        <v>#REF!</v>
      </c>
      <c r="AE44" s="429" cm="1">
        <f t="array" ref="AE44" xml:space="preserve"> INDEX(注音編碼對照表[台語音標], MATCH(TRUE, EXACT(RIME設定解析!$AA44, 注音編碼對照表[鍵盤按鍵] ),0))</f>
        <v>1</v>
      </c>
      <c r="AF44" s="366"/>
      <c r="AG44" s="366" t="e">
        <f t="shared" si="26"/>
        <v>#REF!</v>
      </c>
      <c r="AH44" s="2"/>
      <c r="AI44" s="372" t="s">
        <v>592</v>
      </c>
      <c r="AJ44" s="2"/>
      <c r="AY44" s="11"/>
      <c r="BA44" s="2"/>
      <c r="BB44" s="387"/>
      <c r="BE44" s="2"/>
    </row>
    <row r="45" spans="2:57" ht="32.25">
      <c r="H45" s="2">
        <f t="shared" si="9"/>
        <v>43</v>
      </c>
      <c r="I45" s="136" t="str">
        <f t="shared" si="20"/>
        <v>}</v>
      </c>
      <c r="J45" s="136" t="str">
        <f t="shared" si="21"/>
        <v>O</v>
      </c>
      <c r="L45" s="2">
        <v>43</v>
      </c>
      <c r="M45" s="21" t="str">
        <f t="shared" si="19"/>
        <v>O</v>
      </c>
      <c r="N45" s="21" t="str">
        <f t="shared" si="22"/>
        <v>ㆱ</v>
      </c>
      <c r="R45" s="2"/>
      <c r="T45" s="2">
        <v>43</v>
      </c>
      <c r="U45" s="363" t="str">
        <f t="shared" si="23"/>
        <v>O</v>
      </c>
      <c r="V45" s="365" t="str">
        <f t="shared" si="24"/>
        <v>}</v>
      </c>
      <c r="W45" s="364" t="e" cm="1">
        <f t="array" ref="W45" xml:space="preserve"> INDEX(#REF!, MATCH(TRUE, EXACT(表格1_33411[[#This Row],[注音編碼]], 注音編碼對照表[按鍵編碼]), 0))</f>
        <v>#REF!</v>
      </c>
      <c r="X45" s="366" t="e" cm="1">
        <f t="array" ref="X45" xml:space="preserve"> INDEX(注音編碼對照表!$D$3:$D$59, MATCH(TRUE, EXACT(表格1_33411[[#This Row],[注音編碼]], 注音編碼對照表!$H$3:$H$55), 0))</f>
        <v>#N/A</v>
      </c>
      <c r="Y45" s="24"/>
      <c r="Z45" s="77">
        <f t="shared" si="10"/>
        <v>43</v>
      </c>
      <c r="AA45" s="71" t="str">
        <f>注音編碼對照表!$G51</f>
        <v>4</v>
      </c>
      <c r="AB45" s="354" t="str" cm="1">
        <f t="array" ref="AB45" xml:space="preserve"> INDEX(注音編碼對照表[按鍵編碼], MATCH(TRUE, EXACT(RIME設定解析!$AA45, 注音編碼對照表[鍵盤按鍵] ),0))</f>
        <v>2</v>
      </c>
      <c r="AC45" s="32" t="str" cm="1">
        <f t="array" ref="AC45" xml:space="preserve"> INDEX(注音編碼對照表[方音符號], MATCH(TRUE, EXACT(RIME設定解析!$AA45, 注音編碼對照表[鍵盤按鍵] ),0))</f>
        <v>ˋ</v>
      </c>
      <c r="AD45" s="482" t="e" cm="1">
        <f t="array" ref="AD45" xml:space="preserve"> INDEX(#REF!, MATCH(TRUE, EXACT(RIME設定解析!$AA45, 注音編碼對照表[鍵盤按鍵] ),0))</f>
        <v>#REF!</v>
      </c>
      <c r="AE45" s="430" cm="1">
        <f t="array" ref="AE45" xml:space="preserve"> INDEX(注音編碼對照表[台語音標], MATCH(TRUE, EXACT(RIME設定解析!$AA45, 注音編碼對照表[鍵盤按鍵] ),0))</f>
        <v>2</v>
      </c>
      <c r="AF45" s="366"/>
      <c r="AG45" s="366" t="e">
        <f t="shared" si="26"/>
        <v>#REF!</v>
      </c>
      <c r="AH45" s="2"/>
      <c r="AI45" s="372"/>
      <c r="AJ45" s="2"/>
      <c r="AY45" s="11"/>
      <c r="BA45" s="2"/>
      <c r="BB45" s="387"/>
      <c r="BE45" s="2"/>
    </row>
    <row r="46" spans="2:57" ht="32.25">
      <c r="B46" s="92" t="s">
        <v>138</v>
      </c>
      <c r="D46" s="17" t="s">
        <v>8</v>
      </c>
      <c r="E46" s="17" t="s">
        <v>15</v>
      </c>
      <c r="F46" s="17" t="s">
        <v>17</v>
      </c>
      <c r="G46" s="370"/>
      <c r="H46" s="2">
        <f t="shared" si="9"/>
        <v>44</v>
      </c>
      <c r="I46" s="136" t="str">
        <f t="shared" si="20"/>
        <v>{</v>
      </c>
      <c r="J46" s="136" t="str">
        <f t="shared" si="21"/>
        <v>A</v>
      </c>
      <c r="L46" s="2">
        <v>44</v>
      </c>
      <c r="M46" s="21" t="str">
        <f t="shared" si="19"/>
        <v>A</v>
      </c>
      <c r="N46" s="21" t="str">
        <f t="shared" si="22"/>
        <v>ㆰ</v>
      </c>
      <c r="R46" s="2"/>
      <c r="T46" s="2">
        <v>44</v>
      </c>
      <c r="U46" s="363" t="str">
        <f t="shared" si="23"/>
        <v>A</v>
      </c>
      <c r="V46" s="365" t="str">
        <f t="shared" si="24"/>
        <v>{</v>
      </c>
      <c r="W46" s="364" t="e" cm="1">
        <f t="array" ref="W46" xml:space="preserve"> INDEX(#REF!, MATCH(TRUE, EXACT(表格1_33411[[#This Row],[注音編碼]], 注音編碼對照表[按鍵編碼]), 0))</f>
        <v>#REF!</v>
      </c>
      <c r="X46" s="366" t="e" cm="1">
        <f t="array" ref="X46" xml:space="preserve"> INDEX(注音編碼對照表!$D$3:$D$59, MATCH(TRUE, EXACT(表格1_33411[[#This Row],[注音編碼]], 注音編碼對照表!$H$3:$H$55), 0))</f>
        <v>#N/A</v>
      </c>
      <c r="Y46" s="24"/>
      <c r="Z46" s="77">
        <f t="shared" si="10"/>
        <v>44</v>
      </c>
      <c r="AA46" s="71" t="str">
        <f>注音編碼對照表!$G52</f>
        <v>3</v>
      </c>
      <c r="AB46" s="354" t="str" cm="1">
        <f t="array" ref="AB46" xml:space="preserve"> INDEX(注音編碼對照表[按鍵編碼], MATCH(TRUE, EXACT(RIME設定解析!$AA46, 注音編碼對照表[鍵盤按鍵] ),0))</f>
        <v>3</v>
      </c>
      <c r="AC46" s="32" t="str" cm="1">
        <f t="array" ref="AC46" xml:space="preserve"> INDEX(注音編碼對照表[方音符號], MATCH(TRUE, EXACT(RIME設定解析!$AA46, 注音編碼對照表[鍵盤按鍵] ),0))</f>
        <v>˪</v>
      </c>
      <c r="AD46" s="482" t="e" cm="1">
        <f t="array" ref="AD46" xml:space="preserve"> INDEX(#REF!, MATCH(TRUE, EXACT(RIME設定解析!$AA46, 注音編碼對照表[鍵盤按鍵] ),0))</f>
        <v>#REF!</v>
      </c>
      <c r="AE46" s="430" cm="1">
        <f t="array" ref="AE46" xml:space="preserve"> INDEX(注音編碼對照表[台語音標], MATCH(TRUE, EXACT(RIME設定解析!$AA46, 注音編碼對照表[鍵盤按鍵] ),0))</f>
        <v>3</v>
      </c>
      <c r="AF46" s="366"/>
      <c r="AG46" s="366" t="e">
        <f t="shared" si="26"/>
        <v>#REF!</v>
      </c>
      <c r="AH46" s="2"/>
      <c r="AI46" s="372"/>
      <c r="AJ46" s="2"/>
      <c r="AY46" s="11"/>
      <c r="BA46" s="2"/>
      <c r="BB46" s="387"/>
      <c r="BE46" s="2"/>
    </row>
    <row r="47" spans="2:57" ht="32.25">
      <c r="B47" s="93" t="s">
        <v>136</v>
      </c>
      <c r="C47" s="2">
        <v>1</v>
      </c>
      <c r="D47" s="21" t="str">
        <f t="shared" ref="D47:D88" si="27" xml:space="preserve"> MID($B$47, $C47, 1)</f>
        <v>1</v>
      </c>
      <c r="E47" s="5" t="str">
        <f t="shared" ref="E47:E88" si="28" xml:space="preserve"> IFERROR( INDEX($N$3:$N$44, MATCH(D47, $M$3:$M$44, 0)), "")</f>
        <v>ㄅ</v>
      </c>
      <c r="F47" s="5" t="str">
        <f t="shared" ref="F47:F88" si="29" xml:space="preserve"> IFERROR( INDEX($I$3:$I$44, MATCH($D47, $J$3:$J$44, 0)), "")</f>
        <v>p</v>
      </c>
      <c r="G47" s="5"/>
      <c r="H47" s="2">
        <f t="shared" si="9"/>
        <v>45</v>
      </c>
      <c r="I47" s="136" t="str">
        <f t="shared" si="20"/>
        <v>]</v>
      </c>
      <c r="J47" s="136" t="str">
        <f t="shared" si="21"/>
        <v>:</v>
      </c>
      <c r="L47" s="2">
        <v>45</v>
      </c>
      <c r="M47" s="21" t="str">
        <f t="shared" si="19"/>
        <v>:</v>
      </c>
      <c r="N47" s="21" t="str">
        <f t="shared" si="22"/>
        <v>ㆲ</v>
      </c>
      <c r="R47" s="2"/>
      <c r="T47" s="2">
        <v>45</v>
      </c>
      <c r="U47" s="363" t="str">
        <f t="shared" si="23"/>
        <v>:</v>
      </c>
      <c r="V47" s="365" t="str">
        <f t="shared" si="24"/>
        <v>]</v>
      </c>
      <c r="W47" s="364" t="e" cm="1">
        <f t="array" ref="W47" xml:space="preserve"> INDEX(#REF!, MATCH(TRUE, EXACT(表格1_33411[[#This Row],[注音編碼]], 注音編碼對照表[按鍵編碼]), 0))</f>
        <v>#REF!</v>
      </c>
      <c r="X47" s="366" t="str" cm="1">
        <f t="array" ref="X47" xml:space="preserve"> INDEX(注音編碼對照表!$D$3:$D$59, MATCH(TRUE, EXACT(表格1_33411[[#This Row],[注音編碼]], 注音編碼對照表!$H$3:$H$55), 0))</f>
        <v>om</v>
      </c>
      <c r="Y47" s="24"/>
      <c r="Z47" s="77">
        <f t="shared" si="10"/>
        <v>45</v>
      </c>
      <c r="AA47" s="71" t="str">
        <f>注音編碼對照表!$G53</f>
        <v>6</v>
      </c>
      <c r="AB47" s="354" t="str" cm="1">
        <f t="array" ref="AB47" xml:space="preserve"> INDEX(注音編碼對照表[按鍵編碼], MATCH(TRUE, EXACT(RIME設定解析!$AA47, 注音編碼對照表[鍵盤按鍵] ),0))</f>
        <v>5</v>
      </c>
      <c r="AC47" s="32" t="str" cm="1">
        <f t="array" ref="AC47" xml:space="preserve"> INDEX(注音編碼對照表[方音符號], MATCH(TRUE, EXACT(RIME設定解析!$AA47, 注音編碼對照表[鍵盤按鍵] ),0))</f>
        <v>ˊ</v>
      </c>
      <c r="AD47" s="482" t="e" cm="1">
        <f t="array" ref="AD47" xml:space="preserve"> INDEX(#REF!, MATCH(TRUE, EXACT(RIME設定解析!$AA47, 注音編碼對照表[鍵盤按鍵] ),0))</f>
        <v>#REF!</v>
      </c>
      <c r="AE47" s="430" cm="1">
        <f t="array" ref="AE47" xml:space="preserve"> INDEX(注音編碼對照表[台語音標], MATCH(TRUE, EXACT(RIME設定解析!$AA47, 注音編碼對照表[鍵盤按鍵] ),0))</f>
        <v>5</v>
      </c>
      <c r="AF47" s="366"/>
      <c r="AG47" s="366" t="e">
        <f t="shared" si="26"/>
        <v>#REF!</v>
      </c>
      <c r="AH47" s="2"/>
      <c r="AI47" s="372"/>
      <c r="AJ47" s="2"/>
      <c r="AY47" s="11"/>
      <c r="BA47" s="2"/>
      <c r="BB47" s="387"/>
      <c r="BE47" s="2"/>
    </row>
    <row r="48" spans="2:57" ht="32.25">
      <c r="B48" s="40" t="str">
        <f xml:space="preserve"> _xlfn.CONCAT(鍵盤位置)</f>
        <v>1!qa2wsxeEdcyhnbYHN?ujm8ik,9l.0p;/-UJ*I&lt;(LOA: 43657</v>
      </c>
      <c r="C48" s="2">
        <v>2</v>
      </c>
      <c r="D48" s="21" t="str">
        <f t="shared" si="27"/>
        <v>q</v>
      </c>
      <c r="E48" s="5" t="str">
        <f t="shared" si="28"/>
        <v>ㄆ</v>
      </c>
      <c r="F48" s="5" t="str">
        <f t="shared" si="29"/>
        <v>P</v>
      </c>
      <c r="G48" s="5"/>
      <c r="H48" s="2">
        <f t="shared" si="9"/>
        <v>46</v>
      </c>
      <c r="I48" s="136" t="str">
        <f t="shared" si="20"/>
        <v>1</v>
      </c>
      <c r="J48" s="136" t="str">
        <f t="shared" si="21"/>
        <v xml:space="preserve"> </v>
      </c>
      <c r="L48" s="2">
        <v>46</v>
      </c>
      <c r="M48" s="21" t="str">
        <f t="shared" si="19"/>
        <v>4</v>
      </c>
      <c r="N48" s="21" t="str">
        <f t="shared" si="22"/>
        <v>ˋ</v>
      </c>
      <c r="R48" s="2"/>
      <c r="T48" s="2">
        <v>46</v>
      </c>
      <c r="U48" s="363" t="str">
        <f t="shared" si="23"/>
        <v xml:space="preserve"> </v>
      </c>
      <c r="V48" s="365" t="str">
        <f t="shared" si="24"/>
        <v>1</v>
      </c>
      <c r="W48" s="364" t="e" cm="1">
        <f t="array" ref="W48" xml:space="preserve"> INDEX(#REF!, MATCH(TRUE, EXACT(表格1_33411[[#This Row],[注音編碼]], 注音編碼對照表[按鍵編碼]), 0))</f>
        <v>#REF!</v>
      </c>
      <c r="X48" s="366" cm="1">
        <f t="array" ref="X48" xml:space="preserve"> INDEX(注音編碼對照表!$D$3:$D$59, MATCH(TRUE, EXACT(表格1_33411[[#This Row],[注音編碼]], 注音編碼對照表!$H$3:$H$55), 0))</f>
        <v>1</v>
      </c>
      <c r="Y48" s="24"/>
      <c r="Z48" s="77">
        <f t="shared" si="10"/>
        <v>46</v>
      </c>
      <c r="AA48" s="71" t="str">
        <f>注音編碼對照表!$G54</f>
        <v>5</v>
      </c>
      <c r="AB48" s="354" t="str" cm="1">
        <f t="array" ref="AB48" xml:space="preserve"> INDEX(注音編碼對照表[按鍵編碼], MATCH(TRUE, EXACT(RIME設定解析!$AA48, 注音編碼對照表[鍵盤按鍵] ),0))</f>
        <v>7</v>
      </c>
      <c r="AC48" s="32" t="str" cm="1">
        <f t="array" ref="AC48" xml:space="preserve"> INDEX(注音編碼對照表[方音符號], MATCH(TRUE, EXACT(RIME設定解析!$AA48, 注音編碼對照表[鍵盤按鍵] ),0))</f>
        <v>˫</v>
      </c>
      <c r="AD48" s="482" t="e" cm="1">
        <f t="array" ref="AD48" xml:space="preserve"> INDEX(#REF!, MATCH(TRUE, EXACT(RIME設定解析!$AA48, 注音編碼對照表[鍵盤按鍵] ),0))</f>
        <v>#REF!</v>
      </c>
      <c r="AE48" s="430" cm="1">
        <f t="array" ref="AE48" xml:space="preserve"> INDEX(注音編碼對照表[台語音標], MATCH(TRUE, EXACT(RIME設定解析!$AA48, 注音編碼對照表[鍵盤按鍵] ),0))</f>
        <v>7</v>
      </c>
      <c r="AF48" s="366"/>
      <c r="AG48" s="366" t="e">
        <f t="shared" si="26"/>
        <v>#REF!</v>
      </c>
      <c r="AH48" s="2"/>
      <c r="AI48" s="372"/>
      <c r="AJ48" s="2"/>
      <c r="AY48" s="11"/>
      <c r="BA48" s="2"/>
      <c r="BB48" s="387"/>
      <c r="BE48" s="2"/>
    </row>
    <row r="49" spans="2:57" ht="32.25">
      <c r="C49" s="2">
        <v>3</v>
      </c>
      <c r="D49" s="21" t="str">
        <f t="shared" si="27"/>
        <v>a</v>
      </c>
      <c r="E49" s="5" t="str">
        <f t="shared" si="28"/>
        <v>ㄇ</v>
      </c>
      <c r="F49" s="5" t="str">
        <f t="shared" si="29"/>
        <v>m</v>
      </c>
      <c r="G49" s="5"/>
      <c r="H49" s="2">
        <f t="shared" si="9"/>
        <v>47</v>
      </c>
      <c r="I49" s="136" t="str">
        <f t="shared" si="20"/>
        <v>2</v>
      </c>
      <c r="J49" s="136" t="str">
        <f t="shared" si="21"/>
        <v>4</v>
      </c>
      <c r="L49" s="2">
        <v>47</v>
      </c>
      <c r="M49" s="21" t="str">
        <f t="shared" si="19"/>
        <v>3</v>
      </c>
      <c r="N49" s="21" t="str">
        <f t="shared" si="22"/>
        <v>'</v>
      </c>
      <c r="R49" s="2"/>
      <c r="T49" s="2">
        <v>47</v>
      </c>
      <c r="U49" s="363" t="str">
        <f t="shared" si="23"/>
        <v>4</v>
      </c>
      <c r="V49" s="365" t="str">
        <f t="shared" si="24"/>
        <v>2</v>
      </c>
      <c r="W49" s="364" t="e" cm="1">
        <f t="array" ref="W49" xml:space="preserve"> INDEX(#REF!, MATCH(TRUE, EXACT(表格1_33411[[#This Row],[注音編碼]], 注音編碼對照表[按鍵編碼]), 0))</f>
        <v>#REF!</v>
      </c>
      <c r="X49" s="366" cm="1">
        <f t="array" ref="X49" xml:space="preserve"> INDEX(注音編碼對照表!$D$3:$D$59, MATCH(TRUE, EXACT(表格1_33411[[#This Row],[注音編碼]], 注音編碼對照表!$H$3:$H$55), 0))</f>
        <v>2</v>
      </c>
      <c r="Y49" s="24"/>
      <c r="Z49" s="78">
        <f t="shared" si="10"/>
        <v>47</v>
      </c>
      <c r="AA49" s="73" t="str">
        <f>注音編碼對照表!$G55</f>
        <v>7</v>
      </c>
      <c r="AB49" s="431" t="str" cm="1">
        <f t="array" ref="AB49" xml:space="preserve"> INDEX(注音編碼對照表[按鍵編碼], MATCH(TRUE, EXACT(RIME設定解析!$AA49, 注音編碼對照表[鍵盤按鍵] ),0))</f>
        <v>0</v>
      </c>
      <c r="AC49" s="42" t="str" cm="1">
        <f t="array" ref="AC49" xml:space="preserve"> INDEX(注音編碼對照表[方音符號], MATCH(TRUE, EXACT(RIME設定解析!$AA49, 注音編碼對照表[鍵盤按鍵] ),0))</f>
        <v>˙</v>
      </c>
      <c r="AD49" s="500" t="e" cm="1">
        <f t="array" ref="AD49" xml:space="preserve"> INDEX(#REF!, MATCH(TRUE, EXACT(RIME設定解析!$AA49, 注音編碼對照表[鍵盤按鍵] ),0))</f>
        <v>#REF!</v>
      </c>
      <c r="AE49" s="432" t="str" cm="1">
        <f t="array" ref="AE49" xml:space="preserve"> INDEX(注音編碼對照表[台語音標], MATCH(TRUE, EXACT(RIME設定解析!$AA49, 注音編碼對照表[鍵盤按鍵] ),0))</f>
        <v>[48]</v>
      </c>
      <c r="AF49" s="366"/>
      <c r="AG49" s="366" t="e">
        <f t="shared" si="26"/>
        <v>#REF!</v>
      </c>
      <c r="AH49" s="2"/>
      <c r="AI49" s="372"/>
      <c r="AJ49" s="2"/>
      <c r="AY49" s="11"/>
      <c r="BA49" s="2"/>
      <c r="BB49" s="387"/>
      <c r="BE49" s="2"/>
    </row>
    <row r="50" spans="2:57" ht="32.25">
      <c r="C50" s="2">
        <v>4</v>
      </c>
      <c r="D50" s="21" t="str">
        <f t="shared" si="27"/>
        <v>z</v>
      </c>
      <c r="E50" s="5" t="str">
        <f t="shared" si="28"/>
        <v/>
      </c>
      <c r="F50" s="5" t="str">
        <f t="shared" si="29"/>
        <v/>
      </c>
      <c r="G50" s="5"/>
      <c r="H50" s="2">
        <f t="shared" si="9"/>
        <v>48</v>
      </c>
      <c r="I50" s="136" t="str">
        <f t="shared" si="20"/>
        <v>3</v>
      </c>
      <c r="J50" s="136" t="str">
        <f t="shared" si="21"/>
        <v>3</v>
      </c>
      <c r="L50" s="2">
        <v>48</v>
      </c>
      <c r="M50" s="21" t="str">
        <f t="shared" si="19"/>
        <v>6</v>
      </c>
      <c r="N50" s="21" t="str">
        <f t="shared" si="22"/>
        <v>ˇ</v>
      </c>
      <c r="R50" s="2"/>
      <c r="T50" s="2">
        <v>48</v>
      </c>
      <c r="U50" s="363" t="str">
        <f t="shared" si="23"/>
        <v>3</v>
      </c>
      <c r="V50" s="365" t="str">
        <f t="shared" si="24"/>
        <v>3</v>
      </c>
      <c r="W50" s="364" t="e" cm="1">
        <f t="array" ref="W50" xml:space="preserve"> INDEX(#REF!, MATCH(TRUE, EXACT(表格1_33411[[#This Row],[注音編碼]], 注音編碼對照表[按鍵編碼]), 0))</f>
        <v>#REF!</v>
      </c>
      <c r="X50" s="366" cm="1">
        <f t="array" ref="X50" xml:space="preserve"> INDEX(注音編碼對照表!$D$3:$D$59, MATCH(TRUE, EXACT(表格1_33411[[#This Row],[注音編碼]], 注音編碼對照表!$H$3:$H$55), 0))</f>
        <v>3</v>
      </c>
      <c r="Y50" s="24"/>
      <c r="Z50" s="98">
        <f t="shared" si="10"/>
        <v>48</v>
      </c>
      <c r="AA50" s="71"/>
      <c r="AB50" s="354"/>
      <c r="AC50" s="32"/>
      <c r="AD50" s="482"/>
      <c r="AE50" s="381"/>
      <c r="AF50" s="366"/>
      <c r="AG50" s="366" t="e">
        <f t="shared" si="26"/>
        <v>#REF!</v>
      </c>
      <c r="AH50" s="2"/>
      <c r="AI50" s="372"/>
      <c r="AJ50" s="2"/>
      <c r="AY50" s="11"/>
      <c r="BA50" s="2"/>
      <c r="BB50" s="387"/>
      <c r="BE50" s="2"/>
    </row>
    <row r="51" spans="2:57" ht="32.25">
      <c r="B51" s="92" t="s">
        <v>139</v>
      </c>
      <c r="C51" s="2">
        <v>5</v>
      </c>
      <c r="D51" s="21" t="str">
        <f t="shared" si="27"/>
        <v>2</v>
      </c>
      <c r="E51" s="5" t="str">
        <f t="shared" si="28"/>
        <v>ㄉ</v>
      </c>
      <c r="F51" s="5" t="str">
        <f t="shared" si="29"/>
        <v>t</v>
      </c>
      <c r="G51" s="5"/>
      <c r="H51" s="2">
        <f t="shared" si="9"/>
        <v>49</v>
      </c>
      <c r="I51" s="136" t="str">
        <f t="shared" si="20"/>
        <v>5</v>
      </c>
      <c r="J51" s="136" t="str">
        <f t="shared" si="21"/>
        <v>6</v>
      </c>
      <c r="L51" s="2">
        <v>49</v>
      </c>
      <c r="M51" s="21" t="str">
        <f t="shared" si="19"/>
        <v>5</v>
      </c>
      <c r="N51" s="21" t="str">
        <f t="shared" si="22"/>
        <v>\</v>
      </c>
      <c r="R51" s="2"/>
      <c r="T51" s="2">
        <v>49</v>
      </c>
      <c r="U51" s="363" t="str">
        <f t="shared" si="23"/>
        <v>6</v>
      </c>
      <c r="V51" s="365" t="str">
        <f t="shared" si="24"/>
        <v>5</v>
      </c>
      <c r="W51" s="364" t="e" cm="1">
        <f t="array" ref="W51" xml:space="preserve"> INDEX(#REF!, MATCH(TRUE, EXACT(表格1_33411[[#This Row],[注音編碼]], 注音編碼對照表[按鍵編碼]), 0))</f>
        <v>#REF!</v>
      </c>
      <c r="X51" s="366" cm="1">
        <f t="array" ref="X51" xml:space="preserve"> INDEX(注音編碼對照表!$D$3:$D$59, MATCH(TRUE, EXACT(表格1_33411[[#This Row],[注音編碼]], 注音編碼對照表!$H$3:$H$55), 0))</f>
        <v>5</v>
      </c>
      <c r="Y51" s="24"/>
      <c r="Z51" s="98">
        <f t="shared" si="10"/>
        <v>49</v>
      </c>
      <c r="AA51" s="71"/>
      <c r="AB51" s="354"/>
      <c r="AC51" s="32"/>
      <c r="AD51" s="482"/>
      <c r="AE51" s="381"/>
      <c r="AF51" s="366"/>
      <c r="AG51" s="366" t="str">
        <f t="shared" si="26"/>
        <v xml:space="preserve">"" : </v>
      </c>
      <c r="AH51" s="2"/>
      <c r="AI51" s="372"/>
      <c r="AJ51" s="2"/>
      <c r="AY51" s="11"/>
      <c r="BA51" s="2"/>
      <c r="BB51" s="387"/>
      <c r="BE51" s="2"/>
    </row>
    <row r="52" spans="2:57" ht="32.25">
      <c r="B52" s="93" t="s">
        <v>137</v>
      </c>
      <c r="C52" s="2">
        <v>6</v>
      </c>
      <c r="D52" s="21" t="str">
        <f t="shared" si="27"/>
        <v>w</v>
      </c>
      <c r="E52" s="5" t="str">
        <f t="shared" si="28"/>
        <v>ㄊ</v>
      </c>
      <c r="F52" s="5" t="str">
        <f t="shared" si="29"/>
        <v>T</v>
      </c>
      <c r="G52" s="5"/>
      <c r="H52" s="2">
        <f t="shared" si="9"/>
        <v>50</v>
      </c>
      <c r="I52" s="136" t="str">
        <f t="shared" si="20"/>
        <v>7</v>
      </c>
      <c r="J52" s="136" t="str">
        <f t="shared" si="21"/>
        <v>5</v>
      </c>
      <c r="L52" s="2">
        <v>50</v>
      </c>
      <c r="M52" s="21" t="str">
        <f t="shared" si="19"/>
        <v>7</v>
      </c>
      <c r="N52" s="21" t="str">
        <f t="shared" si="22"/>
        <v>"</v>
      </c>
      <c r="R52" s="2"/>
      <c r="T52" s="2">
        <v>50</v>
      </c>
      <c r="U52" s="363" t="str">
        <f t="shared" si="23"/>
        <v>5</v>
      </c>
      <c r="V52" s="365" t="str">
        <f t="shared" si="24"/>
        <v>7</v>
      </c>
      <c r="W52" s="364" t="e" cm="1">
        <f t="array" ref="W52" xml:space="preserve"> INDEX(#REF!, MATCH(TRUE, EXACT(表格1_33411[[#This Row],[注音編碼]], 注音編碼對照表[按鍵編碼]), 0))</f>
        <v>#REF!</v>
      </c>
      <c r="X52" s="366" cm="1">
        <f t="array" ref="X52" xml:space="preserve"> INDEX(注音編碼對照表!$D$3:$D$59, MATCH(TRUE, EXACT(表格1_33411[[#This Row],[注音編碼]], 注音編碼對照表!$H$3:$H$55), 0))</f>
        <v>7</v>
      </c>
      <c r="Y52" s="24"/>
      <c r="Z52" s="98">
        <f t="shared" si="10"/>
        <v>50</v>
      </c>
      <c r="AA52" s="71"/>
      <c r="AB52" s="354"/>
      <c r="AC52" s="32"/>
      <c r="AD52" s="482"/>
      <c r="AE52" s="381"/>
      <c r="AF52" s="366"/>
      <c r="AG52" s="366" t="str">
        <f t="shared" si="26"/>
        <v xml:space="preserve">"" : </v>
      </c>
      <c r="AH52" s="2"/>
      <c r="AI52" s="372"/>
      <c r="AJ52" s="2"/>
      <c r="AY52" s="11"/>
      <c r="BA52" s="2"/>
      <c r="BB52" s="387"/>
      <c r="BE52" s="2"/>
    </row>
    <row r="53" spans="2:57" ht="32.25">
      <c r="C53" s="2">
        <v>7</v>
      </c>
      <c r="D53" s="21" t="str">
        <f t="shared" si="27"/>
        <v>s</v>
      </c>
      <c r="E53" s="5" t="str">
        <f t="shared" si="28"/>
        <v>ㄋ</v>
      </c>
      <c r="F53" s="5" t="str">
        <f t="shared" si="29"/>
        <v>n</v>
      </c>
      <c r="G53" s="5"/>
      <c r="H53" s="2">
        <f t="shared" si="9"/>
        <v>51</v>
      </c>
      <c r="I53" s="136" t="str">
        <f t="shared" si="20"/>
        <v>0</v>
      </c>
      <c r="J53" s="136" t="str">
        <f t="shared" si="21"/>
        <v>7</v>
      </c>
      <c r="L53" s="2">
        <v>51</v>
      </c>
      <c r="M53" s="21" t="str">
        <f t="shared" si="19"/>
        <v/>
      </c>
      <c r="N53" s="21" t="str">
        <f t="shared" si="22"/>
        <v>˙</v>
      </c>
      <c r="R53" s="2"/>
      <c r="T53" s="2">
        <v>51</v>
      </c>
      <c r="U53" s="363" t="str">
        <f t="shared" si="23"/>
        <v>7</v>
      </c>
      <c r="V53" s="365" t="str">
        <f t="shared" si="24"/>
        <v>0</v>
      </c>
      <c r="W53" s="364" t="e" cm="1">
        <f t="array" ref="W53" xml:space="preserve"> INDEX(#REF!, MATCH(TRUE, EXACT(表格1_33411[[#This Row],[注音編碼]], 注音編碼對照表[按鍵編碼]), 0))</f>
        <v>#REF!</v>
      </c>
      <c r="X53" s="366" t="str" cm="1">
        <f t="array" ref="X53" xml:space="preserve"> INDEX(注音編碼對照表!$D$3:$D$59, MATCH(TRUE, EXACT(表格1_33411[[#This Row],[注音編碼]], 注音編碼對照表!$H$3:$H$55), 0))</f>
        <v>[48]</v>
      </c>
      <c r="Y53" s="24"/>
      <c r="Z53" s="98">
        <f t="shared" si="10"/>
        <v>51</v>
      </c>
      <c r="AA53" s="71"/>
      <c r="AB53" s="354"/>
      <c r="AC53" s="32"/>
      <c r="AD53" s="482"/>
      <c r="AE53" s="381"/>
      <c r="AF53" s="366"/>
      <c r="AG53" s="366" t="str">
        <f t="shared" si="26"/>
        <v xml:space="preserve">"" : </v>
      </c>
      <c r="AH53" s="2"/>
      <c r="AI53" s="372"/>
      <c r="AJ53" s="2"/>
      <c r="AY53" s="11"/>
      <c r="BA53" s="2"/>
      <c r="BB53" s="387"/>
      <c r="BE53" s="2"/>
    </row>
    <row r="54" spans="2:57" ht="32.25">
      <c r="C54" s="2">
        <v>8</v>
      </c>
      <c r="D54" s="21" t="str">
        <f t="shared" si="27"/>
        <v>x</v>
      </c>
      <c r="E54" s="5" t="str">
        <f t="shared" si="28"/>
        <v>ㄌ</v>
      </c>
      <c r="F54" s="5" t="str">
        <f t="shared" si="29"/>
        <v>l</v>
      </c>
      <c r="G54" s="5"/>
      <c r="H54" s="2">
        <f t="shared" si="9"/>
        <v>52</v>
      </c>
      <c r="I54" s="136" t="str">
        <f t="shared" si="20"/>
        <v/>
      </c>
      <c r="J54" s="136" t="str">
        <f t="shared" si="21"/>
        <v/>
      </c>
      <c r="L54" s="2">
        <v>52</v>
      </c>
      <c r="M54" s="21" t="str">
        <f t="shared" si="19"/>
        <v/>
      </c>
      <c r="N54" s="21" t="str">
        <f t="shared" si="22"/>
        <v/>
      </c>
      <c r="R54" s="2"/>
      <c r="T54" s="2">
        <v>52</v>
      </c>
      <c r="U54" s="363"/>
      <c r="V54" s="365"/>
      <c r="W54" s="364"/>
      <c r="X54" s="366"/>
      <c r="Y54" s="24"/>
      <c r="Z54" s="98">
        <f t="shared" si="10"/>
        <v>52</v>
      </c>
      <c r="AA54" s="71"/>
      <c r="AB54" s="354"/>
      <c r="AC54" s="32"/>
      <c r="AD54" s="482"/>
      <c r="AE54" s="381"/>
      <c r="AF54" s="366"/>
      <c r="AG54" s="366"/>
      <c r="AH54" s="2"/>
      <c r="AI54" s="366"/>
      <c r="AJ54" s="2"/>
      <c r="AY54" s="11"/>
      <c r="BA54" s="2"/>
      <c r="BB54" s="387"/>
      <c r="BE54" s="2"/>
    </row>
    <row r="55" spans="2:57" ht="32.25">
      <c r="C55" s="2">
        <v>9</v>
      </c>
      <c r="D55" s="21" t="str">
        <f t="shared" si="27"/>
        <v>e</v>
      </c>
      <c r="E55" s="5" t="str">
        <f t="shared" si="28"/>
        <v>ㄍ</v>
      </c>
      <c r="F55" s="5" t="str">
        <f t="shared" si="29"/>
        <v>k</v>
      </c>
      <c r="G55" s="5"/>
      <c r="I55" s="2"/>
      <c r="J55" s="2"/>
      <c r="R55" s="2"/>
      <c r="Z55" s="98">
        <f t="shared" si="10"/>
        <v>53</v>
      </c>
      <c r="AA55" s="71"/>
      <c r="AB55" s="354"/>
      <c r="AC55" s="32"/>
      <c r="AD55" s="482"/>
      <c r="AE55" s="382"/>
      <c r="AF55" s="366"/>
      <c r="AG55" s="366"/>
      <c r="AH55" s="2"/>
      <c r="AI55" s="366"/>
      <c r="AJ55" s="2"/>
      <c r="AY55" s="11"/>
      <c r="BA55" s="2"/>
      <c r="BB55" s="387"/>
      <c r="BE55" s="2"/>
    </row>
    <row r="56" spans="2:57" ht="32.25">
      <c r="C56" s="2">
        <v>10</v>
      </c>
      <c r="D56" s="21" t="str">
        <f t="shared" si="27"/>
        <v>d</v>
      </c>
      <c r="E56" s="5" t="str">
        <f t="shared" si="28"/>
        <v>ㄎ</v>
      </c>
      <c r="F56" s="5" t="str">
        <f t="shared" si="29"/>
        <v>K</v>
      </c>
      <c r="G56" s="5"/>
      <c r="I56" s="2"/>
      <c r="J56" s="2"/>
      <c r="R56" s="2"/>
      <c r="Z56" s="98">
        <f t="shared" si="10"/>
        <v>54</v>
      </c>
      <c r="AA56" s="71"/>
      <c r="AB56" s="354"/>
      <c r="AC56" s="32"/>
      <c r="AD56" s="482"/>
      <c r="AE56" s="381"/>
      <c r="AF56" s="366"/>
      <c r="AG56" s="366"/>
      <c r="AH56" s="2"/>
      <c r="AI56" s="366"/>
      <c r="AJ56" s="2"/>
      <c r="AY56" s="11"/>
      <c r="BA56" s="2"/>
      <c r="BB56" s="387"/>
      <c r="BE56" s="2"/>
    </row>
    <row r="57" spans="2:57" ht="32.25">
      <c r="C57" s="2">
        <v>11</v>
      </c>
      <c r="D57" s="21" t="str">
        <f t="shared" si="27"/>
        <v>c</v>
      </c>
      <c r="E57" s="5" t="str">
        <f t="shared" si="28"/>
        <v>ㄏ</v>
      </c>
      <c r="F57" s="5" t="str">
        <f t="shared" si="29"/>
        <v>h</v>
      </c>
      <c r="G57" s="5"/>
      <c r="I57" s="2"/>
      <c r="J57" s="2"/>
      <c r="R57" s="2"/>
      <c r="U57" s="390" t="s">
        <v>11</v>
      </c>
      <c r="V57" s="391" t="s">
        <v>624</v>
      </c>
      <c r="W57" s="391" t="s">
        <v>623</v>
      </c>
      <c r="X57" s="392" t="s">
        <v>383</v>
      </c>
      <c r="Y57" s="24"/>
      <c r="Z57" s="98">
        <f t="shared" si="10"/>
        <v>55</v>
      </c>
      <c r="AA57" s="71"/>
      <c r="AB57" s="354"/>
      <c r="AC57" s="32"/>
      <c r="AD57" s="482"/>
      <c r="AE57" s="382"/>
      <c r="AF57" s="366"/>
      <c r="AG57" s="366"/>
      <c r="AH57" s="2"/>
      <c r="AI57" s="366"/>
      <c r="AJ57" s="2"/>
      <c r="AY57" s="11"/>
      <c r="BA57" s="2"/>
      <c r="BB57" s="387"/>
      <c r="BE57" s="2"/>
    </row>
    <row r="58" spans="2:57" ht="32.25">
      <c r="C58" s="2">
        <v>12</v>
      </c>
      <c r="D58" s="21" t="str">
        <f t="shared" si="27"/>
        <v>r</v>
      </c>
      <c r="E58" s="5" t="str">
        <f t="shared" si="28"/>
        <v/>
      </c>
      <c r="F58" s="5" t="str">
        <f t="shared" si="29"/>
        <v/>
      </c>
      <c r="G58" s="5"/>
      <c r="I58" s="2"/>
      <c r="J58" s="2"/>
      <c r="R58" s="2"/>
      <c r="U58" s="393" t="s">
        <v>267</v>
      </c>
      <c r="V58" s="365" t="s">
        <v>613</v>
      </c>
      <c r="W58" s="364" t="s">
        <v>125</v>
      </c>
      <c r="X58" s="394" t="s">
        <v>203</v>
      </c>
      <c r="Y58" s="24"/>
      <c r="Z58" s="98">
        <f t="shared" si="10"/>
        <v>56</v>
      </c>
      <c r="AA58" s="71"/>
      <c r="AB58" s="354"/>
      <c r="AC58" s="32"/>
      <c r="AD58" s="482"/>
      <c r="AE58" s="382"/>
      <c r="AF58" s="366"/>
      <c r="AG58" s="366"/>
      <c r="AH58" s="2"/>
      <c r="AI58" s="366"/>
      <c r="AJ58" s="2"/>
      <c r="AY58" s="11"/>
      <c r="BA58" s="2"/>
      <c r="BB58" s="387"/>
      <c r="BE58" s="2"/>
    </row>
    <row r="59" spans="2:57">
      <c r="C59" s="2">
        <v>13</v>
      </c>
      <c r="D59" s="21" t="str">
        <f t="shared" si="27"/>
        <v>f</v>
      </c>
      <c r="E59" s="5" t="str">
        <f t="shared" si="28"/>
        <v/>
      </c>
      <c r="F59" s="5" t="str">
        <f t="shared" si="29"/>
        <v/>
      </c>
      <c r="G59" s="5"/>
      <c r="I59" s="2"/>
      <c r="J59" s="2"/>
      <c r="R59" s="2"/>
      <c r="U59" s="395" t="s">
        <v>609</v>
      </c>
      <c r="V59" s="365" t="s">
        <v>614</v>
      </c>
      <c r="W59" s="364" t="s">
        <v>99</v>
      </c>
      <c r="X59" s="396" t="s">
        <v>207</v>
      </c>
      <c r="Y59" s="24"/>
      <c r="Z59" s="2"/>
      <c r="AA59" s="372"/>
      <c r="AE59" s="361"/>
      <c r="AF59" s="366"/>
      <c r="AG59" s="366"/>
      <c r="AH59" s="2"/>
      <c r="AI59" s="366"/>
      <c r="AJ59" s="2"/>
      <c r="AY59" s="11"/>
      <c r="BA59" s="2"/>
      <c r="BB59" s="387"/>
      <c r="BE59" s="2"/>
    </row>
    <row r="60" spans="2:57">
      <c r="C60" s="2">
        <v>14</v>
      </c>
      <c r="D60" s="21" t="str">
        <f t="shared" si="27"/>
        <v>v</v>
      </c>
      <c r="E60" s="5" t="str">
        <f t="shared" si="28"/>
        <v/>
      </c>
      <c r="F60" s="5" t="str">
        <f t="shared" si="29"/>
        <v/>
      </c>
      <c r="G60" s="5"/>
      <c r="I60" s="2"/>
      <c r="J60" s="2"/>
      <c r="R60" s="2"/>
      <c r="U60" s="393" t="s">
        <v>206</v>
      </c>
      <c r="V60" s="365" t="s">
        <v>612</v>
      </c>
      <c r="W60" s="364" t="s">
        <v>101</v>
      </c>
      <c r="X60" s="394" t="s">
        <v>160</v>
      </c>
      <c r="Y60" s="24"/>
      <c r="Z60" s="2"/>
      <c r="AA60" s="379"/>
      <c r="AC60" s="379"/>
      <c r="AE60" s="380" t="s">
        <v>629</v>
      </c>
      <c r="AF60" s="366"/>
      <c r="AG60" s="366"/>
      <c r="AH60" s="2"/>
      <c r="AI60" s="366"/>
      <c r="AJ60" s="2"/>
      <c r="AY60" s="11"/>
      <c r="BA60" s="2"/>
      <c r="BB60" s="387"/>
      <c r="BE60" s="2"/>
    </row>
    <row r="61" spans="2:57">
      <c r="C61" s="2">
        <v>15</v>
      </c>
      <c r="D61" s="21" t="str">
        <f t="shared" si="27"/>
        <v>t</v>
      </c>
      <c r="E61" s="5" t="str">
        <f t="shared" si="28"/>
        <v/>
      </c>
      <c r="F61" s="5" t="str">
        <f t="shared" si="29"/>
        <v/>
      </c>
      <c r="G61" s="5"/>
      <c r="I61" s="2"/>
      <c r="J61" s="2"/>
      <c r="R61" s="2"/>
      <c r="X61" s="361"/>
      <c r="Y61" s="24"/>
      <c r="Z61" s="2"/>
      <c r="AA61" s="372"/>
      <c r="AE61" s="361"/>
      <c r="AF61" s="366"/>
      <c r="AG61" s="366"/>
      <c r="AH61" s="2"/>
      <c r="AI61" s="366"/>
      <c r="AJ61" s="2"/>
      <c r="AY61" s="11"/>
      <c r="BA61" s="2"/>
      <c r="BB61" s="387"/>
      <c r="BE61" s="2"/>
    </row>
    <row r="62" spans="2:57">
      <c r="C62" s="2">
        <v>16</v>
      </c>
      <c r="D62" s="21" t="str">
        <f t="shared" si="27"/>
        <v>g</v>
      </c>
      <c r="E62" s="5" t="str">
        <f t="shared" si="28"/>
        <v/>
      </c>
      <c r="F62" s="5" t="str">
        <f t="shared" si="29"/>
        <v/>
      </c>
      <c r="G62" s="5"/>
      <c r="I62" s="2"/>
      <c r="J62" s="2"/>
      <c r="R62" s="2"/>
      <c r="AF62" s="366"/>
      <c r="AG62" s="366"/>
      <c r="AH62" s="2"/>
      <c r="AI62" s="366"/>
      <c r="AZ62" s="11"/>
      <c r="BA62" s="2"/>
    </row>
    <row r="63" spans="2:57">
      <c r="C63" s="2">
        <v>17</v>
      </c>
      <c r="D63" s="21" t="str">
        <f t="shared" si="27"/>
        <v>b</v>
      </c>
      <c r="E63" s="5" t="str">
        <f t="shared" si="28"/>
        <v>ㄖ</v>
      </c>
      <c r="F63" s="5" t="str">
        <f t="shared" si="29"/>
        <v>j</v>
      </c>
      <c r="G63" s="5"/>
      <c r="I63" s="2"/>
      <c r="J63" s="2"/>
      <c r="R63" s="2"/>
      <c r="AF63" s="366"/>
      <c r="AG63" s="366"/>
      <c r="AH63" s="2"/>
      <c r="AI63" s="366"/>
      <c r="AZ63" s="11"/>
      <c r="BA63" s="2"/>
    </row>
    <row r="64" spans="2:57">
      <c r="C64" s="2">
        <v>18</v>
      </c>
      <c r="D64" s="21" t="str">
        <f t="shared" si="27"/>
        <v>y</v>
      </c>
      <c r="E64" s="5" t="str">
        <f t="shared" si="28"/>
        <v>ㄗ</v>
      </c>
      <c r="F64" s="5" t="str">
        <f t="shared" si="29"/>
        <v>z</v>
      </c>
      <c r="G64" s="5"/>
      <c r="I64" s="2"/>
      <c r="J64" s="2"/>
      <c r="R64" s="2"/>
      <c r="AF64" s="366"/>
      <c r="AG64" s="366"/>
      <c r="AH64" s="2"/>
      <c r="AI64" s="366"/>
      <c r="AZ64" s="11"/>
      <c r="BA64" s="2"/>
    </row>
    <row r="65" spans="3:53">
      <c r="C65" s="2">
        <v>19</v>
      </c>
      <c r="D65" s="21" t="str">
        <f t="shared" si="27"/>
        <v>h</v>
      </c>
      <c r="E65" s="5" t="str">
        <f t="shared" si="28"/>
        <v>ㄘ</v>
      </c>
      <c r="F65" s="5" t="str">
        <f t="shared" si="29"/>
        <v>c</v>
      </c>
      <c r="G65" s="5"/>
      <c r="I65" s="2"/>
      <c r="J65" s="2"/>
      <c r="R65" s="2"/>
      <c r="AZ65" s="11"/>
      <c r="BA65" s="2"/>
    </row>
    <row r="66" spans="3:53">
      <c r="C66" s="2">
        <v>20</v>
      </c>
      <c r="D66" s="21" t="str">
        <f t="shared" si="27"/>
        <v>n</v>
      </c>
      <c r="E66" s="5" t="str">
        <f t="shared" si="28"/>
        <v>ㄙ</v>
      </c>
      <c r="F66" s="5" t="str">
        <f t="shared" si="29"/>
        <v>s</v>
      </c>
      <c r="G66" s="5"/>
      <c r="I66" s="2"/>
      <c r="J66" s="2"/>
      <c r="R66" s="2"/>
      <c r="AZ66" s="11"/>
      <c r="BA66" s="2"/>
    </row>
    <row r="67" spans="3:53">
      <c r="C67" s="2">
        <v>21</v>
      </c>
      <c r="D67" s="21" t="str">
        <f t="shared" si="27"/>
        <v>u</v>
      </c>
      <c r="E67" s="5" t="str">
        <f t="shared" si="28"/>
        <v>ㄧ</v>
      </c>
      <c r="F67" s="5" t="str">
        <f t="shared" si="29"/>
        <v>i</v>
      </c>
      <c r="G67" s="5"/>
      <c r="I67" s="2"/>
      <c r="J67" s="2"/>
      <c r="R67" s="2"/>
      <c r="AZ67" s="11"/>
      <c r="BA67" s="2"/>
    </row>
    <row r="68" spans="3:53">
      <c r="C68" s="2">
        <v>22</v>
      </c>
      <c r="D68" s="21" t="str">
        <f t="shared" si="27"/>
        <v>j</v>
      </c>
      <c r="E68" s="5" t="str">
        <f t="shared" si="28"/>
        <v>ㄨ</v>
      </c>
      <c r="F68" s="5" t="str">
        <f t="shared" si="29"/>
        <v>u</v>
      </c>
      <c r="G68" s="5"/>
      <c r="I68" s="2"/>
      <c r="J68" s="2"/>
      <c r="R68" s="2"/>
      <c r="AZ68" s="11"/>
      <c r="BA68" s="2"/>
    </row>
    <row r="69" spans="3:53">
      <c r="C69" s="2">
        <v>23</v>
      </c>
      <c r="D69" s="21" t="str">
        <f t="shared" si="27"/>
        <v>m</v>
      </c>
      <c r="E69" s="5" t="str">
        <f t="shared" si="28"/>
        <v>ㄇ</v>
      </c>
      <c r="F69" s="5" t="str">
        <f t="shared" si="29"/>
        <v>M</v>
      </c>
      <c r="G69" s="5"/>
      <c r="I69" s="2"/>
      <c r="J69" s="2"/>
      <c r="R69" s="2"/>
      <c r="AZ69" s="11"/>
      <c r="BA69" s="2"/>
    </row>
    <row r="70" spans="3:53">
      <c r="C70" s="2">
        <v>24</v>
      </c>
      <c r="D70" s="21" t="str">
        <f t="shared" si="27"/>
        <v>8</v>
      </c>
      <c r="E70" s="5" t="str">
        <f t="shared" si="28"/>
        <v>ㄚ</v>
      </c>
      <c r="F70" s="5" t="str">
        <f t="shared" si="29"/>
        <v>a</v>
      </c>
      <c r="G70" s="5"/>
      <c r="I70" s="2"/>
      <c r="J70" s="2"/>
      <c r="R70" s="2"/>
      <c r="AZ70" s="11"/>
      <c r="BA70" s="2"/>
    </row>
    <row r="71" spans="3:53">
      <c r="C71" s="2">
        <v>25</v>
      </c>
      <c r="D71" s="21" t="str">
        <f t="shared" si="27"/>
        <v>i</v>
      </c>
      <c r="E71" s="5" t="str">
        <f t="shared" si="28"/>
        <v>ㆦ</v>
      </c>
      <c r="F71" s="5" t="str">
        <f t="shared" si="29"/>
        <v>O</v>
      </c>
      <c r="G71" s="5"/>
      <c r="I71" s="2"/>
      <c r="J71" s="2"/>
      <c r="R71" s="2"/>
      <c r="AZ71" s="11"/>
      <c r="BA71" s="2"/>
    </row>
    <row r="72" spans="3:53">
      <c r="C72" s="2">
        <v>26</v>
      </c>
      <c r="D72" s="21" t="str">
        <f t="shared" si="27"/>
        <v>k</v>
      </c>
      <c r="E72" s="5" t="str">
        <f t="shared" si="28"/>
        <v>ㄜ</v>
      </c>
      <c r="F72" s="5" t="str">
        <f t="shared" si="29"/>
        <v>o</v>
      </c>
      <c r="G72" s="5"/>
      <c r="I72" s="2"/>
      <c r="J72" s="2"/>
      <c r="R72" s="2"/>
      <c r="AZ72" s="11"/>
      <c r="BA72" s="2"/>
    </row>
    <row r="73" spans="3:53">
      <c r="C73" s="2">
        <v>27</v>
      </c>
      <c r="D73" s="21" t="str">
        <f t="shared" si="27"/>
        <v>,</v>
      </c>
      <c r="E73" s="5" t="str">
        <f t="shared" si="28"/>
        <v>ㄝ</v>
      </c>
      <c r="F73" s="5" t="str">
        <f t="shared" si="29"/>
        <v>e</v>
      </c>
      <c r="G73" s="5"/>
      <c r="I73" s="2"/>
      <c r="J73" s="2"/>
      <c r="R73" s="2"/>
      <c r="AZ73" s="11"/>
      <c r="BA73" s="2"/>
    </row>
    <row r="74" spans="3:53">
      <c r="C74" s="2">
        <v>28</v>
      </c>
      <c r="D74" s="21" t="str">
        <f t="shared" si="27"/>
        <v>9</v>
      </c>
      <c r="E74" s="5" t="str">
        <f t="shared" si="28"/>
        <v>ㄞ</v>
      </c>
      <c r="F74" s="5" t="str">
        <f t="shared" si="29"/>
        <v>y</v>
      </c>
      <c r="G74" s="5"/>
      <c r="I74" s="2"/>
      <c r="J74" s="2"/>
      <c r="R74" s="2"/>
      <c r="AZ74" s="11"/>
      <c r="BA74" s="2"/>
    </row>
    <row r="75" spans="3:53">
      <c r="C75" s="2">
        <v>29</v>
      </c>
      <c r="D75" s="21" t="str">
        <f t="shared" si="27"/>
        <v>o</v>
      </c>
      <c r="E75" s="5" t="str">
        <f t="shared" si="28"/>
        <v/>
      </c>
      <c r="F75" s="5" t="str">
        <f t="shared" si="29"/>
        <v/>
      </c>
      <c r="G75" s="5"/>
      <c r="I75" s="2"/>
      <c r="J75" s="2"/>
      <c r="R75" s="2"/>
      <c r="AZ75" s="11"/>
      <c r="BA75" s="2"/>
    </row>
    <row r="76" spans="3:53">
      <c r="C76" s="2">
        <v>30</v>
      </c>
      <c r="D76" s="21" t="str">
        <f t="shared" si="27"/>
        <v>l</v>
      </c>
      <c r="E76" s="5" t="str">
        <f t="shared" si="28"/>
        <v>ㄠ</v>
      </c>
      <c r="F76" s="5" t="str">
        <f t="shared" si="29"/>
        <v>x</v>
      </c>
      <c r="G76" s="5"/>
      <c r="I76" s="2"/>
      <c r="J76" s="2"/>
      <c r="R76" s="2"/>
      <c r="AZ76" s="11"/>
      <c r="BA76" s="2"/>
    </row>
    <row r="77" spans="3:53">
      <c r="C77" s="2">
        <v>31</v>
      </c>
      <c r="D77" s="21" t="str">
        <f t="shared" si="27"/>
        <v>.</v>
      </c>
      <c r="E77" s="5" t="str">
        <f t="shared" si="28"/>
        <v>ｎ</v>
      </c>
      <c r="F77" s="5" t="str">
        <f t="shared" si="29"/>
        <v>B</v>
      </c>
      <c r="G77" s="5"/>
      <c r="I77" s="2"/>
      <c r="J77" s="2"/>
      <c r="R77" s="2"/>
      <c r="AZ77" s="11"/>
      <c r="BA77" s="2"/>
    </row>
    <row r="78" spans="3:53">
      <c r="C78" s="2">
        <v>32</v>
      </c>
      <c r="D78" s="21" t="str">
        <f t="shared" si="27"/>
        <v>0</v>
      </c>
      <c r="E78" s="5" t="str">
        <f t="shared" si="28"/>
        <v>ㄢ</v>
      </c>
      <c r="F78" s="5" t="str">
        <f t="shared" si="29"/>
        <v>@</v>
      </c>
      <c r="G78" s="5"/>
      <c r="I78" s="2"/>
      <c r="J78" s="2"/>
      <c r="R78" s="2"/>
      <c r="AZ78" s="11"/>
      <c r="BA78" s="2"/>
    </row>
    <row r="79" spans="3:53">
      <c r="C79" s="2">
        <v>33</v>
      </c>
      <c r="D79" s="21" t="str">
        <f t="shared" si="27"/>
        <v>p</v>
      </c>
      <c r="E79" s="5" t="str">
        <f t="shared" si="28"/>
        <v>ㄣ</v>
      </c>
      <c r="F79" s="5" t="str">
        <f t="shared" si="29"/>
        <v>N</v>
      </c>
      <c r="G79" s="5"/>
      <c r="I79" s="2"/>
      <c r="J79" s="2"/>
      <c r="R79" s="2"/>
      <c r="AZ79" s="11"/>
      <c r="BA79" s="2"/>
    </row>
    <row r="80" spans="3:53">
      <c r="C80" s="2">
        <v>34</v>
      </c>
      <c r="D80" s="21" t="str">
        <f t="shared" si="27"/>
        <v>;</v>
      </c>
      <c r="E80" s="5" t="str">
        <f t="shared" si="28"/>
        <v>ㄤ</v>
      </c>
      <c r="F80" s="5" t="str">
        <f t="shared" si="29"/>
        <v>[</v>
      </c>
      <c r="G80" s="5"/>
      <c r="I80" s="2"/>
      <c r="J80" s="2"/>
      <c r="R80" s="2"/>
      <c r="AZ80" s="11"/>
      <c r="BA80" s="2"/>
    </row>
    <row r="81" spans="3:53">
      <c r="C81" s="2">
        <v>35</v>
      </c>
      <c r="D81" s="21" t="str">
        <f t="shared" si="27"/>
        <v>/</v>
      </c>
      <c r="E81" s="5" t="str">
        <f t="shared" si="28"/>
        <v>ㄥ</v>
      </c>
      <c r="F81" s="5" t="str">
        <f t="shared" si="29"/>
        <v>W</v>
      </c>
      <c r="G81" s="5"/>
      <c r="I81" s="2"/>
      <c r="J81" s="2"/>
      <c r="R81" s="2"/>
      <c r="AZ81" s="11"/>
      <c r="BA81" s="2"/>
    </row>
    <row r="82" spans="3:53">
      <c r="C82" s="2">
        <v>36</v>
      </c>
      <c r="D82" s="21" t="str">
        <f t="shared" si="27"/>
        <v>-</v>
      </c>
      <c r="E82" s="5" t="str">
        <f t="shared" si="28"/>
        <v>ㄦ</v>
      </c>
      <c r="F82" s="5" t="str">
        <f t="shared" si="29"/>
        <v>R</v>
      </c>
      <c r="G82" s="5"/>
      <c r="I82" s="2"/>
      <c r="J82" s="2"/>
      <c r="R82" s="2"/>
      <c r="AZ82" s="11"/>
      <c r="BA82" s="2"/>
    </row>
    <row r="83" spans="3:53">
      <c r="C83" s="2">
        <v>37</v>
      </c>
      <c r="D83" s="21" t="str">
        <f t="shared" si="27"/>
        <v xml:space="preserve"> </v>
      </c>
      <c r="E83" s="5" t="str">
        <f t="shared" si="28"/>
        <v/>
      </c>
      <c r="F83" s="5" t="str">
        <f t="shared" si="29"/>
        <v/>
      </c>
      <c r="G83" s="5"/>
      <c r="I83" s="2"/>
      <c r="J83" s="2"/>
      <c r="R83" s="2"/>
      <c r="AZ83" s="11"/>
      <c r="BA83" s="2"/>
    </row>
    <row r="84" spans="3:53">
      <c r="C84" s="2">
        <v>38</v>
      </c>
      <c r="D84" s="21" t="str">
        <f t="shared" si="27"/>
        <v>4</v>
      </c>
      <c r="E84" s="5" t="str">
        <f t="shared" si="28"/>
        <v/>
      </c>
      <c r="F84" s="5" t="str">
        <f t="shared" si="29"/>
        <v/>
      </c>
      <c r="G84" s="5"/>
      <c r="I84" s="2"/>
      <c r="J84" s="2"/>
      <c r="R84" s="2"/>
      <c r="AZ84" s="11"/>
      <c r="BA84" s="2"/>
    </row>
    <row r="85" spans="3:53">
      <c r="C85" s="2">
        <v>39</v>
      </c>
      <c r="D85" s="21" t="str">
        <f t="shared" si="27"/>
        <v>3</v>
      </c>
      <c r="E85" s="5" t="str">
        <f t="shared" si="28"/>
        <v/>
      </c>
      <c r="F85" s="5" t="str">
        <f t="shared" si="29"/>
        <v/>
      </c>
      <c r="G85" s="5"/>
      <c r="I85" s="2"/>
      <c r="J85" s="2"/>
      <c r="R85" s="2"/>
      <c r="AZ85" s="11"/>
      <c r="BA85" s="2"/>
    </row>
    <row r="86" spans="3:53">
      <c r="C86" s="2">
        <v>40</v>
      </c>
      <c r="D86" s="21" t="str">
        <f t="shared" si="27"/>
        <v>6</v>
      </c>
      <c r="E86" s="5" t="str">
        <f t="shared" si="28"/>
        <v/>
      </c>
      <c r="F86" s="5" t="str">
        <f t="shared" si="29"/>
        <v/>
      </c>
      <c r="G86" s="5"/>
      <c r="I86" s="2"/>
      <c r="J86" s="2"/>
      <c r="R86" s="2"/>
      <c r="AZ86" s="11"/>
      <c r="BA86" s="2"/>
    </row>
    <row r="87" spans="3:53">
      <c r="C87" s="2">
        <v>41</v>
      </c>
      <c r="D87" s="21" t="str">
        <f t="shared" si="27"/>
        <v>5</v>
      </c>
      <c r="E87" s="5" t="str">
        <f t="shared" si="28"/>
        <v/>
      </c>
      <c r="F87" s="5" t="str">
        <f t="shared" si="29"/>
        <v/>
      </c>
      <c r="G87" s="5"/>
      <c r="I87" s="2"/>
      <c r="J87" s="2"/>
      <c r="R87" s="2"/>
      <c r="AZ87" s="11"/>
      <c r="BA87" s="2"/>
    </row>
    <row r="88" spans="3:53">
      <c r="C88" s="2">
        <v>42</v>
      </c>
      <c r="D88" s="21" t="str">
        <f t="shared" si="27"/>
        <v>7</v>
      </c>
      <c r="E88" s="5" t="str">
        <f t="shared" si="28"/>
        <v/>
      </c>
      <c r="F88" s="5" t="str">
        <f t="shared" si="29"/>
        <v/>
      </c>
      <c r="G88" s="5"/>
      <c r="I88" s="2"/>
      <c r="J88" s="2"/>
      <c r="L88" s="4"/>
      <c r="M88" s="3"/>
      <c r="N88" s="2"/>
      <c r="Q88" s="5"/>
      <c r="R88" s="2"/>
      <c r="AZ88" s="11"/>
      <c r="BA88" s="2"/>
    </row>
    <row r="89" spans="3:53">
      <c r="I89" s="2"/>
      <c r="J89" s="2"/>
      <c r="L89" s="4"/>
      <c r="M89" s="3"/>
      <c r="N89" s="2"/>
      <c r="Q89" s="5"/>
      <c r="R89" s="2"/>
      <c r="AZ89" s="11"/>
      <c r="BA89" s="2"/>
    </row>
    <row r="90" spans="3:53">
      <c r="I90" s="2"/>
      <c r="J90" s="2"/>
      <c r="L90" s="4"/>
      <c r="M90" s="3"/>
      <c r="N90" s="2"/>
      <c r="Q90" s="5"/>
      <c r="R90" s="2"/>
      <c r="AZ90" s="11"/>
      <c r="BA90" s="2"/>
    </row>
    <row r="91" spans="3:53">
      <c r="I91" s="2"/>
      <c r="J91" s="2"/>
      <c r="L91" s="4"/>
      <c r="M91" s="3"/>
      <c r="N91" s="2"/>
      <c r="Q91" s="5"/>
      <c r="R91" s="2"/>
      <c r="AZ91" s="11"/>
      <c r="BA91" s="2"/>
    </row>
    <row r="92" spans="3:53">
      <c r="I92" s="2"/>
      <c r="J92" s="2"/>
      <c r="L92" s="4"/>
      <c r="M92" s="3"/>
      <c r="N92" s="2"/>
      <c r="Q92" s="5"/>
      <c r="R92" s="2"/>
      <c r="AZ92" s="11"/>
      <c r="BA92" s="2"/>
    </row>
    <row r="93" spans="3:53">
      <c r="I93" s="2"/>
      <c r="J93" s="2"/>
      <c r="L93" s="4"/>
      <c r="M93" s="3"/>
      <c r="N93" s="2"/>
      <c r="Q93" s="5"/>
      <c r="R93" s="2"/>
      <c r="AZ93" s="11"/>
      <c r="BA93" s="2"/>
    </row>
    <row r="94" spans="3:53">
      <c r="I94" s="2"/>
      <c r="J94" s="2"/>
      <c r="L94" s="4"/>
      <c r="M94" s="3"/>
      <c r="N94" s="2"/>
      <c r="Q94" s="5"/>
      <c r="R94" s="2"/>
      <c r="AZ94" s="11"/>
      <c r="BA94" s="2"/>
    </row>
    <row r="95" spans="3:53">
      <c r="I95" s="2"/>
      <c r="J95" s="2"/>
      <c r="AZ95" s="11"/>
      <c r="BA95" s="2"/>
    </row>
    <row r="96" spans="3:53">
      <c r="I96" s="2"/>
      <c r="J96" s="2"/>
      <c r="AZ96" s="11"/>
      <c r="BA96" s="2"/>
    </row>
    <row r="97" spans="9:53">
      <c r="I97" s="2"/>
      <c r="J97" s="2"/>
      <c r="AZ97" s="11"/>
      <c r="BA97" s="2"/>
    </row>
    <row r="98" spans="9:53">
      <c r="I98" s="2"/>
      <c r="J98" s="2"/>
      <c r="AZ98" s="11"/>
      <c r="BA98" s="2"/>
    </row>
    <row r="99" spans="9:53">
      <c r="AZ99" s="11"/>
      <c r="BA99" s="2"/>
    </row>
  </sheetData>
  <autoFilter ref="Z2:AE58" xr:uid="{75B49C6C-D82D-4721-BCB2-CDFB1A07BE11}"/>
  <phoneticPr fontId="9" type="noConversion"/>
  <conditionalFormatting sqref="AA3:AD58">
    <cfRule type="cellIs" dxfId="2" priority="1" operator="equal">
      <formula>CHAR(32)</formula>
    </cfRule>
  </conditionalFormatting>
  <hyperlinks>
    <hyperlink ref="B2" r:id="rId1" xr:uid="{C267B5D8-933D-4568-8FDC-4B918ECFFC95}"/>
  </hyperlinks>
  <pageMargins left="0.7" right="0.7" top="0.75" bottom="0.75" header="0.3" footer="0.3"/>
  <ignoredErrors>
    <ignoredError sqref="BD14" unlockedFormula="1"/>
  </ignoredError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topLeftCell="A11" workbookViewId="0">
      <selection activeCell="C19" sqref="C19:C22"/>
    </sheetView>
  </sheetViews>
  <sheetFormatPr defaultColWidth="10.8984375" defaultRowHeight="39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285</v>
      </c>
      <c r="N1" s="103" t="s">
        <v>363</v>
      </c>
    </row>
    <row r="2" spans="2:76" s="127" customFormat="1" ht="30.75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362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9.75" thickTop="1">
      <c r="B3" s="98">
        <v>1</v>
      </c>
      <c r="C3" s="32" t="s">
        <v>20</v>
      </c>
      <c r="D3" s="71" t="s">
        <v>361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360</v>
      </c>
      <c r="K3" s="34" t="s">
        <v>279</v>
      </c>
      <c r="L3" s="107" t="s">
        <v>279</v>
      </c>
      <c r="N3" s="98">
        <v>1</v>
      </c>
      <c r="O3" s="97" t="s">
        <v>359</v>
      </c>
      <c r="P3" s="118" t="s">
        <v>351</v>
      </c>
      <c r="Q3" s="96" t="s">
        <v>351</v>
      </c>
      <c r="R3" s="33" t="s">
        <v>351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 ht="32.25">
      <c r="B4" s="98">
        <f t="shared" ref="B4:B35" si="2">B3+1</f>
        <v>2</v>
      </c>
      <c r="C4" s="32" t="s">
        <v>23</v>
      </c>
      <c r="D4" s="71" t="s">
        <v>351</v>
      </c>
      <c r="E4" s="63" t="s">
        <v>358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357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352</v>
      </c>
      <c r="P4" s="118" t="s">
        <v>356</v>
      </c>
      <c r="Q4" s="96" t="s">
        <v>351</v>
      </c>
      <c r="R4" s="33" t="s">
        <v>355</v>
      </c>
      <c r="U4" s="124" t="s">
        <v>354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 ht="32.25">
      <c r="B5" s="98">
        <f t="shared" si="2"/>
        <v>3</v>
      </c>
      <c r="C5" s="32" t="s">
        <v>27</v>
      </c>
      <c r="D5" s="71" t="s">
        <v>353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352</v>
      </c>
      <c r="K5" s="117" t="s">
        <v>351</v>
      </c>
      <c r="L5" s="107" t="s">
        <v>351</v>
      </c>
      <c r="N5" s="98">
        <f t="shared" si="4"/>
        <v>3</v>
      </c>
      <c r="O5" s="97" t="s">
        <v>350</v>
      </c>
      <c r="P5" s="118" t="s">
        <v>349</v>
      </c>
      <c r="Q5" s="104" t="s">
        <v>277</v>
      </c>
      <c r="R5" s="33" t="s">
        <v>276</v>
      </c>
      <c r="U5" s="122" t="s">
        <v>348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z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Z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 ht="32.25">
      <c r="B6" s="98">
        <f t="shared" si="2"/>
        <v>4</v>
      </c>
      <c r="C6" s="32" t="s">
        <v>83</v>
      </c>
      <c r="D6" s="71" t="s">
        <v>347</v>
      </c>
      <c r="E6" s="34" t="s">
        <v>28</v>
      </c>
      <c r="F6" s="107" t="s">
        <v>84</v>
      </c>
      <c r="H6" s="98">
        <f t="shared" si="3"/>
        <v>4</v>
      </c>
      <c r="I6" s="97" t="s">
        <v>336</v>
      </c>
      <c r="J6" s="97" t="s">
        <v>335</v>
      </c>
      <c r="K6" s="34" t="s">
        <v>65</v>
      </c>
      <c r="L6" s="107" t="s">
        <v>346</v>
      </c>
      <c r="N6" s="98">
        <f t="shared" si="4"/>
        <v>4</v>
      </c>
      <c r="O6" s="97" t="s">
        <v>345</v>
      </c>
      <c r="P6" s="118" t="s">
        <v>344</v>
      </c>
      <c r="Q6" s="104" t="s">
        <v>277</v>
      </c>
      <c r="R6" s="33" t="s">
        <v>343</v>
      </c>
      <c r="U6" s="120" t="s">
        <v>342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h</v>
      </c>
      <c r="AJ6" s="119" t="str" cm="1">
        <f t="array" aca="1" ref="AJ6" ca="1" xml:space="preserve"> INDIRECT( ADDRESS( ROW($D$2) + AJ$2, COLUMN($D$2)) )</f>
        <v>b</v>
      </c>
      <c r="AK6" s="119" t="str" cm="1">
        <f t="array" aca="1" ref="AK6" ca="1" xml:space="preserve"> INDIRECT( ADDRESS( ROW($D$2) + AK$2, COLUMN($D$2)) )</f>
        <v>n</v>
      </c>
      <c r="AL6" s="119" t="str" cm="1">
        <f t="array" aca="1" ref="AL6" ca="1" xml:space="preserve"> INDIRECT( ADDRESS( ROW($D$2) + AL$2, COLUMN($D$2)) )</f>
        <v>Y</v>
      </c>
      <c r="AM6" s="119" t="str" cm="1">
        <f t="array" aca="1" ref="AM6" ca="1" xml:space="preserve"> INDIRECT( ADDRESS( ROW($D$2) + AM$2, COLUMN($D$2)) )</f>
        <v>H</v>
      </c>
      <c r="AN6" s="119" t="str" cm="1">
        <f t="array" aca="1" ref="AN6" ca="1" xml:space="preserve"> INDIRECT( ADDRESS( ROW($D$2) + AN$2, COLUMN($D$2)) )</f>
        <v>B</v>
      </c>
      <c r="AO6" s="119" t="str" cm="1">
        <f t="array" aca="1" ref="AO6" ca="1" xml:space="preserve"> INDIRECT( ADDRESS( ROW($D$2) + AO$2, COLUMN($D$2)) )</f>
        <v>N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 ht="32.25">
      <c r="B7" s="116">
        <f t="shared" si="2"/>
        <v>5</v>
      </c>
      <c r="C7" s="26" t="s">
        <v>29</v>
      </c>
      <c r="D7" s="109" t="s">
        <v>341</v>
      </c>
      <c r="E7" s="28" t="s">
        <v>340</v>
      </c>
      <c r="F7" s="108" t="s">
        <v>30</v>
      </c>
      <c r="H7" s="98">
        <f t="shared" si="3"/>
        <v>5</v>
      </c>
      <c r="I7" s="97" t="s">
        <v>61</v>
      </c>
      <c r="J7" s="97" t="s">
        <v>339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 ht="32.25">
      <c r="B8" s="69">
        <f t="shared" si="2"/>
        <v>6</v>
      </c>
      <c r="C8" s="32" t="s">
        <v>31</v>
      </c>
      <c r="D8" s="71" t="s">
        <v>338</v>
      </c>
      <c r="E8" s="34" t="s">
        <v>337</v>
      </c>
      <c r="F8" s="107" t="s">
        <v>32</v>
      </c>
      <c r="H8" s="98">
        <f t="shared" si="3"/>
        <v>6</v>
      </c>
      <c r="I8" s="97" t="s">
        <v>336</v>
      </c>
      <c r="J8" s="97" t="s">
        <v>335</v>
      </c>
      <c r="K8" s="34" t="s">
        <v>329</v>
      </c>
      <c r="L8" s="107" t="s">
        <v>329</v>
      </c>
      <c r="N8" s="98">
        <f t="shared" si="4"/>
        <v>6</v>
      </c>
      <c r="O8" s="97" t="s">
        <v>325</v>
      </c>
      <c r="P8" s="118" t="s">
        <v>334</v>
      </c>
      <c r="Q8" s="104" t="s">
        <v>208</v>
      </c>
      <c r="R8" s="33" t="s">
        <v>333</v>
      </c>
    </row>
    <row r="9" spans="2:76" ht="32.25">
      <c r="B9" s="69">
        <f t="shared" si="2"/>
        <v>7</v>
      </c>
      <c r="C9" s="32" t="s">
        <v>33</v>
      </c>
      <c r="D9" s="71" t="s">
        <v>332</v>
      </c>
      <c r="E9" s="34" t="s">
        <v>328</v>
      </c>
      <c r="F9" s="107" t="s">
        <v>34</v>
      </c>
      <c r="H9" s="69">
        <f t="shared" si="3"/>
        <v>7</v>
      </c>
      <c r="I9" s="97" t="s">
        <v>241</v>
      </c>
      <c r="J9" s="97" t="s">
        <v>331</v>
      </c>
      <c r="K9" s="34" t="s">
        <v>275</v>
      </c>
      <c r="L9" s="107" t="s">
        <v>330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 ht="32.25">
      <c r="B10" s="72">
        <f t="shared" si="2"/>
        <v>8</v>
      </c>
      <c r="C10" s="42" t="s">
        <v>85</v>
      </c>
      <c r="D10" s="73" t="s">
        <v>329</v>
      </c>
      <c r="E10" s="44" t="s">
        <v>328</v>
      </c>
      <c r="F10" s="105" t="s">
        <v>86</v>
      </c>
      <c r="H10" s="69">
        <f t="shared" si="3"/>
        <v>8</v>
      </c>
      <c r="I10" s="97" t="s">
        <v>72</v>
      </c>
      <c r="J10" s="97" t="s">
        <v>327</v>
      </c>
      <c r="K10" s="34" t="s">
        <v>259</v>
      </c>
      <c r="L10" s="107" t="s">
        <v>326</v>
      </c>
      <c r="N10" s="98">
        <f t="shared" si="4"/>
        <v>8</v>
      </c>
      <c r="O10" s="97" t="s">
        <v>325</v>
      </c>
      <c r="P10" s="118" t="s">
        <v>324</v>
      </c>
      <c r="Q10" s="104" t="s">
        <v>176</v>
      </c>
      <c r="R10" s="33" t="s">
        <v>323</v>
      </c>
    </row>
    <row r="11" spans="2:76" ht="32.25">
      <c r="B11" s="98">
        <f t="shared" si="2"/>
        <v>9</v>
      </c>
      <c r="C11" s="32" t="s">
        <v>36</v>
      </c>
      <c r="D11" s="71" t="s">
        <v>322</v>
      </c>
      <c r="E11" s="34" t="s">
        <v>321</v>
      </c>
      <c r="F11" s="107" t="s">
        <v>37</v>
      </c>
      <c r="H11" s="98">
        <f t="shared" si="3"/>
        <v>9</v>
      </c>
      <c r="I11" s="97" t="s">
        <v>320</v>
      </c>
      <c r="J11" s="97" t="s">
        <v>319</v>
      </c>
      <c r="K11" s="34" t="s">
        <v>318</v>
      </c>
      <c r="L11" s="107" t="s">
        <v>318</v>
      </c>
      <c r="N11" s="98">
        <f t="shared" si="4"/>
        <v>9</v>
      </c>
      <c r="O11" s="97" t="s">
        <v>95</v>
      </c>
      <c r="P11" s="118" t="s">
        <v>317</v>
      </c>
      <c r="Q11" s="104" t="s">
        <v>164</v>
      </c>
      <c r="R11" s="33" t="s">
        <v>163</v>
      </c>
    </row>
    <row r="12" spans="2:76" ht="32.25">
      <c r="B12" s="98">
        <f t="shared" si="2"/>
        <v>10</v>
      </c>
      <c r="C12" s="32" t="s">
        <v>38</v>
      </c>
      <c r="D12" s="71" t="s">
        <v>189</v>
      </c>
      <c r="E12" s="34" t="s">
        <v>316</v>
      </c>
      <c r="F12" s="107" t="s">
        <v>39</v>
      </c>
      <c r="H12" s="98">
        <f t="shared" si="3"/>
        <v>10</v>
      </c>
      <c r="I12" s="97" t="s">
        <v>315</v>
      </c>
      <c r="J12" s="97" t="s">
        <v>314</v>
      </c>
      <c r="K12" s="34" t="s">
        <v>313</v>
      </c>
      <c r="L12" s="107" t="s">
        <v>313</v>
      </c>
      <c r="N12" s="98">
        <f t="shared" si="4"/>
        <v>10</v>
      </c>
      <c r="O12" s="97" t="s">
        <v>312</v>
      </c>
      <c r="P12" s="118" t="s">
        <v>311</v>
      </c>
      <c r="Q12" s="104" t="s">
        <v>164</v>
      </c>
      <c r="R12" s="33" t="s">
        <v>310</v>
      </c>
    </row>
    <row r="13" spans="2:76" ht="32.25">
      <c r="B13" s="98">
        <f t="shared" si="2"/>
        <v>11</v>
      </c>
      <c r="C13" s="32" t="s">
        <v>41</v>
      </c>
      <c r="D13" s="71" t="s">
        <v>309</v>
      </c>
      <c r="E13" s="34" t="s">
        <v>42</v>
      </c>
      <c r="F13" s="107" t="s">
        <v>42</v>
      </c>
      <c r="H13" s="98">
        <f t="shared" si="3"/>
        <v>11</v>
      </c>
      <c r="I13" s="97" t="s">
        <v>308</v>
      </c>
      <c r="J13" s="97" t="s">
        <v>307</v>
      </c>
      <c r="K13" s="34" t="s">
        <v>306</v>
      </c>
      <c r="L13" s="107" t="s">
        <v>306</v>
      </c>
      <c r="O13" s="94"/>
      <c r="P13" s="94"/>
      <c r="Q13" s="94"/>
      <c r="R13" s="94"/>
    </row>
    <row r="14" spans="2:76" ht="32.25">
      <c r="B14" s="98">
        <f t="shared" si="2"/>
        <v>12</v>
      </c>
      <c r="C14" s="32" t="s">
        <v>87</v>
      </c>
      <c r="D14" s="71" t="s">
        <v>305</v>
      </c>
      <c r="E14" s="117" t="s">
        <v>195</v>
      </c>
      <c r="F14" s="107" t="s">
        <v>88</v>
      </c>
      <c r="H14" s="98">
        <f t="shared" si="3"/>
        <v>12</v>
      </c>
      <c r="I14" s="97" t="s">
        <v>304</v>
      </c>
      <c r="J14" s="97" t="s">
        <v>303</v>
      </c>
      <c r="K14" s="117" t="s">
        <v>302</v>
      </c>
      <c r="L14" s="107" t="s">
        <v>301</v>
      </c>
      <c r="O14" s="94"/>
      <c r="P14" s="94"/>
      <c r="Q14" s="94"/>
      <c r="R14" s="94"/>
    </row>
    <row r="15" spans="2:76" ht="32.25">
      <c r="B15" s="116">
        <f t="shared" si="2"/>
        <v>13</v>
      </c>
      <c r="C15" s="26" t="s">
        <v>43</v>
      </c>
      <c r="D15" s="109" t="s">
        <v>370</v>
      </c>
      <c r="E15" s="28" t="s">
        <v>366</v>
      </c>
      <c r="F15" s="108" t="s">
        <v>44</v>
      </c>
      <c r="H15" s="69">
        <f t="shared" si="3"/>
        <v>13</v>
      </c>
      <c r="I15" s="97" t="s">
        <v>300</v>
      </c>
      <c r="J15" s="97" t="s">
        <v>299</v>
      </c>
      <c r="K15" s="34" t="s">
        <v>298</v>
      </c>
      <c r="L15" s="107" t="s">
        <v>298</v>
      </c>
      <c r="O15" s="94"/>
      <c r="P15" s="94"/>
      <c r="Q15" s="94"/>
      <c r="R15" s="94"/>
    </row>
    <row r="16" spans="2:76" ht="32.25">
      <c r="B16" s="69">
        <f t="shared" si="2"/>
        <v>14</v>
      </c>
      <c r="C16" s="32" t="s">
        <v>46</v>
      </c>
      <c r="D16" s="71" t="s">
        <v>371</v>
      </c>
      <c r="E16" s="34" t="s">
        <v>287</v>
      </c>
      <c r="F16" s="107" t="s">
        <v>47</v>
      </c>
      <c r="H16" s="69">
        <f t="shared" si="3"/>
        <v>14</v>
      </c>
      <c r="I16" s="97" t="s">
        <v>297</v>
      </c>
      <c r="J16" s="97" t="s">
        <v>296</v>
      </c>
      <c r="K16" s="34" t="s">
        <v>295</v>
      </c>
      <c r="L16" s="107" t="s">
        <v>295</v>
      </c>
      <c r="O16" s="94"/>
      <c r="P16" s="94"/>
      <c r="Q16" s="94"/>
      <c r="R16" s="94"/>
    </row>
    <row r="17" spans="2:18" ht="32.25">
      <c r="B17" s="69">
        <f t="shared" si="2"/>
        <v>15</v>
      </c>
      <c r="C17" s="32" t="s">
        <v>48</v>
      </c>
      <c r="D17" s="71" t="s">
        <v>373</v>
      </c>
      <c r="E17" s="34" t="s">
        <v>49</v>
      </c>
      <c r="F17" s="107" t="s">
        <v>49</v>
      </c>
      <c r="H17" s="69">
        <f t="shared" si="3"/>
        <v>15</v>
      </c>
      <c r="I17" s="97" t="s">
        <v>294</v>
      </c>
      <c r="J17" s="97" t="s">
        <v>293</v>
      </c>
      <c r="K17" s="34" t="s">
        <v>292</v>
      </c>
      <c r="L17" s="107" t="s">
        <v>292</v>
      </c>
      <c r="O17" s="94"/>
      <c r="P17" s="94"/>
      <c r="Q17" s="94"/>
      <c r="R17" s="94"/>
    </row>
    <row r="18" spans="2:18" ht="32.25">
      <c r="B18" s="72">
        <f t="shared" si="2"/>
        <v>16</v>
      </c>
      <c r="C18" s="42" t="s">
        <v>50</v>
      </c>
      <c r="D18" s="73" t="s">
        <v>372</v>
      </c>
      <c r="E18" s="44" t="s">
        <v>51</v>
      </c>
      <c r="F18" s="105" t="s">
        <v>51</v>
      </c>
      <c r="H18" s="69">
        <f t="shared" si="3"/>
        <v>16</v>
      </c>
      <c r="I18" s="97" t="s">
        <v>291</v>
      </c>
      <c r="J18" s="97" t="s">
        <v>290</v>
      </c>
      <c r="K18" s="34" t="s">
        <v>289</v>
      </c>
      <c r="L18" s="107" t="s">
        <v>288</v>
      </c>
      <c r="O18" s="94"/>
      <c r="P18" s="94"/>
      <c r="Q18" s="94"/>
      <c r="R18" s="94"/>
    </row>
    <row r="19" spans="2:18" ht="32.25">
      <c r="B19" s="98">
        <f t="shared" si="2"/>
        <v>17</v>
      </c>
      <c r="C19" s="32" t="s">
        <v>89</v>
      </c>
      <c r="D19" s="71" t="s">
        <v>374</v>
      </c>
      <c r="E19" s="34" t="s">
        <v>367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 ht="32.25">
      <c r="B20" s="98">
        <f t="shared" si="2"/>
        <v>18</v>
      </c>
      <c r="C20" s="32" t="s">
        <v>91</v>
      </c>
      <c r="D20" s="71" t="s">
        <v>375</v>
      </c>
      <c r="E20" s="34" t="s">
        <v>286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376</v>
      </c>
      <c r="E21" s="34" t="s">
        <v>368</v>
      </c>
      <c r="F21" s="107" t="s">
        <v>110</v>
      </c>
      <c r="H21" s="103" t="s">
        <v>285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284</v>
      </c>
      <c r="D22" s="71" t="s">
        <v>377</v>
      </c>
      <c r="E22" s="34" t="s">
        <v>369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 ht="32.25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 ht="32.25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 ht="32.25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 ht="32.25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 ht="32.25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 ht="32.25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 ht="32.25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 ht="32.25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 ht="32.25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 ht="32.25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 ht="32.25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 ht="32.25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 ht="32.25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 ht="32.25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 ht="32.25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 ht="32.25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 ht="32.25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 ht="32.25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 ht="32.25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 ht="32.25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 ht="32.25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 ht="32.25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 ht="32.25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 ht="32.25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 ht="32.25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 ht="32.25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 ht="32.25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 ht="32.25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 ht="32.25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 ht="32.25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 ht="32.25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 ht="32.25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>
      <selection activeCell="A9" sqref="A9"/>
    </sheetView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7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365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7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7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364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0000"/>
  </sheetPr>
  <dimension ref="B4:L31"/>
  <sheetViews>
    <sheetView topLeftCell="A4" workbookViewId="0">
      <selection activeCell="Q12" sqref="Q12"/>
    </sheetView>
  </sheetViews>
  <sheetFormatPr defaultRowHeight="21"/>
  <sheetData>
    <row r="4" spans="2:12">
      <c r="B4" s="591" t="s">
        <v>690</v>
      </c>
      <c r="C4" s="591" t="s">
        <v>693</v>
      </c>
      <c r="D4" s="591"/>
      <c r="E4" s="519" t="s">
        <v>771</v>
      </c>
      <c r="F4" s="520"/>
      <c r="G4" s="521"/>
      <c r="H4" s="592" t="s">
        <v>772</v>
      </c>
      <c r="I4" s="594"/>
      <c r="J4" s="594"/>
      <c r="K4" s="594"/>
      <c r="L4" s="593"/>
    </row>
    <row r="5" spans="2:12">
      <c r="B5" s="591"/>
      <c r="C5" s="591"/>
      <c r="D5" s="591"/>
      <c r="E5" s="522" t="s">
        <v>398</v>
      </c>
      <c r="F5" s="522" t="s">
        <v>411</v>
      </c>
      <c r="G5" s="522" t="s">
        <v>440</v>
      </c>
      <c r="H5" s="523" t="s">
        <v>773</v>
      </c>
      <c r="I5" s="523" t="s">
        <v>774</v>
      </c>
      <c r="J5" s="523" t="s">
        <v>775</v>
      </c>
      <c r="K5" s="592" t="s">
        <v>776</v>
      </c>
      <c r="L5" s="593"/>
    </row>
    <row r="6" spans="2:12" ht="22.5">
      <c r="B6" s="518" t="s">
        <v>471</v>
      </c>
      <c r="C6" s="518" t="s">
        <v>351</v>
      </c>
      <c r="D6" s="518" t="s">
        <v>276</v>
      </c>
      <c r="E6" s="518" t="s">
        <v>207</v>
      </c>
      <c r="F6" s="518" t="s">
        <v>177</v>
      </c>
      <c r="G6" s="518" t="s">
        <v>163</v>
      </c>
      <c r="H6" s="524" t="s">
        <v>333</v>
      </c>
      <c r="I6" s="524" t="s">
        <v>323</v>
      </c>
      <c r="J6" s="524" t="s">
        <v>777</v>
      </c>
      <c r="K6" s="524" t="s">
        <v>355</v>
      </c>
      <c r="L6" s="524" t="s">
        <v>778</v>
      </c>
    </row>
    <row r="7" spans="2:12" ht="22.5">
      <c r="B7" s="518" t="s">
        <v>779</v>
      </c>
      <c r="C7" s="518" t="s">
        <v>330</v>
      </c>
      <c r="D7" s="518" t="s">
        <v>268</v>
      </c>
      <c r="E7" s="518"/>
      <c r="F7" s="518"/>
      <c r="G7" s="518"/>
      <c r="H7" s="524"/>
      <c r="I7" s="524"/>
      <c r="J7" s="524"/>
      <c r="K7" s="524" t="s">
        <v>780</v>
      </c>
      <c r="L7" s="524" t="s">
        <v>781</v>
      </c>
    </row>
    <row r="8" spans="2:12" ht="22.5">
      <c r="B8" s="518" t="s">
        <v>782</v>
      </c>
      <c r="C8" s="518" t="s">
        <v>326</v>
      </c>
      <c r="D8" s="518"/>
      <c r="E8" s="518"/>
      <c r="F8" s="518"/>
      <c r="G8" s="518"/>
      <c r="H8" s="524"/>
      <c r="I8" s="524"/>
      <c r="J8" s="524"/>
      <c r="K8" s="524" t="s">
        <v>783</v>
      </c>
      <c r="L8" s="524" t="s">
        <v>784</v>
      </c>
    </row>
    <row r="9" spans="2:12" ht="22.5">
      <c r="B9" s="518" t="s">
        <v>785</v>
      </c>
      <c r="C9" s="518" t="s">
        <v>786</v>
      </c>
      <c r="D9" s="518"/>
      <c r="E9" s="518"/>
      <c r="F9" s="518"/>
      <c r="G9" s="518" t="s">
        <v>787</v>
      </c>
      <c r="H9" s="524"/>
      <c r="I9" s="524"/>
      <c r="J9" s="524" t="s">
        <v>788</v>
      </c>
      <c r="K9" s="524" t="s">
        <v>789</v>
      </c>
      <c r="L9" s="524"/>
    </row>
    <row r="10" spans="2:12" ht="22.5">
      <c r="B10" s="518" t="s">
        <v>482</v>
      </c>
      <c r="C10" s="518" t="s">
        <v>329</v>
      </c>
      <c r="D10" s="518" t="s">
        <v>270</v>
      </c>
      <c r="E10" s="518"/>
      <c r="F10" s="518"/>
      <c r="G10" s="518"/>
      <c r="H10" s="524"/>
      <c r="I10" s="524"/>
      <c r="J10" s="524"/>
      <c r="K10" s="524" t="s">
        <v>790</v>
      </c>
      <c r="L10" s="524" t="s">
        <v>791</v>
      </c>
    </row>
    <row r="11" spans="2:12" ht="22.5">
      <c r="B11" s="518" t="s">
        <v>468</v>
      </c>
      <c r="C11" s="518" t="s">
        <v>279</v>
      </c>
      <c r="D11" s="518" t="s">
        <v>513</v>
      </c>
      <c r="E11" s="518" t="s">
        <v>213</v>
      </c>
      <c r="F11" s="518" t="s">
        <v>186</v>
      </c>
      <c r="G11" s="518" t="s">
        <v>155</v>
      </c>
      <c r="H11" s="524" t="s">
        <v>792</v>
      </c>
      <c r="I11" s="524" t="s">
        <v>793</v>
      </c>
      <c r="J11" s="524" t="s">
        <v>794</v>
      </c>
      <c r="K11" s="524" t="s">
        <v>795</v>
      </c>
      <c r="L11" s="524" t="s">
        <v>796</v>
      </c>
    </row>
    <row r="12" spans="2:12" ht="22.5">
      <c r="B12" s="518" t="s">
        <v>797</v>
      </c>
      <c r="C12" s="518" t="s">
        <v>313</v>
      </c>
      <c r="D12" s="518" t="s">
        <v>255</v>
      </c>
      <c r="E12" s="518" t="s">
        <v>199</v>
      </c>
      <c r="F12" s="518" t="s">
        <v>172</v>
      </c>
      <c r="G12" s="518" t="s">
        <v>157</v>
      </c>
      <c r="H12" s="524" t="s">
        <v>798</v>
      </c>
      <c r="I12" s="524" t="s">
        <v>799</v>
      </c>
      <c r="J12" s="524" t="s">
        <v>800</v>
      </c>
      <c r="K12" s="524" t="s">
        <v>801</v>
      </c>
      <c r="L12" s="524" t="s">
        <v>802</v>
      </c>
    </row>
    <row r="13" spans="2:12" ht="22.5">
      <c r="B13" s="518" t="s">
        <v>803</v>
      </c>
      <c r="C13" s="518" t="s">
        <v>301</v>
      </c>
      <c r="D13" s="518" t="s">
        <v>804</v>
      </c>
      <c r="E13" s="518"/>
      <c r="F13" s="518"/>
      <c r="G13" s="518"/>
      <c r="H13" s="524"/>
      <c r="I13" s="524"/>
      <c r="J13" s="524"/>
      <c r="K13" s="524" t="s">
        <v>805</v>
      </c>
      <c r="L13" s="524"/>
    </row>
    <row r="14" spans="2:12" ht="22.5">
      <c r="B14" s="518" t="s">
        <v>806</v>
      </c>
      <c r="C14" s="518" t="s">
        <v>306</v>
      </c>
      <c r="D14" s="518"/>
      <c r="E14" s="518"/>
      <c r="F14" s="518"/>
      <c r="G14" s="518"/>
      <c r="H14" s="524"/>
      <c r="I14" s="524"/>
      <c r="J14" s="524"/>
      <c r="K14" s="524" t="s">
        <v>807</v>
      </c>
      <c r="L14" s="524"/>
    </row>
    <row r="15" spans="2:12" ht="22.5">
      <c r="B15" s="518" t="s">
        <v>808</v>
      </c>
      <c r="C15" s="518" t="s">
        <v>809</v>
      </c>
      <c r="D15" s="518" t="s">
        <v>250</v>
      </c>
      <c r="E15" s="518"/>
      <c r="F15" s="518"/>
      <c r="G15" s="518" t="s">
        <v>152</v>
      </c>
      <c r="H15" s="524"/>
      <c r="I15" s="524"/>
      <c r="J15" s="524" t="s">
        <v>810</v>
      </c>
      <c r="K15" s="524" t="s">
        <v>811</v>
      </c>
      <c r="L15" s="524"/>
    </row>
    <row r="16" spans="2:12" ht="22.5">
      <c r="B16" s="518" t="s">
        <v>812</v>
      </c>
      <c r="C16" s="518" t="s">
        <v>318</v>
      </c>
      <c r="D16" s="518" t="s">
        <v>260</v>
      </c>
      <c r="E16" s="518"/>
      <c r="F16" s="518"/>
      <c r="G16" s="518"/>
      <c r="H16" s="524"/>
      <c r="I16" s="524"/>
      <c r="J16" s="524"/>
      <c r="K16" s="524" t="s">
        <v>813</v>
      </c>
      <c r="L16" s="524" t="s">
        <v>814</v>
      </c>
    </row>
    <row r="17" spans="2:12" ht="22.5">
      <c r="B17" s="518" t="s">
        <v>475</v>
      </c>
      <c r="C17" s="518" t="s">
        <v>815</v>
      </c>
      <c r="D17" s="518"/>
      <c r="E17" s="518"/>
      <c r="F17" s="518"/>
      <c r="G17" s="518"/>
      <c r="H17" s="524"/>
      <c r="I17" s="524"/>
      <c r="J17" s="524"/>
      <c r="K17" s="524" t="s">
        <v>816</v>
      </c>
      <c r="L17" s="524"/>
    </row>
    <row r="18" spans="2:12" ht="22.5">
      <c r="B18" s="518" t="s">
        <v>817</v>
      </c>
      <c r="C18" s="518" t="s">
        <v>65</v>
      </c>
      <c r="D18" s="518"/>
      <c r="E18" s="518"/>
      <c r="F18" s="518"/>
      <c r="G18" s="518"/>
      <c r="H18" s="524"/>
      <c r="I18" s="524"/>
      <c r="J18" s="524"/>
      <c r="K18" s="524" t="s">
        <v>818</v>
      </c>
      <c r="L18" s="524"/>
    </row>
    <row r="19" spans="2:12" ht="22.5">
      <c r="B19" s="518"/>
      <c r="C19" s="518"/>
      <c r="D19" s="518"/>
      <c r="E19" s="518" t="s">
        <v>398</v>
      </c>
      <c r="F19" s="518" t="s">
        <v>411</v>
      </c>
      <c r="G19" s="518" t="s">
        <v>440</v>
      </c>
      <c r="H19" s="524" t="s">
        <v>773</v>
      </c>
      <c r="I19" s="524" t="s">
        <v>774</v>
      </c>
      <c r="J19" s="524" t="s">
        <v>775</v>
      </c>
      <c r="K19" s="524" t="s">
        <v>776</v>
      </c>
      <c r="L19" s="524"/>
    </row>
    <row r="20" spans="2:12" ht="22.5">
      <c r="B20" s="518" t="s">
        <v>474</v>
      </c>
      <c r="C20" s="518" t="s">
        <v>346</v>
      </c>
      <c r="D20" s="518" t="s">
        <v>273</v>
      </c>
      <c r="E20" s="518" t="s">
        <v>203</v>
      </c>
      <c r="F20" s="518"/>
      <c r="G20" s="518" t="s">
        <v>160</v>
      </c>
      <c r="H20" s="524" t="s">
        <v>819</v>
      </c>
      <c r="I20" s="524"/>
      <c r="J20" s="524" t="s">
        <v>820</v>
      </c>
      <c r="K20" s="524" t="s">
        <v>821</v>
      </c>
      <c r="L20" s="524" t="s">
        <v>822</v>
      </c>
    </row>
    <row r="21" spans="2:12" ht="22.5">
      <c r="B21" s="518" t="s">
        <v>823</v>
      </c>
      <c r="C21" s="518" t="s">
        <v>522</v>
      </c>
      <c r="D21" s="518"/>
      <c r="E21" s="518" t="s">
        <v>824</v>
      </c>
      <c r="F21" s="518" t="s">
        <v>825</v>
      </c>
      <c r="G21" s="518" t="s">
        <v>826</v>
      </c>
      <c r="H21" s="524" t="s">
        <v>827</v>
      </c>
      <c r="I21" s="524" t="s">
        <v>828</v>
      </c>
      <c r="J21" s="524" t="s">
        <v>829</v>
      </c>
      <c r="K21" s="524" t="s">
        <v>830</v>
      </c>
      <c r="L21" s="524"/>
    </row>
    <row r="22" spans="2:12" ht="22.5">
      <c r="B22" s="518" t="s">
        <v>469</v>
      </c>
      <c r="C22" s="518" t="s">
        <v>196</v>
      </c>
      <c r="D22" s="518"/>
      <c r="E22" s="518"/>
      <c r="F22" s="518" t="s">
        <v>181</v>
      </c>
      <c r="G22" s="518"/>
      <c r="H22" s="524"/>
      <c r="I22" s="524" t="s">
        <v>831</v>
      </c>
      <c r="J22" s="524"/>
      <c r="K22" s="524" t="s">
        <v>832</v>
      </c>
      <c r="L22" s="524"/>
    </row>
    <row r="23" spans="2:12" ht="22.5">
      <c r="B23" s="518" t="s">
        <v>833</v>
      </c>
      <c r="C23" s="518" t="s">
        <v>295</v>
      </c>
      <c r="D23" s="518" t="s">
        <v>236</v>
      </c>
      <c r="E23" s="518"/>
      <c r="F23" s="518" t="s">
        <v>168</v>
      </c>
      <c r="G23" s="518" t="s">
        <v>149</v>
      </c>
      <c r="H23" s="524"/>
      <c r="I23" s="524" t="s">
        <v>834</v>
      </c>
      <c r="J23" s="524"/>
      <c r="K23" s="524" t="s">
        <v>835</v>
      </c>
      <c r="L23" s="524"/>
    </row>
    <row r="24" spans="2:12" ht="22.5">
      <c r="B24" s="518" t="s">
        <v>836</v>
      </c>
      <c r="C24" s="518" t="s">
        <v>288</v>
      </c>
      <c r="D24" s="518" t="s">
        <v>837</v>
      </c>
      <c r="E24" s="518"/>
      <c r="F24" s="518"/>
      <c r="G24" s="518"/>
      <c r="H24" s="524"/>
      <c r="I24" s="524"/>
      <c r="J24" s="524"/>
      <c r="K24" s="524"/>
      <c r="L24" s="524"/>
    </row>
    <row r="25" spans="2:12" ht="22.5">
      <c r="B25" s="518" t="s">
        <v>838</v>
      </c>
      <c r="C25" s="518" t="s">
        <v>839</v>
      </c>
      <c r="D25" s="518"/>
      <c r="E25" s="518"/>
      <c r="F25" s="518"/>
      <c r="G25" s="518"/>
      <c r="H25" s="524"/>
      <c r="I25" s="524"/>
      <c r="J25" s="524"/>
      <c r="K25" s="524" t="s">
        <v>840</v>
      </c>
      <c r="L25" s="524"/>
    </row>
    <row r="26" spans="2:12" ht="22.5">
      <c r="B26" s="518" t="s">
        <v>841</v>
      </c>
      <c r="C26" s="518" t="s">
        <v>292</v>
      </c>
      <c r="D26" s="518"/>
      <c r="E26" s="518"/>
      <c r="F26" s="518"/>
      <c r="G26" s="518"/>
      <c r="H26" s="524"/>
      <c r="I26" s="524"/>
      <c r="J26" s="524"/>
      <c r="K26" s="524" t="s">
        <v>842</v>
      </c>
      <c r="L26" s="524"/>
    </row>
    <row r="27" spans="2:12" ht="22.5">
      <c r="B27" s="518" t="s">
        <v>843</v>
      </c>
      <c r="C27" s="518" t="s">
        <v>298</v>
      </c>
      <c r="D27" s="518"/>
      <c r="E27" s="518"/>
      <c r="F27" s="518"/>
      <c r="G27" s="518"/>
      <c r="H27" s="524"/>
      <c r="I27" s="524"/>
      <c r="J27" s="524"/>
      <c r="K27" s="524"/>
      <c r="L27" s="524"/>
    </row>
    <row r="28" spans="2:12" ht="22.5">
      <c r="B28" s="518" t="s">
        <v>844</v>
      </c>
      <c r="C28" s="518"/>
      <c r="D28" s="518" t="s">
        <v>845</v>
      </c>
      <c r="E28" s="518"/>
      <c r="F28" s="518"/>
      <c r="G28" s="518"/>
      <c r="H28" s="524"/>
      <c r="I28" s="524"/>
      <c r="J28" s="524"/>
      <c r="K28" s="524"/>
      <c r="L28" s="524"/>
    </row>
    <row r="29" spans="2:12" ht="22.5">
      <c r="B29" s="518" t="s">
        <v>846</v>
      </c>
      <c r="C29" s="518" t="s">
        <v>847</v>
      </c>
      <c r="D29" s="518"/>
      <c r="E29" s="518"/>
      <c r="F29" s="518"/>
      <c r="G29" s="518"/>
      <c r="H29" s="524"/>
      <c r="I29" s="524"/>
      <c r="J29" s="524"/>
      <c r="K29" s="524" t="s">
        <v>848</v>
      </c>
      <c r="L29" s="524"/>
    </row>
    <row r="30" spans="2:12" ht="22.5">
      <c r="B30" s="518" t="s">
        <v>470</v>
      </c>
      <c r="C30" s="518" t="s">
        <v>143</v>
      </c>
      <c r="D30" s="518"/>
      <c r="E30" s="518" t="s">
        <v>849</v>
      </c>
      <c r="F30" s="518"/>
      <c r="G30" s="518"/>
      <c r="H30" s="524"/>
      <c r="I30" s="524"/>
      <c r="J30" s="524"/>
      <c r="K30" s="524" t="s">
        <v>850</v>
      </c>
      <c r="L30" s="524"/>
    </row>
    <row r="31" spans="2:12" ht="22.5">
      <c r="B31" s="518" t="s">
        <v>498</v>
      </c>
      <c r="C31" s="518" t="s">
        <v>140</v>
      </c>
      <c r="D31" s="518"/>
      <c r="E31" s="518" t="s">
        <v>849</v>
      </c>
      <c r="F31" s="518"/>
      <c r="G31" s="518"/>
      <c r="H31" s="524"/>
      <c r="I31" s="524"/>
      <c r="J31" s="524"/>
      <c r="K31" s="524" t="s">
        <v>851</v>
      </c>
      <c r="L31" s="524"/>
    </row>
  </sheetData>
  <mergeCells count="4">
    <mergeCell ref="C4:D5"/>
    <mergeCell ref="B4:B5"/>
    <mergeCell ref="K5:L5"/>
    <mergeCell ref="H4:L4"/>
  </mergeCells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6A5C-558F-454E-B716-9DFE8C108629}">
  <dimension ref="B2:J63"/>
  <sheetViews>
    <sheetView topLeftCell="A18" workbookViewId="0">
      <selection activeCell="C2" sqref="C2"/>
    </sheetView>
  </sheetViews>
  <sheetFormatPr defaultRowHeight="21"/>
  <cols>
    <col min="2" max="2" width="14.3984375" bestFit="1" customWidth="1"/>
    <col min="3" max="3" width="9.796875" bestFit="1" customWidth="1"/>
  </cols>
  <sheetData>
    <row r="2" spans="2:10">
      <c r="B2" t="s">
        <v>616</v>
      </c>
      <c r="C2" s="358" t="s">
        <v>652</v>
      </c>
      <c r="D2" s="358"/>
      <c r="E2" s="358"/>
      <c r="F2" s="358"/>
      <c r="G2" s="358"/>
      <c r="H2" s="358"/>
      <c r="I2" s="358"/>
      <c r="J2" s="358"/>
    </row>
    <row r="4" spans="2:10">
      <c r="B4" t="s">
        <v>617</v>
      </c>
      <c r="C4" s="359" t="s">
        <v>526</v>
      </c>
    </row>
    <row r="5" spans="2:10" ht="23.25">
      <c r="B5" t="s">
        <v>618</v>
      </c>
      <c r="C5" s="11">
        <f xml:space="preserve"> SEARCH($C$4,$C$2,1) + 1</f>
        <v>12</v>
      </c>
      <c r="D5" s="2"/>
    </row>
    <row r="6" spans="2:10" ht="23.25">
      <c r="B6" t="s">
        <v>619</v>
      </c>
      <c r="C6" s="11">
        <f xml:space="preserve"> SEARCH($C$4,$C$2,C5+1) - 1</f>
        <v>63</v>
      </c>
      <c r="D6" s="2"/>
    </row>
    <row r="7" spans="2:10">
      <c r="B7" t="s">
        <v>620</v>
      </c>
      <c r="C7" s="358" t="str">
        <f xml:space="preserve"> MID(C2, C5, C6-C5+1)</f>
        <v>1!qa2wsxeEdcbyhnBYHN?ujm8ik,9l.0p;:/-OAUJ*I&lt;(L 43657</v>
      </c>
      <c r="D7" s="358"/>
      <c r="E7" s="358"/>
      <c r="F7" s="358"/>
      <c r="G7" s="358"/>
      <c r="H7" s="358"/>
      <c r="I7" s="358"/>
      <c r="J7" s="358"/>
    </row>
    <row r="8" spans="2:10" ht="25.5">
      <c r="B8" t="s">
        <v>621</v>
      </c>
      <c r="C8" s="360">
        <f xml:space="preserve"> LEN(C7)</f>
        <v>52</v>
      </c>
    </row>
    <row r="11" spans="2:10">
      <c r="B11" s="236">
        <f xml:space="preserve"> ROW() - 10</f>
        <v>1</v>
      </c>
      <c r="C11" s="350" t="str">
        <f xml:space="preserve"> MID($C$7, B11,1)</f>
        <v>1</v>
      </c>
    </row>
    <row r="12" spans="2:10">
      <c r="B12" s="236">
        <f t="shared" ref="B12:B63" si="0" xml:space="preserve"> ROW() - 10</f>
        <v>2</v>
      </c>
      <c r="C12" s="350" t="str">
        <f t="shared" ref="C12:C63" si="1" xml:space="preserve"> MID($C$7, B12,1)</f>
        <v>!</v>
      </c>
    </row>
    <row r="13" spans="2:10">
      <c r="B13" s="236">
        <f t="shared" si="0"/>
        <v>3</v>
      </c>
      <c r="C13" s="350" t="str">
        <f t="shared" si="1"/>
        <v>q</v>
      </c>
    </row>
    <row r="14" spans="2:10">
      <c r="B14" s="236">
        <f t="shared" si="0"/>
        <v>4</v>
      </c>
      <c r="C14" s="350" t="str">
        <f t="shared" si="1"/>
        <v>a</v>
      </c>
    </row>
    <row r="15" spans="2:10">
      <c r="B15" s="236">
        <f t="shared" si="0"/>
        <v>5</v>
      </c>
      <c r="C15" s="350" t="str">
        <f t="shared" si="1"/>
        <v>2</v>
      </c>
    </row>
    <row r="16" spans="2:10">
      <c r="B16" s="236">
        <f t="shared" si="0"/>
        <v>6</v>
      </c>
      <c r="C16" s="350" t="str">
        <f t="shared" si="1"/>
        <v>w</v>
      </c>
    </row>
    <row r="17" spans="2:3">
      <c r="B17" s="236">
        <f t="shared" si="0"/>
        <v>7</v>
      </c>
      <c r="C17" s="350" t="str">
        <f t="shared" si="1"/>
        <v>s</v>
      </c>
    </row>
    <row r="18" spans="2:3">
      <c r="B18" s="236">
        <f t="shared" si="0"/>
        <v>8</v>
      </c>
      <c r="C18" s="350" t="str">
        <f t="shared" si="1"/>
        <v>x</v>
      </c>
    </row>
    <row r="19" spans="2:3">
      <c r="B19" s="236">
        <f t="shared" si="0"/>
        <v>9</v>
      </c>
      <c r="C19" s="350" t="str">
        <f t="shared" si="1"/>
        <v>e</v>
      </c>
    </row>
    <row r="20" spans="2:3">
      <c r="B20" s="236">
        <f t="shared" si="0"/>
        <v>10</v>
      </c>
      <c r="C20" s="350" t="str">
        <f t="shared" si="1"/>
        <v>E</v>
      </c>
    </row>
    <row r="21" spans="2:3">
      <c r="B21" s="236">
        <f t="shared" si="0"/>
        <v>11</v>
      </c>
      <c r="C21" s="350" t="str">
        <f t="shared" si="1"/>
        <v>d</v>
      </c>
    </row>
    <row r="22" spans="2:3">
      <c r="B22" s="236">
        <f t="shared" si="0"/>
        <v>12</v>
      </c>
      <c r="C22" s="350" t="str">
        <f t="shared" si="1"/>
        <v>c</v>
      </c>
    </row>
    <row r="23" spans="2:3">
      <c r="B23" s="236">
        <f t="shared" si="0"/>
        <v>13</v>
      </c>
      <c r="C23" s="350" t="str">
        <f t="shared" si="1"/>
        <v>b</v>
      </c>
    </row>
    <row r="24" spans="2:3">
      <c r="B24" s="236">
        <f t="shared" si="0"/>
        <v>14</v>
      </c>
      <c r="C24" s="350" t="str">
        <f t="shared" si="1"/>
        <v>y</v>
      </c>
    </row>
    <row r="25" spans="2:3">
      <c r="B25" s="236">
        <f t="shared" si="0"/>
        <v>15</v>
      </c>
      <c r="C25" s="350" t="str">
        <f t="shared" si="1"/>
        <v>h</v>
      </c>
    </row>
    <row r="26" spans="2:3">
      <c r="B26" s="236">
        <f t="shared" si="0"/>
        <v>16</v>
      </c>
      <c r="C26" s="350" t="str">
        <f t="shared" si="1"/>
        <v>n</v>
      </c>
    </row>
    <row r="27" spans="2:3">
      <c r="B27" s="236">
        <f t="shared" si="0"/>
        <v>17</v>
      </c>
      <c r="C27" s="350" t="str">
        <f t="shared" si="1"/>
        <v>B</v>
      </c>
    </row>
    <row r="28" spans="2:3">
      <c r="B28" s="236">
        <f t="shared" si="0"/>
        <v>18</v>
      </c>
      <c r="C28" s="350" t="str">
        <f t="shared" si="1"/>
        <v>Y</v>
      </c>
    </row>
    <row r="29" spans="2:3">
      <c r="B29" s="236">
        <f t="shared" si="0"/>
        <v>19</v>
      </c>
      <c r="C29" s="350" t="str">
        <f t="shared" si="1"/>
        <v>H</v>
      </c>
    </row>
    <row r="30" spans="2:3">
      <c r="B30" s="236">
        <f t="shared" si="0"/>
        <v>20</v>
      </c>
      <c r="C30" s="350" t="str">
        <f t="shared" si="1"/>
        <v>N</v>
      </c>
    </row>
    <row r="31" spans="2:3">
      <c r="B31" s="236">
        <f t="shared" si="0"/>
        <v>21</v>
      </c>
      <c r="C31" s="350" t="str">
        <f t="shared" si="1"/>
        <v>?</v>
      </c>
    </row>
    <row r="32" spans="2:3">
      <c r="B32" s="236">
        <f t="shared" si="0"/>
        <v>22</v>
      </c>
      <c r="C32" s="350" t="str">
        <f t="shared" si="1"/>
        <v>u</v>
      </c>
    </row>
    <row r="33" spans="2:3">
      <c r="B33" s="236">
        <f t="shared" si="0"/>
        <v>23</v>
      </c>
      <c r="C33" s="350" t="str">
        <f t="shared" si="1"/>
        <v>j</v>
      </c>
    </row>
    <row r="34" spans="2:3">
      <c r="B34" s="236">
        <f t="shared" si="0"/>
        <v>24</v>
      </c>
      <c r="C34" s="350" t="str">
        <f t="shared" si="1"/>
        <v>m</v>
      </c>
    </row>
    <row r="35" spans="2:3">
      <c r="B35" s="236">
        <f t="shared" si="0"/>
        <v>25</v>
      </c>
      <c r="C35" s="350" t="str">
        <f t="shared" si="1"/>
        <v>8</v>
      </c>
    </row>
    <row r="36" spans="2:3">
      <c r="B36" s="236">
        <f t="shared" si="0"/>
        <v>26</v>
      </c>
      <c r="C36" s="350" t="str">
        <f t="shared" si="1"/>
        <v>i</v>
      </c>
    </row>
    <row r="37" spans="2:3">
      <c r="B37" s="236">
        <f t="shared" si="0"/>
        <v>27</v>
      </c>
      <c r="C37" s="350" t="str">
        <f t="shared" si="1"/>
        <v>k</v>
      </c>
    </row>
    <row r="38" spans="2:3">
      <c r="B38" s="236">
        <f t="shared" si="0"/>
        <v>28</v>
      </c>
      <c r="C38" s="350" t="str">
        <f t="shared" si="1"/>
        <v>,</v>
      </c>
    </row>
    <row r="39" spans="2:3">
      <c r="B39" s="236">
        <f t="shared" si="0"/>
        <v>29</v>
      </c>
      <c r="C39" s="350" t="str">
        <f t="shared" si="1"/>
        <v>9</v>
      </c>
    </row>
    <row r="40" spans="2:3">
      <c r="B40" s="236">
        <f t="shared" si="0"/>
        <v>30</v>
      </c>
      <c r="C40" s="350" t="str">
        <f t="shared" si="1"/>
        <v>l</v>
      </c>
    </row>
    <row r="41" spans="2:3">
      <c r="B41" s="236">
        <f t="shared" si="0"/>
        <v>31</v>
      </c>
      <c r="C41" s="350" t="str">
        <f t="shared" si="1"/>
        <v>.</v>
      </c>
    </row>
    <row r="42" spans="2:3">
      <c r="B42" s="236">
        <f t="shared" si="0"/>
        <v>32</v>
      </c>
      <c r="C42" s="350" t="str">
        <f t="shared" si="1"/>
        <v>0</v>
      </c>
    </row>
    <row r="43" spans="2:3">
      <c r="B43" s="236">
        <f t="shared" si="0"/>
        <v>33</v>
      </c>
      <c r="C43" s="350" t="str">
        <f t="shared" si="1"/>
        <v>p</v>
      </c>
    </row>
    <row r="44" spans="2:3">
      <c r="B44" s="236">
        <f t="shared" si="0"/>
        <v>34</v>
      </c>
      <c r="C44" s="350" t="str">
        <f t="shared" si="1"/>
        <v>;</v>
      </c>
    </row>
    <row r="45" spans="2:3">
      <c r="B45" s="236">
        <f t="shared" si="0"/>
        <v>35</v>
      </c>
      <c r="C45" s="350" t="str">
        <f t="shared" si="1"/>
        <v>:</v>
      </c>
    </row>
    <row r="46" spans="2:3">
      <c r="B46" s="236">
        <f t="shared" si="0"/>
        <v>36</v>
      </c>
      <c r="C46" s="350" t="str">
        <f t="shared" si="1"/>
        <v>/</v>
      </c>
    </row>
    <row r="47" spans="2:3">
      <c r="B47" s="236">
        <f t="shared" si="0"/>
        <v>37</v>
      </c>
      <c r="C47" s="350" t="str">
        <f t="shared" si="1"/>
        <v>-</v>
      </c>
    </row>
    <row r="48" spans="2:3">
      <c r="B48" s="236">
        <f t="shared" si="0"/>
        <v>38</v>
      </c>
      <c r="C48" s="350" t="str">
        <f t="shared" si="1"/>
        <v>O</v>
      </c>
    </row>
    <row r="49" spans="2:4">
      <c r="B49" s="236">
        <f t="shared" si="0"/>
        <v>39</v>
      </c>
      <c r="C49" s="350" t="str">
        <f t="shared" si="1"/>
        <v>A</v>
      </c>
    </row>
    <row r="50" spans="2:4">
      <c r="B50" s="236">
        <f t="shared" si="0"/>
        <v>40</v>
      </c>
      <c r="C50" s="350" t="str">
        <f t="shared" si="1"/>
        <v>U</v>
      </c>
    </row>
    <row r="51" spans="2:4">
      <c r="B51" s="236">
        <f t="shared" si="0"/>
        <v>41</v>
      </c>
      <c r="C51" s="350" t="str">
        <f t="shared" si="1"/>
        <v>J</v>
      </c>
    </row>
    <row r="52" spans="2:4">
      <c r="B52" s="236">
        <f t="shared" si="0"/>
        <v>42</v>
      </c>
      <c r="C52" s="350" t="str">
        <f t="shared" si="1"/>
        <v>*</v>
      </c>
    </row>
    <row r="53" spans="2:4">
      <c r="B53" s="236">
        <f t="shared" si="0"/>
        <v>43</v>
      </c>
      <c r="C53" s="350" t="str">
        <f t="shared" si="1"/>
        <v>I</v>
      </c>
    </row>
    <row r="54" spans="2:4">
      <c r="B54" s="236">
        <f t="shared" si="0"/>
        <v>44</v>
      </c>
      <c r="C54" s="350" t="str">
        <f t="shared" si="1"/>
        <v>&lt;</v>
      </c>
    </row>
    <row r="55" spans="2:4">
      <c r="B55" s="236">
        <f t="shared" si="0"/>
        <v>45</v>
      </c>
      <c r="C55" s="350" t="str">
        <f t="shared" si="1"/>
        <v>(</v>
      </c>
    </row>
    <row r="56" spans="2:4">
      <c r="B56" s="236">
        <f t="shared" si="0"/>
        <v>46</v>
      </c>
      <c r="C56" s="350" t="s">
        <v>641</v>
      </c>
    </row>
    <row r="57" spans="2:4">
      <c r="B57" s="236">
        <f t="shared" si="0"/>
        <v>47</v>
      </c>
      <c r="C57" s="350" t="str">
        <f t="shared" si="1"/>
        <v xml:space="preserve"> </v>
      </c>
      <c r="D57" s="327" t="s">
        <v>633</v>
      </c>
    </row>
    <row r="58" spans="2:4">
      <c r="B58" s="236">
        <f t="shared" si="0"/>
        <v>48</v>
      </c>
      <c r="C58" s="350" t="str">
        <f t="shared" si="1"/>
        <v>4</v>
      </c>
    </row>
    <row r="59" spans="2:4">
      <c r="B59" s="236">
        <f t="shared" si="0"/>
        <v>49</v>
      </c>
      <c r="C59" s="350" t="str">
        <f t="shared" si="1"/>
        <v>3</v>
      </c>
    </row>
    <row r="60" spans="2:4">
      <c r="B60" s="236">
        <f t="shared" si="0"/>
        <v>50</v>
      </c>
      <c r="C60" s="350" t="str">
        <f t="shared" si="1"/>
        <v>6</v>
      </c>
    </row>
    <row r="61" spans="2:4">
      <c r="B61" s="236">
        <f t="shared" si="0"/>
        <v>51</v>
      </c>
      <c r="C61" s="350" t="str">
        <f t="shared" si="1"/>
        <v>5</v>
      </c>
    </row>
    <row r="62" spans="2:4">
      <c r="B62" s="236">
        <f t="shared" si="0"/>
        <v>52</v>
      </c>
      <c r="C62" s="350" t="str">
        <f t="shared" si="1"/>
        <v>7</v>
      </c>
    </row>
    <row r="63" spans="2:4">
      <c r="B63" s="236">
        <f t="shared" si="0"/>
        <v>53</v>
      </c>
      <c r="C63" s="350" t="str">
        <f t="shared" si="1"/>
        <v/>
      </c>
    </row>
  </sheetData>
  <phoneticPr fontId="9" type="noConversion"/>
  <conditionalFormatting sqref="C11:C63">
    <cfRule type="cellIs" dxfId="1" priority="1" operator="equal">
      <formula>CHAR(32)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>
      <selection activeCell="T11" sqref="T11"/>
    </sheetView>
  </sheetViews>
  <sheetFormatPr defaultRowHeight="21"/>
  <sheetData/>
  <phoneticPr fontId="9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D87-44AE-4789-9C3B-6156A4BF1897}">
  <dimension ref="B2:BR116"/>
  <sheetViews>
    <sheetView topLeftCell="A22" workbookViewId="0">
      <selection activeCell="K3" sqref="K3"/>
    </sheetView>
  </sheetViews>
  <sheetFormatPr defaultRowHeight="25.5"/>
  <cols>
    <col min="1" max="1" width="2.19921875" customWidth="1"/>
    <col min="2" max="2" width="4.296875" style="320" customWidth="1"/>
    <col min="3" max="3" width="9.69921875" bestFit="1" customWidth="1"/>
    <col min="5" max="5" width="2.19921875" customWidth="1"/>
    <col min="6" max="6" width="4.296875" style="320" customWidth="1"/>
    <col min="7" max="7" width="9.69921875" bestFit="1" customWidth="1"/>
    <col min="9" max="9" width="2.19921875" customWidth="1"/>
    <col min="10" max="10" width="4.296875" style="320" customWidth="1"/>
    <col min="11" max="11" width="11.3984375" customWidth="1"/>
    <col min="12" max="13" width="11.3984375" style="321" customWidth="1"/>
    <col min="14" max="14" width="11.3984375" customWidth="1"/>
    <col min="15" max="15" width="11.3984375" style="340" customWidth="1"/>
    <col min="16" max="16" width="2.19921875" customWidth="1"/>
    <col min="17" max="17" width="4.296875" style="320" customWidth="1"/>
    <col min="18" max="20" width="12.296875" customWidth="1"/>
    <col min="21" max="21" width="12.296875" style="346" customWidth="1"/>
    <col min="22" max="22" width="5.796875" customWidth="1"/>
    <col min="23" max="66" width="3.19921875" style="330" customWidth="1"/>
    <col min="67" max="68" width="3.19921875" style="331" customWidth="1"/>
    <col min="69" max="70" width="8.796875" style="331"/>
  </cols>
  <sheetData>
    <row r="2" spans="2:70">
      <c r="C2" s="351" t="s">
        <v>583</v>
      </c>
      <c r="D2" s="351" t="s">
        <v>584</v>
      </c>
      <c r="E2" s="352"/>
      <c r="F2" s="353"/>
      <c r="G2" s="351" t="s">
        <v>584</v>
      </c>
      <c r="H2" s="351" t="s">
        <v>385</v>
      </c>
      <c r="I2" s="352"/>
      <c r="J2" s="353"/>
      <c r="K2" s="351" t="s">
        <v>584</v>
      </c>
      <c r="L2" s="351" t="s">
        <v>385</v>
      </c>
      <c r="M2" s="351" t="s">
        <v>853</v>
      </c>
      <c r="N2" s="351" t="s">
        <v>583</v>
      </c>
      <c r="O2" s="351" t="s">
        <v>852</v>
      </c>
      <c r="P2" s="352"/>
      <c r="Q2" s="353"/>
      <c r="R2" s="351" t="s">
        <v>584</v>
      </c>
      <c r="S2" s="351" t="s">
        <v>385</v>
      </c>
      <c r="T2" s="351" t="s">
        <v>583</v>
      </c>
      <c r="U2" s="351" t="s">
        <v>602</v>
      </c>
      <c r="W2" s="336" t="str">
        <f ca="1" xml:space="preserve"> "  alphabet: '" &amp; _xlfn.CONCAT(R$3:R$48, R$49:R$54) &amp; "'"</f>
        <v xml:space="preserve">  alphabet: '1q!a2wsxedEcyhnYrfvbuUjJm8*iIk,&lt;9(lL0p;:/?-AO. 43657'</v>
      </c>
      <c r="X2" s="334"/>
      <c r="Y2" s="334"/>
      <c r="Z2" s="334"/>
      <c r="AA2" s="334"/>
      <c r="AB2" s="334"/>
      <c r="AC2" s="334"/>
      <c r="AD2" s="334"/>
      <c r="AE2" s="334"/>
      <c r="AF2" s="334"/>
      <c r="AG2" s="334"/>
      <c r="AH2" s="334"/>
      <c r="AI2" s="334"/>
      <c r="AJ2" s="334"/>
      <c r="AK2" s="334"/>
      <c r="AL2" s="334"/>
      <c r="AM2" s="334"/>
      <c r="AN2" s="334"/>
      <c r="AO2" s="334"/>
      <c r="AP2" s="334"/>
      <c r="AQ2" s="334"/>
    </row>
    <row r="3" spans="2:70">
      <c r="B3" s="323">
        <f xml:space="preserve"> ROW() - 2</f>
        <v>1</v>
      </c>
      <c r="C3" s="350" t="s">
        <v>217</v>
      </c>
      <c r="D3" s="324" t="s">
        <v>361</v>
      </c>
      <c r="F3" s="323">
        <f xml:space="preserve"> ROW() - 2</f>
        <v>1</v>
      </c>
      <c r="G3" s="324" t="s">
        <v>361</v>
      </c>
      <c r="H3" s="344" t="s">
        <v>20</v>
      </c>
      <c r="J3" s="323">
        <f xml:space="preserve"> ROW() - 2</f>
        <v>1</v>
      </c>
      <c r="K3" s="329" t="str" cm="1">
        <f t="array" aca="1" ref="K3" ca="1" xml:space="preserve"> INDIRECT(ADDRESS(2+$F3,COLUMN(G:G)))</f>
        <v>1</v>
      </c>
      <c r="L3" s="338" t="str" cm="1">
        <f t="array" aca="1" ref="L3" ca="1" xml:space="preserve"> IFERROR( INDEX($H$3:$H$54, MATCH(TRUE, EXACT($K3,$G$3:$G$54), 0)), "")</f>
        <v>ㄅ</v>
      </c>
      <c r="M3" s="338" t="s">
        <v>854</v>
      </c>
      <c r="N3" s="337" t="str" cm="1">
        <f t="array" aca="1" ref="N3" ca="1" xml:space="preserve"> IFERROR( INDEX($C$3:$C$54, MATCH(TRUE, EXACT($K3,$D$3:$D$54), 0)), "")</f>
        <v>p</v>
      </c>
      <c r="O3" s="341" t="s">
        <v>21</v>
      </c>
      <c r="Q3" s="323">
        <f xml:space="preserve"> ROW() - 2</f>
        <v>1</v>
      </c>
      <c r="R3" s="347" t="str">
        <f t="shared" ref="R3:R34" ca="1" si="0">K3</f>
        <v>1</v>
      </c>
      <c r="S3" s="349" t="str">
        <f t="shared" ref="S3:S34" ca="1" si="1">L3</f>
        <v>ㄅ</v>
      </c>
      <c r="T3" s="347" t="str">
        <f t="shared" ref="T3:T34" ca="1" si="2">N3</f>
        <v>p</v>
      </c>
      <c r="U3" s="345" t="str">
        <f>O3</f>
        <v>p</v>
      </c>
      <c r="W3" s="336" t="str">
        <f ca="1" xml:space="preserve"> "  initials: '" &amp; _xlfn.CONCAT(R$3:R$48) &amp; "'"</f>
        <v xml:space="preserve">  initials: '1q!a2wsxedEcyhnYrfvbuUjJm8*iIk,&lt;9(lL0p;:/?-AO.'</v>
      </c>
      <c r="X3" s="334"/>
      <c r="Y3" s="334"/>
      <c r="Z3" s="334"/>
      <c r="AA3" s="334"/>
      <c r="AB3" s="334"/>
      <c r="AC3" s="334"/>
      <c r="AD3" s="334"/>
      <c r="AE3" s="334"/>
      <c r="AF3" s="334"/>
      <c r="AG3" s="334"/>
      <c r="AH3" s="334"/>
      <c r="AI3" s="334"/>
      <c r="AJ3" s="334"/>
      <c r="AK3" s="334"/>
      <c r="AL3" s="334"/>
      <c r="AM3" s="334"/>
      <c r="AN3" s="334"/>
      <c r="AO3" s="334"/>
      <c r="AP3" s="334"/>
      <c r="AQ3" s="334"/>
    </row>
    <row r="4" spans="2:70">
      <c r="B4" s="323">
        <f t="shared" ref="B4:B54" si="3" xml:space="preserve"> ROW() - 2</f>
        <v>2</v>
      </c>
      <c r="C4" s="350" t="s">
        <v>400</v>
      </c>
      <c r="D4" s="324" t="s">
        <v>353</v>
      </c>
      <c r="F4" s="323">
        <f t="shared" ref="F4:F54" si="4" xml:space="preserve"> ROW() - 2</f>
        <v>2</v>
      </c>
      <c r="G4" s="324" t="s">
        <v>353</v>
      </c>
      <c r="H4" s="344" t="s">
        <v>23</v>
      </c>
      <c r="J4" s="323">
        <f t="shared" ref="J4:J54" si="5" xml:space="preserve"> ROW() - 2</f>
        <v>2</v>
      </c>
      <c r="K4" s="329" t="str" cm="1">
        <f t="array" aca="1" ref="K4" ca="1" xml:space="preserve"> INDIRECT(ADDRESS(2+$F4,COLUMN(G:G)))</f>
        <v>q</v>
      </c>
      <c r="L4" s="338" t="str" cm="1">
        <f t="array" aca="1" ref="L4" ca="1" xml:space="preserve"> IFERROR( INDEX($H$3:$H$54, MATCH(TRUE, EXACT($K4,$G$3:$G$54), 0)), "")</f>
        <v>ㄆ</v>
      </c>
      <c r="M4" s="338" t="s">
        <v>855</v>
      </c>
      <c r="N4" s="337" t="str" cm="1">
        <f t="array" aca="1" ref="N4" ca="1" xml:space="preserve"> IFERROR( INDEX($C$3:$C$54, MATCH(TRUE, EXACT($K4,$D$3:$D$54), 0)), "")</f>
        <v>P</v>
      </c>
      <c r="O4" s="341" t="s">
        <v>24</v>
      </c>
      <c r="Q4" s="323">
        <f t="shared" ref="Q4:Q54" si="6" xml:space="preserve"> ROW() - 2</f>
        <v>2</v>
      </c>
      <c r="R4" s="347" t="str">
        <f t="shared" ca="1" si="0"/>
        <v>q</v>
      </c>
      <c r="S4" s="349" t="str">
        <f t="shared" ca="1" si="1"/>
        <v>ㄆ</v>
      </c>
      <c r="T4" s="347" t="str">
        <f t="shared" ca="1" si="2"/>
        <v>P</v>
      </c>
      <c r="U4" s="345" t="str">
        <f t="shared" ref="U4:U54" si="7">O4</f>
        <v>ph</v>
      </c>
      <c r="W4" s="336"/>
      <c r="X4" s="334"/>
      <c r="Y4" s="334"/>
      <c r="Z4" s="334"/>
      <c r="AA4" s="334"/>
      <c r="AB4" s="334"/>
      <c r="AC4" s="334"/>
      <c r="AD4" s="334"/>
      <c r="AE4" s="334"/>
      <c r="AF4" s="334"/>
      <c r="AG4" s="334"/>
      <c r="AH4" s="334"/>
      <c r="AI4" s="334"/>
      <c r="AJ4" s="334"/>
      <c r="AK4" s="334"/>
      <c r="AL4" s="334"/>
      <c r="AM4" s="334"/>
      <c r="AN4" s="334"/>
      <c r="AO4" s="334"/>
      <c r="AP4" s="334"/>
      <c r="AQ4" s="334"/>
    </row>
    <row r="5" spans="2:70">
      <c r="B5" s="323">
        <f t="shared" si="3"/>
        <v>3</v>
      </c>
      <c r="C5" s="350" t="s">
        <v>190</v>
      </c>
      <c r="D5" s="324" t="s">
        <v>394</v>
      </c>
      <c r="F5" s="323">
        <f t="shared" si="4"/>
        <v>3</v>
      </c>
      <c r="G5" s="326" t="s">
        <v>394</v>
      </c>
      <c r="H5" s="344" t="s">
        <v>27</v>
      </c>
      <c r="J5" s="323">
        <f t="shared" si="5"/>
        <v>3</v>
      </c>
      <c r="K5" s="329" t="str" cm="1">
        <f t="array" aca="1" ref="K5" ca="1" xml:space="preserve"> INDIRECT(ADDRESS(2+$F5,COLUMN(G:G)))</f>
        <v>!</v>
      </c>
      <c r="L5" s="338" t="str" cm="1">
        <f t="array" aca="1" ref="L5" ca="1" xml:space="preserve"> IFERROR( INDEX($H$3:$H$54, MATCH(TRUE, EXACT($K5,$G$3:$G$54), 0)), "")</f>
        <v>ㆠ</v>
      </c>
      <c r="M5" s="338" t="s">
        <v>857</v>
      </c>
      <c r="N5" s="337" t="str" cm="1">
        <f t="array" aca="1" ref="N5" ca="1" xml:space="preserve"> IFERROR( INDEX($C$3:$C$54, MATCH(TRUE, EXACT($K5,$D$3:$D$54), 0)), "")</f>
        <v>b</v>
      </c>
      <c r="O5" s="341" t="s">
        <v>28</v>
      </c>
      <c r="Q5" s="323">
        <f t="shared" si="6"/>
        <v>3</v>
      </c>
      <c r="R5" s="348" t="str">
        <f t="shared" ca="1" si="0"/>
        <v>!</v>
      </c>
      <c r="S5" s="339" t="str">
        <f t="shared" ca="1" si="1"/>
        <v>ㆠ</v>
      </c>
      <c r="T5" s="348" t="str">
        <f t="shared" ca="1" si="2"/>
        <v>b</v>
      </c>
      <c r="U5" s="345" t="str">
        <f t="shared" si="7"/>
        <v>b</v>
      </c>
    </row>
    <row r="6" spans="2:70">
      <c r="B6" s="323">
        <f t="shared" si="3"/>
        <v>4</v>
      </c>
      <c r="C6" s="350" t="s">
        <v>143</v>
      </c>
      <c r="D6" s="324" t="s">
        <v>351</v>
      </c>
      <c r="F6" s="323">
        <f t="shared" si="4"/>
        <v>4</v>
      </c>
      <c r="G6" s="324" t="s">
        <v>351</v>
      </c>
      <c r="H6" s="344" t="s">
        <v>83</v>
      </c>
      <c r="J6" s="323">
        <f t="shared" si="5"/>
        <v>4</v>
      </c>
      <c r="K6" s="329" t="str" cm="1">
        <f t="array" aca="1" ref="K6" ca="1" xml:space="preserve"> INDIRECT(ADDRESS(2+$F6,COLUMN(G:G)))</f>
        <v>a</v>
      </c>
      <c r="L6" s="338" t="str" cm="1">
        <f t="array" aca="1" ref="L6" ca="1" xml:space="preserve"> IFERROR( INDEX($H$3:$H$54, MATCH(TRUE, EXACT($K6,$G$3:$G$54), 0)), "")</f>
        <v>ㄇ</v>
      </c>
      <c r="M6" s="338" t="s">
        <v>858</v>
      </c>
      <c r="N6" s="337" t="str" cm="1">
        <f t="array" aca="1" ref="N6" ca="1" xml:space="preserve"> IFERROR( INDEX($C$3:$C$54, MATCH(TRUE, EXACT($K6,$D$3:$D$54), 0)), "")</f>
        <v>m</v>
      </c>
      <c r="O6" s="341" t="s">
        <v>84</v>
      </c>
      <c r="Q6" s="323">
        <f t="shared" si="6"/>
        <v>4</v>
      </c>
      <c r="R6" s="347" t="str">
        <f t="shared" ca="1" si="0"/>
        <v>a</v>
      </c>
      <c r="S6" s="349" t="str">
        <f t="shared" ca="1" si="1"/>
        <v>ㄇ</v>
      </c>
      <c r="T6" s="347" t="str">
        <f t="shared" ca="1" si="2"/>
        <v>m</v>
      </c>
      <c r="U6" s="345" t="str">
        <f t="shared" si="7"/>
        <v>m</v>
      </c>
    </row>
    <row r="7" spans="2:70">
      <c r="B7" s="323">
        <f t="shared" si="3"/>
        <v>5</v>
      </c>
      <c r="C7" s="350" t="s">
        <v>30</v>
      </c>
      <c r="D7" s="324" t="s">
        <v>347</v>
      </c>
      <c r="F7" s="323">
        <f t="shared" si="4"/>
        <v>5</v>
      </c>
      <c r="G7" s="324" t="s">
        <v>347</v>
      </c>
      <c r="H7" s="344" t="s">
        <v>29</v>
      </c>
      <c r="J7" s="323">
        <f t="shared" si="5"/>
        <v>5</v>
      </c>
      <c r="K7" s="329" t="str" cm="1">
        <f t="array" aca="1" ref="K7" ca="1" xml:space="preserve"> INDIRECT(ADDRESS(2+$F7,COLUMN(G:G)))</f>
        <v>2</v>
      </c>
      <c r="L7" s="338" t="str" cm="1">
        <f t="array" aca="1" ref="L7" ca="1" xml:space="preserve"> IFERROR( INDEX($H$3:$H$54, MATCH(TRUE, EXACT($K7,$G$3:$G$54), 0)), "")</f>
        <v>ㄉ</v>
      </c>
      <c r="M7" s="338" t="s">
        <v>859</v>
      </c>
      <c r="N7" s="337" t="str" cm="1">
        <f t="array" aca="1" ref="N7" ca="1" xml:space="preserve"> IFERROR( INDEX($C$3:$C$54, MATCH(TRUE, EXACT($K7,$D$3:$D$54), 0)), "")</f>
        <v>t</v>
      </c>
      <c r="O7" s="341" t="s">
        <v>340</v>
      </c>
      <c r="Q7" s="323">
        <f t="shared" si="6"/>
        <v>5</v>
      </c>
      <c r="R7" s="347" t="str">
        <f t="shared" ca="1" si="0"/>
        <v>2</v>
      </c>
      <c r="S7" s="349" t="str">
        <f t="shared" ca="1" si="1"/>
        <v>ㄉ</v>
      </c>
      <c r="T7" s="347" t="str">
        <f t="shared" ca="1" si="2"/>
        <v>t</v>
      </c>
      <c r="U7" s="345" t="str">
        <f t="shared" si="7"/>
        <v>t</v>
      </c>
      <c r="W7" s="332" t="s">
        <v>585</v>
      </c>
    </row>
    <row r="8" spans="2:70">
      <c r="B8" s="323">
        <f t="shared" si="3"/>
        <v>6</v>
      </c>
      <c r="C8" s="350" t="s">
        <v>408</v>
      </c>
      <c r="D8" s="324" t="s">
        <v>341</v>
      </c>
      <c r="F8" s="323">
        <f t="shared" si="4"/>
        <v>6</v>
      </c>
      <c r="G8" s="324" t="s">
        <v>341</v>
      </c>
      <c r="H8" s="344" t="s">
        <v>31</v>
      </c>
      <c r="J8" s="323">
        <f t="shared" si="5"/>
        <v>6</v>
      </c>
      <c r="K8" s="329" t="str" cm="1">
        <f t="array" aca="1" ref="K8" ca="1" xml:space="preserve"> INDIRECT(ADDRESS(2+$F8,COLUMN(G:G)))</f>
        <v>w</v>
      </c>
      <c r="L8" s="338" t="str" cm="1">
        <f t="array" aca="1" ref="L8" ca="1" xml:space="preserve"> IFERROR( INDEX($H$3:$H$54, MATCH(TRUE, EXACT($K8,$G$3:$G$54), 0)), "")</f>
        <v>ㄊ</v>
      </c>
      <c r="M8" s="338" t="s">
        <v>860</v>
      </c>
      <c r="N8" s="337" t="str" cm="1">
        <f t="array" aca="1" ref="N8" ca="1" xml:space="preserve"> IFERROR( INDEX($C$3:$C$54, MATCH(TRUE, EXACT($K8,$D$3:$D$54), 0)), "")</f>
        <v>T</v>
      </c>
      <c r="O8" s="341" t="s">
        <v>603</v>
      </c>
      <c r="Q8" s="323">
        <f t="shared" si="6"/>
        <v>6</v>
      </c>
      <c r="R8" s="347" t="str">
        <f t="shared" ca="1" si="0"/>
        <v>w</v>
      </c>
      <c r="S8" s="349" t="str">
        <f t="shared" ca="1" si="1"/>
        <v>ㄊ</v>
      </c>
      <c r="T8" s="347" t="str">
        <f t="shared" ca="1" si="2"/>
        <v>T</v>
      </c>
      <c r="U8" s="345" t="str">
        <f t="shared" si="7"/>
        <v>th</v>
      </c>
      <c r="W8" s="333" t="str">
        <f ca="1" xml:space="preserve"> "- ""xlit|" &amp; _xlfn.CONCAT(T3:T54) &amp; "|" &amp; _xlfn.CONCAT(R3:R54) &amp; "|"""</f>
        <v>- "xlit|pPbmtTndkKghzcsjZCSJiIuUBaAOQoeEIYUX@DHFWwRVLN123570|1q!a2wsxedEcyhnYrfvbuUjJm8*iIk,&lt;9(lL0p;:/?-AO. 43657|"</v>
      </c>
      <c r="X8" s="334"/>
      <c r="Y8" s="334"/>
      <c r="Z8" s="334"/>
      <c r="AA8" s="334"/>
      <c r="AB8" s="334"/>
      <c r="AC8" s="334"/>
      <c r="AD8" s="334"/>
      <c r="AE8" s="334"/>
      <c r="AF8" s="334"/>
      <c r="AG8" s="334"/>
      <c r="AH8" s="334"/>
      <c r="AI8" s="334"/>
      <c r="AJ8" s="334"/>
      <c r="AK8" s="334"/>
      <c r="AL8" s="334"/>
      <c r="AM8" s="334"/>
      <c r="AN8" s="334"/>
      <c r="AO8" s="334"/>
      <c r="AP8" s="334"/>
      <c r="AQ8" s="334"/>
      <c r="AR8" s="334"/>
      <c r="AS8" s="334"/>
      <c r="AT8" s="334"/>
      <c r="AU8" s="334"/>
      <c r="AV8" s="334"/>
      <c r="AW8" s="334"/>
      <c r="AX8" s="334"/>
      <c r="AY8" s="334"/>
      <c r="AZ8" s="334"/>
      <c r="BA8" s="334"/>
      <c r="BB8" s="334"/>
      <c r="BC8" s="334"/>
      <c r="BD8" s="334"/>
      <c r="BE8" s="334"/>
      <c r="BF8" s="334"/>
      <c r="BG8" s="334"/>
      <c r="BH8" s="334"/>
      <c r="BI8" s="334"/>
      <c r="BJ8" s="334"/>
      <c r="BK8" s="334"/>
      <c r="BL8" s="334"/>
      <c r="BM8" s="334"/>
      <c r="BN8" s="334"/>
      <c r="BO8" s="335"/>
      <c r="BP8" s="335"/>
      <c r="BQ8" s="335"/>
      <c r="BR8" s="335"/>
    </row>
    <row r="9" spans="2:70">
      <c r="B9" s="323">
        <f t="shared" si="3"/>
        <v>7</v>
      </c>
      <c r="C9" s="350" t="s">
        <v>34</v>
      </c>
      <c r="D9" s="324" t="s">
        <v>338</v>
      </c>
      <c r="F9" s="323">
        <f t="shared" si="4"/>
        <v>7</v>
      </c>
      <c r="G9" s="324" t="s">
        <v>338</v>
      </c>
      <c r="H9" s="344" t="s">
        <v>33</v>
      </c>
      <c r="J9" s="323">
        <f t="shared" si="5"/>
        <v>7</v>
      </c>
      <c r="K9" s="329" t="str" cm="1">
        <f t="array" aca="1" ref="K9" ca="1" xml:space="preserve"> INDIRECT(ADDRESS(2+$F9,COLUMN(G:G)))</f>
        <v>s</v>
      </c>
      <c r="L9" s="338" t="str" cm="1">
        <f t="array" aca="1" ref="L9" ca="1" xml:space="preserve"> IFERROR( INDEX($H$3:$H$54, MATCH(TRUE, EXACT($K9,$G$3:$G$54), 0)), "")</f>
        <v>ㄋ</v>
      </c>
      <c r="M9" s="338" t="s">
        <v>861</v>
      </c>
      <c r="N9" s="337" t="str" cm="1">
        <f t="array" aca="1" ref="N9" ca="1" xml:space="preserve"> IFERROR( INDEX($C$3:$C$54, MATCH(TRUE, EXACT($K9,$D$3:$D$54), 0)), "")</f>
        <v>n</v>
      </c>
      <c r="O9" s="341" t="s">
        <v>608</v>
      </c>
      <c r="Q9" s="323">
        <f t="shared" si="6"/>
        <v>7</v>
      </c>
      <c r="R9" s="347" t="str">
        <f t="shared" ca="1" si="0"/>
        <v>s</v>
      </c>
      <c r="S9" s="349" t="str">
        <f t="shared" ca="1" si="1"/>
        <v>ㄋ</v>
      </c>
      <c r="T9" s="347" t="str">
        <f t="shared" ca="1" si="2"/>
        <v>n</v>
      </c>
      <c r="U9" s="345" t="str">
        <f t="shared" si="7"/>
        <v>n-</v>
      </c>
    </row>
    <row r="10" spans="2:70">
      <c r="B10" s="323">
        <f t="shared" si="3"/>
        <v>8</v>
      </c>
      <c r="C10" s="350" t="s">
        <v>309</v>
      </c>
      <c r="D10" s="324" t="s">
        <v>332</v>
      </c>
      <c r="F10" s="323">
        <f t="shared" si="4"/>
        <v>8</v>
      </c>
      <c r="G10" s="324" t="s">
        <v>332</v>
      </c>
      <c r="H10" s="344" t="s">
        <v>85</v>
      </c>
      <c r="J10" s="323">
        <f t="shared" si="5"/>
        <v>8</v>
      </c>
      <c r="K10" s="329" t="str" cm="1">
        <f t="array" aca="1" ref="K10" ca="1" xml:space="preserve"> INDIRECT(ADDRESS(2+$F10,COLUMN(G:G)))</f>
        <v>x</v>
      </c>
      <c r="L10" s="338" t="str" cm="1">
        <f t="array" aca="1" ref="L10" ca="1" xml:space="preserve"> IFERROR( INDEX($H$3:$H$54, MATCH(TRUE, EXACT($K10,$G$3:$G$54), 0)), "")</f>
        <v>ㄌ</v>
      </c>
      <c r="M10" s="338" t="s">
        <v>862</v>
      </c>
      <c r="N10" s="337" t="str" cm="1">
        <f t="array" aca="1" ref="N10" ca="1" xml:space="preserve"> IFERROR( INDEX($C$3:$C$54, MATCH(TRUE, EXACT($K10,$D$3:$D$54), 0)), "")</f>
        <v>d</v>
      </c>
      <c r="O10" s="341" t="s">
        <v>496</v>
      </c>
      <c r="Q10" s="323">
        <f t="shared" si="6"/>
        <v>8</v>
      </c>
      <c r="R10" s="347" t="str">
        <f t="shared" ca="1" si="0"/>
        <v>x</v>
      </c>
      <c r="S10" s="349" t="str">
        <f t="shared" ca="1" si="1"/>
        <v>ㄌ</v>
      </c>
      <c r="T10" s="347" t="str">
        <f t="shared" ca="1" si="2"/>
        <v>d</v>
      </c>
      <c r="U10" s="345" t="str">
        <f t="shared" si="7"/>
        <v>l</v>
      </c>
    </row>
    <row r="11" spans="2:70">
      <c r="B11" s="323">
        <f t="shared" si="3"/>
        <v>9</v>
      </c>
      <c r="C11" s="350" t="s">
        <v>37</v>
      </c>
      <c r="D11" s="324" t="s">
        <v>329</v>
      </c>
      <c r="F11" s="323">
        <f t="shared" si="4"/>
        <v>9</v>
      </c>
      <c r="G11" s="324" t="s">
        <v>329</v>
      </c>
      <c r="H11" s="344" t="s">
        <v>36</v>
      </c>
      <c r="J11" s="323">
        <f t="shared" si="5"/>
        <v>9</v>
      </c>
      <c r="K11" s="329" t="str" cm="1">
        <f t="array" aca="1" ref="K11" ca="1" xml:space="preserve"> INDIRECT(ADDRESS(2+$F11,COLUMN(G:G)))</f>
        <v>e</v>
      </c>
      <c r="L11" s="338" t="str" cm="1">
        <f t="array" aca="1" ref="L11" ca="1" xml:space="preserve"> IFERROR( INDEX($H$3:$H$54, MATCH(TRUE, EXACT($K11,$G$3:$G$54), 0)), "")</f>
        <v>ㄍ</v>
      </c>
      <c r="M11" s="338" t="s">
        <v>863</v>
      </c>
      <c r="N11" s="337" t="str" cm="1">
        <f t="array" aca="1" ref="N11" ca="1" xml:space="preserve"> IFERROR( INDEX($C$3:$C$54, MATCH(TRUE, EXACT($K11,$D$3:$D$54), 0)), "")</f>
        <v>k</v>
      </c>
      <c r="O11" s="341" t="s">
        <v>321</v>
      </c>
      <c r="Q11" s="323">
        <f t="shared" si="6"/>
        <v>9</v>
      </c>
      <c r="R11" s="347" t="str">
        <f t="shared" ca="1" si="0"/>
        <v>e</v>
      </c>
      <c r="S11" s="349" t="str">
        <f t="shared" ca="1" si="1"/>
        <v>ㄍ</v>
      </c>
      <c r="T11" s="347" t="str">
        <f t="shared" ca="1" si="2"/>
        <v>k</v>
      </c>
      <c r="U11" s="345" t="str">
        <f t="shared" si="7"/>
        <v>k</v>
      </c>
      <c r="W11" s="332" t="s">
        <v>586</v>
      </c>
    </row>
    <row r="12" spans="2:70">
      <c r="B12" s="323">
        <f t="shared" si="3"/>
        <v>10</v>
      </c>
      <c r="C12" s="350" t="s">
        <v>425</v>
      </c>
      <c r="D12" s="324" t="s">
        <v>309</v>
      </c>
      <c r="F12" s="323">
        <f t="shared" si="4"/>
        <v>10</v>
      </c>
      <c r="G12" s="324" t="s">
        <v>309</v>
      </c>
      <c r="H12" s="344" t="s">
        <v>38</v>
      </c>
      <c r="J12" s="323">
        <f t="shared" si="5"/>
        <v>10</v>
      </c>
      <c r="K12" s="329" t="str" cm="1">
        <f t="array" aca="1" ref="K12" ca="1" xml:space="preserve"> INDIRECT(ADDRESS(2+$F12,COLUMN(G:G)))</f>
        <v>d</v>
      </c>
      <c r="L12" s="338" t="str" cm="1">
        <f t="array" aca="1" ref="L12" ca="1" xml:space="preserve"> IFERROR( INDEX($H$3:$H$54, MATCH(TRUE, EXACT($K12,$G$3:$G$54), 0)), "")</f>
        <v>ㄎ</v>
      </c>
      <c r="M12" s="338" t="s">
        <v>864</v>
      </c>
      <c r="N12" s="337" t="str" cm="1">
        <f t="array" aca="1" ref="N12" ca="1" xml:space="preserve"> IFERROR( INDEX($C$3:$C$54, MATCH(TRUE, EXACT($K12,$D$3:$D$54), 0)), "")</f>
        <v>K</v>
      </c>
      <c r="O12" s="341" t="s">
        <v>39</v>
      </c>
      <c r="Q12" s="323">
        <f t="shared" si="6"/>
        <v>10</v>
      </c>
      <c r="R12" s="347" t="str">
        <f t="shared" ca="1" si="0"/>
        <v>d</v>
      </c>
      <c r="S12" s="349" t="str">
        <f t="shared" ca="1" si="1"/>
        <v>ㄎ</v>
      </c>
      <c r="T12" s="347" t="str">
        <f t="shared" ca="1" si="2"/>
        <v>K</v>
      </c>
      <c r="U12" s="345" t="str">
        <f t="shared" si="7"/>
        <v>kh</v>
      </c>
      <c r="W12" s="333" t="str">
        <f ca="1" xml:space="preserve"> "- ""xlit|" &amp; _xlfn.CONCAT(R3:R54) &amp; "|" &amp; _xlfn.CONCAT(S3:S54) &amp; "|"""</f>
        <v>- "xlit|1q!a2wsxedEcyhnYrfvbuUjJm8*iIk,&lt;9(lL0p;:/?-AO. 43657|ㄅㄆㆠㄇㄉㄊㄋㄌㄍㄎㆣㄏㄗㄘㄙㆡㄐㄑㄒㆢㄧㆪㄨㆫㆬㄚㆩㆦㆧㄜㆤㆥㄞㆮㄠㆯㄢㄣㄤㆲㆭㄫㆨㆰㆱｎˉˋ˪ˊ˫．|"</v>
      </c>
      <c r="X12" s="334"/>
      <c r="Y12" s="334"/>
      <c r="Z12" s="334"/>
      <c r="AA12" s="334"/>
      <c r="AB12" s="334"/>
      <c r="AC12" s="334"/>
      <c r="AD12" s="334"/>
      <c r="AE12" s="334"/>
      <c r="AF12" s="334"/>
      <c r="AG12" s="334"/>
      <c r="AH12" s="334"/>
      <c r="AI12" s="334"/>
      <c r="AJ12" s="334"/>
      <c r="AK12" s="334"/>
      <c r="AL12" s="334"/>
      <c r="AM12" s="334"/>
      <c r="AN12" s="334"/>
      <c r="AO12" s="334"/>
      <c r="AP12" s="334"/>
      <c r="AQ12" s="334"/>
      <c r="AR12" s="334"/>
      <c r="AS12" s="334"/>
      <c r="AT12" s="334"/>
      <c r="AU12" s="334"/>
      <c r="AV12" s="334"/>
      <c r="AW12" s="334"/>
      <c r="AX12" s="334"/>
      <c r="AY12" s="334"/>
      <c r="AZ12" s="334"/>
      <c r="BA12" s="334"/>
      <c r="BB12" s="334"/>
      <c r="BC12" s="334"/>
      <c r="BD12" s="334"/>
      <c r="BE12" s="334"/>
      <c r="BF12" s="334"/>
      <c r="BG12" s="334"/>
      <c r="BH12" s="334"/>
      <c r="BI12" s="334"/>
      <c r="BJ12" s="334"/>
      <c r="BK12" s="334"/>
      <c r="BL12" s="334"/>
      <c r="BM12" s="334"/>
      <c r="BN12" s="334"/>
      <c r="BO12" s="335"/>
      <c r="BP12" s="335"/>
      <c r="BQ12" s="335"/>
      <c r="BR12" s="335"/>
    </row>
    <row r="13" spans="2:70">
      <c r="B13" s="323">
        <f t="shared" si="3"/>
        <v>11</v>
      </c>
      <c r="C13" s="350" t="s">
        <v>184</v>
      </c>
      <c r="D13" s="324" t="s">
        <v>322</v>
      </c>
      <c r="F13" s="323">
        <f t="shared" si="4"/>
        <v>11</v>
      </c>
      <c r="G13" s="324" t="s">
        <v>322</v>
      </c>
      <c r="H13" s="344" t="s">
        <v>41</v>
      </c>
      <c r="J13" s="323">
        <f t="shared" si="5"/>
        <v>11</v>
      </c>
      <c r="K13" s="329" t="str" cm="1">
        <f t="array" aca="1" ref="K13" ca="1" xml:space="preserve"> INDIRECT(ADDRESS(2+$F13,COLUMN(G:G)))</f>
        <v>E</v>
      </c>
      <c r="L13" s="338" t="str" cm="1">
        <f t="array" aca="1" ref="L13" ca="1" xml:space="preserve"> IFERROR( INDEX($H$3:$H$54, MATCH(TRUE, EXACT($K13,$G$3:$G$54), 0)), "")</f>
        <v>ㆣ</v>
      </c>
      <c r="M13" s="338" t="s">
        <v>866</v>
      </c>
      <c r="N13" s="337" t="str" cm="1">
        <f t="array" aca="1" ref="N13" ca="1" xml:space="preserve"> IFERROR( INDEX($C$3:$C$54, MATCH(TRUE, EXACT($K13,$D$3:$D$54), 0)), "")</f>
        <v>g</v>
      </c>
      <c r="O13" s="341" t="s">
        <v>42</v>
      </c>
      <c r="Q13" s="323">
        <f t="shared" si="6"/>
        <v>11</v>
      </c>
      <c r="R13" s="348" t="str">
        <f t="shared" ca="1" si="0"/>
        <v>E</v>
      </c>
      <c r="S13" s="339" t="str">
        <f t="shared" ca="1" si="1"/>
        <v>ㆣ</v>
      </c>
      <c r="T13" s="348" t="str">
        <f t="shared" ca="1" si="2"/>
        <v>g</v>
      </c>
      <c r="U13" s="345" t="str">
        <f t="shared" si="7"/>
        <v>g</v>
      </c>
    </row>
    <row r="14" spans="2:70">
      <c r="B14" s="323">
        <f t="shared" si="3"/>
        <v>12</v>
      </c>
      <c r="C14" s="350" t="s">
        <v>422</v>
      </c>
      <c r="D14" s="324" t="s">
        <v>305</v>
      </c>
      <c r="F14" s="323">
        <f t="shared" si="4"/>
        <v>12</v>
      </c>
      <c r="G14" s="324" t="s">
        <v>305</v>
      </c>
      <c r="H14" s="344" t="s">
        <v>52</v>
      </c>
      <c r="J14" s="323">
        <f t="shared" si="5"/>
        <v>12</v>
      </c>
      <c r="K14" s="329" t="str" cm="1">
        <f t="array" aca="1" ref="K14" ca="1" xml:space="preserve"> INDIRECT(ADDRESS(2+$F14,COLUMN(G:G)))</f>
        <v>c</v>
      </c>
      <c r="L14" s="338" t="str" cm="1">
        <f t="array" aca="1" ref="L14" ca="1" xml:space="preserve"> IFERROR( INDEX($H$3:$H$54, MATCH(TRUE, EXACT($K14,$G$3:$G$54), 0)), "")</f>
        <v>ㄏ</v>
      </c>
      <c r="M14" s="338" t="s">
        <v>867</v>
      </c>
      <c r="N14" s="337" t="str" cm="1">
        <f t="array" aca="1" ref="N14" ca="1" xml:space="preserve"> IFERROR( INDEX($C$3:$C$54, MATCH(TRUE, EXACT($K14,$D$3:$D$54), 0)), "")</f>
        <v>h</v>
      </c>
      <c r="O14" s="341" t="s">
        <v>53</v>
      </c>
      <c r="Q14" s="323">
        <f t="shared" si="6"/>
        <v>12</v>
      </c>
      <c r="R14" s="347" t="str">
        <f t="shared" ca="1" si="0"/>
        <v>c</v>
      </c>
      <c r="S14" s="349" t="str">
        <f t="shared" ca="1" si="1"/>
        <v>ㄏ</v>
      </c>
      <c r="T14" s="347" t="str">
        <f t="shared" ca="1" si="2"/>
        <v>h</v>
      </c>
      <c r="U14" s="345" t="str">
        <f t="shared" si="7"/>
        <v>h</v>
      </c>
    </row>
    <row r="15" spans="2:70">
      <c r="B15" s="323">
        <f t="shared" si="3"/>
        <v>13</v>
      </c>
      <c r="C15" s="350" t="s">
        <v>179</v>
      </c>
      <c r="D15" s="324" t="s">
        <v>588</v>
      </c>
      <c r="F15" s="323">
        <f t="shared" si="4"/>
        <v>13</v>
      </c>
      <c r="G15" s="324" t="s">
        <v>588</v>
      </c>
      <c r="H15" s="343" t="s">
        <v>43</v>
      </c>
      <c r="J15" s="323">
        <f t="shared" si="5"/>
        <v>13</v>
      </c>
      <c r="K15" s="329" t="str" cm="1">
        <f t="array" aca="1" ref="K15" ca="1" xml:space="preserve"> INDIRECT(ADDRESS(2+$F15,COLUMN(G:G)))</f>
        <v>y</v>
      </c>
      <c r="L15" s="338" t="str" cm="1">
        <f t="array" aca="1" ref="L15" ca="1" xml:space="preserve"> IFERROR( INDEX($H$3:$H$54, MATCH(TRUE, EXACT($K15,$G$3:$G$54), 0)), "")</f>
        <v>ㄗ</v>
      </c>
      <c r="M15" s="338" t="s">
        <v>872</v>
      </c>
      <c r="N15" s="337" t="str" cm="1">
        <f t="array" aca="1" ref="N15" ca="1" xml:space="preserve"> IFERROR( INDEX($C$3:$C$54, MATCH(TRUE, EXACT($K15,$D$3:$D$54), 0)), "")</f>
        <v>z</v>
      </c>
      <c r="O15" s="341" t="s">
        <v>366</v>
      </c>
      <c r="Q15" s="323">
        <f t="shared" si="6"/>
        <v>13</v>
      </c>
      <c r="R15" s="347" t="str">
        <f t="shared" ca="1" si="0"/>
        <v>y</v>
      </c>
      <c r="S15" s="349" t="str">
        <f t="shared" ca="1" si="1"/>
        <v>ㄗ</v>
      </c>
      <c r="T15" s="347" t="str">
        <f t="shared" ca="1" si="2"/>
        <v>z</v>
      </c>
      <c r="U15" s="345" t="str">
        <f t="shared" si="7"/>
        <v>z</v>
      </c>
      <c r="W15" s="332" t="s">
        <v>587</v>
      </c>
    </row>
    <row r="16" spans="2:70">
      <c r="B16" s="323">
        <f t="shared" si="3"/>
        <v>14</v>
      </c>
      <c r="C16" s="350" t="s">
        <v>305</v>
      </c>
      <c r="D16" s="324" t="s">
        <v>422</v>
      </c>
      <c r="F16" s="323">
        <f t="shared" si="4"/>
        <v>14</v>
      </c>
      <c r="G16" s="324" t="s">
        <v>422</v>
      </c>
      <c r="H16" s="344" t="s">
        <v>46</v>
      </c>
      <c r="J16" s="323">
        <f t="shared" si="5"/>
        <v>14</v>
      </c>
      <c r="K16" s="329" t="str" cm="1">
        <f t="array" aca="1" ref="K16" ca="1" xml:space="preserve"> INDIRECT(ADDRESS(2+$F16,COLUMN(G:G)))</f>
        <v>h</v>
      </c>
      <c r="L16" s="338" t="str" cm="1">
        <f t="array" aca="1" ref="L16" ca="1" xml:space="preserve"> IFERROR( INDEX($H$3:$H$54, MATCH(TRUE, EXACT($K16,$G$3:$G$54), 0)), "")</f>
        <v>ㄘ</v>
      </c>
      <c r="M16" s="338" t="s">
        <v>873</v>
      </c>
      <c r="N16" s="337" t="str" cm="1">
        <f t="array" aca="1" ref="N16" ca="1" xml:space="preserve"> IFERROR( INDEX($C$3:$C$54, MATCH(TRUE, EXACT($K16,$D$3:$D$54), 0)), "")</f>
        <v>c</v>
      </c>
      <c r="O16" s="341" t="s">
        <v>287</v>
      </c>
      <c r="Q16" s="323">
        <f t="shared" si="6"/>
        <v>14</v>
      </c>
      <c r="R16" s="347" t="str">
        <f t="shared" ca="1" si="0"/>
        <v>h</v>
      </c>
      <c r="S16" s="349" t="str">
        <f t="shared" ca="1" si="1"/>
        <v>ㄘ</v>
      </c>
      <c r="T16" s="347" t="str">
        <f t="shared" ca="1" si="2"/>
        <v>c</v>
      </c>
      <c r="U16" s="345" t="str">
        <f t="shared" si="7"/>
        <v>c</v>
      </c>
      <c r="W16" s="333" t="str">
        <f ca="1" xml:space="preserve"> "- ""xlit|" &amp; _xlfn.CONCAT(T3:T54) &amp; "|" &amp; _xlfn.CONCAT(S3:S54) &amp; "|"""</f>
        <v>- "xlit|pPbmtTndkKghzcsjZCSJiIuUBaAOQoeEIYUX@DHFWwRVLN123570|ㄅㄆㆠㄇㄉㄊㄋㄌㄍㄎㆣㄏㄗㄘㄙㆡㄐㄑㄒㆢㄧㆪㄨㆫㆬㄚㆩㆦㆧㄜㆤㆥㄞㆮㄠㆯㄢㄣㄤㆲㆭㄫㆨㆰㆱｎˉˋ˪ˊ˫．|"</v>
      </c>
      <c r="X16" s="334"/>
      <c r="Y16" s="334"/>
      <c r="Z16" s="334"/>
      <c r="AA16" s="334"/>
      <c r="AB16" s="334"/>
      <c r="AC16" s="334"/>
      <c r="AD16" s="334"/>
      <c r="AE16" s="334"/>
      <c r="AF16" s="334"/>
      <c r="AG16" s="334"/>
      <c r="AH16" s="334"/>
      <c r="AI16" s="334"/>
      <c r="AJ16" s="334"/>
      <c r="AK16" s="334"/>
      <c r="AL16" s="334"/>
      <c r="AM16" s="334"/>
      <c r="AN16" s="334"/>
      <c r="AO16" s="334"/>
      <c r="AP16" s="334"/>
      <c r="AQ16" s="334"/>
      <c r="AR16" s="334"/>
      <c r="AS16" s="334"/>
      <c r="AT16" s="334"/>
      <c r="AU16" s="334"/>
      <c r="AV16" s="334"/>
      <c r="AW16" s="334"/>
      <c r="AX16" s="334"/>
      <c r="AY16" s="334"/>
      <c r="AZ16" s="334"/>
      <c r="BA16" s="334"/>
      <c r="BB16" s="334"/>
      <c r="BC16" s="334"/>
      <c r="BD16" s="334"/>
      <c r="BE16" s="334"/>
      <c r="BF16" s="334"/>
      <c r="BG16" s="334"/>
      <c r="BH16" s="334"/>
      <c r="BI16" s="334"/>
      <c r="BJ16" s="334"/>
      <c r="BK16" s="334"/>
      <c r="BL16" s="334"/>
      <c r="BM16" s="334"/>
      <c r="BN16" s="334"/>
      <c r="BO16" s="335"/>
      <c r="BP16" s="335"/>
      <c r="BQ16" s="335"/>
      <c r="BR16" s="335"/>
    </row>
    <row r="17" spans="2:22">
      <c r="B17" s="323">
        <f t="shared" si="3"/>
        <v>15</v>
      </c>
      <c r="C17" s="350" t="s">
        <v>338</v>
      </c>
      <c r="D17" s="324" t="s">
        <v>34</v>
      </c>
      <c r="F17" s="323">
        <f t="shared" si="4"/>
        <v>15</v>
      </c>
      <c r="G17" s="324" t="s">
        <v>34</v>
      </c>
      <c r="H17" s="344" t="s">
        <v>50</v>
      </c>
      <c r="J17" s="323">
        <f t="shared" si="5"/>
        <v>15</v>
      </c>
      <c r="K17" s="329" t="str" cm="1">
        <f t="array" aca="1" ref="K17" ca="1" xml:space="preserve"> INDIRECT(ADDRESS(2+$F17,COLUMN(G:G)))</f>
        <v>n</v>
      </c>
      <c r="L17" s="338" t="str" cm="1">
        <f t="array" aca="1" ref="L17" ca="1" xml:space="preserve"> IFERROR( INDEX($H$3:$H$54, MATCH(TRUE, EXACT($K17,$G$3:$G$54), 0)), "")</f>
        <v>ㄙ</v>
      </c>
      <c r="M17" s="338" t="s">
        <v>874</v>
      </c>
      <c r="N17" s="337" t="str" cm="1">
        <f t="array" aca="1" ref="N17" ca="1" xml:space="preserve"> IFERROR( INDEX($C$3:$C$54, MATCH(TRUE, EXACT($K17,$D$3:$D$54), 0)), "")</f>
        <v>s</v>
      </c>
      <c r="O17" s="341" t="s">
        <v>51</v>
      </c>
      <c r="Q17" s="323">
        <f t="shared" si="6"/>
        <v>15</v>
      </c>
      <c r="R17" s="347" t="str">
        <f t="shared" ca="1" si="0"/>
        <v>n</v>
      </c>
      <c r="S17" s="349" t="str">
        <f t="shared" ca="1" si="1"/>
        <v>ㄙ</v>
      </c>
      <c r="T17" s="347" t="str">
        <f t="shared" ca="1" si="2"/>
        <v>s</v>
      </c>
      <c r="U17" s="345" t="str">
        <f t="shared" si="7"/>
        <v>s</v>
      </c>
    </row>
    <row r="18" spans="2:22">
      <c r="B18" s="323">
        <f t="shared" si="3"/>
        <v>16</v>
      </c>
      <c r="C18" s="350" t="s">
        <v>254</v>
      </c>
      <c r="D18" s="324" t="s">
        <v>374</v>
      </c>
      <c r="F18" s="323">
        <f t="shared" si="4"/>
        <v>16</v>
      </c>
      <c r="G18" s="324" t="s">
        <v>374</v>
      </c>
      <c r="H18" s="343" t="s">
        <v>48</v>
      </c>
      <c r="J18" s="323">
        <f t="shared" si="5"/>
        <v>16</v>
      </c>
      <c r="K18" s="329" t="str" cm="1">
        <f t="array" aca="1" ref="K18" ca="1" xml:space="preserve"> INDIRECT(ADDRESS(2+$F18,COLUMN(G:G)))</f>
        <v>Y</v>
      </c>
      <c r="L18" s="338" t="str" cm="1">
        <f t="array" aca="1" ref="L18" ca="1" xml:space="preserve"> IFERROR( INDEX($H$3:$H$54, MATCH(TRUE, EXACT($K18,$G$3:$G$54), 0)), "")</f>
        <v>ㆡ</v>
      </c>
      <c r="M18" s="338" t="s">
        <v>876</v>
      </c>
      <c r="N18" s="337" t="str" cm="1">
        <f t="array" aca="1" ref="N18" ca="1" xml:space="preserve"> IFERROR( INDEX($C$3:$C$54, MATCH(TRUE, EXACT($K18,$D$3:$D$54), 0)), "")</f>
        <v>j</v>
      </c>
      <c r="O18" s="341" t="s">
        <v>49</v>
      </c>
      <c r="Q18" s="323">
        <f t="shared" si="6"/>
        <v>16</v>
      </c>
      <c r="R18" s="347" t="str">
        <f t="shared" ca="1" si="0"/>
        <v>Y</v>
      </c>
      <c r="S18" s="349" t="str">
        <f t="shared" ca="1" si="1"/>
        <v>ㆡ</v>
      </c>
      <c r="T18" s="347" t="str">
        <f t="shared" ca="1" si="2"/>
        <v>j</v>
      </c>
      <c r="U18" s="345" t="str">
        <f t="shared" si="7"/>
        <v>j</v>
      </c>
    </row>
    <row r="19" spans="2:22">
      <c r="B19" s="323">
        <f t="shared" si="3"/>
        <v>17</v>
      </c>
      <c r="C19" s="350" t="s">
        <v>367</v>
      </c>
      <c r="D19" s="324" t="s">
        <v>435</v>
      </c>
      <c r="F19" s="323">
        <f t="shared" si="4"/>
        <v>17</v>
      </c>
      <c r="G19" s="324" t="s">
        <v>283</v>
      </c>
      <c r="H19" s="344" t="s">
        <v>89</v>
      </c>
      <c r="J19" s="323">
        <f t="shared" si="5"/>
        <v>17</v>
      </c>
      <c r="K19" s="329" t="str" cm="1">
        <f t="array" aca="1" ref="K19" ca="1" xml:space="preserve"> INDIRECT(ADDRESS(2+$F19,COLUMN(G:G)))</f>
        <v>r</v>
      </c>
      <c r="L19" s="338" t="str" cm="1">
        <f t="array" aca="1" ref="L19" ca="1" xml:space="preserve"> IFERROR( INDEX($H$3:$H$54, MATCH(TRUE, EXACT($K19,$G$3:$G$54), 0)), "")</f>
        <v>ㄐ</v>
      </c>
      <c r="M19" s="338" t="s">
        <v>868</v>
      </c>
      <c r="N19" s="337" t="str" cm="1">
        <f t="array" aca="1" ref="N19" ca="1" xml:space="preserve"> IFERROR( INDEX($C$3:$C$54, MATCH(TRUE, EXACT($K19,$D$3:$D$54), 0)), "")</f>
        <v>Z</v>
      </c>
      <c r="O19" s="341" t="s">
        <v>450</v>
      </c>
      <c r="Q19" s="323">
        <f t="shared" si="6"/>
        <v>17</v>
      </c>
      <c r="R19" s="347" t="str">
        <f t="shared" ca="1" si="0"/>
        <v>r</v>
      </c>
      <c r="S19" s="349" t="str">
        <f t="shared" ca="1" si="1"/>
        <v>ㄐ</v>
      </c>
      <c r="T19" s="347" t="str">
        <f t="shared" ca="1" si="2"/>
        <v>Z</v>
      </c>
      <c r="U19" s="345" t="str">
        <f t="shared" si="7"/>
        <v>zi-</v>
      </c>
    </row>
    <row r="20" spans="2:22">
      <c r="B20" s="323">
        <f t="shared" si="3"/>
        <v>18</v>
      </c>
      <c r="C20" s="350" t="s">
        <v>286</v>
      </c>
      <c r="D20" s="324" t="s">
        <v>438</v>
      </c>
      <c r="F20" s="323">
        <f t="shared" si="4"/>
        <v>18</v>
      </c>
      <c r="G20" s="324" t="s">
        <v>600</v>
      </c>
      <c r="H20" s="344" t="s">
        <v>91</v>
      </c>
      <c r="J20" s="323">
        <f t="shared" si="5"/>
        <v>18</v>
      </c>
      <c r="K20" s="329" t="str" cm="1">
        <f t="array" aca="1" ref="K20" ca="1" xml:space="preserve"> INDIRECT(ADDRESS(2+$F20,COLUMN(G:G)))</f>
        <v>f</v>
      </c>
      <c r="L20" s="338" t="str" cm="1">
        <f t="array" aca="1" ref="L20" ca="1" xml:space="preserve"> IFERROR( INDEX($H$3:$H$54, MATCH(TRUE, EXACT($K20,$G$3:$G$54), 0)), "")</f>
        <v>ㄑ</v>
      </c>
      <c r="M20" s="338" t="s">
        <v>869</v>
      </c>
      <c r="N20" s="337" t="str" cm="1">
        <f t="array" aca="1" ref="N20" ca="1" xml:space="preserve"> IFERROR( INDEX($C$3:$C$54, MATCH(TRUE, EXACT($K20,$D$3:$D$54), 0)), "")</f>
        <v>C</v>
      </c>
      <c r="O20" s="341" t="s">
        <v>457</v>
      </c>
      <c r="Q20" s="323">
        <f t="shared" si="6"/>
        <v>18</v>
      </c>
      <c r="R20" s="347" t="str">
        <f t="shared" ca="1" si="0"/>
        <v>f</v>
      </c>
      <c r="S20" s="349" t="str">
        <f t="shared" ca="1" si="1"/>
        <v>ㄑ</v>
      </c>
      <c r="T20" s="347" t="str">
        <f t="shared" ca="1" si="2"/>
        <v>C</v>
      </c>
      <c r="U20" s="345" t="str">
        <f t="shared" si="7"/>
        <v>ci-</v>
      </c>
    </row>
    <row r="21" spans="2:22">
      <c r="B21" s="323">
        <f t="shared" si="3"/>
        <v>19</v>
      </c>
      <c r="C21" s="350" t="s">
        <v>369</v>
      </c>
      <c r="D21" s="324" t="s">
        <v>443</v>
      </c>
      <c r="F21" s="323">
        <f t="shared" si="4"/>
        <v>19</v>
      </c>
      <c r="G21" s="324" t="s">
        <v>601</v>
      </c>
      <c r="H21" s="344" t="s">
        <v>284</v>
      </c>
      <c r="J21" s="323">
        <f t="shared" si="5"/>
        <v>19</v>
      </c>
      <c r="K21" s="329" t="str" cm="1">
        <f t="array" aca="1" ref="K21" ca="1" xml:space="preserve"> INDIRECT(ADDRESS(2+$F21,COLUMN(G:G)))</f>
        <v>v</v>
      </c>
      <c r="L21" s="338" t="str" cm="1">
        <f t="array" aca="1" ref="L21" ca="1" xml:space="preserve"> IFERROR( INDEX($H$3:$H$54, MATCH(TRUE, EXACT($K21,$G$3:$G$54), 0)), "")</f>
        <v>ㄒ</v>
      </c>
      <c r="M21" s="338" t="s">
        <v>870</v>
      </c>
      <c r="N21" s="337" t="str" cm="1">
        <f t="array" aca="1" ref="N21" ca="1" xml:space="preserve"> IFERROR( INDEX($C$3:$C$54, MATCH(TRUE, EXACT($K21,$D$3:$D$54), 0)), "")</f>
        <v>S</v>
      </c>
      <c r="O21" s="341" t="s">
        <v>604</v>
      </c>
      <c r="Q21" s="323">
        <f t="shared" si="6"/>
        <v>19</v>
      </c>
      <c r="R21" s="348" t="str">
        <f t="shared" ca="1" si="0"/>
        <v>v</v>
      </c>
      <c r="S21" s="339" t="str">
        <f t="shared" ca="1" si="1"/>
        <v>ㄒ</v>
      </c>
      <c r="T21" s="348" t="str">
        <f t="shared" ca="1" si="2"/>
        <v>S</v>
      </c>
      <c r="U21" s="345" t="str">
        <f t="shared" si="7"/>
        <v>si-</v>
      </c>
    </row>
    <row r="22" spans="2:22">
      <c r="B22" s="323">
        <f t="shared" si="3"/>
        <v>20</v>
      </c>
      <c r="C22" s="350" t="s">
        <v>368</v>
      </c>
      <c r="D22" s="324" t="s">
        <v>28</v>
      </c>
      <c r="F22" s="323">
        <f t="shared" si="4"/>
        <v>20</v>
      </c>
      <c r="G22" s="324" t="s">
        <v>28</v>
      </c>
      <c r="H22" s="344" t="s">
        <v>109</v>
      </c>
      <c r="J22" s="323">
        <f t="shared" si="5"/>
        <v>20</v>
      </c>
      <c r="K22" s="329" t="str" cm="1">
        <f t="array" aca="1" ref="K22" ca="1" xml:space="preserve"> INDIRECT(ADDRESS(2+$F22,COLUMN(G:G)))</f>
        <v>b</v>
      </c>
      <c r="L22" s="338" t="str" cm="1">
        <f t="array" aca="1" ref="L22" ca="1" xml:space="preserve"> IFERROR( INDEX($H$3:$H$54, MATCH(TRUE, EXACT($K22,$G$3:$G$54), 0)), "")</f>
        <v>ㆢ</v>
      </c>
      <c r="M22" s="338" t="s">
        <v>871</v>
      </c>
      <c r="N22" s="337" t="str" cm="1">
        <f t="array" aca="1" ref="N22" ca="1" xml:space="preserve"> IFERROR( INDEX($C$3:$C$54, MATCH(TRUE, EXACT($K22,$D$3:$D$54), 0)), "")</f>
        <v>J</v>
      </c>
      <c r="O22" s="341" t="s">
        <v>581</v>
      </c>
      <c r="Q22" s="323">
        <f t="shared" si="6"/>
        <v>20</v>
      </c>
      <c r="R22" s="348" t="str">
        <f t="shared" ca="1" si="0"/>
        <v>b</v>
      </c>
      <c r="S22" s="339" t="str">
        <f t="shared" ca="1" si="1"/>
        <v>ㆢ</v>
      </c>
      <c r="T22" s="348" t="str">
        <f t="shared" ca="1" si="2"/>
        <v>J</v>
      </c>
      <c r="U22" s="345" t="str">
        <f t="shared" si="7"/>
        <v>ji-</v>
      </c>
    </row>
    <row r="23" spans="2:22">
      <c r="B23" s="323">
        <f t="shared" si="3"/>
        <v>21</v>
      </c>
      <c r="C23" s="350" t="s">
        <v>279</v>
      </c>
      <c r="D23" s="324" t="s">
        <v>196</v>
      </c>
      <c r="F23" s="323">
        <f t="shared" si="4"/>
        <v>21</v>
      </c>
      <c r="G23" s="324" t="s">
        <v>196</v>
      </c>
      <c r="H23" s="344" t="s">
        <v>54</v>
      </c>
      <c r="J23" s="323">
        <f t="shared" si="5"/>
        <v>21</v>
      </c>
      <c r="K23" s="329" t="str" cm="1">
        <f t="array" aca="1" ref="K23" ca="1" xml:space="preserve"> INDIRECT(ADDRESS(2+$F23,COLUMN(G:G)))</f>
        <v>u</v>
      </c>
      <c r="L23" s="338" t="str" cm="1">
        <f t="array" aca="1" ref="L23" ca="1" xml:space="preserve"> IFERROR( INDEX($H$3:$H$54, MATCH(TRUE, EXACT($K23,$G$3:$G$54), 0)), "")</f>
        <v>ㄧ</v>
      </c>
      <c r="M23" s="338" t="s">
        <v>877</v>
      </c>
      <c r="N23" s="337" t="str" cm="1">
        <f t="array" aca="1" ref="N23" ca="1" xml:space="preserve"> IFERROR( INDEX($C$3:$C$54, MATCH(TRUE, EXACT($K23,$D$3:$D$54), 0)), "")</f>
        <v>i</v>
      </c>
      <c r="O23" s="341" t="s">
        <v>55</v>
      </c>
      <c r="Q23" s="323">
        <f t="shared" si="6"/>
        <v>21</v>
      </c>
      <c r="R23" s="347" t="str">
        <f t="shared" ca="1" si="0"/>
        <v>u</v>
      </c>
      <c r="S23" s="349" t="str">
        <f t="shared" ca="1" si="1"/>
        <v>ㄧ</v>
      </c>
      <c r="T23" s="347" t="str">
        <f t="shared" ca="1" si="2"/>
        <v>i</v>
      </c>
      <c r="U23" s="345" t="str">
        <f t="shared" si="7"/>
        <v>i</v>
      </c>
    </row>
    <row r="24" spans="2:22">
      <c r="B24" s="323">
        <f t="shared" si="3"/>
        <v>22</v>
      </c>
      <c r="C24" s="350" t="s">
        <v>239</v>
      </c>
      <c r="D24" s="324" t="s">
        <v>230</v>
      </c>
      <c r="F24" s="323">
        <f t="shared" si="4"/>
        <v>22</v>
      </c>
      <c r="G24" s="324" t="s">
        <v>230</v>
      </c>
      <c r="H24" s="344" t="s">
        <v>111</v>
      </c>
      <c r="J24" s="323">
        <f t="shared" si="5"/>
        <v>22</v>
      </c>
      <c r="K24" s="329" t="str" cm="1">
        <f t="array" aca="1" ref="K24" ca="1" xml:space="preserve"> INDIRECT(ADDRESS(2+$F24,COLUMN(G:G)))</f>
        <v>U</v>
      </c>
      <c r="L24" s="338" t="str" cm="1">
        <f t="array" aca="1" ref="L24" ca="1" xml:space="preserve"> IFERROR( INDEX($H$3:$H$54, MATCH(TRUE, EXACT($K24,$G$3:$G$54), 0)), "")</f>
        <v>ㆪ</v>
      </c>
      <c r="M24" s="338" t="s">
        <v>878</v>
      </c>
      <c r="N24" s="337" t="str" cm="1">
        <f t="array" aca="1" ref="N24" ca="1" xml:space="preserve"> IFERROR( INDEX($C$3:$C$54, MATCH(TRUE, EXACT($K24,$D$3:$D$54), 0)), "")</f>
        <v>I</v>
      </c>
      <c r="O24" s="341" t="s">
        <v>112</v>
      </c>
      <c r="Q24" s="323">
        <f t="shared" si="6"/>
        <v>22</v>
      </c>
      <c r="R24" s="348" t="str">
        <f t="shared" ca="1" si="0"/>
        <v>U</v>
      </c>
      <c r="S24" s="339" t="str">
        <f t="shared" ca="1" si="1"/>
        <v>ㆪ</v>
      </c>
      <c r="T24" s="348" t="str">
        <f t="shared" ca="1" si="2"/>
        <v>I</v>
      </c>
      <c r="U24" s="345" t="str">
        <f t="shared" si="7"/>
        <v>inn</v>
      </c>
    </row>
    <row r="25" spans="2:22">
      <c r="B25" s="323">
        <f t="shared" si="3"/>
        <v>23</v>
      </c>
      <c r="C25" s="350" t="s">
        <v>196</v>
      </c>
      <c r="D25" s="324" t="s">
        <v>254</v>
      </c>
      <c r="F25" s="323">
        <f t="shared" si="4"/>
        <v>23</v>
      </c>
      <c r="G25" s="324" t="s">
        <v>254</v>
      </c>
      <c r="H25" s="344" t="s">
        <v>56</v>
      </c>
      <c r="J25" s="323">
        <f t="shared" si="5"/>
        <v>23</v>
      </c>
      <c r="K25" s="329" t="str" cm="1">
        <f t="array" aca="1" ref="K25" ca="1" xml:space="preserve"> INDIRECT(ADDRESS(2+$F25,COLUMN(G:G)))</f>
        <v>j</v>
      </c>
      <c r="L25" s="338" t="str" cm="1">
        <f t="array" aca="1" ref="L25" ca="1" xml:space="preserve"> IFERROR( INDEX($H$3:$H$54, MATCH(TRUE, EXACT($K25,$G$3:$G$54), 0)), "")</f>
        <v>ㄨ</v>
      </c>
      <c r="M25" s="338" t="s">
        <v>879</v>
      </c>
      <c r="N25" s="337" t="str" cm="1">
        <f t="array" aca="1" ref="N25" ca="1" xml:space="preserve"> IFERROR( INDEX($C$3:$C$54, MATCH(TRUE, EXACT($K25,$D$3:$D$54), 0)), "")</f>
        <v>u</v>
      </c>
      <c r="O25" s="341" t="s">
        <v>57</v>
      </c>
      <c r="Q25" s="323">
        <f t="shared" si="6"/>
        <v>23</v>
      </c>
      <c r="R25" s="347" t="str">
        <f t="shared" ca="1" si="0"/>
        <v>j</v>
      </c>
      <c r="S25" s="349" t="str">
        <f t="shared" ca="1" si="1"/>
        <v>ㄨ</v>
      </c>
      <c r="T25" s="347" t="str">
        <f t="shared" ca="1" si="2"/>
        <v>u</v>
      </c>
      <c r="U25" s="345" t="str">
        <f t="shared" si="7"/>
        <v>u</v>
      </c>
      <c r="V25" s="322"/>
    </row>
    <row r="26" spans="2:22">
      <c r="B26" s="323">
        <f t="shared" si="3"/>
        <v>24</v>
      </c>
      <c r="C26" s="350" t="s">
        <v>230</v>
      </c>
      <c r="D26" s="324" t="s">
        <v>368</v>
      </c>
      <c r="F26" s="323">
        <f t="shared" si="4"/>
        <v>24</v>
      </c>
      <c r="G26" s="324" t="s">
        <v>368</v>
      </c>
      <c r="H26" s="344" t="s">
        <v>113</v>
      </c>
      <c r="J26" s="323">
        <f t="shared" si="5"/>
        <v>24</v>
      </c>
      <c r="K26" s="329" t="str" cm="1">
        <f t="array" aca="1" ref="K26" ca="1" xml:space="preserve"> INDIRECT(ADDRESS(2+$F26,COLUMN(G:G)))</f>
        <v>J</v>
      </c>
      <c r="L26" s="338" t="str" cm="1">
        <f t="array" aca="1" ref="L26" ca="1" xml:space="preserve"> IFERROR( INDEX($H$3:$H$54, MATCH(TRUE, EXACT($K26,$G$3:$G$54), 0)), "")</f>
        <v>ㆫ</v>
      </c>
      <c r="M26" s="338" t="s">
        <v>880</v>
      </c>
      <c r="N26" s="337" t="str" cm="1">
        <f t="array" aca="1" ref="N26" ca="1" xml:space="preserve"> IFERROR( INDEX($C$3:$C$54, MATCH(TRUE, EXACT($K26,$D$3:$D$54), 0)), "")</f>
        <v>U</v>
      </c>
      <c r="O26" s="341" t="s">
        <v>114</v>
      </c>
      <c r="Q26" s="323">
        <f t="shared" si="6"/>
        <v>24</v>
      </c>
      <c r="R26" s="348" t="str">
        <f t="shared" ca="1" si="0"/>
        <v>J</v>
      </c>
      <c r="S26" s="339" t="str">
        <f t="shared" ca="1" si="1"/>
        <v>ㆫ</v>
      </c>
      <c r="T26" s="348" t="str">
        <f t="shared" ca="1" si="2"/>
        <v>U</v>
      </c>
      <c r="U26" s="345" t="str">
        <f t="shared" si="7"/>
        <v>unn</v>
      </c>
      <c r="V26" s="322"/>
    </row>
    <row r="27" spans="2:22">
      <c r="B27" s="323">
        <f t="shared" si="3"/>
        <v>25</v>
      </c>
      <c r="C27" s="350" t="s">
        <v>144</v>
      </c>
      <c r="D27" s="324" t="s">
        <v>143</v>
      </c>
      <c r="F27" s="323">
        <f t="shared" si="4"/>
        <v>25</v>
      </c>
      <c r="G27" s="324" t="s">
        <v>143</v>
      </c>
      <c r="H27" s="344" t="s">
        <v>145</v>
      </c>
      <c r="J27" s="323">
        <f t="shared" si="5"/>
        <v>25</v>
      </c>
      <c r="K27" s="329" t="str" cm="1">
        <f t="array" aca="1" ref="K27" ca="1" xml:space="preserve"> INDIRECT(ADDRESS(2+$F27,COLUMN(G:G)))</f>
        <v>m</v>
      </c>
      <c r="L27" s="338" t="str" cm="1">
        <f t="array" aca="1" ref="L27" ca="1" xml:space="preserve"> IFERROR( INDEX($H$3:$H$54, MATCH(TRUE, EXACT($K27,$G$3:$G$54), 0)), "")</f>
        <v>ㆬ</v>
      </c>
      <c r="M27" s="338" t="s">
        <v>858</v>
      </c>
      <c r="N27" s="337" t="str" cm="1">
        <f t="array" aca="1" ref="N27" ca="1" xml:space="preserve"> IFERROR( INDEX($C$3:$C$54, MATCH(TRUE, EXACT($K27,$D$3:$D$54), 0)), "")</f>
        <v>B</v>
      </c>
      <c r="O27" s="342" t="s">
        <v>79</v>
      </c>
      <c r="Q27" s="323">
        <f t="shared" si="6"/>
        <v>25</v>
      </c>
      <c r="R27" s="347" t="str">
        <f t="shared" ca="1" si="0"/>
        <v>m</v>
      </c>
      <c r="S27" s="349" t="str">
        <f t="shared" ca="1" si="1"/>
        <v>ㆬ</v>
      </c>
      <c r="T27" s="347" t="str">
        <f t="shared" ca="1" si="2"/>
        <v>B</v>
      </c>
      <c r="U27" s="345" t="str">
        <f t="shared" si="7"/>
        <v>-m</v>
      </c>
      <c r="V27" s="322"/>
    </row>
    <row r="28" spans="2:22">
      <c r="B28" s="323">
        <f t="shared" si="3"/>
        <v>26</v>
      </c>
      <c r="C28" s="350" t="s">
        <v>351</v>
      </c>
      <c r="D28" s="324" t="s">
        <v>589</v>
      </c>
      <c r="F28" s="323">
        <f t="shared" si="4"/>
        <v>26</v>
      </c>
      <c r="G28" s="324" t="s">
        <v>589</v>
      </c>
      <c r="H28" s="344" t="s">
        <v>58</v>
      </c>
      <c r="J28" s="323">
        <f t="shared" si="5"/>
        <v>26</v>
      </c>
      <c r="K28" s="329" t="str" cm="1">
        <f t="array" aca="1" ref="K28" ca="1" xml:space="preserve"> INDIRECT(ADDRESS(2+$F28,COLUMN(G:G)))</f>
        <v>8</v>
      </c>
      <c r="L28" s="338" t="str" cm="1">
        <f t="array" aca="1" ref="L28" ca="1" xml:space="preserve"> IFERROR( INDEX($H$3:$H$54, MATCH(TRUE, EXACT($K28,$G$3:$G$54), 0)), "")</f>
        <v>ㄚ</v>
      </c>
      <c r="M28" s="338" t="s">
        <v>886</v>
      </c>
      <c r="N28" s="337" t="str" cm="1">
        <f t="array" aca="1" ref="N28" ca="1" xml:space="preserve"> IFERROR( INDEX($C$3:$C$54, MATCH(TRUE, EXACT($K28,$D$3:$D$54), 0)), "")</f>
        <v>a</v>
      </c>
      <c r="O28" s="341" t="s">
        <v>59</v>
      </c>
      <c r="Q28" s="323">
        <f t="shared" si="6"/>
        <v>26</v>
      </c>
      <c r="R28" s="347" t="str">
        <f t="shared" ca="1" si="0"/>
        <v>8</v>
      </c>
      <c r="S28" s="349" t="str">
        <f t="shared" ca="1" si="1"/>
        <v>ㄚ</v>
      </c>
      <c r="T28" s="347" t="str">
        <f t="shared" ca="1" si="2"/>
        <v>a</v>
      </c>
      <c r="U28" s="345" t="str">
        <f t="shared" si="7"/>
        <v>a</v>
      </c>
      <c r="V28" s="322"/>
    </row>
    <row r="29" spans="2:22">
      <c r="B29" s="323">
        <f t="shared" si="3"/>
        <v>27</v>
      </c>
      <c r="C29" s="350" t="s">
        <v>401</v>
      </c>
      <c r="D29" s="324" t="s">
        <v>484</v>
      </c>
      <c r="F29" s="323">
        <f t="shared" si="4"/>
        <v>27</v>
      </c>
      <c r="G29" s="324" t="s">
        <v>484</v>
      </c>
      <c r="H29" s="344" t="s">
        <v>115</v>
      </c>
      <c r="J29" s="323">
        <f t="shared" si="5"/>
        <v>27</v>
      </c>
      <c r="K29" s="329" t="str" cm="1">
        <f t="array" aca="1" ref="K29" ca="1" xml:space="preserve"> INDIRECT(ADDRESS(2+$F29,COLUMN(G:G)))</f>
        <v>*</v>
      </c>
      <c r="L29" s="338" t="str" cm="1">
        <f t="array" aca="1" ref="L29" ca="1" xml:space="preserve"> IFERROR( INDEX($H$3:$H$54, MATCH(TRUE, EXACT($K29,$G$3:$G$54), 0)), "")</f>
        <v>ㆩ</v>
      </c>
      <c r="M29" s="338" t="s">
        <v>887</v>
      </c>
      <c r="N29" s="337" t="str" cm="1">
        <f t="array" aca="1" ref="N29" ca="1" xml:space="preserve"> IFERROR( INDEX($C$3:$C$54, MATCH(TRUE, EXACT($K29,$D$3:$D$54), 0)), "")</f>
        <v>A</v>
      </c>
      <c r="O29" s="341" t="s">
        <v>116</v>
      </c>
      <c r="Q29" s="323">
        <f t="shared" si="6"/>
        <v>27</v>
      </c>
      <c r="R29" s="348" t="str">
        <f t="shared" ca="1" si="0"/>
        <v>*</v>
      </c>
      <c r="S29" s="339" t="str">
        <f t="shared" ca="1" si="1"/>
        <v>ㆩ</v>
      </c>
      <c r="T29" s="348" t="str">
        <f t="shared" ca="1" si="2"/>
        <v>A</v>
      </c>
      <c r="U29" s="345" t="str">
        <f t="shared" si="7"/>
        <v>ann</v>
      </c>
    </row>
    <row r="30" spans="2:22">
      <c r="B30" s="323">
        <f t="shared" si="3"/>
        <v>28</v>
      </c>
      <c r="C30" s="350" t="s">
        <v>69</v>
      </c>
      <c r="D30" s="324" t="s">
        <v>279</v>
      </c>
      <c r="F30" s="323">
        <f t="shared" si="4"/>
        <v>28</v>
      </c>
      <c r="G30" s="324" t="s">
        <v>279</v>
      </c>
      <c r="H30" s="344" t="s">
        <v>67</v>
      </c>
      <c r="J30" s="323">
        <f t="shared" si="5"/>
        <v>28</v>
      </c>
      <c r="K30" s="329" t="str" cm="1">
        <f t="array" aca="1" ref="K30" ca="1" xml:space="preserve"> INDIRECT(ADDRESS(2+$F30,COLUMN(G:G)))</f>
        <v>i</v>
      </c>
      <c r="L30" s="338" t="str" cm="1">
        <f t="array" aca="1" ref="L30" ca="1" xml:space="preserve"> IFERROR( INDEX($H$3:$H$54, MATCH(TRUE, EXACT($K30,$G$3:$G$54), 0)), "")</f>
        <v>ㆦ</v>
      </c>
      <c r="M30" s="338" t="s">
        <v>881</v>
      </c>
      <c r="N30" s="337" t="str" cm="1">
        <f t="array" aca="1" ref="N30" ca="1" xml:space="preserve"> IFERROR( INDEX($C$3:$C$54, MATCH(TRUE, EXACT($K30,$D$3:$D$54), 0)), "")</f>
        <v>O</v>
      </c>
      <c r="O30" s="341" t="s">
        <v>68</v>
      </c>
      <c r="Q30" s="323">
        <f t="shared" si="6"/>
        <v>28</v>
      </c>
      <c r="R30" s="347" t="str">
        <f t="shared" ca="1" si="0"/>
        <v>i</v>
      </c>
      <c r="S30" s="349" t="str">
        <f t="shared" ca="1" si="1"/>
        <v>ㆦ</v>
      </c>
      <c r="T30" s="347" t="str">
        <f t="shared" ca="1" si="2"/>
        <v>O</v>
      </c>
      <c r="U30" s="345" t="str">
        <f t="shared" si="7"/>
        <v>oo</v>
      </c>
      <c r="V30" s="322"/>
    </row>
    <row r="31" spans="2:22">
      <c r="B31" s="323">
        <f t="shared" si="3"/>
        <v>29</v>
      </c>
      <c r="C31" s="350" t="s">
        <v>397</v>
      </c>
      <c r="D31" s="324" t="s">
        <v>239</v>
      </c>
      <c r="F31" s="323">
        <f t="shared" si="4"/>
        <v>29</v>
      </c>
      <c r="G31" s="324" t="s">
        <v>239</v>
      </c>
      <c r="H31" s="344" t="s">
        <v>595</v>
      </c>
      <c r="J31" s="323">
        <f t="shared" si="5"/>
        <v>29</v>
      </c>
      <c r="K31" s="329" t="str" cm="1">
        <f t="array" aca="1" ref="K31" ca="1" xml:space="preserve"> INDIRECT(ADDRESS(2+$F31,COLUMN(G:G)))</f>
        <v>I</v>
      </c>
      <c r="L31" s="338" t="str" cm="1">
        <f t="array" aca="1" ref="L31" ca="1" xml:space="preserve"> IFERROR( INDEX($H$3:$H$54, MATCH(TRUE, EXACT($K31,$G$3:$G$54), 0)), "")</f>
        <v>ㆧ</v>
      </c>
      <c r="M31" s="338" t="s">
        <v>883</v>
      </c>
      <c r="N31" s="337" t="str" cm="1">
        <f t="array" aca="1" ref="N31" ca="1" xml:space="preserve"> IFERROR( INDEX($C$3:$C$54, MATCH(TRUE, EXACT($K31,$D$3:$D$54), 0)), "")</f>
        <v>Q</v>
      </c>
      <c r="O31" s="341" t="s">
        <v>122</v>
      </c>
      <c r="Q31" s="323">
        <f t="shared" si="6"/>
        <v>29</v>
      </c>
      <c r="R31" s="348" t="str">
        <f t="shared" ca="1" si="0"/>
        <v>I</v>
      </c>
      <c r="S31" s="339" t="str">
        <f t="shared" ca="1" si="1"/>
        <v>ㆧ</v>
      </c>
      <c r="T31" s="348" t="str">
        <f t="shared" ca="1" si="2"/>
        <v>Q</v>
      </c>
      <c r="U31" s="345" t="str">
        <f t="shared" si="7"/>
        <v>onn</v>
      </c>
      <c r="V31" s="322"/>
    </row>
    <row r="32" spans="2:22">
      <c r="B32" s="323">
        <f t="shared" si="3"/>
        <v>30</v>
      </c>
      <c r="C32" s="350" t="s">
        <v>66</v>
      </c>
      <c r="D32" s="324" t="s">
        <v>37</v>
      </c>
      <c r="F32" s="323">
        <f t="shared" si="4"/>
        <v>30</v>
      </c>
      <c r="G32" s="324" t="s">
        <v>37</v>
      </c>
      <c r="H32" s="344" t="s">
        <v>473</v>
      </c>
      <c r="J32" s="323">
        <f t="shared" si="5"/>
        <v>30</v>
      </c>
      <c r="K32" s="329" t="str" cm="1">
        <f t="array" aca="1" ref="K32" ca="1" xml:space="preserve"> INDIRECT(ADDRESS(2+$F32,COLUMN(G:G)))</f>
        <v>k</v>
      </c>
      <c r="L32" s="338" t="str" cm="1">
        <f t="array" aca="1" ref="L32" ca="1" xml:space="preserve"> IFERROR( INDEX($H$3:$H$54, MATCH(TRUE, EXACT($K32,$G$3:$G$54), 0)), "")</f>
        <v>ㄜ</v>
      </c>
      <c r="M32" s="338" t="s">
        <v>885</v>
      </c>
      <c r="N32" s="337" t="str" cm="1">
        <f t="array" aca="1" ref="N32" ca="1" xml:space="preserve"> IFERROR( INDEX($C$3:$C$54, MATCH(TRUE, EXACT($K32,$D$3:$D$54), 0)), "")</f>
        <v>o</v>
      </c>
      <c r="O32" s="341" t="s">
        <v>66</v>
      </c>
      <c r="Q32" s="323">
        <f t="shared" si="6"/>
        <v>30</v>
      </c>
      <c r="R32" s="347" t="str">
        <f t="shared" ca="1" si="0"/>
        <v>k</v>
      </c>
      <c r="S32" s="349" t="str">
        <f t="shared" ca="1" si="1"/>
        <v>ㄜ</v>
      </c>
      <c r="T32" s="347" t="str">
        <f t="shared" ca="1" si="2"/>
        <v>o</v>
      </c>
      <c r="U32" s="345" t="str">
        <f t="shared" si="7"/>
        <v>o</v>
      </c>
      <c r="V32" s="322"/>
    </row>
    <row r="33" spans="2:22">
      <c r="B33" s="323">
        <f t="shared" si="3"/>
        <v>31</v>
      </c>
      <c r="C33" s="350" t="s">
        <v>62</v>
      </c>
      <c r="D33" s="324" t="s">
        <v>225</v>
      </c>
      <c r="F33" s="323">
        <f t="shared" si="4"/>
        <v>31</v>
      </c>
      <c r="G33" s="324" t="s">
        <v>225</v>
      </c>
      <c r="H33" s="344" t="s">
        <v>61</v>
      </c>
      <c r="J33" s="323">
        <f t="shared" si="5"/>
        <v>31</v>
      </c>
      <c r="K33" s="329" t="str" cm="1">
        <f t="array" aca="1" ref="K33" ca="1" xml:space="preserve"> INDIRECT(ADDRESS(2+$F33,COLUMN(G:G)))</f>
        <v>,</v>
      </c>
      <c r="L33" s="338" t="str" cm="1">
        <f t="array" aca="1" ref="L33" ca="1" xml:space="preserve"> IFERROR( INDEX($H$3:$H$54, MATCH(TRUE, EXACT($K33,$G$3:$G$54), 0)), "")</f>
        <v>ㆤ</v>
      </c>
      <c r="M33" s="338" t="s">
        <v>888</v>
      </c>
      <c r="N33" s="337" t="str" cm="1">
        <f t="array" aca="1" ref="N33" ca="1" xml:space="preserve"> IFERROR( INDEX($C$3:$C$54, MATCH(TRUE, EXACT($K33,$D$3:$D$54), 0)), "")</f>
        <v>e</v>
      </c>
      <c r="O33" s="341" t="s">
        <v>62</v>
      </c>
      <c r="Q33" s="323">
        <f t="shared" si="6"/>
        <v>31</v>
      </c>
      <c r="R33" s="347" t="str">
        <f t="shared" ca="1" si="0"/>
        <v>,</v>
      </c>
      <c r="S33" s="349" t="str">
        <f t="shared" ca="1" si="1"/>
        <v>ㆤ</v>
      </c>
      <c r="T33" s="347" t="str">
        <f t="shared" ca="1" si="2"/>
        <v>e</v>
      </c>
      <c r="U33" s="345" t="str">
        <f t="shared" si="7"/>
        <v>e</v>
      </c>
      <c r="V33" s="322"/>
    </row>
    <row r="34" spans="2:22">
      <c r="B34" s="323">
        <f t="shared" si="3"/>
        <v>32</v>
      </c>
      <c r="C34" s="350" t="s">
        <v>421</v>
      </c>
      <c r="D34" s="324" t="s">
        <v>596</v>
      </c>
      <c r="F34" s="323">
        <f t="shared" si="4"/>
        <v>32</v>
      </c>
      <c r="G34" s="324" t="s">
        <v>596</v>
      </c>
      <c r="H34" s="344" t="s">
        <v>119</v>
      </c>
      <c r="J34" s="323">
        <f t="shared" si="5"/>
        <v>32</v>
      </c>
      <c r="K34" s="329" t="str" cm="1">
        <f t="array" aca="1" ref="K34" ca="1" xml:space="preserve"> INDIRECT(ADDRESS(2+$F34,COLUMN(G:G)))</f>
        <v>&lt;</v>
      </c>
      <c r="L34" s="338" t="str" cm="1">
        <f t="array" aca="1" ref="L34" ca="1" xml:space="preserve"> IFERROR( INDEX($H$3:$H$54, MATCH(TRUE, EXACT($K34,$G$3:$G$54), 0)), "")</f>
        <v>ㆥ</v>
      </c>
      <c r="M34" s="338" t="s">
        <v>889</v>
      </c>
      <c r="N34" s="337" t="str" cm="1">
        <f t="array" aca="1" ref="N34" ca="1" xml:space="preserve"> IFERROR( INDEX($C$3:$C$54, MATCH(TRUE, EXACT($K34,$D$3:$D$54), 0)), "")</f>
        <v>E</v>
      </c>
      <c r="O34" s="341" t="s">
        <v>120</v>
      </c>
      <c r="Q34" s="323">
        <f t="shared" si="6"/>
        <v>32</v>
      </c>
      <c r="R34" s="348" t="str">
        <f t="shared" ca="1" si="0"/>
        <v>&lt;</v>
      </c>
      <c r="S34" s="339" t="str">
        <f t="shared" ca="1" si="1"/>
        <v>ㆥ</v>
      </c>
      <c r="T34" s="348" t="str">
        <f t="shared" ca="1" si="2"/>
        <v>E</v>
      </c>
      <c r="U34" s="345" t="str">
        <f t="shared" si="7"/>
        <v>enn</v>
      </c>
      <c r="V34" s="322"/>
    </row>
    <row r="35" spans="2:22">
      <c r="B35" s="323">
        <f t="shared" si="3"/>
        <v>33</v>
      </c>
      <c r="C35" s="350" t="s">
        <v>275</v>
      </c>
      <c r="D35" s="324" t="s">
        <v>264</v>
      </c>
      <c r="F35" s="323">
        <f t="shared" si="4"/>
        <v>33</v>
      </c>
      <c r="G35" s="324" t="s">
        <v>264</v>
      </c>
      <c r="H35" s="344" t="s">
        <v>241</v>
      </c>
      <c r="J35" s="323">
        <f t="shared" si="5"/>
        <v>33</v>
      </c>
      <c r="K35" s="329" t="str" cm="1">
        <f t="array" aca="1" ref="K35" ca="1" xml:space="preserve"> INDIRECT(ADDRESS(2+$F35,COLUMN(G:G)))</f>
        <v>9</v>
      </c>
      <c r="L35" s="338" t="str" cm="1">
        <f t="array" aca="1" ref="L35" ca="1" xml:space="preserve"> IFERROR( INDEX($H$3:$H$54, MATCH(TRUE, EXACT($K35,$G$3:$G$54), 0)), "")</f>
        <v>ㄞ</v>
      </c>
      <c r="M35" s="338" t="s">
        <v>890</v>
      </c>
      <c r="N35" s="337" t="str" cm="1">
        <f t="array" aca="1" ref="N35" ca="1" xml:space="preserve"> IFERROR( INDEX($C$3:$C$54, MATCH(TRUE, EXACT($K35,$D$3:$D$54), 0)), "")</f>
        <v>I</v>
      </c>
      <c r="O35" s="341" t="s">
        <v>71</v>
      </c>
      <c r="Q35" s="323">
        <f t="shared" si="6"/>
        <v>33</v>
      </c>
      <c r="R35" s="347" t="str">
        <f t="shared" ref="R35:R54" ca="1" si="8">K35</f>
        <v>9</v>
      </c>
      <c r="S35" s="349" t="str">
        <f t="shared" ref="S35:S54" ca="1" si="9">L35</f>
        <v>ㄞ</v>
      </c>
      <c r="T35" s="347" t="str">
        <f t="shared" ref="T35:T54" ca="1" si="10">N35</f>
        <v>I</v>
      </c>
      <c r="U35" s="345" t="str">
        <f t="shared" si="7"/>
        <v>ai</v>
      </c>
    </row>
    <row r="36" spans="2:22">
      <c r="B36" s="323">
        <f t="shared" si="3"/>
        <v>34</v>
      </c>
      <c r="C36" s="350" t="s">
        <v>374</v>
      </c>
      <c r="D36" s="324" t="s">
        <v>491</v>
      </c>
      <c r="F36" s="323">
        <f t="shared" si="4"/>
        <v>34</v>
      </c>
      <c r="G36" s="324" t="s">
        <v>491</v>
      </c>
      <c r="H36" s="344" t="s">
        <v>117</v>
      </c>
      <c r="J36" s="323">
        <f t="shared" si="5"/>
        <v>34</v>
      </c>
      <c r="K36" s="329" t="str" cm="1">
        <f t="array" aca="1" ref="K36" ca="1" xml:space="preserve"> INDIRECT(ADDRESS(2+$F36,COLUMN(G:G)))</f>
        <v>(</v>
      </c>
      <c r="L36" s="338" t="str" cm="1">
        <f t="array" aca="1" ref="L36" ca="1" xml:space="preserve"> IFERROR( INDEX($H$3:$H$54, MATCH(TRUE, EXACT($K36,$G$3:$G$54), 0)), "")</f>
        <v>ㆮ</v>
      </c>
      <c r="M36" s="338" t="s">
        <v>891</v>
      </c>
      <c r="N36" s="337" t="str" cm="1">
        <f t="array" aca="1" ref="N36" ca="1" xml:space="preserve"> IFERROR( INDEX($C$3:$C$54, MATCH(TRUE, EXACT($K36,$D$3:$D$54), 0)), "")</f>
        <v>Y</v>
      </c>
      <c r="O36" s="341" t="s">
        <v>118</v>
      </c>
      <c r="Q36" s="323">
        <f t="shared" si="6"/>
        <v>34</v>
      </c>
      <c r="R36" s="348" t="str">
        <f t="shared" ca="1" si="8"/>
        <v>(</v>
      </c>
      <c r="S36" s="339" t="str">
        <f t="shared" ca="1" si="9"/>
        <v>ㆮ</v>
      </c>
      <c r="T36" s="348" t="str">
        <f t="shared" ca="1" si="10"/>
        <v>Y</v>
      </c>
      <c r="U36" s="345" t="str">
        <f t="shared" si="7"/>
        <v>ainn</v>
      </c>
      <c r="V36" s="322"/>
    </row>
    <row r="37" spans="2:22">
      <c r="B37" s="323">
        <f t="shared" si="3"/>
        <v>35</v>
      </c>
      <c r="C37" s="350" t="s">
        <v>259</v>
      </c>
      <c r="D37" s="324" t="s">
        <v>86</v>
      </c>
      <c r="F37" s="323">
        <f t="shared" si="4"/>
        <v>35</v>
      </c>
      <c r="G37" s="324" t="s">
        <v>86</v>
      </c>
      <c r="H37" s="344" t="s">
        <v>72</v>
      </c>
      <c r="J37" s="323">
        <f t="shared" si="5"/>
        <v>35</v>
      </c>
      <c r="K37" s="329" t="str" cm="1">
        <f t="array" aca="1" ref="K37" ca="1" xml:space="preserve"> INDIRECT(ADDRESS(2+$F37,COLUMN(G:G)))</f>
        <v>l</v>
      </c>
      <c r="L37" s="338" t="str" cm="1">
        <f t="array" aca="1" ref="L37" ca="1" xml:space="preserve"> IFERROR( INDEX($H$3:$H$54, MATCH(TRUE, EXACT($K37,$G$3:$G$54), 0)), "")</f>
        <v>ㄠ</v>
      </c>
      <c r="M37" s="338" t="s">
        <v>892</v>
      </c>
      <c r="N37" s="337" t="str" cm="1">
        <f t="array" aca="1" ref="N37" ca="1" xml:space="preserve"> IFERROR( INDEX($C$3:$C$54, MATCH(TRUE, EXACT($K37,$D$3:$D$54), 0)), "")</f>
        <v>U</v>
      </c>
      <c r="O37" s="341" t="s">
        <v>73</v>
      </c>
      <c r="Q37" s="323">
        <f t="shared" si="6"/>
        <v>35</v>
      </c>
      <c r="R37" s="347" t="str">
        <f t="shared" ca="1" si="8"/>
        <v>l</v>
      </c>
      <c r="S37" s="349" t="str">
        <f t="shared" ca="1" si="9"/>
        <v>ㄠ</v>
      </c>
      <c r="T37" s="347" t="str">
        <f t="shared" ca="1" si="10"/>
        <v>U</v>
      </c>
      <c r="U37" s="345" t="str">
        <f t="shared" si="7"/>
        <v>au</v>
      </c>
    </row>
    <row r="38" spans="2:22">
      <c r="B38" s="323">
        <f t="shared" si="3"/>
        <v>36</v>
      </c>
      <c r="C38" s="350" t="s">
        <v>414</v>
      </c>
      <c r="D38" s="324" t="s">
        <v>497</v>
      </c>
      <c r="F38" s="323">
        <f t="shared" si="4"/>
        <v>36</v>
      </c>
      <c r="G38" s="324" t="s">
        <v>497</v>
      </c>
      <c r="H38" s="344" t="s">
        <v>123</v>
      </c>
      <c r="J38" s="323">
        <f t="shared" si="5"/>
        <v>36</v>
      </c>
      <c r="K38" s="329" t="str" cm="1">
        <f t="array" aca="1" ref="K38" ca="1" xml:space="preserve"> INDIRECT(ADDRESS(2+$F38,COLUMN(G:G)))</f>
        <v>L</v>
      </c>
      <c r="L38" s="338" t="str" cm="1">
        <f t="array" aca="1" ref="L38" ca="1" xml:space="preserve"> IFERROR( INDEX($H$3:$H$54, MATCH(TRUE, EXACT($K38,$G$3:$G$54), 0)), "")</f>
        <v>ㆯ</v>
      </c>
      <c r="M38" s="338" t="s">
        <v>893</v>
      </c>
      <c r="N38" s="337" t="str" cm="1">
        <f t="array" aca="1" ref="N38" ca="1" xml:space="preserve"> IFERROR( INDEX($C$3:$C$54, MATCH(TRUE, EXACT($K38,$D$3:$D$54), 0)), "")</f>
        <v>X</v>
      </c>
      <c r="O38" s="341" t="s">
        <v>124</v>
      </c>
      <c r="Q38" s="323">
        <f t="shared" si="6"/>
        <v>36</v>
      </c>
      <c r="R38" s="348" t="str">
        <f t="shared" ca="1" si="8"/>
        <v>L</v>
      </c>
      <c r="S38" s="339" t="str">
        <f t="shared" ca="1" si="9"/>
        <v>ㆯ</v>
      </c>
      <c r="T38" s="348" t="str">
        <f t="shared" ca="1" si="10"/>
        <v>X</v>
      </c>
      <c r="U38" s="345" t="str">
        <f t="shared" si="7"/>
        <v>aunn</v>
      </c>
    </row>
    <row r="39" spans="2:22">
      <c r="B39" s="323">
        <f t="shared" si="3"/>
        <v>37</v>
      </c>
      <c r="C39" s="350" t="s">
        <v>404</v>
      </c>
      <c r="D39" s="324" t="s">
        <v>219</v>
      </c>
      <c r="F39" s="323">
        <f t="shared" si="4"/>
        <v>37</v>
      </c>
      <c r="G39" s="324">
        <v>0</v>
      </c>
      <c r="H39" s="344" t="s">
        <v>97</v>
      </c>
      <c r="J39" s="323">
        <f t="shared" si="5"/>
        <v>37</v>
      </c>
      <c r="K39" s="329" cm="1">
        <f t="array" aca="1" ref="K39" ca="1" xml:space="preserve"> INDIRECT(ADDRESS(2+$F39,COLUMN(G:G)))</f>
        <v>0</v>
      </c>
      <c r="L39" s="338" t="str" cm="1">
        <f t="array" aca="1" ref="L39" ca="1" xml:space="preserve"> IFERROR( INDEX($H$3:$H$54, MATCH(TRUE, EXACT($K39,$G$3:$G$54), 0)), "")</f>
        <v>ㄢ</v>
      </c>
      <c r="M39" s="338" t="s">
        <v>894</v>
      </c>
      <c r="N39" s="337" t="str" cm="1">
        <f t="array" aca="1" ref="N39" ca="1" xml:space="preserve"> IFERROR( INDEX($C$3:$C$54, MATCH(TRUE, EXACT($K39,$D$3:$D$54), 0)), "")</f>
        <v>@</v>
      </c>
      <c r="O39" s="341" t="s">
        <v>98</v>
      </c>
      <c r="Q39" s="323">
        <f t="shared" si="6"/>
        <v>37</v>
      </c>
      <c r="R39" s="347">
        <f t="shared" ca="1" si="8"/>
        <v>0</v>
      </c>
      <c r="S39" s="349" t="str">
        <f t="shared" ca="1" si="9"/>
        <v>ㄢ</v>
      </c>
      <c r="T39" s="347" t="str">
        <f t="shared" ca="1" si="10"/>
        <v>@</v>
      </c>
      <c r="U39" s="345" t="str">
        <f t="shared" si="7"/>
        <v>an</v>
      </c>
    </row>
    <row r="40" spans="2:22">
      <c r="B40" s="323">
        <f t="shared" si="3"/>
        <v>38</v>
      </c>
      <c r="C40" s="350" t="s">
        <v>189</v>
      </c>
      <c r="D40" s="324" t="s">
        <v>217</v>
      </c>
      <c r="F40" s="323">
        <f t="shared" si="4"/>
        <v>38</v>
      </c>
      <c r="G40" s="324" t="s">
        <v>217</v>
      </c>
      <c r="H40" s="344" t="s">
        <v>76</v>
      </c>
      <c r="J40" s="323">
        <f t="shared" si="5"/>
        <v>38</v>
      </c>
      <c r="K40" s="329" t="str" cm="1">
        <f t="array" aca="1" ref="K40" ca="1" xml:space="preserve"> INDIRECT(ADDRESS(2+$F40,COLUMN(G:G)))</f>
        <v>p</v>
      </c>
      <c r="L40" s="338" t="str" cm="1">
        <f t="array" aca="1" ref="L40" ca="1" xml:space="preserve"> IFERROR( INDEX($H$3:$H$54, MATCH(TRUE, EXACT($K40,$G$3:$G$54), 0)), "")</f>
        <v>ㄣ</v>
      </c>
      <c r="M40" s="338" t="s">
        <v>895</v>
      </c>
      <c r="N40" s="337" t="str" cm="1">
        <f t="array" aca="1" ref="N40" ca="1" xml:space="preserve"> IFERROR( INDEX($C$3:$C$54, MATCH(TRUE, EXACT($K40,$D$3:$D$54), 0)), "")</f>
        <v>D</v>
      </c>
      <c r="O40" s="342" t="s">
        <v>77</v>
      </c>
      <c r="Q40" s="323">
        <f t="shared" si="6"/>
        <v>38</v>
      </c>
      <c r="R40" s="347" t="str">
        <f t="shared" ca="1" si="8"/>
        <v>p</v>
      </c>
      <c r="S40" s="349" t="str">
        <f t="shared" ca="1" si="9"/>
        <v>ㄣ</v>
      </c>
      <c r="T40" s="347" t="str">
        <f t="shared" ca="1" si="10"/>
        <v>D</v>
      </c>
      <c r="U40" s="345" t="str">
        <f t="shared" si="7"/>
        <v>-n</v>
      </c>
    </row>
    <row r="41" spans="2:22">
      <c r="B41" s="323">
        <f t="shared" si="3"/>
        <v>39</v>
      </c>
      <c r="C41" s="350" t="s">
        <v>375</v>
      </c>
      <c r="D41" s="324" t="s">
        <v>512</v>
      </c>
      <c r="F41" s="323">
        <f t="shared" si="4"/>
        <v>39</v>
      </c>
      <c r="G41" s="324" t="s">
        <v>512</v>
      </c>
      <c r="H41" s="344" t="s">
        <v>95</v>
      </c>
      <c r="J41" s="323">
        <f t="shared" si="5"/>
        <v>39</v>
      </c>
      <c r="K41" s="329" t="str" cm="1">
        <f t="array" aca="1" ref="K41" ca="1" xml:space="preserve"> INDIRECT(ADDRESS(2+$F41,COLUMN(G:G)))</f>
        <v>;</v>
      </c>
      <c r="L41" s="338" t="str" cm="1">
        <f t="array" aca="1" ref="L41" ca="1" xml:space="preserve"> IFERROR( INDEX($H$3:$H$54, MATCH(TRUE, EXACT($K41,$G$3:$G$54), 0)), "")</f>
        <v>ㄤ</v>
      </c>
      <c r="M41" s="338" t="s">
        <v>896</v>
      </c>
      <c r="N41" s="337" t="str" cm="1">
        <f t="array" aca="1" ref="N41" ca="1" xml:space="preserve"> IFERROR( INDEX($C$3:$C$54, MATCH(TRUE, EXACT($K41,$D$3:$D$54), 0)), "")</f>
        <v>H</v>
      </c>
      <c r="O41" s="341" t="s">
        <v>96</v>
      </c>
      <c r="Q41" s="323">
        <f t="shared" si="6"/>
        <v>39</v>
      </c>
      <c r="R41" s="347" t="str">
        <f t="shared" ca="1" si="8"/>
        <v>;</v>
      </c>
      <c r="S41" s="349" t="str">
        <f t="shared" ca="1" si="9"/>
        <v>ㄤ</v>
      </c>
      <c r="T41" s="347" t="str">
        <f t="shared" ca="1" si="10"/>
        <v>H</v>
      </c>
      <c r="U41" s="345" t="str">
        <f t="shared" si="7"/>
        <v>ang</v>
      </c>
    </row>
    <row r="42" spans="2:22">
      <c r="B42" s="323">
        <f t="shared" si="3"/>
        <v>40</v>
      </c>
      <c r="C42" s="350" t="s">
        <v>439</v>
      </c>
      <c r="D42" s="324" t="s">
        <v>206</v>
      </c>
      <c r="F42" s="323">
        <f t="shared" si="4"/>
        <v>40</v>
      </c>
      <c r="G42" s="324" t="s">
        <v>206</v>
      </c>
      <c r="H42" s="344" t="s">
        <v>101</v>
      </c>
      <c r="J42" s="323">
        <f t="shared" si="5"/>
        <v>40</v>
      </c>
      <c r="K42" s="329" t="str" cm="1">
        <f t="array" aca="1" ref="K42" ca="1" xml:space="preserve"> INDIRECT(ADDRESS(2+$F42,COLUMN(G:G)))</f>
        <v>:</v>
      </c>
      <c r="L42" s="338" t="str" cm="1">
        <f t="array" aca="1" ref="L42" ca="1" xml:space="preserve"> IFERROR( INDEX($H$3:$H$54, MATCH(TRUE, EXACT($K42,$G$3:$G$54), 0)), "")</f>
        <v>ㆲ</v>
      </c>
      <c r="M42" s="338" t="s">
        <v>897</v>
      </c>
      <c r="N42" s="337" t="str" cm="1">
        <f t="array" aca="1" ref="N42" ca="1" xml:space="preserve"> IFERROR( INDEX($C$3:$C$54, MATCH(TRUE, EXACT($K42,$D$3:$D$54), 0)), "")</f>
        <v>F</v>
      </c>
      <c r="O42" s="341" t="s">
        <v>102</v>
      </c>
      <c r="Q42" s="323">
        <f t="shared" si="6"/>
        <v>40</v>
      </c>
      <c r="R42" s="347" t="str">
        <f t="shared" ca="1" si="8"/>
        <v>:</v>
      </c>
      <c r="S42" s="349" t="str">
        <f t="shared" ca="1" si="9"/>
        <v>ㆲ</v>
      </c>
      <c r="T42" s="347" t="str">
        <f t="shared" ca="1" si="10"/>
        <v>F</v>
      </c>
      <c r="U42" s="345" t="str">
        <f t="shared" si="7"/>
        <v>ong</v>
      </c>
    </row>
    <row r="43" spans="2:22">
      <c r="B43" s="323">
        <f t="shared" si="3"/>
        <v>41</v>
      </c>
      <c r="C43" s="350" t="s">
        <v>559</v>
      </c>
      <c r="D43" s="324" t="s">
        <v>202</v>
      </c>
      <c r="F43" s="323">
        <f t="shared" si="4"/>
        <v>41</v>
      </c>
      <c r="G43" s="324" t="s">
        <v>202</v>
      </c>
      <c r="H43" s="344" t="s">
        <v>74</v>
      </c>
      <c r="J43" s="323">
        <f t="shared" si="5"/>
        <v>41</v>
      </c>
      <c r="K43" s="329" t="str" cm="1">
        <f t="array" aca="1" ref="K43" ca="1" xml:space="preserve"> INDIRECT(ADDRESS(2+$F43,COLUMN(G:G)))</f>
        <v>/</v>
      </c>
      <c r="L43" s="338" t="str" cm="1">
        <f t="array" aca="1" ref="L43" ca="1" xml:space="preserve"> IFERROR( INDEX($H$3:$H$54, MATCH(TRUE, EXACT($K43,$G$3:$G$54), 0)), "")</f>
        <v>ㆭ</v>
      </c>
      <c r="M43" s="338" t="s">
        <v>898</v>
      </c>
      <c r="N43" s="337" t="str" cm="1">
        <f t="array" aca="1" ref="N43" ca="1" xml:space="preserve"> IFERROR( INDEX($C$3:$C$54, MATCH(TRUE, EXACT($K43,$D$3:$D$54), 0)), "")</f>
        <v>W</v>
      </c>
      <c r="O43" s="342" t="s">
        <v>75</v>
      </c>
      <c r="Q43" s="323">
        <f t="shared" si="6"/>
        <v>41</v>
      </c>
      <c r="R43" s="347" t="str">
        <f t="shared" ca="1" si="8"/>
        <v>/</v>
      </c>
      <c r="S43" s="349" t="str">
        <f t="shared" ca="1" si="9"/>
        <v>ㆭ</v>
      </c>
      <c r="T43" s="347" t="str">
        <f t="shared" ca="1" si="10"/>
        <v>W</v>
      </c>
      <c r="U43" s="345" t="str">
        <f t="shared" si="7"/>
        <v>-ng</v>
      </c>
    </row>
    <row r="44" spans="2:22">
      <c r="B44" s="323">
        <f t="shared" si="3"/>
        <v>42</v>
      </c>
      <c r="C44" s="350" t="s">
        <v>341</v>
      </c>
      <c r="D44" s="324" t="s">
        <v>429</v>
      </c>
      <c r="F44" s="323">
        <f t="shared" si="4"/>
        <v>42</v>
      </c>
      <c r="G44" s="324" t="s">
        <v>429</v>
      </c>
      <c r="H44" s="344" t="s">
        <v>87</v>
      </c>
      <c r="J44" s="323">
        <f t="shared" si="5"/>
        <v>42</v>
      </c>
      <c r="K44" s="329" t="str" cm="1">
        <f t="array" aca="1" ref="K44" ca="1" xml:space="preserve"> INDIRECT(ADDRESS(2+$F44,COLUMN(G:G)))</f>
        <v>?</v>
      </c>
      <c r="L44" s="338" t="str" cm="1">
        <f t="array" aca="1" ref="L44" ca="1" xml:space="preserve"> IFERROR( INDEX($H$3:$H$54, MATCH(TRUE, EXACT($K44,$G$3:$G$54), 0)), "")</f>
        <v>ㄫ</v>
      </c>
      <c r="M44" s="338" t="s">
        <v>898</v>
      </c>
      <c r="N44" s="337" t="str" cm="1">
        <f t="array" aca="1" ref="N44" ca="1" xml:space="preserve"> IFERROR( INDEX($C$3:$C$54, MATCH(TRUE, EXACT($K44,$D$3:$D$54), 0)), "")</f>
        <v>w</v>
      </c>
      <c r="O44" s="341" t="s">
        <v>597</v>
      </c>
      <c r="Q44" s="323">
        <f t="shared" si="6"/>
        <v>42</v>
      </c>
      <c r="R44" s="347" t="str">
        <f t="shared" ca="1" si="8"/>
        <v>?</v>
      </c>
      <c r="S44" s="349" t="str">
        <f t="shared" ca="1" si="9"/>
        <v>ㄫ</v>
      </c>
      <c r="T44" s="347" t="str">
        <f t="shared" ca="1" si="10"/>
        <v>w</v>
      </c>
      <c r="U44" s="345" t="str">
        <f t="shared" si="7"/>
        <v>ng-</v>
      </c>
    </row>
    <row r="45" spans="2:22">
      <c r="B45" s="323">
        <f t="shared" si="3"/>
        <v>43</v>
      </c>
      <c r="C45" s="350" t="s">
        <v>560</v>
      </c>
      <c r="D45" s="324" t="s">
        <v>198</v>
      </c>
      <c r="F45" s="323">
        <f t="shared" si="4"/>
        <v>43</v>
      </c>
      <c r="G45" s="324" t="s">
        <v>198</v>
      </c>
      <c r="H45" s="344" t="s">
        <v>591</v>
      </c>
      <c r="J45" s="323">
        <f t="shared" si="5"/>
        <v>43</v>
      </c>
      <c r="K45" s="329" t="str" cm="1">
        <f t="array" aca="1" ref="K45" ca="1" xml:space="preserve"> INDIRECT(ADDRESS(2+$F45,COLUMN(G:G)))</f>
        <v>-</v>
      </c>
      <c r="L45" s="338" t="str" cm="1">
        <f t="array" aca="1" ref="L45" ca="1" xml:space="preserve"> IFERROR( INDEX($H$3:$H$54, MATCH(TRUE, EXACT($K45,$G$3:$G$54), 0)), "")</f>
        <v>ㆨ</v>
      </c>
      <c r="M45" s="338" t="s">
        <v>901</v>
      </c>
      <c r="N45" s="337" t="str" cm="1">
        <f t="array" aca="1" ref="N45" ca="1" xml:space="preserve"> IFERROR( INDEX($C$3:$C$54, MATCH(TRUE, EXACT($K45,$D$3:$D$54), 0)), "")</f>
        <v>R</v>
      </c>
      <c r="O45" s="341" t="s">
        <v>598</v>
      </c>
      <c r="Q45" s="323">
        <f t="shared" si="6"/>
        <v>43</v>
      </c>
      <c r="R45" s="347" t="str">
        <f t="shared" ca="1" si="8"/>
        <v>-</v>
      </c>
      <c r="S45" s="349" t="str">
        <f t="shared" ca="1" si="9"/>
        <v>ㆨ</v>
      </c>
      <c r="T45" s="347" t="str">
        <f t="shared" ca="1" si="10"/>
        <v>R</v>
      </c>
      <c r="U45" s="345" t="str">
        <f t="shared" si="7"/>
        <v>ir</v>
      </c>
    </row>
    <row r="46" spans="2:22">
      <c r="B46" s="323">
        <f t="shared" si="3"/>
        <v>44</v>
      </c>
      <c r="C46" s="350" t="s">
        <v>444</v>
      </c>
      <c r="D46" s="324" t="s">
        <v>401</v>
      </c>
      <c r="F46" s="323">
        <f t="shared" si="4"/>
        <v>44</v>
      </c>
      <c r="G46" s="324" t="s">
        <v>401</v>
      </c>
      <c r="H46" s="344" t="s">
        <v>99</v>
      </c>
      <c r="J46" s="323">
        <f t="shared" si="5"/>
        <v>44</v>
      </c>
      <c r="K46" s="329" t="str" cm="1">
        <f t="array" aca="1" ref="K46" ca="1" xml:space="preserve"> INDIRECT(ADDRESS(2+$F46,COLUMN(G:G)))</f>
        <v>A</v>
      </c>
      <c r="L46" s="338" t="str" cm="1">
        <f t="array" aca="1" ref="L46" ca="1" xml:space="preserve"> IFERROR( INDEX($H$3:$H$54, MATCH(TRUE, EXACT($K46,$G$3:$G$54), 0)), "")</f>
        <v>ㆰ</v>
      </c>
      <c r="M46" s="338" t="s">
        <v>899</v>
      </c>
      <c r="N46" s="337" t="str" cm="1">
        <f t="array" aca="1" ref="N46" ca="1" xml:space="preserve"> IFERROR( INDEX($C$3:$C$54, MATCH(TRUE, EXACT($K46,$D$3:$D$54), 0)), "")</f>
        <v>V</v>
      </c>
      <c r="O46" s="341" t="s">
        <v>100</v>
      </c>
      <c r="Q46" s="323">
        <f t="shared" si="6"/>
        <v>44</v>
      </c>
      <c r="R46" s="347" t="str">
        <f t="shared" ca="1" si="8"/>
        <v>A</v>
      </c>
      <c r="S46" s="349" t="str">
        <f t="shared" ca="1" si="9"/>
        <v>ㆰ</v>
      </c>
      <c r="T46" s="347" t="str">
        <f t="shared" ca="1" si="10"/>
        <v>V</v>
      </c>
      <c r="U46" s="345" t="str">
        <f t="shared" si="7"/>
        <v>am</v>
      </c>
    </row>
    <row r="47" spans="2:22">
      <c r="B47" s="323">
        <f t="shared" si="3"/>
        <v>45</v>
      </c>
      <c r="C47" s="350" t="s">
        <v>497</v>
      </c>
      <c r="D47" s="324" t="s">
        <v>69</v>
      </c>
      <c r="F47" s="323">
        <f t="shared" si="4"/>
        <v>45</v>
      </c>
      <c r="G47" s="324" t="s">
        <v>69</v>
      </c>
      <c r="H47" s="344" t="s">
        <v>125</v>
      </c>
      <c r="J47" s="323">
        <f t="shared" si="5"/>
        <v>45</v>
      </c>
      <c r="K47" s="329" t="str" cm="1">
        <f t="array" aca="1" ref="K47" ca="1" xml:space="preserve"> INDIRECT(ADDRESS(2+$F47,COLUMN(G:G)))</f>
        <v>O</v>
      </c>
      <c r="L47" s="338" t="str" cm="1">
        <f t="array" aca="1" ref="L47" ca="1" xml:space="preserve"> IFERROR( INDEX($H$3:$H$54, MATCH(TRUE, EXACT($K47,$G$3:$G$54), 0)), "")</f>
        <v>ㆱ</v>
      </c>
      <c r="M47" s="338" t="s">
        <v>900</v>
      </c>
      <c r="N47" s="337" t="str" cm="1">
        <f t="array" aca="1" ref="N47" ca="1" xml:space="preserve"> IFERROR( INDEX($C$3:$C$54, MATCH(TRUE, EXACT($K47,$D$3:$D$54), 0)), "")</f>
        <v>L</v>
      </c>
      <c r="O47" s="341" t="s">
        <v>126</v>
      </c>
      <c r="Q47" s="323">
        <f t="shared" si="6"/>
        <v>45</v>
      </c>
      <c r="R47" s="347" t="str">
        <f t="shared" ca="1" si="8"/>
        <v>O</v>
      </c>
      <c r="S47" s="349" t="str">
        <f t="shared" ca="1" si="9"/>
        <v>ㆱ</v>
      </c>
      <c r="T47" s="347" t="str">
        <f t="shared" ca="1" si="10"/>
        <v>L</v>
      </c>
      <c r="U47" s="345" t="str">
        <f t="shared" si="7"/>
        <v>om</v>
      </c>
    </row>
    <row r="48" spans="2:22">
      <c r="B48" s="323">
        <f t="shared" si="3"/>
        <v>46</v>
      </c>
      <c r="C48" s="350" t="s">
        <v>569</v>
      </c>
      <c r="D48" s="324" t="s">
        <v>594</v>
      </c>
      <c r="F48" s="323">
        <f t="shared" si="4"/>
        <v>46</v>
      </c>
      <c r="G48" s="326" t="s">
        <v>594</v>
      </c>
      <c r="H48" s="344" t="s">
        <v>592</v>
      </c>
      <c r="I48" s="325"/>
      <c r="J48" s="323">
        <f t="shared" si="5"/>
        <v>46</v>
      </c>
      <c r="K48" s="329" t="str" cm="1">
        <f t="array" aca="1" ref="K48" ca="1" xml:space="preserve"> INDIRECT(ADDRESS(2+$F48,COLUMN(G:G)))</f>
        <v>.</v>
      </c>
      <c r="L48" s="338" t="str" cm="1">
        <f t="array" aca="1" ref="L48" ca="1" xml:space="preserve"> IFERROR( INDEX($H$3:$H$54, MATCH(TRUE, EXACT($K48,$G$3:$G$54), 0)), "")</f>
        <v>ｎ</v>
      </c>
      <c r="M48" s="338"/>
      <c r="N48" s="337" t="str" cm="1">
        <f t="array" aca="1" ref="N48" ca="1" xml:space="preserve"> IFERROR( INDEX($C$3:$C$54, MATCH(TRUE, EXACT($K48,$D$3:$D$54), 0)), "")</f>
        <v>N</v>
      </c>
      <c r="O48" s="342" t="s">
        <v>599</v>
      </c>
      <c r="Q48" s="323">
        <f t="shared" si="6"/>
        <v>46</v>
      </c>
      <c r="R48" s="347" t="str">
        <f t="shared" ca="1" si="8"/>
        <v>.</v>
      </c>
      <c r="S48" s="349" t="str">
        <f t="shared" ca="1" si="9"/>
        <v>ｎ</v>
      </c>
      <c r="T48" s="347" t="str">
        <f t="shared" ca="1" si="10"/>
        <v>N</v>
      </c>
      <c r="U48" s="345" t="str">
        <f t="shared" si="7"/>
        <v>-nn</v>
      </c>
    </row>
    <row r="49" spans="2:21">
      <c r="B49" s="323">
        <f t="shared" si="3"/>
        <v>47</v>
      </c>
      <c r="C49" s="350" t="s">
        <v>361</v>
      </c>
      <c r="D49" s="324" t="str">
        <f xml:space="preserve"> CHAR(32)</f>
        <v xml:space="preserve"> </v>
      </c>
      <c r="E49" s="327" t="s">
        <v>590</v>
      </c>
      <c r="F49" s="323">
        <f t="shared" si="4"/>
        <v>47</v>
      </c>
      <c r="G49" s="324" t="str">
        <f xml:space="preserve"> CHAR(32)</f>
        <v xml:space="preserve"> </v>
      </c>
      <c r="H49" s="344" t="s">
        <v>532</v>
      </c>
      <c r="J49" s="323">
        <f t="shared" si="5"/>
        <v>47</v>
      </c>
      <c r="K49" s="329" t="str" cm="1">
        <f t="array" aca="1" ref="K49" ca="1" xml:space="preserve"> INDIRECT(ADDRESS(2+$F49,COLUMN(G:G)))</f>
        <v xml:space="preserve"> </v>
      </c>
      <c r="L49" s="338" t="str" cm="1">
        <f t="array" aca="1" ref="L49" ca="1" xml:space="preserve"> IFERROR( INDEX($H$3:$H$54, MATCH(TRUE, EXACT($K49,$G$3:$G$54), 0)), "")</f>
        <v>ˉ</v>
      </c>
      <c r="M49" s="338"/>
      <c r="N49" s="337" t="str" cm="1">
        <f t="array" aca="1" ref="N49" ca="1" xml:space="preserve"> IFERROR( INDEX($C$3:$C$54, MATCH(TRUE, EXACT($K49,$D$3:$D$54), 0)), "")</f>
        <v>1</v>
      </c>
      <c r="O49" s="341">
        <v>1</v>
      </c>
      <c r="Q49" s="323">
        <f t="shared" si="6"/>
        <v>47</v>
      </c>
      <c r="R49" s="324" t="str">
        <f t="shared" ca="1" si="8"/>
        <v xml:space="preserve"> </v>
      </c>
      <c r="S49" s="349" t="str">
        <f t="shared" ca="1" si="9"/>
        <v>ˉ</v>
      </c>
      <c r="T49" s="347" t="str">
        <f t="shared" ca="1" si="10"/>
        <v>1</v>
      </c>
      <c r="U49" s="345">
        <f t="shared" si="7"/>
        <v>1</v>
      </c>
    </row>
    <row r="50" spans="2:21">
      <c r="B50" s="323">
        <f t="shared" si="3"/>
        <v>48</v>
      </c>
      <c r="C50" s="350" t="s">
        <v>347</v>
      </c>
      <c r="D50" s="324" t="s">
        <v>193</v>
      </c>
      <c r="F50" s="323">
        <f t="shared" si="4"/>
        <v>48</v>
      </c>
      <c r="G50" s="324" t="s">
        <v>193</v>
      </c>
      <c r="H50" s="344" t="s">
        <v>104</v>
      </c>
      <c r="J50" s="323">
        <f t="shared" si="5"/>
        <v>48</v>
      </c>
      <c r="K50" s="329" t="str" cm="1">
        <f t="array" aca="1" ref="K50" ca="1" xml:space="preserve"> INDIRECT(ADDRESS(2+$F50,COLUMN(G:G)))</f>
        <v>4</v>
      </c>
      <c r="L50" s="338" t="str" cm="1">
        <f t="array" aca="1" ref="L50" ca="1" xml:space="preserve"> IFERROR( INDEX($H$3:$H$54, MATCH(TRUE, EXACT($K50,$G$3:$G$54), 0)), "")</f>
        <v>ˋ</v>
      </c>
      <c r="M50" s="338"/>
      <c r="N50" s="337" t="str" cm="1">
        <f t="array" aca="1" ref="N50" ca="1" xml:space="preserve"> IFERROR( INDEX($C$3:$C$54, MATCH(TRUE, EXACT($K50,$D$3:$D$54), 0)), "")</f>
        <v>2</v>
      </c>
      <c r="O50" s="341">
        <v>2</v>
      </c>
      <c r="Q50" s="323">
        <f t="shared" si="6"/>
        <v>48</v>
      </c>
      <c r="R50" s="347" t="str">
        <f t="shared" ca="1" si="8"/>
        <v>4</v>
      </c>
      <c r="S50" s="349" t="str">
        <f t="shared" ca="1" si="9"/>
        <v>ˋ</v>
      </c>
      <c r="T50" s="347" t="str">
        <f t="shared" ca="1" si="10"/>
        <v>2</v>
      </c>
      <c r="U50" s="345">
        <f t="shared" si="7"/>
        <v>2</v>
      </c>
    </row>
    <row r="51" spans="2:21">
      <c r="B51" s="323">
        <f t="shared" si="3"/>
        <v>49</v>
      </c>
      <c r="C51" s="350" t="s">
        <v>191</v>
      </c>
      <c r="D51" s="324" t="s">
        <v>191</v>
      </c>
      <c r="F51" s="323">
        <f t="shared" si="4"/>
        <v>49</v>
      </c>
      <c r="G51" s="326" t="s">
        <v>191</v>
      </c>
      <c r="H51" s="344" t="s">
        <v>105</v>
      </c>
      <c r="J51" s="323">
        <f t="shared" si="5"/>
        <v>49</v>
      </c>
      <c r="K51" s="329" t="str" cm="1">
        <f t="array" aca="1" ref="K51" ca="1" xml:space="preserve"> INDIRECT(ADDRESS(2+$F51,COLUMN(G:G)))</f>
        <v>3</v>
      </c>
      <c r="L51" s="338" t="str" cm="1">
        <f t="array" aca="1" ref="L51" ca="1" xml:space="preserve"> IFERROR( INDEX($H$3:$H$54, MATCH(TRUE, EXACT($K51,$G$3:$G$54), 0)), "")</f>
        <v>˪</v>
      </c>
      <c r="M51" s="338"/>
      <c r="N51" s="337" t="str" cm="1">
        <f t="array" aca="1" ref="N51" ca="1" xml:space="preserve"> IFERROR( INDEX($C$3:$C$54, MATCH(TRUE, EXACT($K51,$D$3:$D$54), 0)), "")</f>
        <v>3</v>
      </c>
      <c r="O51" s="341">
        <v>3</v>
      </c>
      <c r="Q51" s="323">
        <f t="shared" si="6"/>
        <v>49</v>
      </c>
      <c r="R51" s="347" t="str">
        <f t="shared" ca="1" si="8"/>
        <v>3</v>
      </c>
      <c r="S51" s="349" t="str">
        <f t="shared" ca="1" si="9"/>
        <v>˪</v>
      </c>
      <c r="T51" s="347" t="str">
        <f t="shared" ca="1" si="10"/>
        <v>3</v>
      </c>
      <c r="U51" s="345">
        <f t="shared" si="7"/>
        <v>3</v>
      </c>
    </row>
    <row r="52" spans="2:21">
      <c r="B52" s="323">
        <f t="shared" si="3"/>
        <v>50</v>
      </c>
      <c r="C52" s="350" t="s">
        <v>170</v>
      </c>
      <c r="D52" s="326" t="s">
        <v>175</v>
      </c>
      <c r="F52" s="323">
        <f t="shared" si="4"/>
        <v>50</v>
      </c>
      <c r="G52" s="324" t="s">
        <v>175</v>
      </c>
      <c r="H52" s="343" t="s">
        <v>106</v>
      </c>
      <c r="J52" s="323">
        <f t="shared" si="5"/>
        <v>50</v>
      </c>
      <c r="K52" s="329" t="str" cm="1">
        <f t="array" aca="1" ref="K52" ca="1" xml:space="preserve"> INDIRECT(ADDRESS(2+$F52,COLUMN(G:G)))</f>
        <v>6</v>
      </c>
      <c r="L52" s="338" t="str" cm="1">
        <f t="array" aca="1" ref="L52" ca="1" xml:space="preserve"> IFERROR( INDEX($H$3:$H$54, MATCH(TRUE, EXACT($K52,$G$3:$G$54), 0)), "")</f>
        <v>ˊ</v>
      </c>
      <c r="M52" s="338"/>
      <c r="N52" s="337" t="str" cm="1">
        <f t="array" aca="1" ref="N52" ca="1" xml:space="preserve"> IFERROR( INDEX($C$3:$C$54, MATCH(TRUE, EXACT($K52,$D$3:$D$54), 0)), "")</f>
        <v>5</v>
      </c>
      <c r="O52" s="341">
        <v>5</v>
      </c>
      <c r="Q52" s="323">
        <f t="shared" si="6"/>
        <v>50</v>
      </c>
      <c r="R52" s="347" t="str">
        <f t="shared" ca="1" si="8"/>
        <v>6</v>
      </c>
      <c r="S52" s="349" t="str">
        <f t="shared" ca="1" si="9"/>
        <v>ˊ</v>
      </c>
      <c r="T52" s="347" t="str">
        <f t="shared" ca="1" si="10"/>
        <v>5</v>
      </c>
      <c r="U52" s="345">
        <f t="shared" si="7"/>
        <v>5</v>
      </c>
    </row>
    <row r="53" spans="2:21">
      <c r="B53" s="323">
        <f t="shared" si="3"/>
        <v>51</v>
      </c>
      <c r="C53" s="350" t="s">
        <v>166</v>
      </c>
      <c r="D53" s="328" t="s">
        <v>170</v>
      </c>
      <c r="F53" s="323">
        <f t="shared" si="4"/>
        <v>51</v>
      </c>
      <c r="G53" s="328" t="s">
        <v>170</v>
      </c>
      <c r="H53" s="344" t="s">
        <v>107</v>
      </c>
      <c r="J53" s="323">
        <f t="shared" si="5"/>
        <v>51</v>
      </c>
      <c r="K53" s="329" t="str" cm="1">
        <f t="array" aca="1" ref="K53" ca="1" xml:space="preserve"> INDIRECT(ADDRESS(2+$F53,COLUMN(G:G)))</f>
        <v>5</v>
      </c>
      <c r="L53" s="338" t="str" cm="1">
        <f t="array" aca="1" ref="L53" ca="1" xml:space="preserve"> IFERROR( INDEX($H$3:$H$54, MATCH(TRUE, EXACT($K53,$G$3:$G$54), 0)), "")</f>
        <v>˫</v>
      </c>
      <c r="M53" s="338"/>
      <c r="N53" s="337" t="str" cm="1">
        <f t="array" aca="1" ref="N53" ca="1" xml:space="preserve"> IFERROR( INDEX($C$3:$C$54, MATCH(TRUE, EXACT($K53,$D$3:$D$54), 0)), "")</f>
        <v>7</v>
      </c>
      <c r="O53" s="341">
        <v>7</v>
      </c>
      <c r="Q53" s="323">
        <f t="shared" si="6"/>
        <v>51</v>
      </c>
      <c r="R53" s="347" t="str">
        <f t="shared" ca="1" si="8"/>
        <v>5</v>
      </c>
      <c r="S53" s="349" t="str">
        <f t="shared" ca="1" si="9"/>
        <v>˫</v>
      </c>
      <c r="T53" s="347" t="str">
        <f t="shared" ca="1" si="10"/>
        <v>7</v>
      </c>
      <c r="U53" s="345">
        <f t="shared" si="7"/>
        <v>7</v>
      </c>
    </row>
    <row r="54" spans="2:21">
      <c r="B54" s="323">
        <f t="shared" si="3"/>
        <v>52</v>
      </c>
      <c r="C54" s="350" t="s">
        <v>219</v>
      </c>
      <c r="D54" s="324">
        <v>7</v>
      </c>
      <c r="F54" s="323">
        <f t="shared" si="4"/>
        <v>52</v>
      </c>
      <c r="G54" s="324" t="s">
        <v>166</v>
      </c>
      <c r="H54" s="344" t="s">
        <v>530</v>
      </c>
      <c r="J54" s="323">
        <f t="shared" si="5"/>
        <v>52</v>
      </c>
      <c r="K54" s="329" t="str" cm="1">
        <f t="array" aca="1" ref="K54" ca="1" xml:space="preserve"> INDIRECT(ADDRESS(2+$F54,COLUMN(G:G)))</f>
        <v>7</v>
      </c>
      <c r="L54" s="338" t="str" cm="1">
        <f t="array" aca="1" ref="L54" ca="1" xml:space="preserve"> IFERROR( INDEX($H$3:$H$54, MATCH(TRUE, EXACT($K54,$G$3:$G$54), 0)), "")</f>
        <v>．</v>
      </c>
      <c r="M54" s="338"/>
      <c r="N54" s="337" t="str" cm="1">
        <f t="array" aca="1" ref="N54" ca="1" xml:space="preserve"> IFERROR( INDEX($C$3:$C$54, MATCH(TRUE, EXACT($K54,$D$3:$D$54), 0)), "")</f>
        <v>0</v>
      </c>
      <c r="O54" s="341" t="s">
        <v>607</v>
      </c>
      <c r="Q54" s="323">
        <f t="shared" si="6"/>
        <v>52</v>
      </c>
      <c r="R54" s="347" t="str">
        <f t="shared" ca="1" si="8"/>
        <v>7</v>
      </c>
      <c r="S54" s="349" t="str">
        <f t="shared" ca="1" si="9"/>
        <v>．</v>
      </c>
      <c r="T54" s="347" t="str">
        <f t="shared" ca="1" si="10"/>
        <v>0</v>
      </c>
      <c r="U54" s="345" t="str">
        <f t="shared" si="7"/>
        <v>[48]</v>
      </c>
    </row>
    <row r="55" spans="2:21">
      <c r="B55"/>
      <c r="F55"/>
    </row>
    <row r="56" spans="2:21">
      <c r="B56"/>
      <c r="F56"/>
    </row>
    <row r="57" spans="2:21">
      <c r="B57"/>
      <c r="F57"/>
    </row>
    <row r="58" spans="2:21">
      <c r="F58"/>
    </row>
    <row r="61" spans="2:21">
      <c r="C61" s="322"/>
      <c r="D61" s="322"/>
    </row>
    <row r="62" spans="2:21">
      <c r="C62" s="322"/>
      <c r="D62" s="322"/>
    </row>
    <row r="63" spans="2:21">
      <c r="C63" s="322"/>
      <c r="D63" s="322"/>
    </row>
    <row r="64" spans="2:21">
      <c r="C64" s="322"/>
      <c r="D64" s="322"/>
    </row>
    <row r="65" spans="3:4">
      <c r="C65" s="322"/>
      <c r="D65" s="322"/>
    </row>
    <row r="66" spans="3:4">
      <c r="C66" s="322"/>
      <c r="D66" s="322"/>
    </row>
    <row r="67" spans="3:4">
      <c r="C67" s="322"/>
      <c r="D67" s="322"/>
    </row>
    <row r="68" spans="3:4">
      <c r="C68" s="322"/>
      <c r="D68" s="322"/>
    </row>
    <row r="69" spans="3:4">
      <c r="C69" s="322"/>
      <c r="D69" s="322"/>
    </row>
    <row r="70" spans="3:4">
      <c r="C70" s="322"/>
      <c r="D70" s="322"/>
    </row>
    <row r="71" spans="3:4">
      <c r="C71" s="322"/>
      <c r="D71" s="322"/>
    </row>
    <row r="72" spans="3:4">
      <c r="C72" s="322"/>
      <c r="D72" s="322"/>
    </row>
    <row r="73" spans="3:4">
      <c r="C73" s="322"/>
      <c r="D73" s="322"/>
    </row>
    <row r="74" spans="3:4">
      <c r="C74" s="322"/>
      <c r="D74" s="322"/>
    </row>
    <row r="75" spans="3:4">
      <c r="C75" s="322"/>
      <c r="D75" s="322"/>
    </row>
    <row r="76" spans="3:4">
      <c r="C76" s="322"/>
      <c r="D76" s="322"/>
    </row>
    <row r="77" spans="3:4">
      <c r="C77" s="322"/>
      <c r="D77" s="322"/>
    </row>
    <row r="78" spans="3:4">
      <c r="C78" s="322"/>
      <c r="D78" s="322"/>
    </row>
    <row r="79" spans="3:4">
      <c r="C79" s="322"/>
      <c r="D79" s="322"/>
    </row>
    <row r="80" spans="3:4">
      <c r="C80" s="322"/>
      <c r="D80" s="322"/>
    </row>
    <row r="81" spans="3:4">
      <c r="C81" s="322"/>
      <c r="D81" s="322"/>
    </row>
    <row r="82" spans="3:4">
      <c r="C82" s="322"/>
      <c r="D82" s="322"/>
    </row>
    <row r="83" spans="3:4">
      <c r="C83" s="322"/>
      <c r="D83" s="322"/>
    </row>
    <row r="84" spans="3:4">
      <c r="C84" s="322"/>
      <c r="D84" s="322"/>
    </row>
    <row r="85" spans="3:4">
      <c r="C85" s="322"/>
      <c r="D85" s="322"/>
    </row>
    <row r="86" spans="3:4">
      <c r="C86" s="322"/>
      <c r="D86" s="322"/>
    </row>
    <row r="87" spans="3:4">
      <c r="C87" s="322"/>
      <c r="D87" s="322"/>
    </row>
    <row r="88" spans="3:4">
      <c r="C88" s="322"/>
      <c r="D88" s="322"/>
    </row>
    <row r="89" spans="3:4">
      <c r="C89" s="322"/>
      <c r="D89" s="322"/>
    </row>
    <row r="90" spans="3:4">
      <c r="C90" s="322"/>
      <c r="D90" s="322"/>
    </row>
    <row r="91" spans="3:4">
      <c r="C91" s="322"/>
      <c r="D91" s="322"/>
    </row>
    <row r="92" spans="3:4">
      <c r="C92" s="322"/>
      <c r="D92" s="322"/>
    </row>
    <row r="93" spans="3:4">
      <c r="C93" s="322"/>
      <c r="D93" s="322"/>
    </row>
    <row r="94" spans="3:4">
      <c r="C94" s="322"/>
      <c r="D94" s="322"/>
    </row>
    <row r="95" spans="3:4">
      <c r="C95" s="322"/>
      <c r="D95" s="322"/>
    </row>
    <row r="96" spans="3:4">
      <c r="C96" s="322"/>
      <c r="D96" s="322"/>
    </row>
    <row r="97" spans="3:4">
      <c r="C97" s="322"/>
      <c r="D97" s="322"/>
    </row>
    <row r="98" spans="3:4">
      <c r="C98" s="322"/>
      <c r="D98" s="322"/>
    </row>
    <row r="99" spans="3:4">
      <c r="C99" s="322"/>
      <c r="D99" s="322"/>
    </row>
    <row r="100" spans="3:4">
      <c r="C100" s="322"/>
      <c r="D100" s="322"/>
    </row>
    <row r="101" spans="3:4">
      <c r="C101" s="322"/>
      <c r="D101" s="322"/>
    </row>
    <row r="102" spans="3:4">
      <c r="C102" s="322"/>
      <c r="D102" s="322"/>
    </row>
    <row r="103" spans="3:4">
      <c r="C103" s="322"/>
      <c r="D103" s="322"/>
    </row>
    <row r="104" spans="3:4">
      <c r="C104" s="322"/>
      <c r="D104" s="322"/>
    </row>
    <row r="105" spans="3:4">
      <c r="C105" s="322"/>
      <c r="D105" s="322"/>
    </row>
    <row r="106" spans="3:4">
      <c r="C106" s="322"/>
      <c r="D106" s="322"/>
    </row>
    <row r="107" spans="3:4">
      <c r="C107" s="322"/>
      <c r="D107" s="322"/>
    </row>
    <row r="108" spans="3:4">
      <c r="C108" s="322"/>
      <c r="D108" s="322"/>
    </row>
    <row r="109" spans="3:4">
      <c r="C109" s="322"/>
      <c r="D109" s="322"/>
    </row>
    <row r="110" spans="3:4">
      <c r="C110" s="322"/>
      <c r="D110" s="322"/>
    </row>
    <row r="111" spans="3:4">
      <c r="C111" s="322"/>
      <c r="D111" s="322"/>
    </row>
    <row r="112" spans="3:4">
      <c r="C112" s="322"/>
      <c r="D112" s="322"/>
    </row>
    <row r="113" spans="3:4">
      <c r="C113" s="322"/>
      <c r="D113" s="322"/>
    </row>
    <row r="114" spans="3:4">
      <c r="C114" s="322"/>
      <c r="D114" s="322"/>
    </row>
    <row r="115" spans="3:4">
      <c r="C115" s="322"/>
      <c r="D115" s="322"/>
    </row>
    <row r="116" spans="3:4">
      <c r="C116" s="322"/>
      <c r="D116" s="322"/>
    </row>
  </sheetData>
  <autoFilter ref="Q2:U54" xr:uid="{5071FD87-44AE-4789-9C3B-6156A4BF1897}"/>
  <phoneticPr fontId="9" type="noConversion"/>
  <conditionalFormatting sqref="D3:D54 G3:G54 K3:M54 R3:S54">
    <cfRule type="cellIs" dxfId="0" priority="1" operator="equal">
      <formula xml:space="preserve"> CHAR(32)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dimension ref="B1:H9"/>
  <sheetViews>
    <sheetView workbookViewId="0">
      <selection activeCell="J17" sqref="J17"/>
    </sheetView>
  </sheetViews>
  <sheetFormatPr defaultRowHeight="27.75"/>
  <cols>
    <col min="1" max="1" width="8.796875" style="407"/>
    <col min="2" max="8" width="18.296875" style="407" customWidth="1"/>
    <col min="9" max="16384" width="8.796875" style="407"/>
  </cols>
  <sheetData>
    <row r="1" spans="2:8">
      <c r="B1" s="407" t="s">
        <v>654</v>
      </c>
    </row>
    <row r="3" spans="2:8">
      <c r="B3" s="411" t="s">
        <v>688</v>
      </c>
      <c r="C3" s="412" t="s">
        <v>655</v>
      </c>
      <c r="D3" s="412" t="s">
        <v>656</v>
      </c>
      <c r="E3" s="412" t="s">
        <v>657</v>
      </c>
      <c r="F3" s="412" t="s">
        <v>658</v>
      </c>
      <c r="G3" s="412" t="s">
        <v>659</v>
      </c>
      <c r="H3" s="413" t="s">
        <v>660</v>
      </c>
    </row>
    <row r="4" spans="2:8">
      <c r="B4" s="408" t="s">
        <v>661</v>
      </c>
      <c r="C4" s="418" t="s">
        <v>662</v>
      </c>
      <c r="D4" s="418" t="s">
        <v>663</v>
      </c>
      <c r="E4" s="418" t="s">
        <v>664</v>
      </c>
      <c r="F4" s="418" t="s">
        <v>665</v>
      </c>
      <c r="G4" s="418"/>
      <c r="H4" s="419"/>
    </row>
    <row r="5" spans="2:8">
      <c r="B5" s="408" t="s">
        <v>666</v>
      </c>
      <c r="C5" s="418" t="s">
        <v>667</v>
      </c>
      <c r="D5" s="418" t="s">
        <v>668</v>
      </c>
      <c r="E5" s="418"/>
      <c r="F5" s="418" t="s">
        <v>669</v>
      </c>
      <c r="G5" s="418"/>
      <c r="H5" s="419" t="s">
        <v>670</v>
      </c>
    </row>
    <row r="6" spans="2:8">
      <c r="B6" s="408" t="s">
        <v>671</v>
      </c>
      <c r="C6" s="418" t="s">
        <v>672</v>
      </c>
      <c r="D6" s="418" t="s">
        <v>673</v>
      </c>
      <c r="E6" s="418" t="s">
        <v>674</v>
      </c>
      <c r="F6" s="418"/>
      <c r="G6" s="418" t="s">
        <v>675</v>
      </c>
      <c r="H6" s="419"/>
    </row>
    <row r="7" spans="2:8">
      <c r="B7" s="408" t="s">
        <v>676</v>
      </c>
      <c r="C7" s="418" t="s">
        <v>677</v>
      </c>
      <c r="D7" s="418" t="s">
        <v>678</v>
      </c>
      <c r="E7" s="418" t="s">
        <v>679</v>
      </c>
      <c r="F7" s="418"/>
      <c r="G7" s="418" t="s">
        <v>680</v>
      </c>
      <c r="H7" s="419"/>
    </row>
    <row r="8" spans="2:8">
      <c r="B8" s="408" t="s">
        <v>681</v>
      </c>
      <c r="C8" s="418" t="s">
        <v>682</v>
      </c>
      <c r="D8" s="418" t="s">
        <v>683</v>
      </c>
      <c r="E8" s="418" t="s">
        <v>684</v>
      </c>
      <c r="F8" s="418" t="s">
        <v>685</v>
      </c>
      <c r="G8" s="418"/>
      <c r="H8" s="419"/>
    </row>
    <row r="9" spans="2:8">
      <c r="B9" s="410" t="s">
        <v>686</v>
      </c>
      <c r="C9" s="420"/>
      <c r="D9" s="420"/>
      <c r="E9" s="420"/>
      <c r="F9" s="420"/>
      <c r="G9" s="420" t="s">
        <v>687</v>
      </c>
      <c r="H9" s="421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dimension ref="B1:U8"/>
  <sheetViews>
    <sheetView workbookViewId="0">
      <selection activeCell="M14" sqref="M14"/>
    </sheetView>
  </sheetViews>
  <sheetFormatPr defaultRowHeight="27.75"/>
  <cols>
    <col min="1" max="1" width="2.19921875" style="407" customWidth="1"/>
    <col min="2" max="2" width="9.09765625" style="407" customWidth="1"/>
    <col min="3" max="21" width="9.19921875" style="407" customWidth="1"/>
    <col min="22" max="16384" width="8.796875" style="407"/>
  </cols>
  <sheetData>
    <row r="1" spans="2:21">
      <c r="B1" s="407" t="s">
        <v>689</v>
      </c>
    </row>
    <row r="3" spans="2:21" ht="30">
      <c r="B3" s="409" t="s">
        <v>690</v>
      </c>
      <c r="C3" s="477" t="s">
        <v>351</v>
      </c>
      <c r="D3" s="477" t="s">
        <v>749</v>
      </c>
      <c r="E3" s="477" t="s">
        <v>750</v>
      </c>
      <c r="F3" s="477" t="s">
        <v>329</v>
      </c>
      <c r="G3" s="477" t="s">
        <v>279</v>
      </c>
      <c r="H3" s="477" t="s">
        <v>751</v>
      </c>
      <c r="I3" s="479" t="s">
        <v>754</v>
      </c>
      <c r="J3" s="477" t="s">
        <v>752</v>
      </c>
      <c r="K3" s="477" t="s">
        <v>700</v>
      </c>
      <c r="L3" s="477" t="s">
        <v>318</v>
      </c>
      <c r="M3" s="477" t="s">
        <v>691</v>
      </c>
      <c r="N3" s="477" t="s">
        <v>701</v>
      </c>
      <c r="O3" s="477" t="s">
        <v>196</v>
      </c>
      <c r="P3" s="477" t="s">
        <v>295</v>
      </c>
      <c r="Q3" s="477" t="s">
        <v>702</v>
      </c>
      <c r="R3" s="477" t="s">
        <v>292</v>
      </c>
      <c r="S3" s="477" t="s">
        <v>298</v>
      </c>
      <c r="T3" s="477" t="s">
        <v>692</v>
      </c>
      <c r="U3" s="478" t="s">
        <v>753</v>
      </c>
    </row>
    <row r="4" spans="2:21">
      <c r="B4" s="408" t="s">
        <v>693</v>
      </c>
      <c r="C4" s="414" t="s">
        <v>58</v>
      </c>
      <c r="D4" s="414" t="s">
        <v>241</v>
      </c>
      <c r="E4" s="414" t="s">
        <v>72</v>
      </c>
      <c r="F4" s="414" t="s">
        <v>61</v>
      </c>
      <c r="G4" s="414" t="s">
        <v>54</v>
      </c>
      <c r="H4" s="414" t="s">
        <v>315</v>
      </c>
      <c r="I4" s="414" t="s">
        <v>304</v>
      </c>
      <c r="J4" s="414" t="s">
        <v>308</v>
      </c>
      <c r="K4" s="414" t="s">
        <v>694</v>
      </c>
      <c r="L4" s="414" t="s">
        <v>320</v>
      </c>
      <c r="M4" s="414" t="s">
        <v>473</v>
      </c>
      <c r="N4" s="414" t="s">
        <v>67</v>
      </c>
      <c r="O4" s="414" t="s">
        <v>56</v>
      </c>
      <c r="P4" s="414" t="s">
        <v>297</v>
      </c>
      <c r="Q4" s="414" t="s">
        <v>291</v>
      </c>
      <c r="R4" s="414" t="s">
        <v>695</v>
      </c>
      <c r="S4" s="414" t="s">
        <v>300</v>
      </c>
      <c r="T4" s="414" t="s">
        <v>145</v>
      </c>
      <c r="U4" s="415" t="s">
        <v>74</v>
      </c>
    </row>
    <row r="5" spans="2:21">
      <c r="B5" s="408" t="s">
        <v>696</v>
      </c>
      <c r="C5" s="414" t="s">
        <v>115</v>
      </c>
      <c r="D5" s="414" t="s">
        <v>117</v>
      </c>
      <c r="E5" s="414"/>
      <c r="F5" s="414" t="s">
        <v>119</v>
      </c>
      <c r="G5" s="414" t="s">
        <v>111</v>
      </c>
      <c r="H5" s="414" t="s">
        <v>258</v>
      </c>
      <c r="I5" s="414" t="s">
        <v>248</v>
      </c>
      <c r="J5" s="414"/>
      <c r="K5" s="414" t="s">
        <v>252</v>
      </c>
      <c r="L5" s="414" t="s">
        <v>262</v>
      </c>
      <c r="M5" s="414"/>
      <c r="N5" s="414" t="s">
        <v>121</v>
      </c>
      <c r="O5" s="414"/>
      <c r="P5" s="414" t="s">
        <v>238</v>
      </c>
      <c r="Q5" s="414" t="s">
        <v>229</v>
      </c>
      <c r="R5" s="414"/>
      <c r="S5" s="414"/>
      <c r="T5" s="414"/>
      <c r="U5" s="415"/>
    </row>
    <row r="6" spans="2:21">
      <c r="B6" s="422" t="s">
        <v>79</v>
      </c>
      <c r="C6" s="414" t="s">
        <v>99</v>
      </c>
      <c r="D6" s="414"/>
      <c r="E6" s="414"/>
      <c r="F6" s="414"/>
      <c r="G6" s="414" t="s">
        <v>697</v>
      </c>
      <c r="H6" s="414" t="s">
        <v>698</v>
      </c>
      <c r="I6" s="414"/>
      <c r="J6" s="414"/>
      <c r="K6" s="414"/>
      <c r="L6" s="414"/>
      <c r="M6" s="414"/>
      <c r="N6" s="414" t="s">
        <v>125</v>
      </c>
      <c r="O6" s="414"/>
      <c r="P6" s="414"/>
      <c r="Q6" s="414"/>
      <c r="R6" s="414"/>
      <c r="S6" s="414"/>
      <c r="T6" s="414"/>
      <c r="U6" s="415"/>
    </row>
    <row r="7" spans="2:21">
      <c r="B7" s="422" t="s">
        <v>77</v>
      </c>
      <c r="C7" s="414" t="s">
        <v>97</v>
      </c>
      <c r="D7" s="414"/>
      <c r="E7" s="414"/>
      <c r="F7" s="414"/>
      <c r="G7" s="414" t="s">
        <v>187</v>
      </c>
      <c r="H7" s="414" t="s">
        <v>173</v>
      </c>
      <c r="I7" s="414"/>
      <c r="J7" s="414"/>
      <c r="K7" s="414"/>
      <c r="L7" s="414"/>
      <c r="M7" s="414"/>
      <c r="N7" s="414"/>
      <c r="O7" s="414" t="s">
        <v>182</v>
      </c>
      <c r="P7" s="414" t="s">
        <v>169</v>
      </c>
      <c r="Q7" s="414"/>
      <c r="R7" s="414"/>
      <c r="S7" s="414"/>
      <c r="T7" s="414"/>
      <c r="U7" s="415"/>
    </row>
    <row r="8" spans="2:21">
      <c r="B8" s="423" t="s">
        <v>699</v>
      </c>
      <c r="C8" s="416" t="s">
        <v>95</v>
      </c>
      <c r="D8" s="416"/>
      <c r="E8" s="416"/>
      <c r="F8" s="416"/>
      <c r="G8" s="416" t="s">
        <v>156</v>
      </c>
      <c r="H8" s="416" t="s">
        <v>159</v>
      </c>
      <c r="I8" s="416"/>
      <c r="J8" s="416"/>
      <c r="K8" s="416" t="s">
        <v>154</v>
      </c>
      <c r="L8" s="416"/>
      <c r="M8" s="416"/>
      <c r="N8" s="416" t="s">
        <v>101</v>
      </c>
      <c r="O8" s="416"/>
      <c r="P8" s="416"/>
      <c r="Q8" s="416"/>
      <c r="R8" s="416"/>
      <c r="S8" s="416"/>
      <c r="T8" s="416"/>
      <c r="U8" s="417"/>
    </row>
  </sheetData>
  <phoneticPr fontId="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具名範圍</vt:lpstr>
      </vt:variant>
      <vt:variant>
        <vt:i4>10</vt:i4>
      </vt:variant>
    </vt:vector>
  </HeadingPairs>
  <TitlesOfParts>
    <vt:vector size="23" baseType="lpstr">
      <vt:lpstr>原鍵盤設計</vt:lpstr>
      <vt:lpstr>注音編碼對照表</vt:lpstr>
      <vt:lpstr>鍵盤設計</vt:lpstr>
      <vt:lpstr>注音符號、電腦鍵盤與音標編碼</vt:lpstr>
      <vt:lpstr>RIME設定解析</vt:lpstr>
      <vt:lpstr>台語方音字典編碼</vt:lpstr>
      <vt:lpstr>RIME對映編碼 (台語方音)</vt:lpstr>
      <vt:lpstr> 所有入聲韻</vt:lpstr>
      <vt:lpstr>使用按鍵解析</vt:lpstr>
      <vt:lpstr>參考鍵盤</vt:lpstr>
      <vt:lpstr>方音符號</vt:lpstr>
      <vt:lpstr>方音聲母</vt:lpstr>
      <vt:lpstr>方音韻母</vt:lpstr>
      <vt:lpstr>RIME設定解析!方音符號</vt:lpstr>
      <vt:lpstr>'RIME對映編碼 (台語方音)'!方音符號</vt:lpstr>
      <vt:lpstr>RIME設定解析!注音符號</vt:lpstr>
      <vt:lpstr>RIME設定解析!注音編碼</vt:lpstr>
      <vt:lpstr>RIME設定解析!拼音字母</vt:lpstr>
      <vt:lpstr>RIME設定解析!按鍵編碼</vt:lpstr>
      <vt:lpstr>'RIME對映編碼 (台語方音)'!按鍵編碼</vt:lpstr>
      <vt:lpstr>RIME設定解析!鍵盤位置</vt:lpstr>
      <vt:lpstr>'RIME對映編碼 (台語方音)'!鍵盤位置</vt:lpstr>
      <vt:lpstr>RIME設定解析!鍵盤按鍵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2025-06-09T04:03:47Z</dcterms:modified>
</cp:coreProperties>
</file>