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190A3E1-CFBF-494D-A28F-6AD458259D08}" xr6:coauthVersionLast="47" xr6:coauthVersionMax="47" xr10:uidLastSave="{00000000-0000-0000-0000-000000000000}"/>
  <bookViews>
    <workbookView xWindow="-120" yWindow="-120" windowWidth="38640" windowHeight="15720" tabRatio="762" activeTab="3" xr2:uid="{E87E5C8B-EACA-42E9-8621-62DDB8F02212}"/>
    <workbookView minimized="1" xWindow="-25470" yWindow="2760" windowWidth="28800" windowHeight="11295" activeTab="1" xr2:uid="{EEC5A07A-C06A-4334-8550-8557E22E5017}"/>
  </bookViews>
  <sheets>
    <sheet name="使用按鍵解析" sheetId="9" r:id="rId1"/>
    <sheet name="注音編碼對照表" sheetId="12" r:id="rId2"/>
    <sheet name="方音符號表" sheetId="20" r:id="rId3"/>
    <sheet name="台語音標符號表" sheetId="19" r:id="rId4"/>
    <sheet name="RIME設定解析" sheetId="10" r:id="rId5"/>
    <sheet name=" 所有入聲韻" sheetId="15" r:id="rId6"/>
    <sheet name="方音鍵盤" sheetId="17" r:id="rId7"/>
    <sheet name="台語音標注音鍵盤" sheetId="16" r:id="rId8"/>
    <sheet name="拼音鍵盤" sheetId="18" r:id="rId9"/>
    <sheet name="注音符號、電腦鍵盤與音標編碼" sheetId="4" r:id="rId10"/>
    <sheet name="台語方音字典編碼" sheetId="3" r:id="rId11"/>
    <sheet name="RIME對映編碼 (台語方音)" sheetId="1" r:id="rId12"/>
    <sheet name="參考鍵盤" sheetId="2" r:id="rId13"/>
    <sheet name="方音符號" sheetId="7" r:id="rId14"/>
    <sheet name="方音聲母" sheetId="13" r:id="rId15"/>
    <sheet name="方音韻母" sheetId="14" r:id="rId16"/>
  </sheets>
  <externalReferences>
    <externalReference r:id="rId17"/>
    <externalReference r:id="rId18"/>
    <externalReference r:id="rId19"/>
  </externalReferences>
  <definedNames>
    <definedName name="_xlnm._FilterDatabase" localSheetId="4" hidden="1">RIME設定解析!$Z$2:$AE$58</definedName>
    <definedName name="_xlnm._FilterDatabase" localSheetId="13" hidden="1">方音符號!$P$2:$T$54</definedName>
    <definedName name="_xlnm._FilterDatabase" localSheetId="9" hidden="1">'注音符號、電腦鍵盤與音標編碼'!$B$2:$K$56</definedName>
    <definedName name="方音符號" localSheetId="4">RIME設定解析!$W$3:$W$53</definedName>
    <definedName name="方音符號" localSheetId="11">'RIME對映編碼 (台語方音)'!$U$3:$U$44</definedName>
    <definedName name="方音符號" localSheetId="13">#REF!</definedName>
    <definedName name="方音符號" localSheetId="6">#REF!</definedName>
    <definedName name="方音符號" localSheetId="7">#REF!</definedName>
    <definedName name="方音符號" localSheetId="9">#REF!</definedName>
    <definedName name="方音符號" localSheetId="8">#REF!</definedName>
    <definedName name="方音符號">[1]RIME編碼!$AA$3:$AA$45</definedName>
    <definedName name="字典編碼" localSheetId="13">#REF!</definedName>
    <definedName name="字典編碼" localSheetId="6">#REF!</definedName>
    <definedName name="字典編碼" localSheetId="7">#REF!</definedName>
    <definedName name="字典編碼" localSheetId="9">#REF!</definedName>
    <definedName name="字典編碼" localSheetId="8">#REF!</definedName>
    <definedName name="字典編碼">[1]RIME編碼!$AB$3:$AB$45</definedName>
    <definedName name="注音符號" localSheetId="4">RIME設定解析!$W$3:$W$53</definedName>
    <definedName name="注音符號" localSheetId="13">#REF!</definedName>
    <definedName name="注音符號">#REF!</definedName>
    <definedName name="注音編碼" localSheetId="4">RIME設定解析!$V$3:$V$53</definedName>
    <definedName name="注音編碼" localSheetId="0">[2]RIME設定解析!$W$3:$W$54</definedName>
    <definedName name="注音編碼">#REF!</definedName>
    <definedName name="拼音字母" localSheetId="4">RIME設定解析!$X$3:$X$53</definedName>
    <definedName name="拼音字母" localSheetId="11">'RIME對映編碼 (台語方音)'!#REF!</definedName>
    <definedName name="拼音字母" localSheetId="13">#REF!</definedName>
    <definedName name="拼音字母" localSheetId="6">#REF!</definedName>
    <definedName name="拼音字母" localSheetId="7">#REF!</definedName>
    <definedName name="拼音字母" localSheetId="9">#REF!</definedName>
    <definedName name="拼音字母" localSheetId="8">#REF!</definedName>
    <definedName name="拼音字母">[1]RIME編碼!$AC$3:$AC$45</definedName>
    <definedName name="按鍵編碼" localSheetId="4">RIME設定解析!$V$3:$V$53</definedName>
    <definedName name="按鍵編碼" localSheetId="11">'RIME對映編碼 (台語方音)'!$T$3:$T$44</definedName>
    <definedName name="國際音標" localSheetId="11">'RIME對映編碼 (台語方音)'!#REF!</definedName>
    <definedName name="鍵盤位置" localSheetId="4">RIME設定解析!$U$3:$U$53</definedName>
    <definedName name="鍵盤位置" localSheetId="11">'RIME對映編碼 (台語方音)'!$S$3:$S$44</definedName>
    <definedName name="鍵盤位置" localSheetId="13">#REF!</definedName>
    <definedName name="鍵盤位置" localSheetId="6">#REF!</definedName>
    <definedName name="鍵盤位置" localSheetId="7">#REF!</definedName>
    <definedName name="鍵盤位置" localSheetId="9">#REF!</definedName>
    <definedName name="鍵盤位置" localSheetId="8">#REF!</definedName>
    <definedName name="鍵盤位置">[1]RIME編碼!$W$3:$W$40</definedName>
    <definedName name="鍵盤按鍵" localSheetId="4">RIME設定解析!$U$3:$U$53</definedName>
    <definedName name="鍵盤按鍵" localSheetId="0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9" l="1"/>
  <c r="N12" i="12" a="1"/>
  <c r="N12" i="12" s="1"/>
  <c r="N13" i="12" a="1"/>
  <c r="N13" i="12" s="1"/>
  <c r="N14" i="12" a="1"/>
  <c r="N14" i="12" s="1"/>
  <c r="N15" i="12" a="1"/>
  <c r="N15" i="12" s="1"/>
  <c r="N11" i="12" a="1"/>
  <c r="N11" i="12" s="1"/>
  <c r="M12" i="12"/>
  <c r="M13" i="12"/>
  <c r="M14" i="12"/>
  <c r="M15" i="12"/>
  <c r="M16" i="12"/>
  <c r="M11" i="12"/>
  <c r="L12" i="12" a="1"/>
  <c r="L12" i="12" s="1"/>
  <c r="L13" i="12" a="1"/>
  <c r="L13" i="12" s="1"/>
  <c r="L14" i="12" a="1"/>
  <c r="L14" i="12"/>
  <c r="L15" i="12" a="1"/>
  <c r="L15" i="12" s="1"/>
  <c r="L16" i="12" a="1"/>
  <c r="L16" i="12" s="1"/>
  <c r="L17" i="12" a="1"/>
  <c r="L17" i="12" s="1"/>
  <c r="L18" i="12" a="1"/>
  <c r="L18" i="12" s="1"/>
  <c r="L11" i="12" a="1"/>
  <c r="L11" i="12" s="1"/>
  <c r="AS28" i="18"/>
  <c r="AS27" i="18"/>
  <c r="AS26" i="18"/>
  <c r="AS25" i="18"/>
  <c r="BT63" i="17" l="1"/>
  <c r="BT62" i="17"/>
  <c r="BT61" i="17"/>
  <c r="BT60" i="17"/>
  <c r="BT59" i="17"/>
  <c r="BT58" i="17"/>
  <c r="BT57" i="17"/>
  <c r="BT56" i="17"/>
  <c r="BW55" i="17"/>
  <c r="BU55" i="17"/>
  <c r="BT55" i="17"/>
  <c r="BR55" i="17"/>
  <c r="BW54" i="17"/>
  <c r="BU54" i="17"/>
  <c r="BT54" i="17"/>
  <c r="BR54" i="17"/>
  <c r="BW53" i="17"/>
  <c r="BU53" i="17"/>
  <c r="BT53" i="17"/>
  <c r="BR53" i="17"/>
  <c r="BW52" i="17"/>
  <c r="BU52" i="17"/>
  <c r="BT52" i="17"/>
  <c r="BR52" i="17"/>
  <c r="BW51" i="17"/>
  <c r="BU51" i="17"/>
  <c r="BR51" i="17"/>
  <c r="BL50" i="17" a="1"/>
  <c r="BL50" i="17" s="1"/>
  <c r="BR50" i="17" s="1"/>
  <c r="BK50" i="17"/>
  <c r="BM50" i="17" s="1" a="1"/>
  <c r="BM50" i="17" s="1"/>
  <c r="BJ50" i="17"/>
  <c r="BT51" i="17" s="1"/>
  <c r="BK49" i="17"/>
  <c r="BM49" i="17" s="1" a="1"/>
  <c r="BM49" i="17" s="1"/>
  <c r="BJ49" i="17"/>
  <c r="BT50" i="17" s="1"/>
  <c r="BK48" i="17"/>
  <c r="BM48" i="17" s="1" a="1"/>
  <c r="BM48" i="17" s="1"/>
  <c r="BJ48" i="17"/>
  <c r="BT49" i="17" s="1"/>
  <c r="BT47" i="17"/>
  <c r="BK47" i="17"/>
  <c r="BM47" i="17" s="1" a="1"/>
  <c r="BM47" i="17" s="1"/>
  <c r="BJ47" i="17"/>
  <c r="BT48" i="17" s="1"/>
  <c r="BT46" i="17"/>
  <c r="BK46" i="17"/>
  <c r="BL46" i="17" s="1" a="1"/>
  <c r="BL46" i="17" s="1"/>
  <c r="BJ46" i="17"/>
  <c r="BK45" i="17"/>
  <c r="BN45" i="17" s="1" a="1"/>
  <c r="BN45" i="17" s="1"/>
  <c r="BU45" i="17" s="1"/>
  <c r="BJ45" i="17"/>
  <c r="BT44" i="17"/>
  <c r="BK44" i="17"/>
  <c r="BM44" i="17" s="1" a="1"/>
  <c r="BM44" i="17" s="1"/>
  <c r="BJ44" i="17"/>
  <c r="BT45" i="17" s="1"/>
  <c r="BT43" i="17"/>
  <c r="BK43" i="17"/>
  <c r="BM43" i="17" s="1" a="1"/>
  <c r="BM43" i="17" s="1"/>
  <c r="BJ43" i="17"/>
  <c r="BL42" i="17" a="1"/>
  <c r="BL42" i="17" s="1"/>
  <c r="BR42" i="17" s="1"/>
  <c r="BK42" i="17"/>
  <c r="BO42" i="17" s="1" a="1"/>
  <c r="BO42" i="17" s="1"/>
  <c r="BJ42" i="17"/>
  <c r="BT41" i="17"/>
  <c r="BK41" i="17"/>
  <c r="BN41" i="17" s="1" a="1"/>
  <c r="BN41" i="17" s="1"/>
  <c r="BU41" i="17" s="1"/>
  <c r="BJ41" i="17"/>
  <c r="BT42" i="17" s="1"/>
  <c r="BT40" i="17"/>
  <c r="BK40" i="17"/>
  <c r="BL40" i="17" s="1" a="1"/>
  <c r="BL40" i="17" s="1"/>
  <c r="BR40" i="17" s="1"/>
  <c r="BJ40" i="17"/>
  <c r="BK39" i="17"/>
  <c r="BO39" i="17" s="1" a="1"/>
  <c r="BO39" i="17" s="1"/>
  <c r="BJ39" i="17"/>
  <c r="BO38" i="17" a="1"/>
  <c r="BO38" i="17" s="1"/>
  <c r="BK38" i="17"/>
  <c r="BN38" i="17" s="1" a="1"/>
  <c r="BN38" i="17" s="1"/>
  <c r="BU38" i="17" s="1"/>
  <c r="BJ38" i="17"/>
  <c r="BT39" i="17" s="1"/>
  <c r="BT37" i="17"/>
  <c r="BK37" i="17"/>
  <c r="BM37" i="17" s="1" a="1"/>
  <c r="BM37" i="17" s="1"/>
  <c r="BJ37" i="17"/>
  <c r="BT38" i="17" s="1"/>
  <c r="BT36" i="17"/>
  <c r="BK36" i="17"/>
  <c r="BO36" i="17" s="1" a="1"/>
  <c r="BO36" i="17" s="1"/>
  <c r="BJ36" i="17"/>
  <c r="BT35" i="17"/>
  <c r="BL35" i="17" a="1"/>
  <c r="BL35" i="17" s="1"/>
  <c r="BW35" i="17" s="1"/>
  <c r="BK35" i="17"/>
  <c r="BM35" i="17" s="1" a="1"/>
  <c r="BM35" i="17" s="1"/>
  <c r="BJ35" i="17"/>
  <c r="BT34" i="17"/>
  <c r="BK34" i="17"/>
  <c r="BM34" i="17" s="1" a="1"/>
  <c r="BM34" i="17" s="1"/>
  <c r="BJ34" i="17"/>
  <c r="BT33" i="17"/>
  <c r="BK33" i="17"/>
  <c r="BO33" i="17" s="1" a="1"/>
  <c r="BO33" i="17" s="1"/>
  <c r="BJ33" i="17"/>
  <c r="BK32" i="17"/>
  <c r="BO32" i="17" s="1" a="1"/>
  <c r="BO32" i="17" s="1"/>
  <c r="BJ32" i="17"/>
  <c r="BT31" i="17"/>
  <c r="BK31" i="17"/>
  <c r="BM31" i="17" s="1" a="1"/>
  <c r="BM31" i="17" s="1"/>
  <c r="BJ31" i="17"/>
  <c r="BT32" i="17" s="1"/>
  <c r="BK30" i="17"/>
  <c r="BO30" i="17" s="1" a="1"/>
  <c r="BO30" i="17" s="1"/>
  <c r="BJ30" i="17"/>
  <c r="BK29" i="17"/>
  <c r="BM29" i="17" s="1" a="1"/>
  <c r="BM29" i="17" s="1"/>
  <c r="BJ29" i="17"/>
  <c r="BT30" i="17" s="1"/>
  <c r="BK28" i="17"/>
  <c r="BM28" i="17" s="1" a="1"/>
  <c r="BM28" i="17" s="1"/>
  <c r="BJ28" i="17"/>
  <c r="BT29" i="17" s="1"/>
  <c r="BT27" i="17"/>
  <c r="BK27" i="17"/>
  <c r="BO27" i="17" s="1" a="1"/>
  <c r="BO27" i="17" s="1"/>
  <c r="BJ27" i="17"/>
  <c r="BT28" i="17" s="1"/>
  <c r="BT26" i="17"/>
  <c r="BK26" i="17"/>
  <c r="BM26" i="17" s="1" a="1"/>
  <c r="BM26" i="17" s="1"/>
  <c r="BJ26" i="17"/>
  <c r="BT25" i="17"/>
  <c r="BK25" i="17"/>
  <c r="BM25" i="17" s="1" a="1"/>
  <c r="BM25" i="17" s="1"/>
  <c r="BJ25" i="17"/>
  <c r="BT24" i="17"/>
  <c r="BK24" i="17"/>
  <c r="BM24" i="17" s="1" a="1"/>
  <c r="BM24" i="17" s="1"/>
  <c r="BJ24" i="17"/>
  <c r="BT23" i="17"/>
  <c r="BK23" i="17"/>
  <c r="BM23" i="17" s="1" a="1"/>
  <c r="BM23" i="17" s="1"/>
  <c r="BJ23" i="17"/>
  <c r="BK22" i="17"/>
  <c r="BM22" i="17" s="1" a="1"/>
  <c r="BM22" i="17" s="1"/>
  <c r="BJ22" i="17"/>
  <c r="BT22" i="17" s="1"/>
  <c r="BL21" i="17" a="1"/>
  <c r="BL21" i="17" s="1"/>
  <c r="BK21" i="17"/>
  <c r="BO21" i="17" s="1" a="1"/>
  <c r="BO21" i="17" s="1"/>
  <c r="BJ21" i="17"/>
  <c r="BT21" i="17" s="1"/>
  <c r="BK20" i="17"/>
  <c r="BJ20" i="17"/>
  <c r="BT20" i="17" s="1"/>
  <c r="BL19" i="17" a="1"/>
  <c r="BL19" i="17" s="1"/>
  <c r="BR19" i="17" s="1"/>
  <c r="BK19" i="17"/>
  <c r="BN19" i="17" s="1" a="1"/>
  <c r="BN19" i="17" s="1"/>
  <c r="BU19" i="17" s="1"/>
  <c r="BJ19" i="17"/>
  <c r="BT19" i="17" s="1"/>
  <c r="BK18" i="17"/>
  <c r="BM18" i="17" s="1" a="1"/>
  <c r="BM18" i="17" s="1"/>
  <c r="BJ18" i="17"/>
  <c r="BT18" i="17" s="1"/>
  <c r="BL17" i="17" a="1"/>
  <c r="BL17" i="17" s="1"/>
  <c r="BK17" i="17"/>
  <c r="BM17" i="17" s="1" a="1"/>
  <c r="BM17" i="17" s="1"/>
  <c r="BJ17" i="17"/>
  <c r="BT17" i="17" s="1"/>
  <c r="BK16" i="17"/>
  <c r="BM16" i="17" s="1" a="1"/>
  <c r="BM16" i="17" s="1"/>
  <c r="BJ16" i="17"/>
  <c r="BT16" i="17" s="1"/>
  <c r="AX16" i="17" a="1"/>
  <c r="AX16" i="17" s="1"/>
  <c r="AW16" i="17" a="1"/>
  <c r="AW16" i="17" s="1"/>
  <c r="AV16" i="17" a="1"/>
  <c r="AV16" i="17" s="1"/>
  <c r="AU16" i="17" a="1"/>
  <c r="AU16" i="17" s="1"/>
  <c r="AT16" i="17" a="1"/>
  <c r="AT16" i="17" s="1"/>
  <c r="AS16" i="17" a="1"/>
  <c r="AS16" i="17" s="1"/>
  <c r="AR16" i="17" a="1"/>
  <c r="AR16" i="17" s="1"/>
  <c r="AQ16" i="17" a="1"/>
  <c r="AQ16" i="17" s="1"/>
  <c r="AP16" i="17"/>
  <c r="AP16" i="17" a="1"/>
  <c r="AO16" i="17" a="1"/>
  <c r="AO16" i="17" s="1"/>
  <c r="AN16" i="17" a="1"/>
  <c r="AN16" i="17" s="1"/>
  <c r="AM16" i="17" a="1"/>
  <c r="AM16" i="17" s="1"/>
  <c r="AL16" i="17" a="1"/>
  <c r="AL16" i="17" s="1"/>
  <c r="AK16" i="17" a="1"/>
  <c r="AK16" i="17" s="1"/>
  <c r="AJ16" i="17" a="1"/>
  <c r="AJ16" i="17" s="1"/>
  <c r="AI16" i="17" a="1"/>
  <c r="AI16" i="17" s="1"/>
  <c r="AH16" i="17" a="1"/>
  <c r="AH16" i="17" s="1"/>
  <c r="AG16" i="17" a="1"/>
  <c r="AG16" i="17" s="1"/>
  <c r="AF16" i="17" a="1"/>
  <c r="AF16" i="17" s="1"/>
  <c r="AE16" i="17" a="1"/>
  <c r="AE16" i="17" s="1"/>
  <c r="AD16" i="17" a="1"/>
  <c r="AD16" i="17" s="1"/>
  <c r="AC16" i="17" a="1"/>
  <c r="AC16" i="17" s="1"/>
  <c r="AB16" i="17" a="1"/>
  <c r="AB16" i="17" s="1"/>
  <c r="AA16" i="17" a="1"/>
  <c r="AA16" i="17" s="1"/>
  <c r="Z16" i="17" a="1"/>
  <c r="Z16" i="17" s="1"/>
  <c r="Y16" i="17" a="1"/>
  <c r="Y16" i="17" s="1"/>
  <c r="X16" i="17"/>
  <c r="X16" i="17" a="1"/>
  <c r="W16" i="17" a="1"/>
  <c r="W16" i="17" s="1"/>
  <c r="V16" i="17"/>
  <c r="V16" i="17" a="1"/>
  <c r="U16" i="17" a="1"/>
  <c r="U16" i="17" s="1"/>
  <c r="T16" i="17" a="1"/>
  <c r="T16" i="17" s="1"/>
  <c r="S16" i="17"/>
  <c r="S16" i="17" a="1"/>
  <c r="R16" i="17"/>
  <c r="R16" i="17" a="1"/>
  <c r="Q16" i="17" a="1"/>
  <c r="Q16" i="17" s="1"/>
  <c r="P16" i="17" a="1"/>
  <c r="P16" i="17" s="1"/>
  <c r="O16" i="17"/>
  <c r="O16" i="17" a="1"/>
  <c r="N16" i="17" a="1"/>
  <c r="N16" i="17" s="1"/>
  <c r="M16" i="17"/>
  <c r="M16" i="17" a="1"/>
  <c r="L16" i="17"/>
  <c r="L16" i="17" a="1"/>
  <c r="K16" i="17" a="1"/>
  <c r="K16" i="17" s="1"/>
  <c r="J16" i="17" a="1"/>
  <c r="J16" i="17" s="1"/>
  <c r="I16" i="17"/>
  <c r="I16" i="17" a="1"/>
  <c r="H16" i="17" a="1"/>
  <c r="H16" i="17" s="1"/>
  <c r="G16" i="17"/>
  <c r="G16" i="17" a="1"/>
  <c r="F16" i="17"/>
  <c r="F16" i="17" a="1"/>
  <c r="E16" i="17" a="1"/>
  <c r="E16" i="17" s="1"/>
  <c r="D16" i="17" a="1"/>
  <c r="D16" i="17" s="1"/>
  <c r="BT15" i="17"/>
  <c r="BK15" i="17"/>
  <c r="BM15" i="17" s="1" a="1"/>
  <c r="BM15" i="17" s="1"/>
  <c r="BJ15" i="17"/>
  <c r="BT14" i="17"/>
  <c r="BO14" i="17" a="1"/>
  <c r="BO14" i="17" s="1"/>
  <c r="BK14" i="17"/>
  <c r="BL14" i="17" s="1" a="1"/>
  <c r="BL14" i="17" s="1"/>
  <c r="BJ14" i="17"/>
  <c r="BT13" i="17"/>
  <c r="BK13" i="17"/>
  <c r="BN13" i="17" s="1" a="1"/>
  <c r="BN13" i="17" s="1"/>
  <c r="BU13" i="17" s="1"/>
  <c r="BJ13" i="17"/>
  <c r="BT12" i="17"/>
  <c r="BN12" i="17" a="1"/>
  <c r="BN12" i="17" s="1"/>
  <c r="BU12" i="17" s="1"/>
  <c r="BK12" i="17"/>
  <c r="BO12" i="17" s="1" a="1"/>
  <c r="BO12" i="17" s="1"/>
  <c r="BJ12" i="17"/>
  <c r="BK11" i="17"/>
  <c r="BL11" i="17" s="1" a="1"/>
  <c r="BL11" i="17" s="1"/>
  <c r="BJ11" i="17"/>
  <c r="BT11" i="17" s="1"/>
  <c r="BO10" i="17"/>
  <c r="BO10" i="17" a="1"/>
  <c r="BK10" i="17"/>
  <c r="BJ10" i="17"/>
  <c r="BT10" i="17" s="1"/>
  <c r="BT9" i="17"/>
  <c r="BO9" i="17" a="1"/>
  <c r="BO9" i="17" s="1"/>
  <c r="BK9" i="17"/>
  <c r="BM9" i="17" s="1" a="1"/>
  <c r="BM9" i="17" s="1"/>
  <c r="BJ9" i="17"/>
  <c r="BO8" i="17" a="1"/>
  <c r="BO8" i="17" s="1"/>
  <c r="BN8" i="17" a="1"/>
  <c r="BN8" i="17" s="1"/>
  <c r="BU8" i="17" s="1"/>
  <c r="BK8" i="17"/>
  <c r="BM8" i="17" s="1" a="1"/>
  <c r="BM8" i="17" s="1"/>
  <c r="BJ8" i="17"/>
  <c r="BT8" i="17" s="1"/>
  <c r="BT7" i="17"/>
  <c r="BL7" i="17" a="1"/>
  <c r="BL7" i="17" s="1"/>
  <c r="BK7" i="17"/>
  <c r="BN7" i="17" s="1" a="1"/>
  <c r="BN7" i="17" s="1"/>
  <c r="BU7" i="17" s="1"/>
  <c r="BJ7" i="17"/>
  <c r="BK6" i="17"/>
  <c r="BM6" i="17" s="1" a="1"/>
  <c r="BM6" i="17" s="1"/>
  <c r="BJ6" i="17"/>
  <c r="BT6" i="17" s="1"/>
  <c r="BT5" i="17"/>
  <c r="BK5" i="17"/>
  <c r="BN5" i="17" s="1" a="1"/>
  <c r="BN5" i="17" s="1"/>
  <c r="BU5" i="17" s="1"/>
  <c r="BJ5" i="17"/>
  <c r="BT4" i="17"/>
  <c r="BN4" i="17" a="1"/>
  <c r="BN4" i="17" s="1"/>
  <c r="BU4" i="17" s="1"/>
  <c r="BK4" i="17"/>
  <c r="BO4" i="17" s="1" a="1"/>
  <c r="BO4" i="17" s="1"/>
  <c r="BJ4" i="17"/>
  <c r="E18" i="12"/>
  <c r="BK4" i="16"/>
  <c r="BO4" i="16" s="1" a="1"/>
  <c r="BO4" i="16" s="1"/>
  <c r="BK5" i="16"/>
  <c r="BN5" i="16" s="1" a="1"/>
  <c r="BN5" i="16" s="1"/>
  <c r="BU5" i="16" s="1"/>
  <c r="BK6" i="16"/>
  <c r="BN6" i="16" s="1" a="1"/>
  <c r="BN6" i="16" s="1"/>
  <c r="BU6" i="16" s="1"/>
  <c r="BK7" i="16"/>
  <c r="BN7" i="16" s="1" a="1"/>
  <c r="BN7" i="16" s="1"/>
  <c r="BU7" i="16" s="1"/>
  <c r="BK8" i="16"/>
  <c r="BM8" i="16" s="1" a="1"/>
  <c r="BM8" i="16" s="1"/>
  <c r="BK9" i="16"/>
  <c r="BO9" i="16" s="1" a="1"/>
  <c r="BO9" i="16" s="1"/>
  <c r="BK10" i="16"/>
  <c r="BN10" i="16" s="1" a="1"/>
  <c r="BN10" i="16" s="1"/>
  <c r="BU10" i="16" s="1"/>
  <c r="BK11" i="16"/>
  <c r="BN11" i="16" s="1" a="1"/>
  <c r="BN11" i="16" s="1"/>
  <c r="BU11" i="16" s="1"/>
  <c r="BK12" i="16"/>
  <c r="BM12" i="16" s="1" a="1"/>
  <c r="BM12" i="16" s="1"/>
  <c r="BK13" i="16"/>
  <c r="BL13" i="16" s="1" a="1"/>
  <c r="BL13" i="16" s="1"/>
  <c r="BK14" i="16"/>
  <c r="BO14" i="16" s="1" a="1"/>
  <c r="BO14" i="16" s="1"/>
  <c r="BK15" i="16"/>
  <c r="BN15" i="16" s="1" a="1"/>
  <c r="BN15" i="16" s="1"/>
  <c r="BK16" i="16"/>
  <c r="BN16" i="16" s="1" a="1"/>
  <c r="BN16" i="16" s="1"/>
  <c r="BU16" i="16" s="1"/>
  <c r="BK17" i="16"/>
  <c r="BN17" i="16" s="1" a="1"/>
  <c r="BN17" i="16" s="1"/>
  <c r="BU17" i="16" s="1"/>
  <c r="BK18" i="16"/>
  <c r="BL18" i="16" s="1" a="1"/>
  <c r="BL18" i="16" s="1"/>
  <c r="BK19" i="16"/>
  <c r="BL19" i="16" s="1" a="1"/>
  <c r="BL19" i="16" s="1"/>
  <c r="BW19" i="16" s="1"/>
  <c r="BK20" i="16"/>
  <c r="BN20" i="16" s="1" a="1"/>
  <c r="BN20" i="16" s="1"/>
  <c r="BU20" i="16" s="1"/>
  <c r="BK21" i="16"/>
  <c r="BN21" i="16" s="1" a="1"/>
  <c r="BN21" i="16" s="1"/>
  <c r="BU21" i="16" s="1"/>
  <c r="BK22" i="16"/>
  <c r="BN22" i="16" s="1" a="1"/>
  <c r="BN22" i="16" s="1"/>
  <c r="BU22" i="16" s="1"/>
  <c r="BK23" i="16"/>
  <c r="BL23" i="16" s="1" a="1"/>
  <c r="BL23" i="16" s="1"/>
  <c r="BK24" i="16"/>
  <c r="BL24" i="16" s="1" a="1"/>
  <c r="BL24" i="16" s="1"/>
  <c r="BK25" i="16"/>
  <c r="BN25" i="16" s="1" a="1"/>
  <c r="BN25" i="16" s="1"/>
  <c r="BU25" i="16" s="1"/>
  <c r="BK26" i="16"/>
  <c r="BN26" i="16" s="1" a="1"/>
  <c r="BN26" i="16" s="1"/>
  <c r="BU26" i="16" s="1"/>
  <c r="BK27" i="16"/>
  <c r="BN27" i="16" s="1" a="1"/>
  <c r="BN27" i="16" s="1"/>
  <c r="BK28" i="16"/>
  <c r="BM28" i="16" s="1" a="1"/>
  <c r="BM28" i="16" s="1"/>
  <c r="BK29" i="16"/>
  <c r="BL29" i="16" s="1" a="1"/>
  <c r="BL29" i="16" s="1"/>
  <c r="BK30" i="16"/>
  <c r="BN30" i="16" s="1" a="1"/>
  <c r="BN30" i="16" s="1"/>
  <c r="BU30" i="16" s="1"/>
  <c r="BK31" i="16"/>
  <c r="BN31" i="16" s="1" a="1"/>
  <c r="BN31" i="16" s="1"/>
  <c r="BU31" i="16" s="1"/>
  <c r="BK32" i="16"/>
  <c r="BN32" i="16" s="1" a="1"/>
  <c r="BN32" i="16" s="1"/>
  <c r="BU32" i="16" s="1"/>
  <c r="BK33" i="16"/>
  <c r="BO33" i="16" s="1" a="1"/>
  <c r="BO33" i="16" s="1"/>
  <c r="BK34" i="16"/>
  <c r="BM34" i="16" s="1" a="1"/>
  <c r="BM34" i="16" s="1"/>
  <c r="BK35" i="16"/>
  <c r="BN35" i="16" s="1" a="1"/>
  <c r="BN35" i="16" s="1"/>
  <c r="BU35" i="16" s="1"/>
  <c r="BK36" i="16"/>
  <c r="BN36" i="16" s="1" a="1"/>
  <c r="BN36" i="16" s="1"/>
  <c r="BU36" i="16" s="1"/>
  <c r="BK37" i="16"/>
  <c r="BN37" i="16" s="1" a="1"/>
  <c r="BN37" i="16" s="1"/>
  <c r="BU37" i="16" s="1"/>
  <c r="BK38" i="16"/>
  <c r="BM38" i="16" s="1" a="1"/>
  <c r="BM38" i="16" s="1"/>
  <c r="BK39" i="16"/>
  <c r="BM39" i="16" s="1" a="1"/>
  <c r="BM39" i="16" s="1"/>
  <c r="BK40" i="16"/>
  <c r="BO40" i="16" s="1" a="1"/>
  <c r="BO40" i="16" s="1"/>
  <c r="BK41" i="16"/>
  <c r="BN41" i="16" s="1" a="1"/>
  <c r="BN41" i="16" s="1"/>
  <c r="BU41" i="16" s="1"/>
  <c r="BK42" i="16"/>
  <c r="BN42" i="16" s="1" a="1"/>
  <c r="BN42" i="16" s="1"/>
  <c r="BK43" i="16"/>
  <c r="BN43" i="16" s="1" a="1"/>
  <c r="BN43" i="16" s="1"/>
  <c r="BU43" i="16" s="1"/>
  <c r="BK44" i="16"/>
  <c r="BM44" i="16" s="1" a="1"/>
  <c r="BM44" i="16" s="1"/>
  <c r="BK45" i="16"/>
  <c r="BO45" i="16" s="1" a="1"/>
  <c r="BO45" i="16" s="1"/>
  <c r="BK46" i="16"/>
  <c r="BN46" i="16" s="1" a="1"/>
  <c r="BN46" i="16" s="1"/>
  <c r="BU46" i="16" s="1"/>
  <c r="BK47" i="16"/>
  <c r="BN47" i="16" s="1" a="1"/>
  <c r="BN47" i="16" s="1"/>
  <c r="BU47" i="16" s="1"/>
  <c r="BK48" i="16"/>
  <c r="BM48" i="16" s="1" a="1"/>
  <c r="BM48" i="16" s="1"/>
  <c r="BK49" i="16"/>
  <c r="BM49" i="16" s="1" a="1"/>
  <c r="BM49" i="16" s="1"/>
  <c r="BK50" i="16"/>
  <c r="BL50" i="16" s="1" a="1"/>
  <c r="BL50" i="16" s="1"/>
  <c r="BM4" i="16" a="1"/>
  <c r="BM4" i="16" s="1"/>
  <c r="BT63" i="16"/>
  <c r="BT62" i="16"/>
  <c r="BT61" i="16"/>
  <c r="BT60" i="16"/>
  <c r="BT58" i="16"/>
  <c r="BT59" i="16"/>
  <c r="BT57" i="16"/>
  <c r="BU55" i="16"/>
  <c r="BT55" i="16"/>
  <c r="BT56" i="16"/>
  <c r="BT54" i="16"/>
  <c r="BU54" i="16"/>
  <c r="BU53" i="16"/>
  <c r="BU52" i="16"/>
  <c r="BT53" i="16"/>
  <c r="BT52" i="16"/>
  <c r="BJ50" i="16"/>
  <c r="BT51" i="16" s="1"/>
  <c r="BT49" i="16"/>
  <c r="BJ49" i="16"/>
  <c r="BT50" i="16" s="1"/>
  <c r="BJ48" i="16"/>
  <c r="BJ47" i="16"/>
  <c r="BT48" i="16" s="1"/>
  <c r="BJ46" i="16"/>
  <c r="BT47" i="16" s="1"/>
  <c r="BJ45" i="16"/>
  <c r="BT46" i="16" s="1"/>
  <c r="BJ44" i="16"/>
  <c r="BT45" i="16" s="1"/>
  <c r="BJ43" i="16"/>
  <c r="BT44" i="16" s="1"/>
  <c r="BJ42" i="16"/>
  <c r="BT43" i="16" s="1"/>
  <c r="BJ41" i="16"/>
  <c r="BT42" i="16" s="1"/>
  <c r="BJ40" i="16"/>
  <c r="BT41" i="16" s="1"/>
  <c r="BJ39" i="16"/>
  <c r="BT40" i="16" s="1"/>
  <c r="BJ38" i="16"/>
  <c r="BT39" i="16" s="1"/>
  <c r="BJ37" i="16"/>
  <c r="BT38" i="16" s="1"/>
  <c r="BJ36" i="16"/>
  <c r="BT37" i="16" s="1"/>
  <c r="BJ35" i="16"/>
  <c r="BT36" i="16" s="1"/>
  <c r="BJ34" i="16"/>
  <c r="BT35" i="16" s="1"/>
  <c r="BJ33" i="16"/>
  <c r="BT34" i="16" s="1"/>
  <c r="BJ32" i="16"/>
  <c r="BT33" i="16" s="1"/>
  <c r="BJ31" i="16"/>
  <c r="BT32" i="16" s="1"/>
  <c r="BJ30" i="16"/>
  <c r="BT31" i="16" s="1"/>
  <c r="BJ29" i="16"/>
  <c r="BT30" i="16" s="1"/>
  <c r="BJ28" i="16"/>
  <c r="BT29" i="16" s="1"/>
  <c r="BJ27" i="16"/>
  <c r="BT28" i="16" s="1"/>
  <c r="BJ26" i="16"/>
  <c r="BT27" i="16" s="1"/>
  <c r="BJ25" i="16"/>
  <c r="BT26" i="16" s="1"/>
  <c r="BJ24" i="16"/>
  <c r="BT25" i="16" s="1"/>
  <c r="BJ23" i="16"/>
  <c r="BT23" i="16" s="1"/>
  <c r="BJ22" i="16"/>
  <c r="BT22" i="16" s="1"/>
  <c r="BJ21" i="16"/>
  <c r="BT21" i="16" s="1"/>
  <c r="BJ20" i="16"/>
  <c r="BT20" i="16" s="1"/>
  <c r="BJ19" i="16"/>
  <c r="BT19" i="16" s="1"/>
  <c r="BJ18" i="16"/>
  <c r="BT18" i="16" s="1"/>
  <c r="BJ17" i="16"/>
  <c r="BT17" i="16" s="1"/>
  <c r="BJ16" i="16"/>
  <c r="BT16" i="16" s="1"/>
  <c r="AX16" i="16" a="1"/>
  <c r="AX16" i="16" s="1"/>
  <c r="AW16" i="16" a="1"/>
  <c r="AW16" i="16" s="1"/>
  <c r="AV16" i="16" a="1"/>
  <c r="AV16" i="16" s="1"/>
  <c r="AU16" i="16" a="1"/>
  <c r="AU16" i="16" s="1"/>
  <c r="AT16" i="16" a="1"/>
  <c r="AT16" i="16" s="1"/>
  <c r="AS16" i="16" a="1"/>
  <c r="AS16" i="16" s="1"/>
  <c r="AR16" i="16" a="1"/>
  <c r="AR16" i="16" s="1"/>
  <c r="AQ16" i="16" a="1"/>
  <c r="AQ16" i="16" s="1"/>
  <c r="AP16" i="16" a="1"/>
  <c r="AP16" i="16" s="1"/>
  <c r="AO16" i="16" a="1"/>
  <c r="AO16" i="16" s="1"/>
  <c r="AN16" i="16" a="1"/>
  <c r="AN16" i="16" s="1"/>
  <c r="AM16" i="16" a="1"/>
  <c r="AM16" i="16" s="1"/>
  <c r="AL16" i="16" a="1"/>
  <c r="AL16" i="16" s="1"/>
  <c r="AK16" i="16" a="1"/>
  <c r="AK16" i="16" s="1"/>
  <c r="AJ16" i="16" a="1"/>
  <c r="AJ16" i="16" s="1"/>
  <c r="AI16" i="16" a="1"/>
  <c r="AI16" i="16" s="1"/>
  <c r="AH16" i="16" a="1"/>
  <c r="AH16" i="16" s="1"/>
  <c r="AG16" i="16" a="1"/>
  <c r="AG16" i="16" s="1"/>
  <c r="AF16" i="16" a="1"/>
  <c r="AF16" i="16" s="1"/>
  <c r="AE16" i="16" a="1"/>
  <c r="AE16" i="16" s="1"/>
  <c r="AD16" i="16" a="1"/>
  <c r="AD16" i="16" s="1"/>
  <c r="AC16" i="16" a="1"/>
  <c r="AC16" i="16" s="1"/>
  <c r="AB16" i="16" a="1"/>
  <c r="AB16" i="16" s="1"/>
  <c r="AA16" i="16" a="1"/>
  <c r="AA16" i="16" s="1"/>
  <c r="Z16" i="16" a="1"/>
  <c r="Z16" i="16" s="1"/>
  <c r="Y16" i="16" a="1"/>
  <c r="Y16" i="16" s="1"/>
  <c r="X16" i="16" a="1"/>
  <c r="X16" i="16" s="1"/>
  <c r="W16" i="16" a="1"/>
  <c r="W16" i="16" s="1"/>
  <c r="V16" i="16" a="1"/>
  <c r="V16" i="16" s="1"/>
  <c r="U16" i="16" a="1"/>
  <c r="U16" i="16" s="1"/>
  <c r="T16" i="16" a="1"/>
  <c r="T16" i="16" s="1"/>
  <c r="S16" i="16" a="1"/>
  <c r="S16" i="16" s="1"/>
  <c r="R16" i="16" a="1"/>
  <c r="R16" i="16" s="1"/>
  <c r="Q16" i="16" a="1"/>
  <c r="Q16" i="16" s="1"/>
  <c r="P16" i="16" a="1"/>
  <c r="P16" i="16" s="1"/>
  <c r="O16" i="16" a="1"/>
  <c r="O16" i="16" s="1"/>
  <c r="N16" i="16" a="1"/>
  <c r="N16" i="16" s="1"/>
  <c r="M16" i="16" a="1"/>
  <c r="M16" i="16" s="1"/>
  <c r="L16" i="16" a="1"/>
  <c r="L16" i="16" s="1"/>
  <c r="K16" i="16" a="1"/>
  <c r="K16" i="16" s="1"/>
  <c r="J16" i="16" a="1"/>
  <c r="J16" i="16" s="1"/>
  <c r="I16" i="16" a="1"/>
  <c r="I16" i="16" s="1"/>
  <c r="H16" i="16" a="1"/>
  <c r="H16" i="16" s="1"/>
  <c r="G16" i="16" a="1"/>
  <c r="G16" i="16" s="1"/>
  <c r="F16" i="16" a="1"/>
  <c r="F16" i="16" s="1"/>
  <c r="E16" i="16" a="1"/>
  <c r="E16" i="16" s="1"/>
  <c r="D16" i="16" a="1"/>
  <c r="D16" i="16" s="1"/>
  <c r="BJ15" i="16"/>
  <c r="BT15" i="16" s="1"/>
  <c r="BJ14" i="16"/>
  <c r="BT14" i="16" s="1"/>
  <c r="BJ13" i="16"/>
  <c r="BT13" i="16" s="1"/>
  <c r="BJ12" i="16"/>
  <c r="BT12" i="16" s="1"/>
  <c r="BJ11" i="16"/>
  <c r="BT11" i="16" s="1"/>
  <c r="BJ10" i="16"/>
  <c r="BT10" i="16" s="1"/>
  <c r="BJ9" i="16"/>
  <c r="BT9" i="16" s="1"/>
  <c r="BJ8" i="16"/>
  <c r="BT8" i="16" s="1"/>
  <c r="BJ7" i="16"/>
  <c r="BT7" i="16" s="1"/>
  <c r="BJ6" i="16"/>
  <c r="BT6" i="16" s="1"/>
  <c r="BJ5" i="16"/>
  <c r="BT5" i="16" s="1"/>
  <c r="BJ4" i="16"/>
  <c r="BT4" i="16" s="1"/>
  <c r="M34" i="12"/>
  <c r="L32" i="12"/>
  <c r="M32" i="12" s="1"/>
  <c r="L33" i="12"/>
  <c r="M33" i="12" s="1"/>
  <c r="L34" i="12"/>
  <c r="L35" i="12"/>
  <c r="M35" i="12" s="1"/>
  <c r="L36" i="12"/>
  <c r="M36" i="12" s="1"/>
  <c r="L37" i="12"/>
  <c r="M37" i="12" s="1"/>
  <c r="E31" i="12"/>
  <c r="L31" i="12"/>
  <c r="M31" i="12" s="1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D24" i="10" s="1" a="1"/>
  <c r="AD24" i="10" s="1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D29" i="10" s="1" a="1"/>
  <c r="AD29" i="10" s="1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D6" i="10" s="1" a="1"/>
  <c r="AD6" i="10" s="1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D60" i="12"/>
  <c r="C60" i="12"/>
  <c r="B60" i="12"/>
  <c r="L43" i="12"/>
  <c r="M43" i="12" s="1"/>
  <c r="B61" i="12"/>
  <c r="C61" i="12"/>
  <c r="D61" i="12"/>
  <c r="B62" i="12"/>
  <c r="C62" i="12"/>
  <c r="D62" i="12"/>
  <c r="B64" i="12"/>
  <c r="B65" i="12"/>
  <c r="C64" i="12"/>
  <c r="C65" i="12"/>
  <c r="D64" i="12"/>
  <c r="D65" i="12"/>
  <c r="B63" i="12"/>
  <c r="C63" i="12"/>
  <c r="D63" i="12"/>
  <c r="AD11" i="10" a="1"/>
  <c r="AD11" i="10" s="1"/>
  <c r="AB20" i="10" a="1"/>
  <c r="AB20" i="10" s="1"/>
  <c r="B56" i="9"/>
  <c r="AU17" i="17" a="1"/>
  <c r="Z17" i="17" a="1"/>
  <c r="Y17" i="17" a="1"/>
  <c r="AT17" i="17" a="1"/>
  <c r="AR17" i="17" a="1"/>
  <c r="AN17" i="17" a="1"/>
  <c r="AH17" i="17" a="1"/>
  <c r="S17" i="17" a="1"/>
  <c r="AX17" i="17" a="1"/>
  <c r="AE17" i="17" a="1"/>
  <c r="U17" i="17" a="1"/>
  <c r="AG17" i="17" a="1"/>
  <c r="V17" i="17" a="1"/>
  <c r="N17" i="17" a="1"/>
  <c r="F17" i="17" a="1"/>
  <c r="L17" i="17" a="1"/>
  <c r="G17" i="17" a="1"/>
  <c r="AS17" i="17" a="1"/>
  <c r="AQ17" i="17" a="1"/>
  <c r="AF17" i="17" a="1"/>
  <c r="M17" i="17" a="1"/>
  <c r="AJ17" i="17" a="1"/>
  <c r="AI17" i="17" a="1"/>
  <c r="W17" i="17" a="1"/>
  <c r="AP17" i="17" a="1"/>
  <c r="E17" i="17" a="1"/>
  <c r="D17" i="17" a="1"/>
  <c r="T17" i="17" a="1"/>
  <c r="AO17" i="17" a="1"/>
  <c r="AW17" i="17" a="1"/>
  <c r="AB17" i="17" a="1"/>
  <c r="K17" i="17" a="1"/>
  <c r="P17" i="17" a="1"/>
  <c r="O17" i="17" a="1"/>
  <c r="AM17" i="17" a="1"/>
  <c r="AA17" i="17" a="1"/>
  <c r="R17" i="17" a="1"/>
  <c r="J17" i="17" a="1"/>
  <c r="X17" i="17" a="1"/>
  <c r="H17" i="17" a="1"/>
  <c r="AL17" i="17" a="1"/>
  <c r="I17" i="17" a="1"/>
  <c r="AC17" i="17" a="1"/>
  <c r="AV17" i="17" a="1"/>
  <c r="AK17" i="17" a="1"/>
  <c r="Q17" i="17" a="1"/>
  <c r="AD17" i="17" a="1"/>
  <c r="D17" i="16" a="1"/>
  <c r="AW17" i="16" a="1"/>
  <c r="AK17" i="16" a="1"/>
  <c r="Y17" i="16" a="1"/>
  <c r="M17" i="16" a="1"/>
  <c r="X17" i="16" a="1"/>
  <c r="V17" i="16" a="1"/>
  <c r="AS17" i="16" a="1"/>
  <c r="F17" i="16" a="1"/>
  <c r="AC17" i="16" a="1"/>
  <c r="AB17" i="16" a="1"/>
  <c r="AM17" i="16" a="1"/>
  <c r="AV17" i="16" a="1"/>
  <c r="AJ17" i="16" a="1"/>
  <c r="L17" i="16" a="1"/>
  <c r="R17" i="16" a="1"/>
  <c r="Q17" i="16" a="1"/>
  <c r="AU17" i="16" a="1"/>
  <c r="AI17" i="16" a="1"/>
  <c r="W17" i="16" a="1"/>
  <c r="K17" i="16" a="1"/>
  <c r="J17" i="16" a="1"/>
  <c r="AG17" i="16" a="1"/>
  <c r="AD17" i="16" a="1"/>
  <c r="AT17" i="16" a="1"/>
  <c r="AH17" i="16" a="1"/>
  <c r="I17" i="16" a="1"/>
  <c r="U17" i="16" a="1"/>
  <c r="H17" i="16" a="1"/>
  <c r="AQ17" i="16" a="1"/>
  <c r="AE17" i="16" a="1"/>
  <c r="G17" i="16" a="1"/>
  <c r="AO17" i="16" a="1"/>
  <c r="P17" i="16" a="1"/>
  <c r="AA17" i="16" a="1"/>
  <c r="S17" i="16" a="1"/>
  <c r="AP17" i="16" a="1"/>
  <c r="T17" i="16" a="1"/>
  <c r="E17" i="16" a="1"/>
  <c r="AN17" i="16" a="1"/>
  <c r="O17" i="16" a="1"/>
  <c r="Z17" i="16" a="1"/>
  <c r="AX17" i="16" a="1"/>
  <c r="N17" i="16" a="1"/>
  <c r="AL17" i="16" a="1"/>
  <c r="AF17" i="16" a="1"/>
  <c r="AR17" i="16" a="1"/>
  <c r="BN49" i="17" l="1" a="1"/>
  <c r="BN49" i="17" s="1"/>
  <c r="BU49" i="17" s="1"/>
  <c r="BL9" i="17" a="1"/>
  <c r="BL9" i="17" s="1"/>
  <c r="BL30" i="17" a="1"/>
  <c r="BL30" i="17" s="1"/>
  <c r="BR30" i="17" s="1"/>
  <c r="BL4" i="16" a="1"/>
  <c r="BL4" i="16" s="1"/>
  <c r="BN9" i="16" a="1"/>
  <c r="BN9" i="16" s="1"/>
  <c r="BU9" i="16" s="1"/>
  <c r="BN42" i="17" a="1"/>
  <c r="BN42" i="17" s="1"/>
  <c r="BU42" i="17" s="1"/>
  <c r="BN50" i="17" a="1"/>
  <c r="BN50" i="17" s="1"/>
  <c r="BU50" i="17" s="1"/>
  <c r="BO50" i="17" a="1"/>
  <c r="BO50" i="17" s="1"/>
  <c r="BO7" i="17" a="1"/>
  <c r="BO7" i="17" s="1"/>
  <c r="BL28" i="17" a="1"/>
  <c r="BL28" i="17" s="1"/>
  <c r="BR28" i="17" s="1"/>
  <c r="BR17" i="17"/>
  <c r="BO19" i="17" a="1"/>
  <c r="BO19" i="17" s="1"/>
  <c r="BR21" i="17"/>
  <c r="BM4" i="17" a="1"/>
  <c r="BM4" i="17" s="1"/>
  <c r="BM41" i="17" a="1"/>
  <c r="BM41" i="17" s="1"/>
  <c r="BM32" i="17" a="1"/>
  <c r="BM32" i="17" s="1"/>
  <c r="BM14" i="17" a="1"/>
  <c r="BM14" i="17" s="1"/>
  <c r="BW40" i="17"/>
  <c r="BL49" i="17" a="1"/>
  <c r="BL49" i="17" s="1"/>
  <c r="BR49" i="17" s="1"/>
  <c r="BM13" i="17" a="1"/>
  <c r="BM13" i="17" s="1"/>
  <c r="BW20" i="17"/>
  <c r="BM40" i="17" a="1"/>
  <c r="BM40" i="17" s="1"/>
  <c r="BM30" i="17" a="1"/>
  <c r="BM30" i="17" s="1"/>
  <c r="BM21" i="17" a="1"/>
  <c r="BM21" i="17" s="1"/>
  <c r="BM12" i="17" a="1"/>
  <c r="BM12" i="17" s="1"/>
  <c r="BL16" i="17" a="1"/>
  <c r="BL16" i="17" s="1"/>
  <c r="BR16" i="17" s="1"/>
  <c r="BL18" i="17" a="1"/>
  <c r="BL18" i="17" s="1"/>
  <c r="BR18" i="17" s="1"/>
  <c r="BL20" i="17" a="1"/>
  <c r="BL20" i="17" s="1"/>
  <c r="BL22" i="17" a="1"/>
  <c r="BL22" i="17" s="1"/>
  <c r="BR22" i="17" s="1"/>
  <c r="BO25" i="17" a="1"/>
  <c r="BO25" i="17" s="1"/>
  <c r="BN28" i="17" a="1"/>
  <c r="BN28" i="17" s="1"/>
  <c r="BU28" i="17" s="1"/>
  <c r="BN30" i="17" a="1"/>
  <c r="BN30" i="17" s="1"/>
  <c r="BU30" i="17" s="1"/>
  <c r="BN40" i="17" a="1"/>
  <c r="BN40" i="17" s="1"/>
  <c r="BU40" i="17" s="1"/>
  <c r="BO49" i="17" a="1"/>
  <c r="BO49" i="17" s="1"/>
  <c r="BM39" i="17" a="1"/>
  <c r="BM39" i="17" s="1"/>
  <c r="BM11" i="17" a="1"/>
  <c r="BM11" i="17" s="1"/>
  <c r="BL5" i="17" a="1"/>
  <c r="BL5" i="17" s="1"/>
  <c r="BL10" i="17" a="1"/>
  <c r="BL10" i="17" s="1"/>
  <c r="BR10" i="17" s="1"/>
  <c r="BN16" i="17" a="1"/>
  <c r="BN16" i="17" s="1"/>
  <c r="BU16" i="17" s="1"/>
  <c r="BN18" i="17" a="1"/>
  <c r="BN18" i="17" s="1"/>
  <c r="BU18" i="17" s="1"/>
  <c r="BN20" i="17" a="1"/>
  <c r="BN20" i="17" s="1"/>
  <c r="BU20" i="17" s="1"/>
  <c r="BN22" i="17" a="1"/>
  <c r="BN22" i="17" s="1"/>
  <c r="BU22" i="17" s="1"/>
  <c r="BO28" i="17" a="1"/>
  <c r="BO28" i="17" s="1"/>
  <c r="BL38" i="17" a="1"/>
  <c r="BL38" i="17" s="1"/>
  <c r="BR38" i="17" s="1"/>
  <c r="BO40" i="17" a="1"/>
  <c r="BO40" i="17" s="1"/>
  <c r="BM38" i="17" a="1"/>
  <c r="BM38" i="17" s="1"/>
  <c r="BM20" i="17" a="1"/>
  <c r="BM20" i="17" s="1"/>
  <c r="BO5" i="17" a="1"/>
  <c r="BO5" i="17" s="1"/>
  <c r="BL8" i="17" a="1"/>
  <c r="BL8" i="17" s="1"/>
  <c r="BR8" i="17" s="1"/>
  <c r="BN10" i="17" a="1"/>
  <c r="BN10" i="17" s="1"/>
  <c r="BU10" i="17" s="1"/>
  <c r="BO18" i="17" a="1"/>
  <c r="BO18" i="17" s="1"/>
  <c r="BO20" i="17" a="1"/>
  <c r="BO20" i="17" s="1"/>
  <c r="BO22" i="17" a="1"/>
  <c r="BO22" i="17" s="1"/>
  <c r="BW50" i="17"/>
  <c r="BM19" i="17" a="1"/>
  <c r="BM19" i="17" s="1"/>
  <c r="BM10" i="17" a="1"/>
  <c r="BM10" i="17" s="1"/>
  <c r="BO16" i="17" a="1"/>
  <c r="BO16" i="17" s="1"/>
  <c r="BR20" i="17"/>
  <c r="BM46" i="17" a="1"/>
  <c r="BM46" i="17" s="1"/>
  <c r="BM36" i="17" a="1"/>
  <c r="BM36" i="17" s="1"/>
  <c r="BM27" i="17" a="1"/>
  <c r="BM27" i="17" s="1"/>
  <c r="BM45" i="17" a="1"/>
  <c r="BM45" i="17" s="1"/>
  <c r="BN8" i="16" a="1"/>
  <c r="BN8" i="16" s="1"/>
  <c r="BN14" i="17" a="1"/>
  <c r="BN14" i="17" s="1"/>
  <c r="BU14" i="17" s="1"/>
  <c r="BW17" i="17"/>
  <c r="BL23" i="17" a="1"/>
  <c r="BL23" i="17" s="1"/>
  <c r="BR23" i="17" s="1"/>
  <c r="BL29" i="17" a="1"/>
  <c r="BL29" i="17" s="1"/>
  <c r="BR29" i="17" s="1"/>
  <c r="BO41" i="17" a="1"/>
  <c r="BO41" i="17" s="1"/>
  <c r="BL48" i="17" a="1"/>
  <c r="BL48" i="17" s="1"/>
  <c r="BR48" i="17" s="1"/>
  <c r="BN29" i="17" a="1"/>
  <c r="BN29" i="17" s="1"/>
  <c r="BU29" i="17" s="1"/>
  <c r="BL39" i="17" a="1"/>
  <c r="BL39" i="17" s="1"/>
  <c r="BR39" i="17" s="1"/>
  <c r="BN48" i="17" a="1"/>
  <c r="BN48" i="17" s="1"/>
  <c r="BU48" i="17" s="1"/>
  <c r="BM7" i="17" a="1"/>
  <c r="BM7" i="17" s="1"/>
  <c r="BR9" i="17"/>
  <c r="BN17" i="17" a="1"/>
  <c r="BN17" i="17" s="1"/>
  <c r="BU17" i="17" s="1"/>
  <c r="BN21" i="17" a="1"/>
  <c r="BN21" i="17" s="1"/>
  <c r="BU21" i="17" s="1"/>
  <c r="BO29" i="17" a="1"/>
  <c r="BO29" i="17" s="1"/>
  <c r="BN39" i="17" a="1"/>
  <c r="BN39" i="17" s="1"/>
  <c r="BU39" i="17" s="1"/>
  <c r="BO48" i="17" a="1"/>
  <c r="BO48" i="17" s="1"/>
  <c r="BM33" i="17" a="1"/>
  <c r="BM33" i="17" s="1"/>
  <c r="BO17" i="17" a="1"/>
  <c r="BO17" i="17" s="1"/>
  <c r="BW42" i="17"/>
  <c r="BO45" i="17" a="1"/>
  <c r="BO45" i="17" s="1"/>
  <c r="BM42" i="17" a="1"/>
  <c r="BM42" i="17" s="1"/>
  <c r="BM5" i="17" a="1"/>
  <c r="BM5" i="17" s="1"/>
  <c r="AD17" i="17"/>
  <c r="Q17" i="17"/>
  <c r="AK17" i="17"/>
  <c r="AV17" i="17"/>
  <c r="AC17" i="17"/>
  <c r="I17" i="17"/>
  <c r="AL17" i="17"/>
  <c r="H17" i="17"/>
  <c r="X17" i="17"/>
  <c r="J17" i="17"/>
  <c r="R17" i="17"/>
  <c r="AA17" i="17"/>
  <c r="AM17" i="17"/>
  <c r="O17" i="17"/>
  <c r="P17" i="17"/>
  <c r="K17" i="17"/>
  <c r="AB17" i="17"/>
  <c r="AW17" i="17"/>
  <c r="AO17" i="17"/>
  <c r="T17" i="17"/>
  <c r="D17" i="17"/>
  <c r="E17" i="17"/>
  <c r="AP17" i="17"/>
  <c r="W17" i="17"/>
  <c r="AI17" i="17"/>
  <c r="AJ17" i="17"/>
  <c r="M17" i="17"/>
  <c r="AF17" i="17"/>
  <c r="AQ17" i="17"/>
  <c r="AS17" i="17"/>
  <c r="G17" i="17"/>
  <c r="L17" i="17"/>
  <c r="F17" i="17"/>
  <c r="N17" i="17"/>
  <c r="V17" i="17"/>
  <c r="AG17" i="17"/>
  <c r="U17" i="17"/>
  <c r="AE17" i="17"/>
  <c r="AX17" i="17"/>
  <c r="S17" i="17"/>
  <c r="AH17" i="17"/>
  <c r="AN17" i="17"/>
  <c r="AR17" i="17"/>
  <c r="AT17" i="17"/>
  <c r="Y17" i="17"/>
  <c r="Z17" i="17"/>
  <c r="AU17" i="17"/>
  <c r="BO15" i="17" a="1"/>
  <c r="BO15" i="17" s="1"/>
  <c r="BN15" i="17" a="1"/>
  <c r="BN15" i="17" s="1"/>
  <c r="BU15" i="17" s="1"/>
  <c r="BL15" i="17" a="1"/>
  <c r="BL15" i="17" s="1"/>
  <c r="BR15" i="17" s="1"/>
  <c r="BO6" i="17" a="1"/>
  <c r="BO6" i="17" s="1"/>
  <c r="BN6" i="17" a="1"/>
  <c r="BN6" i="17" s="1"/>
  <c r="BU6" i="17" s="1"/>
  <c r="BL6" i="17" a="1"/>
  <c r="BL6" i="17" s="1"/>
  <c r="BW6" i="17" s="1"/>
  <c r="BW8" i="17"/>
  <c r="BO43" i="17" a="1"/>
  <c r="BO43" i="17" s="1"/>
  <c r="BN43" i="17" a="1"/>
  <c r="BN43" i="17" s="1"/>
  <c r="BU43" i="17" s="1"/>
  <c r="BR5" i="17"/>
  <c r="BR7" i="17"/>
  <c r="BW9" i="17"/>
  <c r="BN11" i="17" a="1"/>
  <c r="BN11" i="17" s="1"/>
  <c r="BU11" i="17" s="1"/>
  <c r="BO23" i="17" a="1"/>
  <c r="BO23" i="17" s="1"/>
  <c r="BN23" i="17" a="1"/>
  <c r="BN23" i="17" s="1"/>
  <c r="BU23" i="17" s="1"/>
  <c r="BW28" i="17"/>
  <c r="BR35" i="17"/>
  <c r="BO35" i="17" a="1"/>
  <c r="BO35" i="17" s="1"/>
  <c r="BN35" i="17" a="1"/>
  <c r="BN35" i="17" s="1"/>
  <c r="BU35" i="17" s="1"/>
  <c r="BL43" i="17" a="1"/>
  <c r="BL43" i="17" s="1"/>
  <c r="BR43" i="17" s="1"/>
  <c r="BL4" i="17" a="1"/>
  <c r="BL4" i="17" s="1"/>
  <c r="BR4" i="17" s="1"/>
  <c r="BO11" i="17" a="1"/>
  <c r="BO11" i="17" s="1"/>
  <c r="BL12" i="17" a="1"/>
  <c r="BL12" i="17" s="1"/>
  <c r="BR12" i="17" s="1"/>
  <c r="BW4" i="17"/>
  <c r="BO13" i="17" a="1"/>
  <c r="BO13" i="17" s="1"/>
  <c r="BW5" i="17"/>
  <c r="BW7" i="17"/>
  <c r="BL27" i="17" a="1"/>
  <c r="BL27" i="17" s="1"/>
  <c r="BW27" i="17" s="1"/>
  <c r="BW38" i="17"/>
  <c r="BL34" i="17" a="1"/>
  <c r="BL34" i="17" s="1"/>
  <c r="BR34" i="17" s="1"/>
  <c r="BO34" i="17" a="1"/>
  <c r="BO34" i="17" s="1"/>
  <c r="BR11" i="17"/>
  <c r="BN9" i="17" a="1"/>
  <c r="BN9" i="17" s="1"/>
  <c r="BU9" i="17" s="1"/>
  <c r="BR14" i="17"/>
  <c r="BW18" i="17"/>
  <c r="BW21" i="17"/>
  <c r="BL26" i="17" a="1"/>
  <c r="BL26" i="17" s="1"/>
  <c r="BW26" i="17" s="1"/>
  <c r="BO26" i="17" a="1"/>
  <c r="BO26" i="17" s="1"/>
  <c r="BN26" i="17" a="1"/>
  <c r="BN26" i="17" s="1"/>
  <c r="BU26" i="17" s="1"/>
  <c r="BN27" i="17" a="1"/>
  <c r="BN27" i="17" s="1"/>
  <c r="BU27" i="17" s="1"/>
  <c r="BO47" i="17" a="1"/>
  <c r="BO47" i="17" s="1"/>
  <c r="BN47" i="17" a="1"/>
  <c r="BN47" i="17" s="1"/>
  <c r="BU47" i="17" s="1"/>
  <c r="BL47" i="17" a="1"/>
  <c r="BL47" i="17" s="1"/>
  <c r="BR47" i="17" s="1"/>
  <c r="BW49" i="17"/>
  <c r="BW11" i="17"/>
  <c r="BL13" i="17" a="1"/>
  <c r="BL13" i="17" s="1"/>
  <c r="BW13" i="17" s="1"/>
  <c r="BW23" i="17"/>
  <c r="BN25" i="17" a="1"/>
  <c r="BN25" i="17" s="1"/>
  <c r="BU25" i="17" s="1"/>
  <c r="BL25" i="17" a="1"/>
  <c r="BL25" i="17" s="1"/>
  <c r="BW25" i="17" s="1"/>
  <c r="BN34" i="17" a="1"/>
  <c r="BN34" i="17" s="1"/>
  <c r="BU34" i="17" s="1"/>
  <c r="BO37" i="17" a="1"/>
  <c r="BO37" i="17" s="1"/>
  <c r="BN37" i="17" a="1"/>
  <c r="BN37" i="17" s="1"/>
  <c r="BU37" i="17" s="1"/>
  <c r="BW14" i="17"/>
  <c r="BW30" i="17"/>
  <c r="BN33" i="17" a="1"/>
  <c r="BN33" i="17" s="1"/>
  <c r="BU33" i="17" s="1"/>
  <c r="BL33" i="17" a="1"/>
  <c r="BL33" i="17" s="1"/>
  <c r="BW33" i="17" s="1"/>
  <c r="BR33" i="17"/>
  <c r="BL37" i="17" a="1"/>
  <c r="BL37" i="17" s="1"/>
  <c r="BW37" i="17" s="1"/>
  <c r="BW16" i="17"/>
  <c r="BW19" i="17"/>
  <c r="BO24" i="17" a="1"/>
  <c r="BO24" i="17" s="1"/>
  <c r="BN24" i="17" a="1"/>
  <c r="BN24" i="17" s="1"/>
  <c r="BU24" i="17" s="1"/>
  <c r="BL24" i="17" a="1"/>
  <c r="BL24" i="17" s="1"/>
  <c r="BW24" i="17" s="1"/>
  <c r="BL31" i="17" a="1"/>
  <c r="BL31" i="17" s="1"/>
  <c r="BW31" i="17" s="1"/>
  <c r="BL44" i="17" a="1"/>
  <c r="BL44" i="17" s="1"/>
  <c r="BW44" i="17" s="1"/>
  <c r="BN46" i="17" a="1"/>
  <c r="BN46" i="17" s="1"/>
  <c r="BU46" i="17" s="1"/>
  <c r="BL32" i="17" a="1"/>
  <c r="BL32" i="17" s="1"/>
  <c r="BR32" i="17" s="1"/>
  <c r="BL36" i="17" a="1"/>
  <c r="BL36" i="17" s="1"/>
  <c r="BR36" i="17" s="1"/>
  <c r="BO46" i="17" a="1"/>
  <c r="BO46" i="17" s="1"/>
  <c r="BN31" i="17" a="1"/>
  <c r="BN31" i="17" s="1"/>
  <c r="BU31" i="17" s="1"/>
  <c r="BL41" i="17" a="1"/>
  <c r="BL41" i="17" s="1"/>
  <c r="BW41" i="17" s="1"/>
  <c r="BN44" i="17" a="1"/>
  <c r="BN44" i="17" s="1"/>
  <c r="BU44" i="17" s="1"/>
  <c r="BL45" i="17" a="1"/>
  <c r="BL45" i="17" s="1"/>
  <c r="BR45" i="17" s="1"/>
  <c r="BR46" i="17"/>
  <c r="BO31" i="17" a="1"/>
  <c r="BO31" i="17" s="1"/>
  <c r="BN32" i="17" a="1"/>
  <c r="BN32" i="17" s="1"/>
  <c r="BU32" i="17" s="1"/>
  <c r="BN36" i="17" a="1"/>
  <c r="BN36" i="17" s="1"/>
  <c r="BU36" i="17" s="1"/>
  <c r="BO44" i="17" a="1"/>
  <c r="BO44" i="17" s="1"/>
  <c r="BW46" i="17"/>
  <c r="BO49" i="16" a="1"/>
  <c r="BO49" i="16" s="1"/>
  <c r="BN29" i="16" a="1"/>
  <c r="BN29" i="16" s="1"/>
  <c r="BU29" i="16" s="1"/>
  <c r="BO19" i="16" a="1"/>
  <c r="BO19" i="16" s="1"/>
  <c r="BN13" i="16" a="1"/>
  <c r="BN13" i="16" s="1"/>
  <c r="BU13" i="16" s="1"/>
  <c r="BL28" i="16" a="1"/>
  <c r="BL28" i="16" s="1"/>
  <c r="BR28" i="16" s="1"/>
  <c r="BM13" i="16" a="1"/>
  <c r="BM13" i="16" s="1"/>
  <c r="BN49" i="16" a="1"/>
  <c r="BN49" i="16" s="1"/>
  <c r="BU49" i="16" s="1"/>
  <c r="BM27" i="16" a="1"/>
  <c r="BM27" i="16" s="1"/>
  <c r="BN45" i="16" a="1"/>
  <c r="BN45" i="16" s="1"/>
  <c r="BU45" i="16" s="1"/>
  <c r="BO28" i="16" a="1"/>
  <c r="BO28" i="16" s="1"/>
  <c r="BM23" i="16" a="1"/>
  <c r="BM23" i="16" s="1"/>
  <c r="BN44" i="16" a="1"/>
  <c r="BN44" i="16" s="1"/>
  <c r="BU44" i="16" s="1"/>
  <c r="BN28" i="16" a="1"/>
  <c r="BN28" i="16" s="1"/>
  <c r="BU28" i="16" s="1"/>
  <c r="BL49" i="16" a="1"/>
  <c r="BL49" i="16" s="1"/>
  <c r="BM18" i="16" a="1"/>
  <c r="BM18" i="16" s="1"/>
  <c r="BO23" i="16" a="1"/>
  <c r="BO23" i="16" s="1"/>
  <c r="BL44" i="16" a="1"/>
  <c r="BL44" i="16" s="1"/>
  <c r="BW44" i="16" s="1"/>
  <c r="BM17" i="16" a="1"/>
  <c r="BM17" i="16" s="1"/>
  <c r="BT24" i="16"/>
  <c r="BO43" i="16" a="1"/>
  <c r="BO43" i="16" s="1"/>
  <c r="BN23" i="16" a="1"/>
  <c r="BN23" i="16" s="1"/>
  <c r="BU23" i="16" s="1"/>
  <c r="BM43" i="16" a="1"/>
  <c r="BM43" i="16" s="1"/>
  <c r="BL17" i="16" a="1"/>
  <c r="BL17" i="16" s="1"/>
  <c r="BW17" i="16" s="1"/>
  <c r="BN40" i="16" a="1"/>
  <c r="BN40" i="16" s="1"/>
  <c r="BU40" i="16" s="1"/>
  <c r="BL43" i="16" a="1"/>
  <c r="BL43" i="16" s="1"/>
  <c r="BW43" i="16" s="1"/>
  <c r="BN39" i="16" a="1"/>
  <c r="BN39" i="16" s="1"/>
  <c r="BO18" i="16" a="1"/>
  <c r="BO18" i="16" s="1"/>
  <c r="BL39" i="16" a="1"/>
  <c r="BL39" i="16" s="1"/>
  <c r="BW39" i="16" s="1"/>
  <c r="BL8" i="16" a="1"/>
  <c r="BL8" i="16" s="1"/>
  <c r="BW8" i="16" s="1"/>
  <c r="BO38" i="16" a="1"/>
  <c r="BO38" i="16" s="1"/>
  <c r="BN18" i="16" a="1"/>
  <c r="BN18" i="16" s="1"/>
  <c r="BU18" i="16" s="1"/>
  <c r="BL38" i="16" a="1"/>
  <c r="BL38" i="16" s="1"/>
  <c r="BM7" i="16" a="1"/>
  <c r="BM7" i="16" s="1"/>
  <c r="BN4" i="16" a="1"/>
  <c r="BN4" i="16" s="1"/>
  <c r="BU4" i="16" s="1"/>
  <c r="BN38" i="16" a="1"/>
  <c r="BN38" i="16" s="1"/>
  <c r="BU38" i="16" s="1"/>
  <c r="BO17" i="16" a="1"/>
  <c r="BO17" i="16" s="1"/>
  <c r="BL34" i="16" a="1"/>
  <c r="BL34" i="16" s="1"/>
  <c r="BR34" i="16" s="1"/>
  <c r="BL7" i="16" a="1"/>
  <c r="BL7" i="16" s="1"/>
  <c r="BW7" i="16" s="1"/>
  <c r="BO37" i="16" a="1"/>
  <c r="BO37" i="16" s="1"/>
  <c r="BN14" i="16" a="1"/>
  <c r="BN14" i="16" s="1"/>
  <c r="BL33" i="16" a="1"/>
  <c r="BL33" i="16" s="1"/>
  <c r="BW33" i="16" s="1"/>
  <c r="BN50" i="16" a="1"/>
  <c r="BN50" i="16" s="1"/>
  <c r="BU50" i="16" s="1"/>
  <c r="BO29" i="16" a="1"/>
  <c r="BO29" i="16" s="1"/>
  <c r="BO13" i="16" a="1"/>
  <c r="BO13" i="16" s="1"/>
  <c r="BM32" i="16" a="1"/>
  <c r="BM32" i="16" s="1"/>
  <c r="BO44" i="16" a="1"/>
  <c r="BO44" i="16" s="1"/>
  <c r="BO39" i="16" a="1"/>
  <c r="BO39" i="16" s="1"/>
  <c r="BO34" i="16" a="1"/>
  <c r="BO34" i="16" s="1"/>
  <c r="BN24" i="16" a="1"/>
  <c r="BN24" i="16" s="1"/>
  <c r="BU24" i="16" s="1"/>
  <c r="BN19" i="16" a="1"/>
  <c r="BN19" i="16" s="1"/>
  <c r="BU19" i="16" s="1"/>
  <c r="BO8" i="16" a="1"/>
  <c r="BO8" i="16" s="1"/>
  <c r="BM33" i="16" a="1"/>
  <c r="BM33" i="16" s="1"/>
  <c r="BL12" i="16" a="1"/>
  <c r="BL12" i="16" s="1"/>
  <c r="BM22" i="16" a="1"/>
  <c r="BM22" i="16" s="1"/>
  <c r="BO48" i="16" a="1"/>
  <c r="BO48" i="16" s="1"/>
  <c r="BO12" i="16" a="1"/>
  <c r="BO12" i="16" s="1"/>
  <c r="BO7" i="16" a="1"/>
  <c r="BO7" i="16" s="1"/>
  <c r="BL48" i="16" a="1"/>
  <c r="BL48" i="16" s="1"/>
  <c r="BM42" i="16" a="1"/>
  <c r="BM42" i="16" s="1"/>
  <c r="BM37" i="16" a="1"/>
  <c r="BM37" i="16" s="1"/>
  <c r="BL32" i="16" a="1"/>
  <c r="BL32" i="16" s="1"/>
  <c r="BW32" i="16" s="1"/>
  <c r="BL27" i="16" a="1"/>
  <c r="BL27" i="16" s="1"/>
  <c r="BL22" i="16" a="1"/>
  <c r="BL22" i="16" s="1"/>
  <c r="BR22" i="16" s="1"/>
  <c r="BM11" i="16" a="1"/>
  <c r="BM11" i="16" s="1"/>
  <c r="BM6" i="16" a="1"/>
  <c r="BM6" i="16" s="1"/>
  <c r="BN33" i="16" a="1"/>
  <c r="BN33" i="16" s="1"/>
  <c r="BU33" i="16" s="1"/>
  <c r="BN48" i="16" a="1"/>
  <c r="BN48" i="16" s="1"/>
  <c r="BU48" i="16" s="1"/>
  <c r="BO32" i="16" a="1"/>
  <c r="BO32" i="16" s="1"/>
  <c r="BO27" i="16" a="1"/>
  <c r="BO27" i="16" s="1"/>
  <c r="BO22" i="16" a="1"/>
  <c r="BO22" i="16" s="1"/>
  <c r="BN12" i="16" a="1"/>
  <c r="BN12" i="16" s="1"/>
  <c r="BU12" i="16" s="1"/>
  <c r="BM47" i="16" a="1"/>
  <c r="BM47" i="16" s="1"/>
  <c r="BL42" i="16" a="1"/>
  <c r="BL42" i="16" s="1"/>
  <c r="BW42" i="16" s="1"/>
  <c r="BL37" i="16" a="1"/>
  <c r="BL37" i="16" s="1"/>
  <c r="BW37" i="16" s="1"/>
  <c r="BM26" i="16" a="1"/>
  <c r="BM26" i="16" s="1"/>
  <c r="BM21" i="16" a="1"/>
  <c r="BM21" i="16" s="1"/>
  <c r="BM16" i="16" a="1"/>
  <c r="BM16" i="16" s="1"/>
  <c r="BL11" i="16" a="1"/>
  <c r="BL11" i="16" s="1"/>
  <c r="BL6" i="16" a="1"/>
  <c r="BL6" i="16" s="1"/>
  <c r="BN34" i="16" a="1"/>
  <c r="BN34" i="16" s="1"/>
  <c r="BU34" i="16" s="1"/>
  <c r="BO47" i="16" a="1"/>
  <c r="BO47" i="16" s="1"/>
  <c r="BO42" i="16" a="1"/>
  <c r="BO42" i="16" s="1"/>
  <c r="BO11" i="16" a="1"/>
  <c r="BO11" i="16" s="1"/>
  <c r="BO6" i="16" a="1"/>
  <c r="BO6" i="16" s="1"/>
  <c r="BL47" i="16" a="1"/>
  <c r="BL47" i="16" s="1"/>
  <c r="BM41" i="16" a="1"/>
  <c r="BM41" i="16" s="1"/>
  <c r="BM36" i="16" a="1"/>
  <c r="BM36" i="16" s="1"/>
  <c r="BM31" i="16" a="1"/>
  <c r="BM31" i="16" s="1"/>
  <c r="BL26" i="16" a="1"/>
  <c r="BL26" i="16" s="1"/>
  <c r="BR26" i="16" s="1"/>
  <c r="BL21" i="16" a="1"/>
  <c r="BL21" i="16" s="1"/>
  <c r="BW21" i="16" s="1"/>
  <c r="BL16" i="16" a="1"/>
  <c r="BL16" i="16" s="1"/>
  <c r="BW16" i="16" s="1"/>
  <c r="BM5" i="16" a="1"/>
  <c r="BM5" i="16" s="1"/>
  <c r="BO26" i="16" a="1"/>
  <c r="BO26" i="16" s="1"/>
  <c r="BO21" i="16" a="1"/>
  <c r="BO21" i="16" s="1"/>
  <c r="BO16" i="16" a="1"/>
  <c r="BO16" i="16" s="1"/>
  <c r="BM46" i="16" a="1"/>
  <c r="BM46" i="16" s="1"/>
  <c r="BL41" i="16" a="1"/>
  <c r="BL41" i="16" s="1"/>
  <c r="BW41" i="16" s="1"/>
  <c r="BL36" i="16" a="1"/>
  <c r="BL36" i="16" s="1"/>
  <c r="BL31" i="16" a="1"/>
  <c r="BL31" i="16" s="1"/>
  <c r="BW31" i="16" s="1"/>
  <c r="BM20" i="16" a="1"/>
  <c r="BM20" i="16" s="1"/>
  <c r="BM15" i="16" a="1"/>
  <c r="BM15" i="16" s="1"/>
  <c r="BM10" i="16" a="1"/>
  <c r="BM10" i="16" s="1"/>
  <c r="BL5" i="16" a="1"/>
  <c r="BL5" i="16" s="1"/>
  <c r="BW5" i="16" s="1"/>
  <c r="BO41" i="16" a="1"/>
  <c r="BO41" i="16" s="1"/>
  <c r="BO36" i="16" a="1"/>
  <c r="BO36" i="16" s="1"/>
  <c r="BO31" i="16" a="1"/>
  <c r="BO31" i="16" s="1"/>
  <c r="BO5" i="16" a="1"/>
  <c r="BO5" i="16" s="1"/>
  <c r="BL46" i="16" a="1"/>
  <c r="BL46" i="16" s="1"/>
  <c r="BM35" i="16" a="1"/>
  <c r="BM35" i="16" s="1"/>
  <c r="BM30" i="16" a="1"/>
  <c r="BM30" i="16" s="1"/>
  <c r="BM25" i="16" a="1"/>
  <c r="BM25" i="16" s="1"/>
  <c r="BL20" i="16" a="1"/>
  <c r="BL20" i="16" s="1"/>
  <c r="BR20" i="16" s="1"/>
  <c r="BL15" i="16" a="1"/>
  <c r="BL15" i="16" s="1"/>
  <c r="BR15" i="16" s="1"/>
  <c r="BL10" i="16" a="1"/>
  <c r="BL10" i="16" s="1"/>
  <c r="BW10" i="16" s="1"/>
  <c r="BO46" i="16" a="1"/>
  <c r="BO46" i="16" s="1"/>
  <c r="BO20" i="16" a="1"/>
  <c r="BO20" i="16" s="1"/>
  <c r="BO15" i="16" a="1"/>
  <c r="BO15" i="16" s="1"/>
  <c r="BO10" i="16" a="1"/>
  <c r="BO10" i="16" s="1"/>
  <c r="BM45" i="16" a="1"/>
  <c r="BM45" i="16" s="1"/>
  <c r="BM40" i="16" a="1"/>
  <c r="BM40" i="16" s="1"/>
  <c r="BL35" i="16" a="1"/>
  <c r="BL35" i="16" s="1"/>
  <c r="BR35" i="16" s="1"/>
  <c r="BL30" i="16" a="1"/>
  <c r="BL30" i="16" s="1"/>
  <c r="BR30" i="16" s="1"/>
  <c r="BL25" i="16" a="1"/>
  <c r="BL25" i="16" s="1"/>
  <c r="BW25" i="16" s="1"/>
  <c r="BM14" i="16" a="1"/>
  <c r="BM14" i="16" s="1"/>
  <c r="BM9" i="16" a="1"/>
  <c r="BM9" i="16" s="1"/>
  <c r="BO24" i="16" a="1"/>
  <c r="BO24" i="16" s="1"/>
  <c r="BO35" i="16" a="1"/>
  <c r="BO35" i="16" s="1"/>
  <c r="BO30" i="16" a="1"/>
  <c r="BO30" i="16" s="1"/>
  <c r="BO25" i="16" a="1"/>
  <c r="BO25" i="16" s="1"/>
  <c r="BM50" i="16" a="1"/>
  <c r="BM50" i="16" s="1"/>
  <c r="BL45" i="16" a="1"/>
  <c r="BL45" i="16" s="1"/>
  <c r="BL40" i="16" a="1"/>
  <c r="BL40" i="16" s="1"/>
  <c r="BR40" i="16" s="1"/>
  <c r="BM29" i="16" a="1"/>
  <c r="BM29" i="16" s="1"/>
  <c r="BM24" i="16" a="1"/>
  <c r="BM24" i="16" s="1"/>
  <c r="BM19" i="16" a="1"/>
  <c r="BM19" i="16" s="1"/>
  <c r="BL14" i="16" a="1"/>
  <c r="BL14" i="16" s="1"/>
  <c r="BR14" i="16" s="1"/>
  <c r="BL9" i="16" a="1"/>
  <c r="BL9" i="16" s="1"/>
  <c r="BR9" i="16" s="1"/>
  <c r="BO50" i="16" a="1"/>
  <c r="BO50" i="16" s="1"/>
  <c r="BU15" i="16"/>
  <c r="BU27" i="16"/>
  <c r="BU14" i="16"/>
  <c r="BU39" i="16"/>
  <c r="BW23" i="16"/>
  <c r="BR23" i="16"/>
  <c r="BW13" i="16"/>
  <c r="BR13" i="16"/>
  <c r="BW12" i="16"/>
  <c r="BR12" i="16"/>
  <c r="BR31" i="16"/>
  <c r="BW20" i="16"/>
  <c r="BW24" i="16"/>
  <c r="BR24" i="16"/>
  <c r="BW38" i="16"/>
  <c r="BR38" i="16"/>
  <c r="BW27" i="16"/>
  <c r="BR27" i="16"/>
  <c r="BW6" i="16"/>
  <c r="BR6" i="16"/>
  <c r="BW29" i="16"/>
  <c r="BR29" i="16"/>
  <c r="BR18" i="16"/>
  <c r="BW18" i="16"/>
  <c r="BR36" i="16"/>
  <c r="BW36" i="16"/>
  <c r="BW26" i="16"/>
  <c r="BW22" i="16"/>
  <c r="BW28" i="16"/>
  <c r="BW4" i="16"/>
  <c r="BR4" i="16"/>
  <c r="D17" i="16"/>
  <c r="AR17" i="16"/>
  <c r="AF17" i="16"/>
  <c r="AL17" i="16"/>
  <c r="N17" i="16"/>
  <c r="AX17" i="16"/>
  <c r="Z17" i="16"/>
  <c r="O17" i="16"/>
  <c r="AN17" i="16"/>
  <c r="E17" i="16"/>
  <c r="T17" i="16"/>
  <c r="AP17" i="16"/>
  <c r="S17" i="16"/>
  <c r="AA17" i="16"/>
  <c r="P17" i="16"/>
  <c r="AO17" i="16"/>
  <c r="G17" i="16"/>
  <c r="AE17" i="16"/>
  <c r="AQ17" i="16"/>
  <c r="H17" i="16"/>
  <c r="U17" i="16"/>
  <c r="I17" i="16"/>
  <c r="AH17" i="16"/>
  <c r="AT17" i="16"/>
  <c r="AD17" i="16"/>
  <c r="AG17" i="16"/>
  <c r="J17" i="16"/>
  <c r="K17" i="16"/>
  <c r="W17" i="16"/>
  <c r="AI17" i="16"/>
  <c r="AU17" i="16"/>
  <c r="Q17" i="16"/>
  <c r="R17" i="16"/>
  <c r="L17" i="16"/>
  <c r="AJ17" i="16"/>
  <c r="AV17" i="16"/>
  <c r="AM17" i="16"/>
  <c r="AB17" i="16"/>
  <c r="AC17" i="16"/>
  <c r="F17" i="16"/>
  <c r="AS17" i="16"/>
  <c r="V17" i="16"/>
  <c r="X17" i="16"/>
  <c r="M17" i="16"/>
  <c r="Y17" i="16"/>
  <c r="AK17" i="16"/>
  <c r="AW17" i="16"/>
  <c r="BW11" i="16"/>
  <c r="BR11" i="16"/>
  <c r="BR8" i="16"/>
  <c r="BR7" i="16"/>
  <c r="BU8" i="16"/>
  <c r="BR39" i="16"/>
  <c r="BR33" i="16"/>
  <c r="BR44" i="16"/>
  <c r="BR19" i="16"/>
  <c r="BR32" i="16"/>
  <c r="BR37" i="16"/>
  <c r="BU42" i="16"/>
  <c r="BU51" i="16"/>
  <c r="AI4" i="10"/>
  <c r="AC37" i="10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D42" i="10" a="1"/>
  <c r="AD42" i="10" s="1"/>
  <c r="AB41" i="10" a="1"/>
  <c r="AB41" i="10" s="1"/>
  <c r="AC42" i="10" a="1"/>
  <c r="AC42" i="10" s="1"/>
  <c r="AB42" i="10" a="1"/>
  <c r="AB42" i="10" s="1"/>
  <c r="AE43" i="10" a="1"/>
  <c r="AE43" i="10" s="1"/>
  <c r="AD43" i="10" a="1"/>
  <c r="AD43" i="10" s="1"/>
  <c r="AD39" i="10" a="1"/>
  <c r="AD39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C44" i="12"/>
  <c r="BW34" i="16" l="1"/>
  <c r="BR41" i="16"/>
  <c r="BW35" i="16"/>
  <c r="BW39" i="17"/>
  <c r="BR43" i="16"/>
  <c r="BW47" i="17"/>
  <c r="BW29" i="17"/>
  <c r="BW22" i="17"/>
  <c r="BR27" i="17"/>
  <c r="BW48" i="17"/>
  <c r="BR31" i="17"/>
  <c r="BR42" i="16"/>
  <c r="BW34" i="17"/>
  <c r="BR44" i="17"/>
  <c r="BW10" i="17"/>
  <c r="BR21" i="16"/>
  <c r="BR25" i="17"/>
  <c r="Z20" i="17" a="1"/>
  <c r="Z20" i="17" s="1"/>
  <c r="AB13" i="17" s="1"/>
  <c r="Z18" i="17" a="1"/>
  <c r="Z18" i="17" s="1"/>
  <c r="Z21" i="17" a="1"/>
  <c r="Z21" i="17" s="1"/>
  <c r="Z19" i="17" a="1"/>
  <c r="Z19" i="17" s="1"/>
  <c r="Z13" i="17" s="1"/>
  <c r="N21" i="17" a="1"/>
  <c r="N21" i="17" s="1"/>
  <c r="N18" i="17" a="1"/>
  <c r="N18" i="17" s="1"/>
  <c r="N20" i="17" a="1"/>
  <c r="N20" i="17" s="1"/>
  <c r="S13" i="17" s="1"/>
  <c r="N19" i="17" a="1"/>
  <c r="N19" i="17" s="1"/>
  <c r="Q13" i="17" s="1"/>
  <c r="E20" i="17" a="1"/>
  <c r="E20" i="17" s="1"/>
  <c r="E19" i="17" a="1"/>
  <c r="E19" i="17" s="1"/>
  <c r="C7" i="17" s="1"/>
  <c r="E21" i="17" a="1"/>
  <c r="E21" i="17" s="1"/>
  <c r="E18" i="17" a="1"/>
  <c r="E18" i="17" s="1"/>
  <c r="J19" i="17" a="1"/>
  <c r="J19" i="17" s="1"/>
  <c r="G10" i="17" s="1"/>
  <c r="J21" i="17" a="1"/>
  <c r="J21" i="17" s="1"/>
  <c r="J18" i="17" a="1"/>
  <c r="J18" i="17" s="1"/>
  <c r="J20" i="17" a="1"/>
  <c r="J20" i="17" s="1"/>
  <c r="BR26" i="17"/>
  <c r="Y20" i="17" a="1"/>
  <c r="Y20" i="17" s="1"/>
  <c r="AA10" i="17" s="1"/>
  <c r="Y19" i="17" a="1"/>
  <c r="Y19" i="17" s="1"/>
  <c r="Y10" i="17" s="1"/>
  <c r="Y18" i="17" a="1"/>
  <c r="Y18" i="17" s="1"/>
  <c r="Y21" i="17" a="1"/>
  <c r="Y21" i="17" s="1"/>
  <c r="F20" i="17" a="1"/>
  <c r="F20" i="17" s="1"/>
  <c r="F18" i="17" a="1"/>
  <c r="F18" i="17" s="1"/>
  <c r="B3" i="17" s="1"/>
  <c r="F19" i="17" a="1"/>
  <c r="F19" i="17" s="1"/>
  <c r="F21" i="17" a="1"/>
  <c r="F21" i="17" s="1"/>
  <c r="D21" i="17" a="1"/>
  <c r="D21" i="17" s="1"/>
  <c r="D18" i="17" a="1"/>
  <c r="D18" i="17" s="1"/>
  <c r="D20" i="17" a="1"/>
  <c r="D20" i="17" s="1"/>
  <c r="E26" i="17"/>
  <c r="D19" i="17" a="1"/>
  <c r="D19" i="17" s="1"/>
  <c r="E35" i="17"/>
  <c r="X21" i="17" a="1"/>
  <c r="X21" i="17" s="1"/>
  <c r="X18" i="17" a="1"/>
  <c r="X18" i="17" s="1"/>
  <c r="X20" i="17" a="1"/>
  <c r="X20" i="17" s="1"/>
  <c r="Z7" i="17" s="1"/>
  <c r="X19" i="17" a="1"/>
  <c r="X19" i="17" s="1"/>
  <c r="X7" i="17" s="1"/>
  <c r="BW32" i="17"/>
  <c r="AT20" i="17" a="1"/>
  <c r="AT20" i="17" s="1"/>
  <c r="AT19" i="17" a="1"/>
  <c r="AT19" i="17" s="1"/>
  <c r="AT18" i="17" a="1"/>
  <c r="AT18" i="17" s="1"/>
  <c r="AT21" i="17" a="1"/>
  <c r="AT21" i="17" s="1"/>
  <c r="L21" i="17" a="1"/>
  <c r="L21" i="17" s="1"/>
  <c r="L18" i="17" a="1"/>
  <c r="L18" i="17" s="1"/>
  <c r="L20" i="17" a="1"/>
  <c r="L20" i="17" s="1"/>
  <c r="T7" i="17" s="1"/>
  <c r="L19" i="17" a="1"/>
  <c r="L19" i="17" s="1"/>
  <c r="R7" i="17" s="1"/>
  <c r="T19" i="17" a="1"/>
  <c r="T19" i="17" s="1"/>
  <c r="K13" i="17" s="1"/>
  <c r="T21" i="17" a="1"/>
  <c r="T21" i="17" s="1"/>
  <c r="T18" i="17" a="1"/>
  <c r="T18" i="17" s="1"/>
  <c r="T20" i="17" a="1"/>
  <c r="T20" i="17" s="1"/>
  <c r="M13" i="17" s="1"/>
  <c r="H19" i="17" a="1"/>
  <c r="H19" i="17" s="1"/>
  <c r="E4" i="17" s="1"/>
  <c r="H21" i="17" a="1"/>
  <c r="H21" i="17" s="1"/>
  <c r="H18" i="17" a="1"/>
  <c r="H18" i="17" s="1"/>
  <c r="H20" i="17" a="1"/>
  <c r="H20" i="17" s="1"/>
  <c r="AG21" i="17" a="1"/>
  <c r="AG21" i="17" s="1"/>
  <c r="AG18" i="17" a="1"/>
  <c r="AG18" i="17" s="1"/>
  <c r="AG19" i="17" a="1"/>
  <c r="AG19" i="17" s="1"/>
  <c r="V9" i="17" s="1"/>
  <c r="AG20" i="17" a="1"/>
  <c r="AG20" i="17" s="1"/>
  <c r="X9" i="17" s="1"/>
  <c r="V21" i="17" a="1"/>
  <c r="V21" i="17" s="1"/>
  <c r="V18" i="17" a="1"/>
  <c r="V18" i="17" s="1"/>
  <c r="V20" i="17" a="1"/>
  <c r="V20" i="17" s="1"/>
  <c r="X10" i="17" s="1"/>
  <c r="V19" i="17" a="1"/>
  <c r="V19" i="17" s="1"/>
  <c r="V10" i="17" s="1"/>
  <c r="BW36" i="17"/>
  <c r="BR24" i="17"/>
  <c r="BW12" i="17"/>
  <c r="BR6" i="17"/>
  <c r="AR21" i="17" a="1"/>
  <c r="AR21" i="17" s="1"/>
  <c r="AR18" i="17" a="1"/>
  <c r="AR18" i="17" s="1"/>
  <c r="AR20" i="17" a="1"/>
  <c r="AR20" i="17" s="1"/>
  <c r="AE13" i="17" s="1"/>
  <c r="AR19" i="17" a="1"/>
  <c r="AR19" i="17" s="1"/>
  <c r="AC13" i="17" s="1"/>
  <c r="G20" i="17" a="1"/>
  <c r="G20" i="17" s="1"/>
  <c r="G19" i="17" a="1"/>
  <c r="G19" i="17" s="1"/>
  <c r="D10" i="17" s="1"/>
  <c r="G21" i="17" a="1"/>
  <c r="G21" i="17" s="1"/>
  <c r="G18" i="17" a="1"/>
  <c r="G18" i="17" s="1"/>
  <c r="AO19" i="17" a="1"/>
  <c r="AO19" i="17" s="1"/>
  <c r="AF13" i="17" s="1"/>
  <c r="AO21" i="17" a="1"/>
  <c r="AO21" i="17" s="1"/>
  <c r="AO18" i="17" a="1"/>
  <c r="AO18" i="17" s="1"/>
  <c r="AO20" i="17" a="1"/>
  <c r="AO20" i="17" s="1"/>
  <c r="AH13" i="17" s="1"/>
  <c r="AL20" i="17" a="1"/>
  <c r="AL20" i="17" s="1"/>
  <c r="AD9" i="17" s="1"/>
  <c r="AL19" i="17" a="1"/>
  <c r="AL19" i="17" s="1"/>
  <c r="AB9" i="17" s="1"/>
  <c r="AL21" i="17" a="1"/>
  <c r="AL21" i="17" s="1"/>
  <c r="AL18" i="17" a="1"/>
  <c r="AL18" i="17" s="1"/>
  <c r="BW15" i="17"/>
  <c r="AN19" i="17" a="1"/>
  <c r="AN19" i="17" s="1"/>
  <c r="AA7" i="17" s="1"/>
  <c r="AN21" i="17" a="1"/>
  <c r="AN21" i="17" s="1"/>
  <c r="AN18" i="17" a="1"/>
  <c r="AN18" i="17" s="1"/>
  <c r="AN20" i="17" a="1"/>
  <c r="AN20" i="17" s="1"/>
  <c r="AC7" i="17" s="1"/>
  <c r="AS21" i="17" a="1"/>
  <c r="AS21" i="17" s="1"/>
  <c r="AS18" i="17" a="1"/>
  <c r="AS18" i="17" s="1"/>
  <c r="AS20" i="17" a="1"/>
  <c r="AS20" i="17" s="1"/>
  <c r="AS19" i="17" a="1"/>
  <c r="AS19" i="17" s="1"/>
  <c r="AW19" i="17" a="1"/>
  <c r="AW19" i="17" s="1"/>
  <c r="AW21" i="17" a="1"/>
  <c r="AW21" i="17" s="1"/>
  <c r="AW18" i="17" a="1"/>
  <c r="AW18" i="17" s="1"/>
  <c r="AW20" i="17" a="1"/>
  <c r="AW20" i="17" s="1"/>
  <c r="I19" i="17" a="1"/>
  <c r="I19" i="17" s="1"/>
  <c r="F7" i="17" s="1"/>
  <c r="I20" i="17" a="1"/>
  <c r="I20" i="17" s="1"/>
  <c r="I21" i="17" a="1"/>
  <c r="I21" i="17" s="1"/>
  <c r="I18" i="17" a="1"/>
  <c r="I18" i="17" s="1"/>
  <c r="W21" i="17" a="1"/>
  <c r="W21" i="17" s="1"/>
  <c r="W18" i="17" a="1"/>
  <c r="W18" i="17" s="1"/>
  <c r="W19" i="17" a="1"/>
  <c r="W19" i="17" s="1"/>
  <c r="W4" i="17" s="1"/>
  <c r="W20" i="17" a="1"/>
  <c r="W20" i="17" s="1"/>
  <c r="Y4" i="17" s="1"/>
  <c r="AP19" i="17" a="1"/>
  <c r="AP19" i="17" s="1"/>
  <c r="AD7" i="17" s="1"/>
  <c r="AP21" i="17" a="1"/>
  <c r="AP21" i="17" s="1"/>
  <c r="AP18" i="17" a="1"/>
  <c r="AP18" i="17" s="1"/>
  <c r="AP20" i="17" a="1"/>
  <c r="AP20" i="17" s="1"/>
  <c r="BR37" i="17"/>
  <c r="AH21" i="17" a="1"/>
  <c r="AH21" i="17" s="1"/>
  <c r="AH18" i="17" a="1"/>
  <c r="AH18" i="17" s="1"/>
  <c r="AH20" i="17" a="1"/>
  <c r="AH20" i="17" s="1"/>
  <c r="Y3" i="17" s="1"/>
  <c r="AH19" i="17" a="1"/>
  <c r="AH19" i="17" s="1"/>
  <c r="W3" i="17" s="1"/>
  <c r="AQ21" i="17" a="1"/>
  <c r="AQ21" i="17" s="1"/>
  <c r="AQ18" i="17" a="1"/>
  <c r="AQ18" i="17" s="1"/>
  <c r="AQ19" i="17" a="1"/>
  <c r="AQ19" i="17" s="1"/>
  <c r="W13" i="17" s="1"/>
  <c r="AQ20" i="17" a="1"/>
  <c r="AQ20" i="17" s="1"/>
  <c r="Y13" i="17" s="1"/>
  <c r="AB20" i="17" a="1"/>
  <c r="AB20" i="17" s="1"/>
  <c r="AD10" i="17" s="1"/>
  <c r="AB19" i="17" a="1"/>
  <c r="AB19" i="17" s="1"/>
  <c r="AB10" i="17" s="1"/>
  <c r="AB21" i="17" a="1"/>
  <c r="AB21" i="17" s="1"/>
  <c r="AB18" i="17" a="1"/>
  <c r="AB18" i="17" s="1"/>
  <c r="AC19" i="17" a="1"/>
  <c r="AC19" i="17" s="1"/>
  <c r="AC4" i="17" s="1"/>
  <c r="AC21" i="17" a="1"/>
  <c r="AC21" i="17" s="1"/>
  <c r="AC18" i="17" a="1"/>
  <c r="AC18" i="17" s="1"/>
  <c r="AC20" i="17" a="1"/>
  <c r="AC20" i="17" s="1"/>
  <c r="AE4" i="17" s="1"/>
  <c r="BW45" i="17"/>
  <c r="BR41" i="17"/>
  <c r="BR13" i="17"/>
  <c r="S19" i="17" a="1"/>
  <c r="S19" i="17" s="1"/>
  <c r="P10" i="17" s="1"/>
  <c r="S21" i="17" a="1"/>
  <c r="S21" i="17" s="1"/>
  <c r="S18" i="17" a="1"/>
  <c r="S18" i="17" s="1"/>
  <c r="S20" i="17" a="1"/>
  <c r="S20" i="17" s="1"/>
  <c r="R10" i="17" s="1"/>
  <c r="AF21" i="17" a="1"/>
  <c r="AF21" i="17" s="1"/>
  <c r="AF18" i="17" a="1"/>
  <c r="AF18" i="17" s="1"/>
  <c r="AF20" i="17" a="1"/>
  <c r="AF20" i="17" s="1"/>
  <c r="W6" i="17" s="1"/>
  <c r="AF19" i="17" a="1"/>
  <c r="AF19" i="17" s="1"/>
  <c r="U6" i="17" s="1"/>
  <c r="K19" i="17" a="1"/>
  <c r="K19" i="17" s="1"/>
  <c r="H13" i="17" s="1"/>
  <c r="K21" i="17" a="1"/>
  <c r="K21" i="17" s="1"/>
  <c r="K18" i="17" a="1"/>
  <c r="K18" i="17" s="1"/>
  <c r="K20" i="17" a="1"/>
  <c r="K20" i="17" s="1"/>
  <c r="AV20" i="17" a="1"/>
  <c r="AV20" i="17" s="1"/>
  <c r="AV19" i="17" a="1"/>
  <c r="AV19" i="17" s="1"/>
  <c r="AV21" i="17" a="1"/>
  <c r="AV21" i="17" s="1"/>
  <c r="AV18" i="17" a="1"/>
  <c r="AV18" i="17" s="1"/>
  <c r="AU20" i="17" a="1"/>
  <c r="AU20" i="17" s="1"/>
  <c r="AU21" i="17" a="1"/>
  <c r="AU21" i="17" s="1"/>
  <c r="AU18" i="17" a="1"/>
  <c r="AU18" i="17" s="1"/>
  <c r="AU19" i="17" a="1"/>
  <c r="AU19" i="17" s="1"/>
  <c r="AX19" i="17" a="1"/>
  <c r="AX19" i="17" s="1"/>
  <c r="AX21" i="17" a="1"/>
  <c r="AX21" i="17" s="1"/>
  <c r="AX18" i="17" a="1"/>
  <c r="AX18" i="17" s="1"/>
  <c r="AX20" i="17" a="1"/>
  <c r="AX20" i="17" s="1"/>
  <c r="M21" i="17" a="1"/>
  <c r="M21" i="17" s="1"/>
  <c r="M18" i="17" a="1"/>
  <c r="M18" i="17" s="1"/>
  <c r="M20" i="17" a="1"/>
  <c r="M20" i="17" s="1"/>
  <c r="U10" i="17" s="1"/>
  <c r="M19" i="17" a="1"/>
  <c r="M19" i="17" s="1"/>
  <c r="S10" i="17" s="1"/>
  <c r="P20" i="17" a="1"/>
  <c r="P20" i="17" s="1"/>
  <c r="K7" i="17" s="1"/>
  <c r="P18" i="17" a="1"/>
  <c r="P18" i="17" s="1"/>
  <c r="P19" i="17" a="1"/>
  <c r="P19" i="17" s="1"/>
  <c r="I7" i="17" s="1"/>
  <c r="P21" i="17" a="1"/>
  <c r="P21" i="17" s="1"/>
  <c r="AK20" i="17" a="1"/>
  <c r="AK20" i="17" s="1"/>
  <c r="AB3" i="17" s="1"/>
  <c r="AK19" i="17" a="1"/>
  <c r="AK19" i="17" s="1"/>
  <c r="Z3" i="17" s="1"/>
  <c r="AK21" i="17" a="1"/>
  <c r="AK21" i="17" s="1"/>
  <c r="AK18" i="17" a="1"/>
  <c r="AK18" i="17" s="1"/>
  <c r="AA20" i="17" a="1"/>
  <c r="AA20" i="17" s="1"/>
  <c r="AB4" i="17" s="1"/>
  <c r="AA19" i="17" a="1"/>
  <c r="AA19" i="17" s="1"/>
  <c r="Z4" i="17" s="1"/>
  <c r="AA21" i="17" a="1"/>
  <c r="AA21" i="17" s="1"/>
  <c r="AA18" i="17" a="1"/>
  <c r="AA18" i="17" s="1"/>
  <c r="AE19" i="17" a="1"/>
  <c r="AE19" i="17" s="1"/>
  <c r="AF4" i="17" s="1"/>
  <c r="AE21" i="17" a="1"/>
  <c r="AE21" i="17" s="1"/>
  <c r="AE18" i="17" a="1"/>
  <c r="AE18" i="17" s="1"/>
  <c r="AE20" i="17" a="1"/>
  <c r="AE20" i="17" s="1"/>
  <c r="AH4" i="17" s="1"/>
  <c r="AJ20" i="17" a="1"/>
  <c r="AJ20" i="17" s="1"/>
  <c r="AB12" i="17" s="1"/>
  <c r="AJ19" i="17" a="1"/>
  <c r="AJ19" i="17" s="1"/>
  <c r="Z12" i="17" s="1"/>
  <c r="AJ18" i="17" a="1"/>
  <c r="AJ18" i="17" s="1"/>
  <c r="AJ21" i="17" a="1"/>
  <c r="AJ21" i="17" s="1"/>
  <c r="O20" i="17" a="1"/>
  <c r="O20" i="17" s="1"/>
  <c r="V13" i="17" s="1"/>
  <c r="O19" i="17" a="1"/>
  <c r="O19" i="17" s="1"/>
  <c r="T13" i="17" s="1"/>
  <c r="O18" i="17" a="1"/>
  <c r="O18" i="17" s="1"/>
  <c r="O21" i="17" a="1"/>
  <c r="O21" i="17" s="1"/>
  <c r="Q20" i="17" a="1"/>
  <c r="Q20" i="17" s="1"/>
  <c r="Q19" i="17" a="1"/>
  <c r="Q19" i="17" s="1"/>
  <c r="J10" i="17" s="1"/>
  <c r="Q21" i="17" a="1"/>
  <c r="Q21" i="17" s="1"/>
  <c r="Q18" i="17" a="1"/>
  <c r="Q18" i="17" s="1"/>
  <c r="BW43" i="17"/>
  <c r="R20" i="17" a="1"/>
  <c r="R20" i="17" s="1"/>
  <c r="K6" i="17" s="1"/>
  <c r="R19" i="17" a="1"/>
  <c r="R19" i="17" s="1"/>
  <c r="I6" i="17" s="1"/>
  <c r="R21" i="17" a="1"/>
  <c r="R21" i="17" s="1"/>
  <c r="R18" i="17" a="1"/>
  <c r="R18" i="17" s="1"/>
  <c r="U19" i="17" a="1"/>
  <c r="U19" i="17" s="1"/>
  <c r="U21" i="17" a="1"/>
  <c r="U21" i="17" s="1"/>
  <c r="U18" i="17" a="1"/>
  <c r="U18" i="17" s="1"/>
  <c r="U7" i="17" s="1"/>
  <c r="U20" i="17" a="1"/>
  <c r="U20" i="17" s="1"/>
  <c r="W7" i="17" s="1"/>
  <c r="AI21" i="17" a="1"/>
  <c r="AI21" i="17" s="1"/>
  <c r="AI18" i="17" a="1"/>
  <c r="AI18" i="17" s="1"/>
  <c r="AI20" i="17" a="1"/>
  <c r="AI20" i="17" s="1"/>
  <c r="Z6" i="17" s="1"/>
  <c r="AI19" i="17" a="1"/>
  <c r="AI19" i="17" s="1"/>
  <c r="X6" i="17" s="1"/>
  <c r="AM19" i="17" a="1"/>
  <c r="AM19" i="17" s="1"/>
  <c r="W12" i="17" s="1"/>
  <c r="AM21" i="17" a="1"/>
  <c r="AM21" i="17" s="1"/>
  <c r="AM18" i="17" a="1"/>
  <c r="AM18" i="17" s="1"/>
  <c r="AM20" i="17" a="1"/>
  <c r="AM20" i="17" s="1"/>
  <c r="Y12" i="17" s="1"/>
  <c r="AD19" i="17" a="1"/>
  <c r="AD19" i="17" s="1"/>
  <c r="AE10" i="17" s="1"/>
  <c r="AD20" i="17" a="1"/>
  <c r="AD20" i="17" s="1"/>
  <c r="AG10" i="17" s="1"/>
  <c r="AD21" i="17" a="1"/>
  <c r="AD21" i="17" s="1"/>
  <c r="AD18" i="17" a="1"/>
  <c r="AD18" i="17" s="1"/>
  <c r="BR25" i="16"/>
  <c r="BW30" i="16"/>
  <c r="BW40" i="16"/>
  <c r="BW14" i="16"/>
  <c r="BR10" i="16"/>
  <c r="BR17" i="16"/>
  <c r="BR5" i="16"/>
  <c r="BW9" i="16"/>
  <c r="BR16" i="16"/>
  <c r="BW15" i="16"/>
  <c r="AU19" i="16" a="1"/>
  <c r="AU19" i="16" s="1"/>
  <c r="AX19" i="16" a="1"/>
  <c r="AX19" i="16" s="1"/>
  <c r="AU20" i="16" a="1"/>
  <c r="AU20" i="16" s="1"/>
  <c r="AU21" i="16" a="1"/>
  <c r="AU21" i="16" s="1"/>
  <c r="AU18" i="16" a="1"/>
  <c r="AU18" i="16" s="1"/>
  <c r="X21" i="16" a="1"/>
  <c r="X21" i="16" s="1"/>
  <c r="X19" i="16" a="1"/>
  <c r="X19" i="16" s="1"/>
  <c r="X7" i="16" s="1"/>
  <c r="X20" i="16" a="1"/>
  <c r="X20" i="16" s="1"/>
  <c r="Z7" i="16" s="1"/>
  <c r="X18" i="16" a="1"/>
  <c r="X18" i="16" s="1"/>
  <c r="F21" i="16" a="1"/>
  <c r="F21" i="16" s="1"/>
  <c r="F19" i="16" a="1"/>
  <c r="F19" i="16" s="1"/>
  <c r="F20" i="16" a="1"/>
  <c r="F20" i="16" s="1"/>
  <c r="F18" i="16" a="1"/>
  <c r="F18" i="16" s="1"/>
  <c r="B3" i="16" s="1"/>
  <c r="AQ21" i="16" a="1"/>
  <c r="AQ21" i="16" s="1"/>
  <c r="AQ19" i="16" a="1"/>
  <c r="AQ19" i="16" s="1"/>
  <c r="W13" i="16" s="1"/>
  <c r="AQ20" i="16" a="1"/>
  <c r="AQ20" i="16" s="1"/>
  <c r="AQ18" i="16" a="1"/>
  <c r="AQ18" i="16" s="1"/>
  <c r="G21" i="16" a="1"/>
  <c r="G21" i="16" s="1"/>
  <c r="G19" i="16" a="1"/>
  <c r="G19" i="16" s="1"/>
  <c r="D10" i="16" s="1"/>
  <c r="G20" i="16" a="1"/>
  <c r="G20" i="16" s="1"/>
  <c r="G18" i="16" a="1"/>
  <c r="G18" i="16" s="1"/>
  <c r="AM20" i="16" a="1"/>
  <c r="AM20" i="16" s="1"/>
  <c r="AM18" i="16" a="1"/>
  <c r="AM18" i="16" s="1"/>
  <c r="AM21" i="16" a="1"/>
  <c r="AM21" i="16" s="1"/>
  <c r="AM19" i="16" a="1"/>
  <c r="AM19" i="16" s="1"/>
  <c r="AD21" i="16" a="1"/>
  <c r="AD21" i="16" s="1"/>
  <c r="AD19" i="16" a="1"/>
  <c r="AD19" i="16" s="1"/>
  <c r="AE10" i="16" s="1"/>
  <c r="AD20" i="16" a="1"/>
  <c r="AD20" i="16" s="1"/>
  <c r="AG10" i="16" s="1"/>
  <c r="AD18" i="16" a="1"/>
  <c r="AD18" i="16" s="1"/>
  <c r="AO21" i="16" a="1"/>
  <c r="AO21" i="16" s="1"/>
  <c r="AO19" i="16" a="1"/>
  <c r="AO19" i="16" s="1"/>
  <c r="AF13" i="16" s="1"/>
  <c r="AO20" i="16" a="1"/>
  <c r="AO20" i="16" s="1"/>
  <c r="AO18" i="16" a="1"/>
  <c r="AO18" i="16" s="1"/>
  <c r="Z20" i="16" a="1"/>
  <c r="Z20" i="16" s="1"/>
  <c r="AB13" i="16" s="1"/>
  <c r="Z18" i="16" a="1"/>
  <c r="Z18" i="16" s="1"/>
  <c r="Z21" i="16" a="1"/>
  <c r="Z21" i="16" s="1"/>
  <c r="Z19" i="16" a="1"/>
  <c r="Z19" i="16" s="1"/>
  <c r="Z13" i="16" s="1"/>
  <c r="V20" i="16" a="1"/>
  <c r="V20" i="16" s="1"/>
  <c r="X10" i="16" s="1"/>
  <c r="V18" i="16" a="1"/>
  <c r="V18" i="16" s="1"/>
  <c r="V21" i="16" a="1"/>
  <c r="V21" i="16" s="1"/>
  <c r="V19" i="16" a="1"/>
  <c r="V19" i="16" s="1"/>
  <c r="V10" i="16" s="1"/>
  <c r="H20" i="16" a="1"/>
  <c r="H20" i="16" s="1"/>
  <c r="H18" i="16" a="1"/>
  <c r="H18" i="16" s="1"/>
  <c r="H21" i="16" a="1"/>
  <c r="H21" i="16" s="1"/>
  <c r="H19" i="16" a="1"/>
  <c r="H19" i="16" s="1"/>
  <c r="E4" i="16" s="1"/>
  <c r="AC21" i="16" a="1"/>
  <c r="AC21" i="16" s="1"/>
  <c r="AC19" i="16" a="1"/>
  <c r="AC19" i="16" s="1"/>
  <c r="AC4" i="16" s="1"/>
  <c r="AC20" i="16" a="1"/>
  <c r="AC20" i="16" s="1"/>
  <c r="AE4" i="16" s="1"/>
  <c r="AC18" i="16" a="1"/>
  <c r="AC18" i="16" s="1"/>
  <c r="D20" i="16" a="1"/>
  <c r="D20" i="16" s="1"/>
  <c r="D18" i="16" a="1"/>
  <c r="D18" i="16" s="1"/>
  <c r="E35" i="16"/>
  <c r="E26" i="16"/>
  <c r="D21" i="16" a="1"/>
  <c r="D21" i="16" s="1"/>
  <c r="D19" i="16" a="1"/>
  <c r="D19" i="16" s="1"/>
  <c r="P20" i="16" a="1"/>
  <c r="P20" i="16" s="1"/>
  <c r="K7" i="16" s="1"/>
  <c r="P18" i="16" a="1"/>
  <c r="P18" i="16" s="1"/>
  <c r="P21" i="16" a="1"/>
  <c r="P21" i="16" s="1"/>
  <c r="P19" i="16" a="1"/>
  <c r="P19" i="16" s="1"/>
  <c r="I7" i="16" s="1"/>
  <c r="AX21" i="16" a="1"/>
  <c r="AX21" i="16" s="1"/>
  <c r="AX20" i="16" a="1"/>
  <c r="AX20" i="16" s="1"/>
  <c r="U20" i="16" a="1"/>
  <c r="U20" i="16" s="1"/>
  <c r="U18" i="16" a="1"/>
  <c r="U18" i="16" s="1"/>
  <c r="U7" i="16" s="1"/>
  <c r="U21" i="16" a="1"/>
  <c r="U21" i="16" s="1"/>
  <c r="U19" i="16" a="1"/>
  <c r="U19" i="16" s="1"/>
  <c r="K21" i="16" a="1"/>
  <c r="K21" i="16" s="1"/>
  <c r="K19" i="16" a="1"/>
  <c r="K19" i="16" s="1"/>
  <c r="H13" i="16" s="1"/>
  <c r="K20" i="16" a="1"/>
  <c r="K20" i="16" s="1"/>
  <c r="K18" i="16" a="1"/>
  <c r="K18" i="16" s="1"/>
  <c r="E21" i="16" a="1"/>
  <c r="E21" i="16" s="1"/>
  <c r="E19" i="16" a="1"/>
  <c r="E19" i="16" s="1"/>
  <c r="E20" i="16" a="1"/>
  <c r="E20" i="16" s="1"/>
  <c r="E18" i="16" a="1"/>
  <c r="E18" i="16" s="1"/>
  <c r="AE21" i="16" a="1"/>
  <c r="AE21" i="16" s="1"/>
  <c r="AE19" i="16" a="1"/>
  <c r="AE19" i="16" s="1"/>
  <c r="AF4" i="16" s="1"/>
  <c r="AE20" i="16" a="1"/>
  <c r="AE20" i="16" s="1"/>
  <c r="AH4" i="16" s="1"/>
  <c r="AE18" i="16" a="1"/>
  <c r="AE18" i="16" s="1"/>
  <c r="AB20" i="16" a="1"/>
  <c r="AB20" i="16" s="1"/>
  <c r="AD10" i="16" s="1"/>
  <c r="AB18" i="16" a="1"/>
  <c r="AB18" i="16" s="1"/>
  <c r="AB21" i="16" a="1"/>
  <c r="AB21" i="16" s="1"/>
  <c r="AB19" i="16" a="1"/>
  <c r="AB19" i="16" s="1"/>
  <c r="AB10" i="16" s="1"/>
  <c r="AW21" i="16" a="1"/>
  <c r="AW21" i="16" s="1"/>
  <c r="AW19" i="16" a="1"/>
  <c r="AW19" i="16" s="1"/>
  <c r="AW20" i="16" a="1"/>
  <c r="AW20" i="16" s="1"/>
  <c r="AW18" i="16" a="1"/>
  <c r="AW18" i="16" s="1"/>
  <c r="AJ21" i="16" a="1"/>
  <c r="AJ21" i="16" s="1"/>
  <c r="AJ19" i="16" a="1"/>
  <c r="AJ19" i="16" s="1"/>
  <c r="AJ20" i="16" a="1"/>
  <c r="AJ20" i="16" s="1"/>
  <c r="AJ18" i="16" a="1"/>
  <c r="AJ18" i="16" s="1"/>
  <c r="AT20" i="16" a="1"/>
  <c r="AT20" i="16" s="1"/>
  <c r="AT18" i="16" a="1"/>
  <c r="AT18" i="16" s="1"/>
  <c r="AT21" i="16" a="1"/>
  <c r="AT21" i="16" s="1"/>
  <c r="AT19" i="16" a="1"/>
  <c r="AT19" i="16" s="1"/>
  <c r="AA20" i="16" a="1"/>
  <c r="AA20" i="16" s="1"/>
  <c r="AB4" i="16" s="1"/>
  <c r="AA18" i="16" a="1"/>
  <c r="AA18" i="16" s="1"/>
  <c r="AA21" i="16" a="1"/>
  <c r="AA21" i="16" s="1"/>
  <c r="AA19" i="16" a="1"/>
  <c r="AA19" i="16" s="1"/>
  <c r="Z4" i="16" s="1"/>
  <c r="N20" i="16" a="1"/>
  <c r="N20" i="16" s="1"/>
  <c r="S13" i="16" s="1"/>
  <c r="N18" i="16" a="1"/>
  <c r="N18" i="16" s="1"/>
  <c r="N21" i="16" a="1"/>
  <c r="N21" i="16" s="1"/>
  <c r="N19" i="16" a="1"/>
  <c r="N19" i="16" s="1"/>
  <c r="J20" i="16" a="1"/>
  <c r="J20" i="16" s="1"/>
  <c r="J18" i="16" a="1"/>
  <c r="J18" i="16" s="1"/>
  <c r="J21" i="16" a="1"/>
  <c r="J21" i="16" s="1"/>
  <c r="J19" i="16" a="1"/>
  <c r="J19" i="16" s="1"/>
  <c r="G10" i="16" s="1"/>
  <c r="O20" i="16" a="1"/>
  <c r="O20" i="16" s="1"/>
  <c r="O18" i="16" a="1"/>
  <c r="O18" i="16" s="1"/>
  <c r="O21" i="16" a="1"/>
  <c r="O21" i="16" s="1"/>
  <c r="O19" i="16" a="1"/>
  <c r="O19" i="16" s="1"/>
  <c r="T13" i="16" s="1"/>
  <c r="AK21" i="16" a="1"/>
  <c r="AK21" i="16" s="1"/>
  <c r="AK19" i="16" a="1"/>
  <c r="AK19" i="16" s="1"/>
  <c r="AK20" i="16" a="1"/>
  <c r="AK20" i="16" s="1"/>
  <c r="AK18" i="16" a="1"/>
  <c r="AK18" i="16" s="1"/>
  <c r="L21" i="16" a="1"/>
  <c r="L21" i="16" s="1"/>
  <c r="L19" i="16" a="1"/>
  <c r="L19" i="16" s="1"/>
  <c r="R7" i="16" s="1"/>
  <c r="L20" i="16" a="1"/>
  <c r="L20" i="16" s="1"/>
  <c r="T7" i="16" s="1"/>
  <c r="L18" i="16" a="1"/>
  <c r="L18" i="16" s="1"/>
  <c r="AH20" i="16" a="1"/>
  <c r="AH20" i="16" s="1"/>
  <c r="AH18" i="16" a="1"/>
  <c r="AH18" i="16" s="1"/>
  <c r="AH21" i="16" a="1"/>
  <c r="AH21" i="16" s="1"/>
  <c r="AH19" i="16" a="1"/>
  <c r="AH19" i="16" s="1"/>
  <c r="W3" i="16" s="1"/>
  <c r="AL20" i="16" a="1"/>
  <c r="AL20" i="16" s="1"/>
  <c r="AD9" i="16" s="1"/>
  <c r="AL18" i="16" a="1"/>
  <c r="AL18" i="16" s="1"/>
  <c r="AL21" i="16" a="1"/>
  <c r="AL21" i="16" s="1"/>
  <c r="AL19" i="16" a="1"/>
  <c r="AL19" i="16" s="1"/>
  <c r="AB9" i="16" s="1"/>
  <c r="AI21" i="16" a="1"/>
  <c r="AI21" i="16" s="1"/>
  <c r="AI19" i="16" a="1"/>
  <c r="AI19" i="16" s="1"/>
  <c r="AI20" i="16" a="1"/>
  <c r="AI20" i="16" s="1"/>
  <c r="AI18" i="16" a="1"/>
  <c r="AI18" i="16" s="1"/>
  <c r="W21" i="16" a="1"/>
  <c r="W21" i="16" s="1"/>
  <c r="W19" i="16" a="1"/>
  <c r="W19" i="16" s="1"/>
  <c r="W20" i="16" a="1"/>
  <c r="W20" i="16" s="1"/>
  <c r="Y4" i="16" s="1"/>
  <c r="W18" i="16" a="1"/>
  <c r="W18" i="16" s="1"/>
  <c r="Y21" i="16" a="1"/>
  <c r="Y21" i="16" s="1"/>
  <c r="Y19" i="16" a="1"/>
  <c r="Y19" i="16" s="1"/>
  <c r="Y10" i="16" s="1"/>
  <c r="Y20" i="16" a="1"/>
  <c r="Y20" i="16" s="1"/>
  <c r="AA10" i="16" s="1"/>
  <c r="Y18" i="16" a="1"/>
  <c r="Y18" i="16" s="1"/>
  <c r="R21" i="16" a="1"/>
  <c r="R21" i="16" s="1"/>
  <c r="R19" i="16" a="1"/>
  <c r="R19" i="16" s="1"/>
  <c r="I6" i="16" s="1"/>
  <c r="R20" i="16" a="1"/>
  <c r="R20" i="16" s="1"/>
  <c r="R18" i="16" a="1"/>
  <c r="R18" i="16" s="1"/>
  <c r="I20" i="16" a="1"/>
  <c r="I20" i="16" s="1"/>
  <c r="I18" i="16" a="1"/>
  <c r="I18" i="16" s="1"/>
  <c r="I21" i="16" a="1"/>
  <c r="I21" i="16" s="1"/>
  <c r="I19" i="16" a="1"/>
  <c r="I19" i="16" s="1"/>
  <c r="F7" i="16" s="1"/>
  <c r="S21" i="16" a="1"/>
  <c r="S21" i="16" s="1"/>
  <c r="S19" i="16" a="1"/>
  <c r="S19" i="16" s="1"/>
  <c r="P10" i="16" s="1"/>
  <c r="S20" i="16" a="1"/>
  <c r="S20" i="16" s="1"/>
  <c r="R10" i="16" s="1"/>
  <c r="S18" i="16" a="1"/>
  <c r="S18" i="16" s="1"/>
  <c r="AF20" i="16" a="1"/>
  <c r="AF20" i="16" s="1"/>
  <c r="AF18" i="16" a="1"/>
  <c r="AF18" i="16" s="1"/>
  <c r="AF21" i="16" a="1"/>
  <c r="AF21" i="16" s="1"/>
  <c r="AF19" i="16" a="1"/>
  <c r="AF19" i="16" s="1"/>
  <c r="U6" i="16" s="1"/>
  <c r="AS20" i="16" a="1"/>
  <c r="AS20" i="16" s="1"/>
  <c r="AS18" i="16" a="1"/>
  <c r="AS18" i="16" s="1"/>
  <c r="AS21" i="16" a="1"/>
  <c r="AS21" i="16" s="1"/>
  <c r="AS19" i="16" a="1"/>
  <c r="AS19" i="16" s="1"/>
  <c r="T20" i="16" a="1"/>
  <c r="T20" i="16" s="1"/>
  <c r="M13" i="16" s="1"/>
  <c r="T18" i="16" a="1"/>
  <c r="T18" i="16" s="1"/>
  <c r="T19" i="16" a="1"/>
  <c r="T19" i="16" s="1"/>
  <c r="K13" i="16" s="1"/>
  <c r="T21" i="16" a="1"/>
  <c r="T21" i="16" s="1"/>
  <c r="AN20" i="16" a="1"/>
  <c r="AN20" i="16" s="1"/>
  <c r="AN18" i="16" a="1"/>
  <c r="AN18" i="16" s="1"/>
  <c r="AN21" i="16" a="1"/>
  <c r="AN21" i="16" s="1"/>
  <c r="AN19" i="16" a="1"/>
  <c r="AN19" i="16" s="1"/>
  <c r="AA7" i="16" s="1"/>
  <c r="AG20" i="16" a="1"/>
  <c r="AG20" i="16" s="1"/>
  <c r="AG18" i="16" a="1"/>
  <c r="AG18" i="16" s="1"/>
  <c r="AG21" i="16" a="1"/>
  <c r="AG21" i="16" s="1"/>
  <c r="AG19" i="16" a="1"/>
  <c r="AG19" i="16" s="1"/>
  <c r="V9" i="16" s="1"/>
  <c r="AV21" i="16" a="1"/>
  <c r="AV21" i="16" s="1"/>
  <c r="AV19" i="16" a="1"/>
  <c r="AV19" i="16" s="1"/>
  <c r="AV20" i="16" a="1"/>
  <c r="AV20" i="16" s="1"/>
  <c r="AV18" i="16" a="1"/>
  <c r="AV18" i="16" s="1"/>
  <c r="M21" i="16" a="1"/>
  <c r="M21" i="16" s="1"/>
  <c r="M19" i="16" a="1"/>
  <c r="M19" i="16" s="1"/>
  <c r="S10" i="16" s="1"/>
  <c r="M20" i="16" a="1"/>
  <c r="M20" i="16" s="1"/>
  <c r="U10" i="16" s="1"/>
  <c r="M18" i="16" a="1"/>
  <c r="M18" i="16" s="1"/>
  <c r="Q21" i="16" a="1"/>
  <c r="Q21" i="16" s="1"/>
  <c r="Q19" i="16" a="1"/>
  <c r="Q19" i="16" s="1"/>
  <c r="J10" i="16" s="1"/>
  <c r="Q20" i="16" a="1"/>
  <c r="Q20" i="16" s="1"/>
  <c r="Q18" i="16" a="1"/>
  <c r="Q18" i="16" s="1"/>
  <c r="AP21" i="16" a="1"/>
  <c r="AP21" i="16" s="1"/>
  <c r="AP19" i="16" a="1"/>
  <c r="AP19" i="16" s="1"/>
  <c r="AD7" i="16" s="1"/>
  <c r="AP20" i="16" a="1"/>
  <c r="AP20" i="16" s="1"/>
  <c r="AP18" i="16" a="1"/>
  <c r="AP18" i="16" s="1"/>
  <c r="AR20" i="16" a="1"/>
  <c r="AR20" i="16" s="1"/>
  <c r="AR18" i="16" a="1"/>
  <c r="AR18" i="16" s="1"/>
  <c r="AR21" i="16" a="1"/>
  <c r="AR21" i="16" s="1"/>
  <c r="AR19" i="16" a="1"/>
  <c r="AR19" i="16" s="1"/>
  <c r="AE47" i="10" a="1"/>
  <c r="AE47" i="10" s="1"/>
  <c r="AA44" i="10"/>
  <c r="AB44" i="10" s="1" a="1"/>
  <c r="AB44" i="10" s="1"/>
  <c r="AB45" i="10" a="1"/>
  <c r="AB45" i="10" s="1"/>
  <c r="AC47" i="10" a="1"/>
  <c r="AC47" i="10" s="1"/>
  <c r="AE48" i="10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C46" i="10" a="1"/>
  <c r="AC46" i="10" s="1"/>
  <c r="AB48" i="10" a="1"/>
  <c r="AB48" i="10" s="1"/>
  <c r="AC48" i="10" a="1"/>
  <c r="AC48" i="10" s="1"/>
  <c r="AD47" i="10" a="1"/>
  <c r="AD47" i="10" s="1"/>
  <c r="AE45" i="10" a="1"/>
  <c r="AE45" i="10" s="1"/>
  <c r="AE46" i="10" a="1"/>
  <c r="AE46" i="10" s="1"/>
  <c r="AC45" i="10" a="1"/>
  <c r="AC45" i="10" s="1"/>
  <c r="B54" i="12"/>
  <c r="B53" i="12"/>
  <c r="B52" i="12"/>
  <c r="B51" i="12"/>
  <c r="B49" i="12"/>
  <c r="B48" i="12"/>
  <c r="B47" i="12"/>
  <c r="B46" i="12"/>
  <c r="B45" i="12"/>
  <c r="B44" i="12"/>
  <c r="B39" i="12"/>
  <c r="B38" i="12"/>
  <c r="B66" i="12"/>
  <c r="B37" i="12"/>
  <c r="B36" i="12"/>
  <c r="B35" i="12"/>
  <c r="B34" i="12"/>
  <c r="B33" i="12"/>
  <c r="B32" i="12"/>
  <c r="B31" i="12"/>
  <c r="B30" i="12"/>
  <c r="B40" i="12"/>
  <c r="B29" i="12"/>
  <c r="B41" i="12"/>
  <c r="B28" i="12"/>
  <c r="B43" i="12"/>
  <c r="B27" i="12"/>
  <c r="B26" i="12"/>
  <c r="B25" i="12"/>
  <c r="B24" i="12"/>
  <c r="B23" i="12"/>
  <c r="B22" i="12"/>
  <c r="B42" i="12"/>
  <c r="B21" i="12"/>
  <c r="B20" i="12"/>
  <c r="B57" i="12"/>
  <c r="B58" i="12"/>
  <c r="B56" i="12"/>
  <c r="B55" i="12"/>
  <c r="B13" i="12"/>
  <c r="B14" i="12"/>
  <c r="B12" i="12"/>
  <c r="B11" i="12"/>
  <c r="B19" i="12"/>
  <c r="B18" i="12"/>
  <c r="B16" i="12"/>
  <c r="B17" i="12"/>
  <c r="B15" i="12"/>
  <c r="B10" i="12"/>
  <c r="B9" i="12"/>
  <c r="B8" i="12"/>
  <c r="B7" i="12"/>
  <c r="B6" i="12"/>
  <c r="B4" i="12"/>
  <c r="B5" i="12"/>
  <c r="B3" i="12"/>
  <c r="AE44" i="10" l="1" a="1"/>
  <c r="AE44" i="10" s="1"/>
  <c r="AD44" i="10" a="1"/>
  <c r="AD44" i="10" s="1"/>
  <c r="AC44" i="10" a="1"/>
  <c r="AC44" i="10" s="1"/>
  <c r="F9" i="17"/>
  <c r="AF7" i="17"/>
  <c r="E39" i="17"/>
  <c r="AP37" i="17"/>
  <c r="D35" i="17"/>
  <c r="AN37" i="17"/>
  <c r="B37" i="17"/>
  <c r="AQ37" i="17"/>
  <c r="AO37" i="17"/>
  <c r="AM37" i="17"/>
  <c r="AL39" i="17"/>
  <c r="AM39" i="17" s="1"/>
  <c r="AN39" i="17" s="1"/>
  <c r="AO39" i="17" s="1"/>
  <c r="AP39" i="17" s="1"/>
  <c r="AQ39" i="17" s="1"/>
  <c r="AM42" i="17" s="1"/>
  <c r="E46" i="17"/>
  <c r="D46" i="17" s="1"/>
  <c r="E36" i="17"/>
  <c r="B4" i="17"/>
  <c r="E30" i="17"/>
  <c r="D30" i="17" s="1"/>
  <c r="D26" i="17"/>
  <c r="E45" i="17"/>
  <c r="E25" i="17"/>
  <c r="M23" i="17"/>
  <c r="AE13" i="16"/>
  <c r="AC13" i="16"/>
  <c r="F9" i="16"/>
  <c r="AF7" i="16"/>
  <c r="AC7" i="16"/>
  <c r="AH13" i="16"/>
  <c r="AB3" i="16"/>
  <c r="Z3" i="16"/>
  <c r="Y12" i="16"/>
  <c r="W12" i="16"/>
  <c r="Y13" i="16"/>
  <c r="AB12" i="16"/>
  <c r="Z12" i="16"/>
  <c r="Z6" i="16"/>
  <c r="X6" i="16"/>
  <c r="Y3" i="16"/>
  <c r="W4" i="16"/>
  <c r="W6" i="16"/>
  <c r="W7" i="16"/>
  <c r="X9" i="16"/>
  <c r="V13" i="16"/>
  <c r="K6" i="16"/>
  <c r="Q13" i="16"/>
  <c r="C7" i="16"/>
  <c r="AX18" i="16" a="1"/>
  <c r="AX18" i="16" s="1"/>
  <c r="BW50" i="16"/>
  <c r="BR50" i="16"/>
  <c r="BR49" i="16"/>
  <c r="BW49" i="16"/>
  <c r="BW54" i="16"/>
  <c r="BR54" i="16"/>
  <c r="BW48" i="16"/>
  <c r="BR48" i="16"/>
  <c r="BW47" i="16"/>
  <c r="BR47" i="16"/>
  <c r="BR53" i="16"/>
  <c r="BW53" i="16"/>
  <c r="BW46" i="16"/>
  <c r="BR46" i="16"/>
  <c r="BW52" i="16"/>
  <c r="BR52" i="16"/>
  <c r="BW51" i="16"/>
  <c r="BR51" i="16"/>
  <c r="BW45" i="16"/>
  <c r="BR45" i="16"/>
  <c r="BW55" i="16"/>
  <c r="BR55" i="16"/>
  <c r="AP37" i="16"/>
  <c r="AO37" i="16"/>
  <c r="AN37" i="16"/>
  <c r="AM37" i="16"/>
  <c r="D35" i="16"/>
  <c r="AQ37" i="16"/>
  <c r="AL39" i="16"/>
  <c r="AM39" i="16" s="1"/>
  <c r="AN39" i="16" s="1"/>
  <c r="AO39" i="16" s="1"/>
  <c r="AP39" i="16" s="1"/>
  <c r="AQ39" i="16" s="1"/>
  <c r="AM42" i="16" s="1"/>
  <c r="E39" i="16"/>
  <c r="E46" i="16"/>
  <c r="D46" i="16" s="1"/>
  <c r="E36" i="16"/>
  <c r="B37" i="16" s="1"/>
  <c r="B4" i="16"/>
  <c r="E45" i="16"/>
  <c r="M23" i="16"/>
  <c r="E25" i="16"/>
  <c r="D26" i="16"/>
  <c r="E30" i="16"/>
  <c r="D30" i="16" s="1"/>
  <c r="AI5" i="10"/>
  <c r="AK14" i="10"/>
  <c r="AK10" i="10"/>
  <c r="AI3" i="10"/>
  <c r="AC49" i="10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27" i="17" l="1"/>
  <c r="E29" i="17"/>
  <c r="D25" i="17"/>
  <c r="B47" i="17"/>
  <c r="D45" i="17"/>
  <c r="D39" i="17"/>
  <c r="AQ38" i="17"/>
  <c r="AP38" i="17"/>
  <c r="AO38" i="17"/>
  <c r="AN38" i="17"/>
  <c r="AL40" i="17"/>
  <c r="D36" i="17"/>
  <c r="AM38" i="17"/>
  <c r="D39" i="16"/>
  <c r="B27" i="16"/>
  <c r="D25" i="16"/>
  <c r="E29" i="16"/>
  <c r="B47" i="16"/>
  <c r="D45" i="16"/>
  <c r="AM38" i="16"/>
  <c r="AL40" i="16"/>
  <c r="AN38" i="16"/>
  <c r="D36" i="16"/>
  <c r="AQ38" i="16"/>
  <c r="AP38" i="16"/>
  <c r="AO38" i="16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D29" i="17" l="1"/>
  <c r="B31" i="17"/>
  <c r="AM40" i="17"/>
  <c r="B31" i="16"/>
  <c r="D29" i="16"/>
  <c r="AM40" i="16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W34" i="10" s="1" a="1"/>
  <c r="W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AN40" i="17" l="1"/>
  <c r="AO40" i="17" s="1"/>
  <c r="AP40" i="17" s="1"/>
  <c r="AQ40" i="17" s="1"/>
  <c r="AM43" i="17" s="1"/>
  <c r="AN40" i="16"/>
  <c r="AO40" i="16" s="1"/>
  <c r="AP40" i="16" s="1"/>
  <c r="AQ40" i="16" s="1"/>
  <c r="AM43" i="16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40" i="17" l="1"/>
  <c r="E40" i="16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40" i="17" l="1"/>
  <c r="B41" i="17"/>
  <c r="D40" i="16"/>
  <c r="B41" i="16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D54" i="12"/>
  <c r="D52" i="12"/>
  <c r="C51" i="12"/>
  <c r="C53" i="12"/>
  <c r="C52" i="12"/>
  <c r="D51" i="12"/>
  <c r="C54" i="12"/>
  <c r="D53" i="12"/>
  <c r="AD38" i="10" l="1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3" i="7" a="1"/>
  <c r="K46" i="7" a="1"/>
  <c r="K38" i="7" a="1"/>
  <c r="K6" i="7" a="1"/>
  <c r="K10" i="7" a="1"/>
  <c r="K43" i="7" a="1"/>
  <c r="K4" i="7" a="1"/>
  <c r="K22" i="7" a="1"/>
  <c r="K26" i="7" a="1"/>
  <c r="K9" i="7" a="1"/>
  <c r="K36" i="7" a="1"/>
  <c r="K25" i="7" a="1"/>
  <c r="K48" i="7" a="1"/>
  <c r="K39" i="7" a="1"/>
  <c r="K51" i="7" a="1"/>
  <c r="K24" i="7" a="1"/>
  <c r="K21" i="7" a="1"/>
  <c r="K42" i="7" a="1"/>
  <c r="K33" i="7" a="1"/>
  <c r="K49" i="7" a="1"/>
  <c r="K30" i="7" a="1"/>
  <c r="K14" i="7" a="1"/>
  <c r="K35" i="7" a="1"/>
  <c r="K12" i="7" a="1"/>
  <c r="K34" i="7" a="1"/>
  <c r="K13" i="7" a="1"/>
  <c r="K52" i="7" a="1"/>
  <c r="K28" i="7" a="1"/>
  <c r="K19" i="7" a="1"/>
  <c r="K53" i="7" a="1"/>
  <c r="K7" i="7" a="1"/>
  <c r="K16" i="7" a="1"/>
  <c r="K37" i="7" a="1"/>
  <c r="K32" i="7" a="1"/>
  <c r="K31" i="7" a="1"/>
  <c r="K40" i="7" a="1"/>
  <c r="K18" i="7" a="1"/>
  <c r="K54" i="7" a="1"/>
  <c r="K11" i="7" a="1"/>
  <c r="K17" i="7" a="1"/>
  <c r="K15" i="7" a="1"/>
  <c r="K29" i="7" a="1"/>
  <c r="K44" i="7" a="1"/>
  <c r="K8" i="7" a="1"/>
  <c r="K5" i="7" a="1"/>
  <c r="K41" i="7" a="1"/>
  <c r="K23" i="7" a="1"/>
  <c r="K47" i="7" a="1"/>
  <c r="K50" i="7" a="1"/>
  <c r="K20" i="7" a="1"/>
  <c r="K45" i="7" a="1"/>
  <c r="K27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Q27" i="7" s="1"/>
  <c r="K20" i="7"/>
  <c r="Q20" i="7" s="1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Q13" i="7" s="1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Q18" i="7" s="1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B50" i="4"/>
  <c r="AB49" i="4"/>
  <c r="D49" i="4"/>
  <c r="R43" i="4" s="1" a="1"/>
  <c r="R43" i="4" s="1"/>
  <c r="B49" i="4"/>
  <c r="AB48" i="4"/>
  <c r="B48" i="4"/>
  <c r="AB47" i="4"/>
  <c r="X47" i="4" a="1"/>
  <c r="X47" i="4" s="1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X35" i="4" s="1" a="1"/>
  <c r="X35" i="4" s="1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S50" i="4" l="1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4" i="3"/>
  <c r="N4" i="3"/>
  <c r="N5" i="3" s="1"/>
  <c r="N6" i="3" s="1"/>
  <c r="N7" i="3" s="1"/>
  <c r="N8" i="3" s="1"/>
  <c r="N9" i="3" s="1"/>
  <c r="N10" i="3" s="1"/>
  <c r="N11" i="3" s="1"/>
  <c r="N12" i="3" s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5" i="3" a="1"/>
  <c r="V6" i="3" a="1"/>
  <c r="W4" i="3" a="1"/>
  <c r="W3" i="3" a="1"/>
  <c r="V5" i="3" a="1"/>
  <c r="V4" i="3" a="1"/>
  <c r="W6" i="3" a="1"/>
  <c r="V3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6" i="3" a="1"/>
  <c r="Y5" i="3" a="1"/>
  <c r="Y4" i="3" a="1"/>
  <c r="Y3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5" i="3" a="1"/>
  <c r="Z3" i="3" a="1"/>
  <c r="Z6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4" i="3" a="1"/>
  <c r="AA6" i="3" a="1"/>
  <c r="AA3" i="3" a="1"/>
  <c r="AA5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B25" i="1"/>
  <c r="O3" i="1"/>
  <c r="AB6" i="3" a="1"/>
  <c r="AB3" i="3" a="1"/>
  <c r="AB5" i="3" a="1"/>
  <c r="AB4" i="3" a="1"/>
  <c r="AC12" i="1" l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6" i="3" a="1"/>
  <c r="AC4" i="3" a="1"/>
  <c r="AC3" i="3" a="1"/>
  <c r="AC5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G3" i="1"/>
  <c r="AD5" i="3" a="1"/>
  <c r="AD4" i="3" a="1"/>
  <c r="AD6" i="3" a="1"/>
  <c r="AD3" i="3" a="1"/>
  <c r="AF4" i="1" l="1"/>
  <c r="AP5" i="1" s="1"/>
  <c r="AD3" i="3"/>
  <c r="AD4" i="3"/>
  <c r="AD6" i="3"/>
  <c r="AD5" i="3"/>
  <c r="AF2" i="3"/>
  <c r="AG8" i="1"/>
  <c r="AV9" i="1"/>
  <c r="AU10" i="1" s="1"/>
  <c r="AE6" i="3" a="1"/>
  <c r="AE3" i="3" a="1"/>
  <c r="AE5" i="3" a="1"/>
  <c r="AE4" i="3" a="1"/>
  <c r="AE4" i="3" l="1"/>
  <c r="AE3" i="3"/>
  <c r="AE5" i="3"/>
  <c r="AE6" i="3"/>
  <c r="AG2" i="3"/>
  <c r="AF6" i="3" a="1"/>
  <c r="AF3" i="3" a="1"/>
  <c r="AF5" i="3" a="1"/>
  <c r="AF4" i="3" a="1"/>
  <c r="AF5" i="3" l="1"/>
  <c r="AF3" i="3"/>
  <c r="AF6" i="3"/>
  <c r="AF4" i="3"/>
  <c r="AH2" i="3"/>
  <c r="AG4" i="3" a="1"/>
  <c r="AG5" i="3" a="1"/>
  <c r="AG6" i="3" a="1"/>
  <c r="AG3" i="3" a="1"/>
  <c r="AG5" i="3" l="1"/>
  <c r="AG6" i="3"/>
  <c r="AG3" i="3"/>
  <c r="AG4" i="3"/>
  <c r="AI2" i="3"/>
  <c r="AH3" i="3" a="1"/>
  <c r="AH5" i="3" a="1"/>
  <c r="AH4" i="3" a="1"/>
  <c r="AH6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4" i="3" a="1"/>
  <c r="AJ3" i="3" a="1"/>
  <c r="AJ6" i="3" a="1"/>
  <c r="AJ6" i="3" l="1"/>
  <c r="AJ4" i="3"/>
  <c r="AJ3" i="3"/>
  <c r="AJ5" i="3"/>
  <c r="AL2" i="3"/>
  <c r="AK5" i="3" a="1"/>
  <c r="AK3" i="3" a="1"/>
  <c r="AK6" i="3" a="1"/>
  <c r="AK4" i="3" a="1"/>
  <c r="AK3" i="3" l="1"/>
  <c r="AK6" i="3"/>
  <c r="AK5" i="3"/>
  <c r="AK4" i="3"/>
  <c r="AM2" i="3"/>
  <c r="AL3" i="3" a="1"/>
  <c r="AL6" i="3" a="1"/>
  <c r="AL4" i="3" a="1"/>
  <c r="AL5" i="3" a="1"/>
  <c r="AL6" i="3" l="1"/>
  <c r="AL4" i="3"/>
  <c r="AL5" i="3"/>
  <c r="AL3" i="3"/>
  <c r="AN2" i="3"/>
  <c r="AM4" i="3" a="1"/>
  <c r="AM3" i="3" a="1"/>
  <c r="AM6" i="3" a="1"/>
  <c r="AM5" i="3" a="1"/>
  <c r="AM5" i="3" l="1"/>
  <c r="AM6" i="3"/>
  <c r="AM3" i="3"/>
  <c r="AM4" i="3"/>
  <c r="AO2" i="3"/>
  <c r="AN3" i="3" a="1"/>
  <c r="AN6" i="3" a="1"/>
  <c r="AN5" i="3" a="1"/>
  <c r="AN4" i="3" a="1"/>
  <c r="AN6" i="3" l="1"/>
  <c r="AN5" i="3"/>
  <c r="AN4" i="3"/>
  <c r="AN3" i="3"/>
  <c r="AP2" i="3"/>
  <c r="AO6" i="3" a="1"/>
  <c r="AO5" i="3" a="1"/>
  <c r="AO3" i="3" a="1"/>
  <c r="AO4" i="3" a="1"/>
  <c r="AO4" i="3" l="1"/>
  <c r="AO3" i="3"/>
  <c r="AO5" i="3"/>
  <c r="AO6" i="3"/>
  <c r="AQ2" i="3"/>
  <c r="AP4" i="3" a="1"/>
  <c r="AP5" i="3" a="1"/>
  <c r="AP6" i="3" a="1"/>
  <c r="AP3" i="3" a="1"/>
  <c r="AP4" i="3" l="1"/>
  <c r="AP6" i="3"/>
  <c r="AP3" i="3"/>
  <c r="AP5" i="3"/>
  <c r="AR2" i="3"/>
  <c r="AQ4" i="3" a="1"/>
  <c r="AQ3" i="3" a="1"/>
  <c r="AQ6" i="3" a="1"/>
  <c r="AQ5" i="3" a="1"/>
  <c r="AQ5" i="3" l="1"/>
  <c r="AQ6" i="3"/>
  <c r="AQ3" i="3"/>
  <c r="AQ4" i="3"/>
  <c r="AS2" i="3"/>
  <c r="AR3" i="3" a="1"/>
  <c r="AR6" i="3" a="1"/>
  <c r="AR4" i="3" a="1"/>
  <c r="AR5" i="3" a="1"/>
  <c r="AR6" i="3" l="1"/>
  <c r="AR4" i="3"/>
  <c r="AR3" i="3"/>
  <c r="AR5" i="3"/>
  <c r="AT2" i="3"/>
  <c r="AS6" i="3" a="1"/>
  <c r="AS5" i="3" a="1"/>
  <c r="AS3" i="3" a="1"/>
  <c r="AS4" i="3" a="1"/>
  <c r="AS3" i="3" l="1"/>
  <c r="AS5" i="3"/>
  <c r="AS4" i="3"/>
  <c r="AS6" i="3"/>
  <c r="AU2" i="3"/>
  <c r="AT6" i="3" a="1"/>
  <c r="AT3" i="3" a="1"/>
  <c r="AT5" i="3" a="1"/>
  <c r="AT4" i="3" a="1"/>
  <c r="AT5" i="3" l="1"/>
  <c r="AT4" i="3"/>
  <c r="AT6" i="3"/>
  <c r="AT3" i="3"/>
  <c r="AV2" i="3"/>
  <c r="AU3" i="3" a="1"/>
  <c r="AU5" i="3" a="1"/>
  <c r="AU6" i="3" a="1"/>
  <c r="AU4" i="3" a="1"/>
  <c r="AU5" i="3" l="1"/>
  <c r="AU4" i="3"/>
  <c r="AU6" i="3"/>
  <c r="AU3" i="3"/>
  <c r="AW2" i="3"/>
  <c r="AV5" i="3" a="1"/>
  <c r="AV6" i="3" a="1"/>
  <c r="AV4" i="3" a="1"/>
  <c r="AV3" i="3" a="1"/>
  <c r="AV4" i="3" l="1"/>
  <c r="AV6" i="3"/>
  <c r="AV3" i="3"/>
  <c r="AV5" i="3"/>
  <c r="AX2" i="3"/>
  <c r="AW4" i="3" a="1"/>
  <c r="AW6" i="3" a="1"/>
  <c r="AW5" i="3" a="1"/>
  <c r="AW3" i="3" a="1"/>
  <c r="AW5" i="3" l="1"/>
  <c r="AW6" i="3"/>
  <c r="AW3" i="3"/>
  <c r="AW4" i="3"/>
  <c r="AY2" i="3"/>
  <c r="AX4" i="3" a="1"/>
  <c r="AX6" i="3" a="1"/>
  <c r="AX5" i="3" a="1"/>
  <c r="AX3" i="3" a="1"/>
  <c r="AX3" i="3" l="1"/>
  <c r="AX5" i="3"/>
  <c r="AX4" i="3"/>
  <c r="AX6" i="3"/>
  <c r="AZ2" i="3"/>
  <c r="AY6" i="3" a="1"/>
  <c r="AY4" i="3" a="1"/>
  <c r="AY5" i="3" a="1"/>
  <c r="AY3" i="3" a="1"/>
  <c r="AY5" i="3" l="1"/>
  <c r="AY4" i="3"/>
  <c r="AY3" i="3"/>
  <c r="AY6" i="3"/>
  <c r="BA2" i="3"/>
  <c r="AZ4" i="3" a="1"/>
  <c r="AZ3" i="3" a="1"/>
  <c r="AZ6" i="3" a="1"/>
  <c r="AZ5" i="3" a="1"/>
  <c r="AZ6" i="3" l="1"/>
  <c r="AZ5" i="3"/>
  <c r="AZ3" i="3"/>
  <c r="AZ4" i="3"/>
  <c r="BB2" i="3"/>
  <c r="BA6" i="3" a="1"/>
  <c r="BA4" i="3" a="1"/>
  <c r="BA3" i="3" a="1"/>
  <c r="BA5" i="3" a="1"/>
  <c r="BA3" i="3" l="1"/>
  <c r="BA4" i="3"/>
  <c r="BA5" i="3"/>
  <c r="BA6" i="3"/>
  <c r="BC2" i="3"/>
  <c r="BB5" i="3" a="1"/>
  <c r="BB4" i="3" a="1"/>
  <c r="BB3" i="3" a="1"/>
  <c r="BB6" i="3" a="1"/>
  <c r="BB3" i="3" l="1"/>
  <c r="BB6" i="3"/>
  <c r="BB5" i="3"/>
  <c r="BB4" i="3"/>
  <c r="BD2" i="3"/>
  <c r="BC4" i="3" a="1"/>
  <c r="BC3" i="3" a="1"/>
  <c r="BC6" i="3" a="1"/>
  <c r="BC5" i="3" a="1"/>
  <c r="BC5" i="3" l="1"/>
  <c r="BC6" i="3"/>
  <c r="BC4" i="3"/>
  <c r="BC3" i="3"/>
  <c r="BE2" i="3"/>
  <c r="BD6" i="3" a="1"/>
  <c r="BD3" i="3" a="1"/>
  <c r="BD4" i="3" a="1"/>
  <c r="BD5" i="3" a="1"/>
  <c r="BD3" i="3" l="1"/>
  <c r="BD5" i="3"/>
  <c r="BD4" i="3"/>
  <c r="BD6" i="3"/>
  <c r="BF2" i="3"/>
  <c r="BE3" i="3" a="1"/>
  <c r="BE6" i="3" a="1"/>
  <c r="BE5" i="3" a="1"/>
  <c r="BE4" i="3" a="1"/>
  <c r="BE5" i="3" l="1"/>
  <c r="BE4" i="3"/>
  <c r="BE6" i="3"/>
  <c r="BE3" i="3"/>
  <c r="BG2" i="3"/>
  <c r="BF6" i="3" a="1"/>
  <c r="BF4" i="3" a="1"/>
  <c r="BF5" i="3" a="1"/>
  <c r="BF3" i="3" a="1"/>
  <c r="BF4" i="3" l="1"/>
  <c r="BF5" i="3"/>
  <c r="BF3" i="3"/>
  <c r="BF6" i="3"/>
  <c r="BH2" i="3"/>
  <c r="BG3" i="3" a="1"/>
  <c r="BG5" i="3" a="1"/>
  <c r="BG4" i="3" a="1"/>
  <c r="BG6" i="3" a="1"/>
  <c r="BG6" i="3" l="1"/>
  <c r="BG5" i="3"/>
  <c r="BG4" i="3"/>
  <c r="BG3" i="3"/>
  <c r="BI2" i="3"/>
  <c r="BH3" i="3" a="1"/>
  <c r="BH6" i="3" a="1"/>
  <c r="BH5" i="3" a="1"/>
  <c r="BH4" i="3" a="1"/>
  <c r="BH4" i="3" l="1"/>
  <c r="BH5" i="3"/>
  <c r="BH6" i="3"/>
  <c r="BH3" i="3"/>
  <c r="BJ2" i="3"/>
  <c r="BI5" i="3" a="1"/>
  <c r="BI3" i="3" a="1"/>
  <c r="BI4" i="3" a="1"/>
  <c r="BI6" i="3" a="1"/>
  <c r="BI4" i="3" l="1"/>
  <c r="BI6" i="3"/>
  <c r="BI5" i="3"/>
  <c r="BI3" i="3"/>
  <c r="BK2" i="3"/>
  <c r="BJ4" i="3" a="1"/>
  <c r="BJ6" i="3" a="1"/>
  <c r="BJ5" i="3" a="1"/>
  <c r="BJ3" i="3" a="1"/>
  <c r="BJ6" i="3" l="1"/>
  <c r="BJ3" i="3"/>
  <c r="BJ5" i="3"/>
  <c r="BJ4" i="3"/>
  <c r="BL2" i="3"/>
  <c r="BK5" i="3" a="1"/>
  <c r="BK4" i="3" a="1"/>
  <c r="BK3" i="3" a="1"/>
  <c r="BK6" i="3" a="1"/>
  <c r="BK6" i="3" l="1"/>
  <c r="BK3" i="3"/>
  <c r="BK4" i="3"/>
  <c r="BK5" i="3"/>
  <c r="BM2" i="3"/>
  <c r="BL4" i="3" a="1"/>
  <c r="BL5" i="3" a="1"/>
  <c r="BL3" i="3" a="1"/>
  <c r="BL6" i="3" a="1"/>
  <c r="BL5" i="3" l="1"/>
  <c r="BL6" i="3"/>
  <c r="BL3" i="3"/>
  <c r="BL4" i="3"/>
  <c r="BN2" i="3"/>
  <c r="BM3" i="3" a="1"/>
  <c r="BM6" i="3" a="1"/>
  <c r="BM4" i="3" a="1"/>
  <c r="BM5" i="3" a="1"/>
  <c r="BM5" i="3" l="1"/>
  <c r="BM6" i="3"/>
  <c r="BM4" i="3"/>
  <c r="BM3" i="3"/>
  <c r="BO2" i="3"/>
  <c r="BN5" i="3" a="1"/>
  <c r="BN4" i="3" a="1"/>
  <c r="BN6" i="3" a="1"/>
  <c r="BN3" i="3" a="1"/>
  <c r="BN4" i="3" l="1"/>
  <c r="BN3" i="3"/>
  <c r="BN6" i="3"/>
  <c r="BN5" i="3"/>
  <c r="BP2" i="3"/>
  <c r="BO5" i="3" a="1"/>
  <c r="BO3" i="3" a="1"/>
  <c r="BO4" i="3" a="1"/>
  <c r="BO6" i="3" a="1"/>
  <c r="BO6" i="3" l="1"/>
  <c r="BO3" i="3"/>
  <c r="BO4" i="3"/>
  <c r="BO5" i="3"/>
  <c r="BQ2" i="3"/>
  <c r="BP3" i="3" a="1"/>
  <c r="BP4" i="3" a="1"/>
  <c r="BP5" i="3" a="1"/>
  <c r="BP6" i="3" a="1"/>
  <c r="BP4" i="3" l="1"/>
  <c r="BP6" i="3"/>
  <c r="BP5" i="3"/>
  <c r="BP3" i="3"/>
  <c r="BR2" i="3"/>
  <c r="BQ3" i="3" a="1"/>
  <c r="BQ4" i="3" a="1"/>
  <c r="BQ6" i="3" a="1"/>
  <c r="BQ5" i="3" a="1"/>
  <c r="BQ3" i="3" l="1"/>
  <c r="BQ6" i="3"/>
  <c r="BQ5" i="3"/>
  <c r="BQ4" i="3"/>
  <c r="BS2" i="3"/>
  <c r="BR5" i="3" a="1"/>
  <c r="BR4" i="3" a="1"/>
  <c r="BR6" i="3" a="1"/>
  <c r="BR3" i="3" a="1"/>
  <c r="BR3" i="3" l="1"/>
  <c r="BR4" i="3"/>
  <c r="BR6" i="3"/>
  <c r="BR5" i="3"/>
  <c r="BT2" i="3"/>
  <c r="BS3" i="3" a="1"/>
  <c r="BS5" i="3" a="1"/>
  <c r="BS6" i="3" a="1"/>
  <c r="BS4" i="3" a="1"/>
  <c r="BS4" i="3" l="1"/>
  <c r="BS5" i="3"/>
  <c r="BS6" i="3"/>
  <c r="BS3" i="3"/>
  <c r="BU2" i="3"/>
  <c r="BT5" i="3" a="1"/>
  <c r="BT4" i="3" a="1"/>
  <c r="BT6" i="3" a="1"/>
  <c r="BT3" i="3" a="1"/>
  <c r="BT4" i="3" l="1"/>
  <c r="BT6" i="3"/>
  <c r="BT3" i="3"/>
  <c r="BT5" i="3"/>
  <c r="BV2" i="3"/>
  <c r="BU6" i="3" a="1"/>
  <c r="BU5" i="3" a="1"/>
  <c r="BU3" i="3" a="1"/>
  <c r="BU4" i="3" a="1"/>
  <c r="BU3" i="3" l="1"/>
  <c r="BU4" i="3"/>
  <c r="BU6" i="3"/>
  <c r="BU5" i="3"/>
  <c r="BW2" i="3"/>
  <c r="BV3" i="3" a="1"/>
  <c r="BV6" i="3" a="1"/>
  <c r="BV4" i="3" a="1"/>
  <c r="BV5" i="3" a="1"/>
  <c r="BV4" i="3" l="1"/>
  <c r="BV6" i="3"/>
  <c r="BV3" i="3"/>
  <c r="BV5" i="3"/>
  <c r="BX2" i="3"/>
  <c r="BW3" i="3" a="1"/>
  <c r="BW5" i="3" a="1"/>
  <c r="BW4" i="3" a="1"/>
  <c r="BW6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<sst xmlns="http://schemas.openxmlformats.org/spreadsheetml/2006/main" count="2825" uniqueCount="1017">
  <si>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</si>
  <si>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</si>
  <si>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</si>
  <si>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</si>
  <si>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</si>
  <si>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</si>
  <si>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</si>
  <si>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</si>
  <si>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</si>
  <si>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</si>
  <si>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</si>
  <si>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</si>
  <si>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</si>
  <si>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</si>
  <si>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</si>
  <si>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</si>
  <si>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</si>
  <si>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</si>
  <si>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</si>
  <si>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</si>
  <si>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</si>
  <si>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</si>
  <si>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</si>
  <si>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</si>
  <si>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</si>
  <si>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</si>
  <si>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</si>
  <si>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</si>
  <si>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</si>
  <si>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</si>
  <si>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</si>
  <si>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</si>
  <si>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</si>
  <si>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</si>
  <si>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</si>
  <si>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</si>
  <si>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</si>
  <si>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</si>
  <si>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</si>
  <si>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</si>
  <si>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</si>
  <si>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</si>
  <si>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</si>
  <si>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</si>
  <si>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</si>
  <si>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</si>
  <si>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</si>
  <si>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</si>
  <si>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</si>
  <si>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</si>
  <si>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</si>
  <si>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</si>
  <si>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</si>
  <si>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</si>
  <si>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</si>
  <si>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</si>
  <si>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</si>
  <si>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</si>
  <si>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</si>
  <si>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</si>
  <si>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</si>
  <si>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</si>
  <si>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</si>
  <si>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</si>
  <si>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</si>
  <si>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</si>
  <si>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</si>
  <si>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</si>
  <si>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</si>
  <si>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</si>
  <si>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</si>
  <si>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</si>
  <si>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</si>
  <si>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</si>
  <si>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</si>
  <si>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</si>
  <si>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</si>
  <si>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</si>
  <si>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</si>
  <si>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</si>
  <si>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</si>
  <si>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</si>
  <si>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</si>
  <si>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</si>
  <si>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</si>
  <si>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</si>
  <si>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</si>
  <si>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</si>
  <si>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</si>
  <si>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</si>
  <si>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</si>
  <si>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</si>
  <si>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</si>
  <si>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</si>
  <si>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</si>
  <si>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</si>
  <si>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</si>
  <si>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</si>
  <si>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</si>
  <si>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</si>
  <si>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</si>
  <si>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</si>
  <si>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</si>
  <si>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</si>
  <si>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</si>
  <si>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</si>
  <si>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</si>
  <si>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</si>
  <si>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</si>
  <si>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</si>
  <si>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</si>
  <si>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</si>
  <si>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</si>
  <si>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</si>
  <si>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</si>
  <si>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</si>
  <si>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</si>
  <si>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</si>
  <si>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</si>
  <si>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</si>
  <si>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</si>
  <si>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</si>
  <si>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</si>
  <si>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</si>
  <si>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</si>
  <si>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</si>
  <si>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</si>
  <si>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</si>
  <si>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</si>
  <si>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</si>
  <si>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</si>
  <si>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</si>
  <si>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</si>
  <si>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</si>
  <si>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</si>
  <si>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</si>
  <si>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</si>
  <si>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</si>
  <si>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</si>
  <si>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</si>
  <si>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</si>
  <si>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</si>
  <si>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</si>
  <si>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</si>
  <si>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</si>
  <si>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</si>
  <si>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</si>
  <si>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</si>
  <si>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</si>
  <si>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</si>
  <si>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</si>
  <si>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</si>
  <si>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</si>
  <si>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</si>
  <si>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</si>
  <si>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</si>
  <si>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</si>
  <si>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</si>
  <si>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</si>
  <si>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</si>
  <si>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</si>
  <si>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</si>
  <si>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</si>
  <si>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</si>
  <si>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</si>
  <si>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</si>
  <si>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</si>
  <si>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</si>
  <si>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</si>
  <si>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</si>
  <si>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</si>
  <si>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</si>
  <si>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</si>
  <si>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</si>
  <si>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</si>
  <si>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</si>
  <si>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</si>
  <si>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</si>
  <si>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</si>
  <si>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</si>
  <si>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</si>
  <si>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</si>
  <si>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</si>
  <si>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</si>
  <si>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</si>
  <si>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</si>
  <si>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</si>
  <si>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</si>
  <si>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</si>
  <si>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</si>
  <si>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</si>
  <si>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</si>
  <si>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</si>
  <si>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</si>
  <si>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</si>
  <si>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</si>
  <si>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</si>
  <si>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</si>
  <si>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</si>
  <si>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</si>
  <si>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</si>
  <si>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</si>
  <si>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</si>
  <si>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</si>
  <si>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</si>
  <si>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</si>
  <si>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</si>
  <si>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</si>
  <si>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</si>
  <si>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</si>
  <si>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</si>
  <si>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</si>
  <si>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</si>
  <si>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</si>
  <si>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</si>
  <si>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</si>
  <si>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</si>
  <si>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</si>
  <si>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</si>
  <si>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</si>
  <si>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</si>
  <si>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</si>
  <si>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</si>
  <si>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</si>
  <si>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</si>
  <si>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</si>
  <si>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</si>
  <si>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</si>
  <si>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</si>
  <si>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</si>
  <si>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</si>
  <si>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</si>
  <si>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</si>
  <si>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</si>
  <si>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</si>
  <si>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</si>
  <si>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</si>
  <si>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</si>
  <si>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</si>
  <si>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</si>
  <si>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</si>
  <si>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</si>
  <si>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</si>
  <si>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</si>
  <si>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</si>
  <si>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</si>
  <si>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</si>
  <si>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</si>
  <si>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</si>
  <si>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</si>
  <si>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</si>
  <si>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</si>
  <si>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</si>
  <si>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</si>
  <si>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</si>
  <si>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</si>
  <si>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</si>
  <si>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</si>
  <si>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</si>
  <si>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</si>
  <si>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</si>
  <si>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</si>
  <si>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</si>
  <si>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</si>
  <si>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</si>
  <si>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</si>
  <si>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</si>
  <si>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</si>
  <si>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</si>
  <si>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</si>
  <si>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</si>
  <si>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</si>
  <si>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</si>
  <si>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</si>
  <si>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</si>
  <si>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</si>
  <si>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</si>
  <si>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</si>
  <si>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</si>
  <si>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</si>
  <si>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</si>
  <si>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</si>
  <si>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</si>
  <si>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</si>
  <si>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</si>
  <si>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</si>
  <si>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</si>
  <si>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</si>
  <si>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</si>
  <si>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</si>
  <si>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</si>
  <si>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</si>
  <si>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</si>
  <si>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</si>
  <si>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</si>
  <si>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</si>
  <si>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</si>
  <si>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</si>
  <si>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</si>
  <si>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</si>
  <si>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</si>
  <si>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</si>
  <si>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</si>
  <si>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</si>
  <si>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</si>
  <si>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</si>
  <si>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</si>
  <si>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</si>
  <si>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</si>
  <si>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</si>
  <si>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</si>
  <si>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</si>
  <si>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</si>
  <si>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</si>
  <si>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</si>
  <si>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</si>
  <si>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</si>
  <si>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</si>
  <si>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</si>
  <si>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</si>
  <si>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</si>
  <si>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</si>
  <si>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</si>
  <si>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</si>
  <si>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</si>
  <si>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</si>
  <si>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</si>
  <si>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</si>
  <si>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</si>
  <si>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</si>
  <si>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</si>
  <si>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</si>
  <si>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</si>
  <si>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</si>
  <si>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</si>
  <si>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</si>
  <si>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</si>
  <si>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</si>
  <si>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</si>
  <si>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</si>
  <si>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</si>
  <si>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</si>
  <si>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</si>
  <si>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</si>
  <si>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</si>
  <si>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</si>
  <si>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</si>
  <si>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</si>
  <si>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</si>
  <si>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</si>
  <si>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</si>
  <si>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</si>
  <si>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</si>
  <si>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</si>
  <si>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</si>
  <si>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</si>
  <si>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</si>
  <si>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</si>
  <si>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</si>
  <si>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</si>
  <si>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</si>
  <si>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</si>
  <si>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</si>
  <si>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</si>
  <si>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</si>
  <si>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</si>
  <si>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</si>
  <si>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</si>
  <si>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</si>
  <si>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</si>
  <si>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</si>
  <si>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</si>
  <si>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</si>
  <si>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</si>
  <si>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</si>
  <si>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</si>
  <si>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</si>
  <si>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</si>
  <si>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</si>
  <si>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</si>
  <si>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</si>
  <si>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</si>
  <si>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</si>
  <si>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</si>
  <si>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</si>
  <si>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</si>
  <si>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</si>
  <si>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</si>
  <si>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</si>
  <si>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</si>
  <si>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</si>
  <si>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</si>
  <si>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</si>
  <si>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</si>
  <si>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</si>
  <si>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</si>
  <si>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</si>
  <si>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</si>
  <si>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</si>
  <si>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</si>
  <si>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</si>
  <si>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</si>
  <si>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</si>
  <si>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</si>
  <si>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</si>
  <si>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</si>
  <si>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</si>
  <si>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</si>
  <si>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</si>
  <si>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</si>
  <si>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</si>
  <si>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</si>
  <si>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</si>
  <si>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</si>
  <si>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</si>
  <si>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</si>
  <si>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</si>
  <si>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</si>
  <si>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</si>
  <si>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</si>
  <si>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</si>
  <si>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</si>
  <si>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</si>
  <si>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</si>
  <si>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</si>
  <si>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</si>
  <si>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</si>
  <si>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</si>
  <si>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</si>
  <si>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</si>
  <si>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</si>
  <si>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</si>
  <si>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</si>
  <si>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</si>
  <si>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</si>
  <si>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</si>
  <si>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</si>
  <si>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</si>
  <si>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</si>
  <si>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</si>
  <si>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</si>
  <si>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</si>
  <si>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</si>
  <si>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</si>
  <si>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</si>
  <si>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</si>
  <si>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</si>
  <si>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</si>
  <si>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</si>
  <si>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</si>
  <si>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</si>
  <si>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</si>
  <si>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</si>
  <si>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</si>
  <si>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</si>
  <si>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</si>
  <si>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</si>
  <si>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</si>
  <si>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</si>
  <si>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</si>
  <si>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</si>
  <si>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</si>
  <si>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</si>
  <si>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</si>
  <si>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</si>
  <si>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</si>
  <si>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</si>
  <si>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</si>
  <si>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</si>
  <si>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</si>
  <si>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</si>
  <si>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</si>
  <si>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</si>
  <si>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</si>
  <si>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</si>
  <si>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</si>
  <si>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</si>
  <si>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</si>
  <si>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</si>
  <si>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</si>
  <si>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</si>
  <si>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</si>
  <si>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</si>
  <si>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</si>
  <si>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</si>
  <si>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</si>
  <si>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</si>
  <si>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</si>
  <si>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</si>
  <si>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</si>
  <si>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</si>
  <si>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</si>
  <si>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</si>
  <si>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</si>
  <si>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</si>
  <si>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</si>
  <si>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</si>
  <si>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</si>
  <si>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</si>
  <si>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</si>
  <si>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</si>
  <si>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</si>
  <si>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</si>
  <si>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</si>
  <si>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</si>
  <si>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</si>
  <si>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</si>
  <si>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</si>
  <si>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</si>
  <si>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</si>
  <si>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</si>
  <si>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</si>
  <si>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</si>
  <si>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</si>
  <si>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</si>
  <si>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</si>
  <si>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</si>
  <si>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</si>
  <si>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</si>
  <si>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</si>
  <si>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</si>
  <si>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</si>
  <si>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</si>
  <si>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</si>
  <si>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</si>
  <si>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</si>
  <si>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</si>
  <si>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</si>
  <si>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</si>
  <si>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</si>
  <si>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</si>
  <si>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</si>
  <si>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</si>
  <si>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</si>
  <si>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</si>
  <si>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</si>
  <si>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</si>
  <si>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</si>
  <si>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</si>
  <si>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</si>
  <si>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</si>
  <si>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</si>
  <si>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</si>
  <si>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</si>
  <si>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</si>
  <si>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</si>
  <si>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</si>
  <si>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</si>
  <si>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</si>
  <si>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</si>
  <si>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</si>
  <si>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</si>
  <si>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</si>
  <si>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</si>
  <si>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</si>
  <si>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</si>
  <si>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</si>
  <si>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</si>
  <si>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</si>
  <si>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</si>
  <si>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</si>
  <si>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</si>
  <si>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</si>
  <si>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</si>
  <si>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</si>
  <si>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</si>
  <si>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</si>
  <si>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</si>
  <si>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</si>
  <si>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</si>
  <si>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</si>
  <si>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</si>
  <si>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</si>
  <si>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</si>
  <si>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</si>
  <si>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</si>
  <si>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</si>
  <si>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</si>
  <si>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</si>
  <si>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</si>
  <si>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</si>
  <si>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</si>
  <si>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</si>
  <si>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</si>
  <si>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</si>
  <si>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</si>
  <si>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</si>
  <si>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</si>
  <si>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</si>
  <si>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</si>
  <si>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</si>
  <si>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</si>
  <si>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</si>
  <si>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</si>
  <si>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</si>
  <si>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</si>
  <si>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</si>
  <si>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</si>
  <si>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</si>
  <si>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</si>
  <si>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</si>
  <si>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</si>
  <si>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</si>
  <si>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</si>
  <si>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</si>
  <si>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</si>
  <si>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</si>
  <si>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</si>
  <si>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</si>
  <si>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</si>
  <si>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</si>
  <si>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</si>
  <si>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</si>
  <si>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</si>
  <si>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</si>
  <si>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</si>
  <si>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</si>
  <si>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</si>
  <si>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</si>
  <si>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</si>
  <si>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</si>
  <si>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</si>
  <si>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</si>
  <si>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</si>
  <si>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</si>
  <si>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</si>
  <si>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</si>
  <si>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</si>
  <si>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</si>
  <si>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</si>
  <si>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</si>
  <si>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</si>
  <si>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</si>
  <si>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</si>
  <si>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</si>
  <si>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</si>
  <si>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</si>
  <si>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</si>
  <si>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</si>
  <si>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</si>
  <si>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</si>
  <si>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</si>
  <si>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</si>
  <si>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</si>
  <si>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</si>
  <si>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</si>
  <si>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</si>
  <si>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</si>
  <si>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</si>
  <si>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</si>
  <si>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</si>
  <si>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</si>
  <si>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</si>
  <si>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</si>
  <si>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</si>
  <si>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</si>
  <si>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</si>
  <si>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</si>
  <si>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</si>
  <si>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</si>
  <si>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</si>
  <si>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</si>
  <si>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</si>
  <si>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</si>
  <si>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</si>
  <si>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</si>
  <si>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</si>
  <si>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</si>
  <si>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</si>
  <si>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</si>
  <si>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</si>
  <si>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</si>
  <si>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</si>
  <si>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</si>
  <si>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</si>
  <si>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</si>
  <si>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</si>
  <si>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</si>
  <si>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</si>
  <si>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</si>
  <si>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</si>
  <si>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</si>
  <si>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</si>
  <si>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</si>
  <si>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</si>
  <si>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</si>
  <si>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</si>
  <si>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</si>
  <si>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alphabet: '1!qa2wsxeEdcbyhnBYHN?ujm8ik,9l.0p;:/-OAUJ*I&lt;(L 43657'</t>
    <phoneticPr fontId="9" type="noConversion"/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</si>
  <si>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</si>
  <si>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</si>
  <si>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</si>
  <si>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</si>
  <si>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</si>
  <si>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</si>
  <si>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</si>
  <si>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</si>
  <si>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</si>
  <si>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</si>
  <si>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</si>
  <si>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</si>
  <si>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</si>
  <si>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</si>
  <si>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</si>
  <si>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</si>
  <si>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</si>
  <si>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</si>
  <si>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</si>
  <si>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</si>
  <si>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</si>
  <si>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</si>
  <si>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</si>
  <si>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</si>
  <si>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</si>
  <si>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</si>
  <si>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</si>
  <si>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</si>
  <si>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</si>
  <si>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</si>
  <si>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</si>
  <si>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</si>
  <si>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</si>
  <si>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</si>
  <si>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</si>
  <si>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</si>
  <si>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</si>
  <si>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</si>
  <si>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</si>
  <si>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</si>
  <si>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</si>
  <si>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</si>
  <si>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</si>
  <si>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</si>
  <si>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</si>
  <si>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</si>
  <si>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</si>
  <si>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</si>
  <si>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</si>
  <si>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</si>
  <si>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</si>
  <si>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</si>
  <si>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</si>
  <si>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</si>
  <si>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</si>
  <si>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</si>
  <si>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</si>
  <si>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</si>
  <si>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</si>
  <si>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</si>
  <si>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</si>
  <si>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</si>
  <si>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</si>
  <si>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</si>
  <si>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</si>
  <si>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</si>
  <si>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</si>
  <si>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</si>
  <si>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</si>
  <si>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</si>
  <si>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</si>
  <si>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</si>
  <si>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</si>
  <si>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</si>
  <si>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</si>
  <si>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</si>
  <si>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</si>
  <si>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</si>
  <si>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</si>
  <si>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</si>
  <si>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</si>
  <si>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</si>
  <si>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</si>
  <si>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</si>
  <si>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</si>
  <si>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</si>
  <si>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</si>
  <si>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</si>
  <si>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</si>
  <si>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</si>
  <si>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</si>
  <si>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</si>
  <si>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</si>
  <si>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</si>
  <si>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</si>
  <si>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</si>
  <si>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</si>
  <si>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</si>
  <si>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</si>
  <si>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</si>
  <si>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</si>
  <si>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</si>
  <si>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</si>
  <si>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</si>
  <si>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</si>
  <si>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</si>
  <si>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</si>
  <si>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</si>
  <si>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</si>
  <si>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</si>
  <si>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</si>
  <si>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</si>
  <si>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</si>
  <si>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</si>
  <si>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</si>
  <si>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</si>
  <si>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</si>
  <si>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</si>
  <si>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</si>
  <si>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</si>
  <si>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</si>
  <si>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</si>
  <si>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</si>
  <si>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</si>
  <si>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</si>
  <si>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</si>
  <si>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</si>
  <si>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</si>
  <si>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</si>
  <si>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</si>
  <si>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</si>
  <si>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</si>
  <si>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</si>
  <si>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</si>
  <si>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</si>
  <si>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</si>
  <si>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</si>
  <si>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</si>
  <si>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</si>
  <si>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</si>
  <si>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</si>
  <si>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</si>
  <si>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</si>
  <si>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</si>
  <si>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</si>
  <si>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</si>
  <si>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</si>
  <si>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</si>
  <si>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</si>
  <si>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</si>
  <si>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</si>
  <si>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</si>
  <si>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</si>
  <si>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</si>
  <si>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</si>
  <si>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</si>
  <si>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</si>
  <si>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</si>
  <si>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</si>
  <si>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</si>
  <si>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</si>
  <si>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</si>
  <si>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</si>
  <si>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</si>
  <si>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</si>
  <si>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</si>
  <si>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</si>
  <si>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</si>
  <si>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</si>
  <si>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</si>
  <si>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</si>
  <si>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</si>
  <si>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</si>
  <si>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</si>
  <si>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</si>
  <si>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</si>
  <si>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</si>
  <si>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</si>
  <si>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</si>
  <si>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</si>
  <si>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</si>
  <si>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</si>
  <si>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</si>
  <si>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</si>
  <si>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</si>
  <si>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</si>
  <si>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</si>
  <si>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</si>
  <si>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</si>
  <si>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</si>
  <si>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</si>
  <si>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</si>
  <si>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</si>
  <si>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</si>
  <si>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</si>
  <si>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</si>
  <si>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</si>
  <si>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</si>
  <si>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</si>
  <si>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</si>
  <si>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</si>
  <si>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</si>
  <si>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</si>
  <si>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</si>
  <si>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</si>
  <si>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</si>
  <si>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</si>
  <si>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</si>
  <si>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</si>
  <si>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</si>
  <si>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</si>
  <si>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</si>
  <si>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</si>
  <si>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</si>
  <si>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ㆴ</t>
    <phoneticPr fontId="9" type="noConversion"/>
  </si>
  <si>
    <t>ㆵ</t>
    <phoneticPr fontId="9" type="noConversion"/>
  </si>
  <si>
    <t>ㆻ</t>
    <phoneticPr fontId="9" type="noConversion"/>
  </si>
  <si>
    <t>ㆷ</t>
    <phoneticPr fontId="9" type="noConversion"/>
  </si>
  <si>
    <t>ㄬ</t>
  </si>
  <si>
    <t>万</t>
    <phoneticPr fontId="9" type="noConversion"/>
  </si>
  <si>
    <t>ㄖ</t>
    <phoneticPr fontId="9" type="noConversion"/>
  </si>
  <si>
    <t>ㄎ</t>
    <phoneticPr fontId="9" type="noConversion"/>
  </si>
  <si>
    <t>兀</t>
    <phoneticPr fontId="9" type="noConversion"/>
  </si>
  <si>
    <t>ㄛ</t>
    <phoneticPr fontId="9" type="noConversion"/>
  </si>
  <si>
    <t>ㄜ</t>
    <phoneticPr fontId="9" type="noConversion"/>
  </si>
  <si>
    <t>ㄝ</t>
    <phoneticPr fontId="9" type="noConversion"/>
  </si>
  <si>
    <t>ㄦ</t>
    <phoneticPr fontId="9" type="noConversion"/>
  </si>
  <si>
    <t>ㄭ</t>
    <phoneticPr fontId="9" type="noConversion"/>
  </si>
  <si>
    <t>⁰ㄨ</t>
  </si>
  <si>
    <t>⁰ㄚ</t>
  </si>
  <si>
    <t>⁰ㆦ</t>
  </si>
  <si>
    <t>⁰ㄝ</t>
  </si>
  <si>
    <t>⁰ㄞ</t>
  </si>
  <si>
    <t>⁰ㄠ</t>
  </si>
  <si>
    <t>ㄥ</t>
    <phoneticPr fontId="9" type="noConversion"/>
  </si>
  <si>
    <r>
      <rPr>
        <sz val="18"/>
        <rFont val="SimSun"/>
        <charset val="134"/>
      </rPr>
      <t>ㄛ</t>
    </r>
    <r>
      <rPr>
        <sz val="18"/>
        <rFont val="Microsoft JhengHei"/>
        <family val="2"/>
      </rPr>
      <t>ㄥ</t>
    </r>
    <phoneticPr fontId="9" type="noConversion"/>
  </si>
  <si>
    <t>ㄇ</t>
    <phoneticPr fontId="9" type="noConversion"/>
  </si>
  <si>
    <t>⁰ㄧ</t>
  </si>
  <si>
    <t>按鍵符號</t>
    <phoneticPr fontId="9" type="noConversion"/>
  </si>
  <si>
    <t>台語音標注音</t>
    <phoneticPr fontId="9" type="noConversion"/>
  </si>
  <si>
    <t>1   !</t>
    <phoneticPr fontId="4" type="noConversion"/>
  </si>
  <si>
    <t>2   @</t>
    <phoneticPr fontId="4" type="noConversion"/>
  </si>
  <si>
    <t>3   #</t>
    <phoneticPr fontId="4" type="noConversion"/>
  </si>
  <si>
    <t>4   $</t>
    <phoneticPr fontId="4" type="noConversion"/>
  </si>
  <si>
    <t>5   %</t>
    <phoneticPr fontId="4" type="noConversion"/>
  </si>
  <si>
    <t>6   ^</t>
    <phoneticPr fontId="4" type="noConversion"/>
  </si>
  <si>
    <t>7   &amp;</t>
    <phoneticPr fontId="4" type="noConversion"/>
  </si>
  <si>
    <t>8   *</t>
    <phoneticPr fontId="4" type="noConversion"/>
  </si>
  <si>
    <t>9   (</t>
    <phoneticPr fontId="4" type="noConversion"/>
  </si>
  <si>
    <t>0   )</t>
    <phoneticPr fontId="4" type="noConversion"/>
  </si>
  <si>
    <t>-   _</t>
    <phoneticPr fontId="16" type="noConversion"/>
  </si>
  <si>
    <t>=   +</t>
    <phoneticPr fontId="16" type="noConversion"/>
  </si>
  <si>
    <t>W</t>
    <phoneticPr fontId="16" type="noConversion"/>
  </si>
  <si>
    <t>E</t>
    <phoneticPr fontId="16" type="noConversion"/>
  </si>
  <si>
    <t>R</t>
    <phoneticPr fontId="16" type="noConversion"/>
  </si>
  <si>
    <t>T</t>
    <phoneticPr fontId="16" type="noConversion"/>
  </si>
  <si>
    <t>Y</t>
    <phoneticPr fontId="16" type="noConversion"/>
  </si>
  <si>
    <t>U</t>
    <phoneticPr fontId="16" type="noConversion"/>
  </si>
  <si>
    <t>I</t>
    <phoneticPr fontId="16" type="noConversion"/>
  </si>
  <si>
    <t>O</t>
    <phoneticPr fontId="16" type="noConversion"/>
  </si>
  <si>
    <t>P</t>
    <phoneticPr fontId="16" type="noConversion"/>
  </si>
  <si>
    <t>[   {</t>
    <phoneticPr fontId="16" type="noConversion"/>
  </si>
  <si>
    <t>]   }</t>
    <phoneticPr fontId="16" type="noConversion"/>
  </si>
  <si>
    <t>\   |</t>
    <phoneticPr fontId="16" type="noConversion"/>
  </si>
  <si>
    <t>【8】˙</t>
    <phoneticPr fontId="4" type="noConversion"/>
  </si>
  <si>
    <t>【2】ˋ</t>
    <phoneticPr fontId="4" type="noConversion"/>
  </si>
  <si>
    <t>A</t>
    <phoneticPr fontId="16" type="noConversion"/>
  </si>
  <si>
    <t>S</t>
    <phoneticPr fontId="16" type="noConversion"/>
  </si>
  <si>
    <t>D</t>
    <phoneticPr fontId="16" type="noConversion"/>
  </si>
  <si>
    <t>F</t>
    <phoneticPr fontId="16" type="noConversion"/>
  </si>
  <si>
    <t>G</t>
    <phoneticPr fontId="16" type="noConversion"/>
  </si>
  <si>
    <t>H</t>
    <phoneticPr fontId="16" type="noConversion"/>
  </si>
  <si>
    <t>J</t>
    <phoneticPr fontId="16" type="noConversion"/>
  </si>
  <si>
    <t>K</t>
    <phoneticPr fontId="16" type="noConversion"/>
  </si>
  <si>
    <t>L</t>
    <phoneticPr fontId="16" type="noConversion"/>
  </si>
  <si>
    <t>;   :</t>
    <phoneticPr fontId="16" type="noConversion"/>
  </si>
  <si>
    <t>'    "</t>
    <phoneticPr fontId="16" type="noConversion"/>
  </si>
  <si>
    <t>Z</t>
    <phoneticPr fontId="16" type="noConversion"/>
  </si>
  <si>
    <t>X</t>
    <phoneticPr fontId="16" type="noConversion"/>
  </si>
  <si>
    <t>C</t>
    <phoneticPr fontId="16" type="noConversion"/>
  </si>
  <si>
    <t>V</t>
    <phoneticPr fontId="16" type="noConversion"/>
  </si>
  <si>
    <t>B</t>
    <phoneticPr fontId="16" type="noConversion"/>
  </si>
  <si>
    <t>N</t>
    <phoneticPr fontId="16" type="noConversion"/>
  </si>
  <si>
    <t>M</t>
    <phoneticPr fontId="16" type="noConversion"/>
  </si>
  <si>
    <t>,    &lt;</t>
    <phoneticPr fontId="16" type="noConversion"/>
  </si>
  <si>
    <t>.    &gt;</t>
    <phoneticPr fontId="16" type="noConversion"/>
  </si>
  <si>
    <t xml:space="preserve">/   ? </t>
    <phoneticPr fontId="16" type="noConversion"/>
  </si>
  <si>
    <t>【5】ˊ</t>
    <phoneticPr fontId="4" type="noConversion"/>
  </si>
  <si>
    <t/>
  </si>
  <si>
    <t>聲母 (21)</t>
  </si>
  <si>
    <t>tsi</t>
  </si>
  <si>
    <t>tshi</t>
  </si>
  <si>
    <t>tsh</t>
  </si>
  <si>
    <t>bN</t>
  </si>
  <si>
    <t>dN</t>
  </si>
  <si>
    <t>gN</t>
  </si>
  <si>
    <t>zi</t>
  </si>
  <si>
    <t>Ci</t>
  </si>
  <si>
    <t>韻母 (24)</t>
  </si>
  <si>
    <t>ø</t>
  </si>
  <si>
    <t>øG</t>
  </si>
  <si>
    <t>[ɔ̃]</t>
  </si>
  <si>
    <t>[ãĩ]</t>
  </si>
  <si>
    <t>[ãũ]</t>
  </si>
  <si>
    <t>ㆴ̇ㆵ̇ㆻ̇ㆷ̇</t>
    <phoneticPr fontId="4" type="noConversion"/>
  </si>
  <si>
    <t>p</t>
    <phoneticPr fontId="4" type="noConversion"/>
  </si>
  <si>
    <t>t</t>
    <phoneticPr fontId="4" type="noConversion"/>
  </si>
  <si>
    <t>h</t>
    <phoneticPr fontId="4" type="noConversion"/>
  </si>
  <si>
    <t>【7】˫
【3】˪</t>
    <phoneticPr fontId="4" type="noConversion"/>
  </si>
  <si>
    <t>【1】ˉ</t>
    <phoneticPr fontId="4" type="noConversion"/>
  </si>
  <si>
    <t>【4|8】˙</t>
    <phoneticPr fontId="4" type="noConversion"/>
  </si>
  <si>
    <t>Q</t>
    <phoneticPr fontId="4" type="noConversion"/>
  </si>
  <si>
    <t>tang1</t>
    <phoneticPr fontId="9" type="noConversion"/>
  </si>
  <si>
    <t>聲母 (21)</t>
  </si>
  <si>
    <t>韻母 (24)</t>
  </si>
  <si>
    <r>
      <t>[</t>
    </r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Times New Roman"/>
        <family val="1"/>
      </rPr>
      <t>]</t>
    </r>
  </si>
  <si>
    <t>ㄒㄧ</t>
  </si>
  <si>
    <t>ㄒㄧ</t>
    <phoneticPr fontId="9" type="noConversion"/>
  </si>
  <si>
    <t>ㄑㄧ</t>
    <phoneticPr fontId="9" type="noConversion"/>
  </si>
  <si>
    <t>ㄐㄧ</t>
    <phoneticPr fontId="9" type="noConversion"/>
  </si>
  <si>
    <t>⁰ㄚ</t>
    <phoneticPr fontId="9" type="noConversion"/>
  </si>
  <si>
    <t>⁰ㄝ</t>
    <phoneticPr fontId="9" type="noConversion"/>
  </si>
  <si>
    <t>⁰ㄞ</t>
    <phoneticPr fontId="9" type="noConversion"/>
  </si>
  <si>
    <t>⁰ㄠ</t>
    <phoneticPr fontId="9" type="noConversion"/>
  </si>
  <si>
    <t>⁰ㄛ</t>
    <phoneticPr fontId="9" type="noConversion"/>
  </si>
  <si>
    <t>ㄛㄥ</t>
    <phoneticPr fontId="9" type="noConversion"/>
  </si>
  <si>
    <r>
      <t>[ɲ</t>
    </r>
    <r>
      <rPr>
        <sz val="20"/>
        <color rgb="FFFF0000"/>
        <rFont val="Microsoft JhengHei UI"/>
        <family val="1"/>
        <charset val="136"/>
      </rPr>
      <t>]</t>
    </r>
    <phoneticPr fontId="9" type="noConversion"/>
  </si>
  <si>
    <t>ㆢㄧ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</si>
</sst>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18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0"/>
      <color rgb="FF000000"/>
      <name val="Arial"/>
      <family val="2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18"/>
      <name val="Microsoft JhengHei UI"/>
      <family val="2"/>
      <charset val="254"/>
    </font>
    <font>
      <sz val="18"/>
      <name val="Microsoft JhengHei"/>
      <family val="2"/>
    </font>
    <font>
      <sz val="18"/>
      <name val="SimSun"/>
      <charset val="134"/>
    </font>
    <font>
      <b/>
      <sz val="18"/>
      <color theme="5" tint="-0.249977111117893"/>
      <name val="Microsoft JhengHei UI"/>
      <family val="2"/>
      <charset val="136"/>
    </font>
    <font>
      <sz val="18"/>
      <name val="Microsoft JhengHei"/>
    </font>
    <font>
      <b/>
      <sz val="18"/>
      <color rgb="FFC00000"/>
      <name val="Microsoft JhengHei"/>
      <family val="2"/>
    </font>
    <font>
      <sz val="18"/>
      <name val="Microsoft JhengHei"/>
      <family val="1"/>
    </font>
    <font>
      <sz val="18"/>
      <name val="霞鶩文楷 TC"/>
      <family val="1"/>
      <charset val="136"/>
    </font>
    <font>
      <sz val="18"/>
      <name val="Times New Roman"/>
      <family val="1"/>
      <charset val="134"/>
    </font>
    <font>
      <b/>
      <sz val="24"/>
      <color theme="7" tint="-0.249977111117893"/>
      <name val="芫荽 0.94"/>
      <family val="3"/>
      <charset val="136"/>
    </font>
    <font>
      <sz val="26"/>
      <color rgb="FFFF0000"/>
      <name val="芫荽 0.94"/>
      <family val="3"/>
      <charset val="136"/>
    </font>
    <font>
      <sz val="24"/>
      <name val="Noto Serif TC Medium"/>
      <family val="1"/>
      <charset val="136"/>
    </font>
    <font>
      <sz val="26"/>
      <color rgb="FF000000"/>
      <name val="Iansui 094"/>
      <family val="3"/>
      <charset val="136"/>
    </font>
    <font>
      <sz val="12"/>
      <name val="宋体"/>
    </font>
    <font>
      <b/>
      <sz val="12"/>
      <color rgb="FF0070C0"/>
      <name val="Roboto Black"/>
    </font>
    <font>
      <b/>
      <sz val="12"/>
      <name val="宋体"/>
    </font>
    <font>
      <sz val="26"/>
      <name val="Times New Roman"/>
      <family val="1"/>
    </font>
    <font>
      <sz val="26"/>
      <name val="宋体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6"/>
      <color rgb="FFFF0000"/>
      <name val="LXGW WenKai Mono TC"/>
      <family val="3"/>
    </font>
    <font>
      <b/>
      <sz val="12"/>
      <color rgb="FF0070C0"/>
      <name val="Times New Roman"/>
      <family val="1"/>
    </font>
    <font>
      <b/>
      <sz val="12"/>
      <color rgb="FF0070C0"/>
      <name val="宋体"/>
    </font>
    <font>
      <sz val="26"/>
      <color rgb="FFFF0000"/>
      <name val="Times New Roman"/>
      <family val="1"/>
    </font>
    <font>
      <sz val="26"/>
      <color rgb="FFFF0000"/>
      <name val="宋体"/>
    </font>
    <font>
      <b/>
      <sz val="12"/>
      <color theme="5"/>
      <name val="LXGW WenKai Mono TC"/>
      <family val="3"/>
      <charset val="136"/>
    </font>
    <font>
      <b/>
      <sz val="12"/>
      <name val="Times New Roman"/>
      <family val="1"/>
    </font>
    <font>
      <sz val="10"/>
      <color rgb="FF0070C0"/>
      <name val="Noto Serif TC SemiBold"/>
      <family val="1"/>
      <charset val="136"/>
    </font>
    <font>
      <sz val="12"/>
      <color rgb="FFFF0000"/>
      <name val="Noto Serif TC"/>
      <family val="1"/>
      <charset val="136"/>
    </font>
    <font>
      <sz val="12"/>
      <color rgb="FF0070C0"/>
      <name val="Noto Serif TC SemiBold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FF0000"/>
      <name val="宋体"/>
    </font>
    <font>
      <sz val="28"/>
      <name val="Iansui 094"/>
      <family val="3"/>
      <charset val="136"/>
    </font>
    <font>
      <sz val="36"/>
      <color rgb="FF000000"/>
      <name val="Times New Roman"/>
      <family val="1"/>
    </font>
    <font>
      <sz val="36"/>
      <color rgb="FF000000"/>
      <name val="Arial"/>
      <family val="2"/>
    </font>
    <font>
      <sz val="24"/>
      <color rgb="FF000000"/>
      <name val="霞鶩文楷 TC"/>
      <family val="1"/>
      <charset val="136"/>
    </font>
    <font>
      <b/>
      <sz val="24"/>
      <color rgb="FF000000"/>
      <name val="霞鶩文楷 TC"/>
      <family val="1"/>
      <charset val="136"/>
    </font>
    <font>
      <sz val="24"/>
      <color rgb="FFFF0000"/>
      <name val="霞鶩文楷 TC"/>
      <family val="1"/>
      <charset val="136"/>
    </font>
    <font>
      <sz val="20"/>
      <color rgb="FFFF0000"/>
      <name val="Times New Roman"/>
      <family val="1"/>
    </font>
    <font>
      <sz val="20"/>
      <color rgb="FFFF0000"/>
      <name val="Microsoft JhengHei UI"/>
      <family val="1"/>
      <charset val="136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5">
    <xf numFmtId="0" fontId="0" fillId="0" borderId="0"/>
    <xf numFmtId="0" fontId="1" fillId="0" borderId="0"/>
    <xf numFmtId="0" fontId="49" fillId="0" borderId="0"/>
    <xf numFmtId="0" fontId="146" fillId="0" borderId="0" applyNumberFormat="0" applyFill="0" applyBorder="0" applyAlignment="0" applyProtection="0"/>
    <xf numFmtId="0" fontId="190" fillId="0" borderId="0"/>
  </cellStyleXfs>
  <cellXfs count="665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0" fontId="73" fillId="6" borderId="0" xfId="2" applyFont="1" applyFill="1" applyAlignment="1">
      <alignment horizontal="center"/>
    </xf>
    <xf numFmtId="0" fontId="76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0" fontId="73" fillId="7" borderId="0" xfId="2" applyFont="1" applyFill="1" applyAlignment="1">
      <alignment horizontal="center"/>
    </xf>
    <xf numFmtId="177" fontId="76" fillId="7" borderId="22" xfId="2" applyNumberFormat="1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4" xfId="2" applyNumberFormat="1" applyFont="1" applyFill="1" applyBorder="1" applyAlignment="1">
      <alignment vertical="center"/>
    </xf>
    <xf numFmtId="0" fontId="78" fillId="6" borderId="25" xfId="2" applyFont="1" applyFill="1" applyBorder="1" applyAlignment="1">
      <alignment horizontal="center" vertical="center" wrapText="1"/>
    </xf>
    <xf numFmtId="0" fontId="80" fillId="16" borderId="25" xfId="2" applyFont="1" applyFill="1" applyBorder="1" applyAlignment="1">
      <alignment vertical="center"/>
    </xf>
    <xf numFmtId="177" fontId="77" fillId="7" borderId="24" xfId="2" applyNumberFormat="1" applyFont="1" applyFill="1" applyBorder="1" applyAlignment="1">
      <alignment vertical="center"/>
    </xf>
    <xf numFmtId="177" fontId="78" fillId="7" borderId="25" xfId="2" applyNumberFormat="1" applyFont="1" applyFill="1" applyBorder="1" applyAlignment="1">
      <alignment horizontal="center" vertical="center"/>
    </xf>
    <xf numFmtId="0" fontId="81" fillId="0" borderId="0" xfId="1" applyFont="1"/>
    <xf numFmtId="0" fontId="69" fillId="2" borderId="0" xfId="2" applyFont="1" applyFill="1"/>
    <xf numFmtId="0" fontId="82" fillId="0" borderId="0" xfId="0" applyFont="1"/>
    <xf numFmtId="0" fontId="73" fillId="0" borderId="0" xfId="2" applyFont="1" applyAlignment="1">
      <alignment horizontal="center"/>
    </xf>
    <xf numFmtId="0" fontId="83" fillId="0" borderId="0" xfId="2" applyFont="1"/>
    <xf numFmtId="0" fontId="84" fillId="0" borderId="0" xfId="2" applyFont="1" applyAlignment="1">
      <alignment horizontal="center" vertical="center"/>
    </xf>
    <xf numFmtId="0" fontId="85" fillId="3" borderId="12" xfId="2" applyFont="1" applyFill="1" applyBorder="1" applyAlignment="1">
      <alignment vertical="center"/>
    </xf>
    <xf numFmtId="0" fontId="85" fillId="3" borderId="14" xfId="2" applyFont="1" applyFill="1" applyBorder="1" applyAlignment="1">
      <alignment vertical="center"/>
    </xf>
    <xf numFmtId="0" fontId="86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87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88" fillId="7" borderId="12" xfId="2" applyFont="1" applyFill="1" applyBorder="1" applyAlignment="1">
      <alignment vertical="center"/>
    </xf>
    <xf numFmtId="0" fontId="88" fillId="7" borderId="14" xfId="2" applyFont="1" applyFill="1" applyBorder="1" applyAlignment="1">
      <alignment vertical="center"/>
    </xf>
    <xf numFmtId="0" fontId="89" fillId="7" borderId="16" xfId="2" applyFont="1" applyFill="1" applyBorder="1" applyAlignment="1">
      <alignment horizontal="center" vertical="center"/>
    </xf>
    <xf numFmtId="0" fontId="88" fillId="18" borderId="12" xfId="2" applyFont="1" applyFill="1" applyBorder="1" applyAlignment="1">
      <alignment vertical="center"/>
    </xf>
    <xf numFmtId="0" fontId="88" fillId="18" borderId="14" xfId="2" applyFont="1" applyFill="1" applyBorder="1" applyAlignment="1">
      <alignment vertical="center"/>
    </xf>
    <xf numFmtId="0" fontId="89" fillId="18" borderId="16" xfId="2" applyFont="1" applyFill="1" applyBorder="1" applyAlignment="1">
      <alignment horizontal="center" vertical="center"/>
    </xf>
    <xf numFmtId="0" fontId="88" fillId="5" borderId="12" xfId="2" applyFont="1" applyFill="1" applyBorder="1" applyAlignment="1">
      <alignment vertical="center"/>
    </xf>
    <xf numFmtId="0" fontId="88" fillId="5" borderId="14" xfId="2" applyFont="1" applyFill="1" applyBorder="1" applyAlignment="1">
      <alignment vertical="center"/>
    </xf>
    <xf numFmtId="0" fontId="89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4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99" fillId="0" borderId="0" xfId="1" applyFont="1" applyAlignment="1">
      <alignment vertical="center"/>
    </xf>
    <xf numFmtId="0" fontId="97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0" fillId="19" borderId="0" xfId="2" applyFont="1" applyFill="1" applyAlignment="1">
      <alignment vertical="center"/>
    </xf>
    <xf numFmtId="0" fontId="101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0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4" fillId="0" borderId="0" xfId="1" applyFont="1" applyAlignment="1">
      <alignment vertical="center"/>
    </xf>
    <xf numFmtId="0" fontId="104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05" fillId="17" borderId="0" xfId="1" applyFont="1" applyFill="1" applyAlignment="1">
      <alignment vertical="center"/>
    </xf>
    <xf numFmtId="0" fontId="105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0" fillId="22" borderId="12" xfId="2" applyFont="1" applyFill="1" applyBorder="1" applyAlignment="1">
      <alignment vertical="center"/>
    </xf>
    <xf numFmtId="0" fontId="91" fillId="22" borderId="14" xfId="2" applyFont="1" applyFill="1" applyBorder="1" applyAlignment="1">
      <alignment vertical="center"/>
    </xf>
    <xf numFmtId="0" fontId="92" fillId="22" borderId="16" xfId="2" applyFont="1" applyFill="1" applyBorder="1" applyAlignment="1">
      <alignment horizontal="center" vertical="center"/>
    </xf>
    <xf numFmtId="0" fontId="91" fillId="22" borderId="12" xfId="2" applyFont="1" applyFill="1" applyBorder="1" applyAlignment="1">
      <alignment vertical="center"/>
    </xf>
    <xf numFmtId="0" fontId="90" fillId="22" borderId="14" xfId="2" applyFont="1" applyFill="1" applyBorder="1" applyAlignment="1">
      <alignment vertical="center"/>
    </xf>
    <xf numFmtId="0" fontId="93" fillId="22" borderId="16" xfId="2" applyFont="1" applyFill="1" applyBorder="1" applyAlignment="1">
      <alignment horizontal="center" vertical="center"/>
    </xf>
    <xf numFmtId="0" fontId="106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07" fillId="24" borderId="0" xfId="0" applyFont="1" applyFill="1" applyAlignment="1">
      <alignment horizontal="center" vertical="center"/>
    </xf>
    <xf numFmtId="0" fontId="10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08" fillId="0" borderId="0" xfId="0" quotePrefix="1" applyFont="1" applyAlignment="1">
      <alignment horizontal="center" vertical="center"/>
    </xf>
    <xf numFmtId="0" fontId="110" fillId="0" borderId="0" xfId="0" applyFont="1"/>
    <xf numFmtId="0" fontId="108" fillId="19" borderId="0" xfId="0" applyFont="1" applyFill="1" applyAlignment="1">
      <alignment horizontal="center" vertical="center"/>
    </xf>
    <xf numFmtId="0" fontId="109" fillId="9" borderId="0" xfId="0" applyFont="1" applyFill="1" applyAlignment="1">
      <alignment horizontal="center"/>
    </xf>
    <xf numFmtId="0" fontId="112" fillId="0" borderId="0" xfId="0" applyFont="1"/>
    <xf numFmtId="0" fontId="113" fillId="0" borderId="0" xfId="0" applyFont="1"/>
    <xf numFmtId="0" fontId="111" fillId="0" borderId="0" xfId="0" applyFont="1"/>
    <xf numFmtId="0" fontId="114" fillId="25" borderId="0" xfId="0" applyFont="1" applyFill="1"/>
    <xf numFmtId="0" fontId="112" fillId="25" borderId="0" xfId="0" applyFont="1" applyFill="1"/>
    <xf numFmtId="0" fontId="113" fillId="25" borderId="0" xfId="0" applyFont="1" applyFill="1"/>
    <xf numFmtId="0" fontId="111" fillId="25" borderId="0" xfId="0" applyFont="1" applyFill="1"/>
    <xf numFmtId="0" fontId="115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17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18" fillId="0" borderId="0" xfId="0" applyFont="1" applyAlignment="1">
      <alignment horizontal="center" vertical="center"/>
    </xf>
    <xf numFmtId="0" fontId="119" fillId="0" borderId="0" xfId="0" applyFont="1" applyAlignment="1">
      <alignment horizontal="center" vertical="center"/>
    </xf>
    <xf numFmtId="0" fontId="116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08" fillId="23" borderId="0" xfId="0" applyFont="1" applyFill="1" applyAlignment="1">
      <alignment horizontal="center" vertical="center"/>
    </xf>
    <xf numFmtId="0" fontId="120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1" fillId="0" borderId="0" xfId="0" applyFont="1" applyAlignment="1">
      <alignment horizontal="center" vertical="center"/>
    </xf>
    <xf numFmtId="0" fontId="122" fillId="0" borderId="0" xfId="0" applyFont="1"/>
    <xf numFmtId="0" fontId="123" fillId="0" borderId="0" xfId="0" applyFont="1" applyAlignment="1">
      <alignment horizontal="center" vertical="center"/>
    </xf>
    <xf numFmtId="0" fontId="124" fillId="6" borderId="0" xfId="0" applyFont="1" applyFill="1" applyAlignment="1">
      <alignment horizontal="center" vertical="center"/>
    </xf>
    <xf numFmtId="0" fontId="134" fillId="7" borderId="15" xfId="0" applyFont="1" applyFill="1" applyBorder="1" applyAlignment="1">
      <alignment horizontal="center" vertical="center"/>
    </xf>
    <xf numFmtId="0" fontId="133" fillId="4" borderId="15" xfId="0" applyFont="1" applyFill="1" applyBorder="1" applyAlignment="1">
      <alignment horizontal="center" vertical="center"/>
    </xf>
    <xf numFmtId="0" fontId="134" fillId="6" borderId="15" xfId="0" applyFont="1" applyFill="1" applyBorder="1" applyAlignment="1">
      <alignment horizontal="center" vertical="center"/>
    </xf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1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37" fillId="8" borderId="0" xfId="1" applyFont="1" applyFill="1" applyAlignment="1">
      <alignment horizontal="center"/>
    </xf>
    <xf numFmtId="0" fontId="137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39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0" fillId="0" borderId="0" xfId="1" applyFont="1" applyAlignment="1">
      <alignment horizontal="left"/>
    </xf>
    <xf numFmtId="0" fontId="138" fillId="0" borderId="0" xfId="1" applyFont="1" applyAlignment="1">
      <alignment vertical="center"/>
    </xf>
    <xf numFmtId="0" fontId="138" fillId="0" borderId="0" xfId="1" applyFont="1" applyAlignment="1">
      <alignment horizontal="left" vertical="center" indent="1"/>
    </xf>
    <xf numFmtId="0" fontId="124" fillId="5" borderId="0" xfId="0" applyFont="1" applyFill="1" applyAlignment="1">
      <alignment horizontal="left" vertical="center" indent="1"/>
    </xf>
    <xf numFmtId="0" fontId="124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1" fillId="4" borderId="0" xfId="0" applyFont="1" applyFill="1" applyAlignment="1">
      <alignment horizontal="center" vertical="center"/>
    </xf>
    <xf numFmtId="0" fontId="142" fillId="6" borderId="0" xfId="0" applyFont="1" applyFill="1" applyAlignment="1">
      <alignment horizontal="center" vertical="center"/>
    </xf>
    <xf numFmtId="0" fontId="142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1" fillId="0" borderId="0" xfId="1" applyFont="1" applyAlignment="1" applyProtection="1">
      <alignment vertical="center"/>
      <protection locked="0"/>
    </xf>
    <xf numFmtId="0" fontId="81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39" fillId="11" borderId="10" xfId="1" applyFont="1" applyFill="1" applyBorder="1" applyAlignment="1">
      <alignment horizontal="center" vertical="center"/>
    </xf>
    <xf numFmtId="0" fontId="139" fillId="11" borderId="6" xfId="1" applyFont="1" applyFill="1" applyBorder="1" applyAlignment="1">
      <alignment horizontal="center" vertical="center"/>
    </xf>
    <xf numFmtId="0" fontId="139" fillId="11" borderId="11" xfId="1" applyFont="1" applyFill="1" applyBorder="1" applyAlignment="1">
      <alignment horizontal="center" vertical="center"/>
    </xf>
    <xf numFmtId="0" fontId="81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1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4" fillId="2" borderId="0" xfId="1" applyFont="1" applyFill="1"/>
    <xf numFmtId="0" fontId="38" fillId="2" borderId="0" xfId="1" applyFont="1" applyFill="1"/>
    <xf numFmtId="0" fontId="145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38" fillId="0" borderId="0" xfId="1" applyFont="1" applyAlignment="1">
      <alignment horizontal="center" vertical="center"/>
    </xf>
    <xf numFmtId="0" fontId="146" fillId="2" borderId="0" xfId="3" quotePrefix="1" applyFill="1"/>
    <xf numFmtId="0" fontId="147" fillId="5" borderId="0" xfId="0" applyFont="1" applyFill="1" applyAlignment="1">
      <alignment horizontal="center" vertical="center"/>
    </xf>
    <xf numFmtId="0" fontId="148" fillId="0" borderId="0" xfId="0" applyFont="1" applyAlignment="1">
      <alignment horizontal="center" vertical="center"/>
    </xf>
    <xf numFmtId="0" fontId="149" fillId="2" borderId="0" xfId="0" quotePrefix="1" applyFont="1" applyFill="1" applyAlignment="1">
      <alignment horizontal="center" vertical="center"/>
    </xf>
    <xf numFmtId="0" fontId="124" fillId="0" borderId="0" xfId="1" applyFont="1" applyAlignment="1">
      <alignment vertical="center"/>
    </xf>
    <xf numFmtId="0" fontId="151" fillId="0" borderId="0" xfId="0" applyFont="1" applyAlignment="1">
      <alignment horizont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4" fillId="3" borderId="0" xfId="0" applyFont="1" applyFill="1" applyAlignment="1">
      <alignment horizontal="center" vertical="center"/>
    </xf>
    <xf numFmtId="0" fontId="134" fillId="7" borderId="0" xfId="0" applyFont="1" applyFill="1" applyAlignment="1">
      <alignment horizontal="center" vertical="center"/>
    </xf>
    <xf numFmtId="0" fontId="134" fillId="6" borderId="0" xfId="0" applyFont="1" applyFill="1" applyAlignment="1">
      <alignment horizontal="center" vertical="center"/>
    </xf>
    <xf numFmtId="0" fontId="134" fillId="5" borderId="0" xfId="0" applyFont="1" applyFill="1" applyAlignment="1">
      <alignment horizontal="center" vertical="center"/>
    </xf>
    <xf numFmtId="0" fontId="124" fillId="6" borderId="1" xfId="0" applyFont="1" applyFill="1" applyBorder="1" applyAlignment="1">
      <alignment horizontal="center" vertical="center"/>
    </xf>
    <xf numFmtId="0" fontId="147" fillId="5" borderId="1" xfId="0" applyFont="1" applyFill="1" applyBorder="1" applyAlignment="1">
      <alignment horizontal="center" vertical="center"/>
    </xf>
    <xf numFmtId="0" fontId="124" fillId="5" borderId="2" xfId="0" applyFont="1" applyFill="1" applyBorder="1" applyAlignment="1">
      <alignment horizontal="left" vertical="center" indent="1"/>
    </xf>
    <xf numFmtId="0" fontId="124" fillId="5" borderId="4" xfId="0" applyFont="1" applyFill="1" applyBorder="1" applyAlignment="1">
      <alignment horizontal="left" vertical="center" indent="1"/>
    </xf>
    <xf numFmtId="0" fontId="124" fillId="6" borderId="8" xfId="0" applyFont="1" applyFill="1" applyBorder="1" applyAlignment="1">
      <alignment horizontal="center" vertical="center"/>
    </xf>
    <xf numFmtId="0" fontId="147" fillId="5" borderId="8" xfId="0" applyFont="1" applyFill="1" applyBorder="1" applyAlignment="1">
      <alignment horizontal="center" vertical="center"/>
    </xf>
    <xf numFmtId="0" fontId="124" fillId="5" borderId="9" xfId="0" applyFont="1" applyFill="1" applyBorder="1" applyAlignment="1">
      <alignment horizontal="left" vertical="center" indent="1"/>
    </xf>
    <xf numFmtId="0" fontId="157" fillId="0" borderId="9" xfId="0" applyFont="1" applyBorder="1" applyAlignment="1">
      <alignment horizontal="center" vertical="center"/>
    </xf>
    <xf numFmtId="0" fontId="157" fillId="0" borderId="26" xfId="0" applyFont="1" applyBorder="1" applyAlignment="1">
      <alignment horizontal="center" vertical="center" wrapText="1"/>
    </xf>
    <xf numFmtId="0" fontId="157" fillId="0" borderId="26" xfId="0" applyFont="1" applyBorder="1" applyAlignment="1">
      <alignment horizontal="center" vertical="center"/>
    </xf>
    <xf numFmtId="0" fontId="157" fillId="0" borderId="7" xfId="0" applyFont="1" applyBorder="1" applyAlignment="1">
      <alignment horizontal="center" vertical="center"/>
    </xf>
    <xf numFmtId="0" fontId="156" fillId="0" borderId="16" xfId="0" applyFont="1" applyBorder="1" applyAlignment="1">
      <alignment horizontal="left" vertical="center"/>
    </xf>
    <xf numFmtId="0" fontId="156" fillId="0" borderId="12" xfId="0" applyFont="1" applyBorder="1" applyAlignment="1">
      <alignment horizontal="left" vertical="center"/>
    </xf>
    <xf numFmtId="0" fontId="156" fillId="0" borderId="27" xfId="0" applyFont="1" applyBorder="1" applyAlignment="1">
      <alignment horizontal="left" vertical="center"/>
    </xf>
    <xf numFmtId="0" fontId="156" fillId="0" borderId="3" xfId="0" applyFont="1" applyBorder="1" applyAlignment="1">
      <alignment horizontal="left" vertical="center"/>
    </xf>
    <xf numFmtId="0" fontId="156" fillId="0" borderId="14" xfId="0" applyFont="1" applyBorder="1" applyAlignment="1">
      <alignment horizontal="left" vertical="center"/>
    </xf>
    <xf numFmtId="0" fontId="156" fillId="0" borderId="2" xfId="0" applyFont="1" applyBorder="1" applyAlignment="1">
      <alignment horizontal="left" vertical="center"/>
    </xf>
    <xf numFmtId="0" fontId="125" fillId="7" borderId="1" xfId="0" applyFont="1" applyFill="1" applyBorder="1" applyAlignment="1">
      <alignment horizontal="center" vertical="center"/>
    </xf>
    <xf numFmtId="0" fontId="127" fillId="6" borderId="1" xfId="0" applyFont="1" applyFill="1" applyBorder="1" applyAlignment="1">
      <alignment horizontal="center" vertical="center"/>
    </xf>
    <xf numFmtId="0" fontId="126" fillId="4" borderId="1" xfId="0" applyFont="1" applyFill="1" applyBorder="1" applyAlignment="1">
      <alignment horizontal="center" vertical="center"/>
    </xf>
    <xf numFmtId="0" fontId="127" fillId="5" borderId="2" xfId="0" applyFont="1" applyFill="1" applyBorder="1" applyAlignment="1">
      <alignment horizontal="left" vertical="center" indent="1"/>
    </xf>
    <xf numFmtId="0" fontId="125" fillId="7" borderId="0" xfId="0" applyFont="1" applyFill="1" applyAlignment="1">
      <alignment horizontal="center" vertical="center"/>
    </xf>
    <xf numFmtId="0" fontId="127" fillId="6" borderId="0" xfId="0" applyFont="1" applyFill="1" applyAlignment="1">
      <alignment horizontal="center" vertical="center"/>
    </xf>
    <xf numFmtId="0" fontId="126" fillId="4" borderId="0" xfId="0" applyFont="1" applyFill="1" applyAlignment="1">
      <alignment horizontal="center" vertical="center"/>
    </xf>
    <xf numFmtId="0" fontId="127" fillId="5" borderId="4" xfId="0" applyFont="1" applyFill="1" applyBorder="1" applyAlignment="1">
      <alignment horizontal="left" vertical="center" indent="1"/>
    </xf>
    <xf numFmtId="0" fontId="125" fillId="7" borderId="8" xfId="0" applyFont="1" applyFill="1" applyBorder="1" applyAlignment="1">
      <alignment horizontal="center" vertical="center"/>
    </xf>
    <xf numFmtId="0" fontId="127" fillId="6" borderId="8" xfId="0" applyFont="1" applyFill="1" applyBorder="1" applyAlignment="1">
      <alignment horizontal="center" vertical="center"/>
    </xf>
    <xf numFmtId="0" fontId="126" fillId="4" borderId="8" xfId="0" applyFont="1" applyFill="1" applyBorder="1" applyAlignment="1">
      <alignment horizontal="center" vertical="center"/>
    </xf>
    <xf numFmtId="0" fontId="127" fillId="5" borderId="9" xfId="0" applyFont="1" applyFill="1" applyBorder="1" applyAlignment="1">
      <alignment horizontal="left" vertical="center" indent="1"/>
    </xf>
    <xf numFmtId="0" fontId="128" fillId="7" borderId="13" xfId="0" applyFont="1" applyFill="1" applyBorder="1" applyAlignment="1">
      <alignment horizontal="center" vertical="center"/>
    </xf>
    <xf numFmtId="0" fontId="130" fillId="6" borderId="13" xfId="0" applyFont="1" applyFill="1" applyBorder="1" applyAlignment="1">
      <alignment horizontal="center" vertical="center"/>
    </xf>
    <xf numFmtId="0" fontId="129" fillId="4" borderId="13" xfId="0" applyFont="1" applyFill="1" applyBorder="1" applyAlignment="1">
      <alignment horizontal="center" vertical="center"/>
    </xf>
    <xf numFmtId="0" fontId="147" fillId="5" borderId="13" xfId="0" applyFont="1" applyFill="1" applyBorder="1" applyAlignment="1">
      <alignment horizontal="center" vertical="center"/>
    </xf>
    <xf numFmtId="0" fontId="130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2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2" fillId="6" borderId="8" xfId="0" applyFont="1" applyFill="1" applyBorder="1" applyAlignment="1">
      <alignment horizontal="center" vertical="center"/>
    </xf>
    <xf numFmtId="0" fontId="141" fillId="4" borderId="8" xfId="0" applyFont="1" applyFill="1" applyBorder="1" applyAlignment="1">
      <alignment horizontal="center" vertical="center"/>
    </xf>
    <xf numFmtId="0" fontId="142" fillId="5" borderId="9" xfId="0" applyFont="1" applyFill="1" applyBorder="1" applyAlignment="1">
      <alignment horizontal="left" vertical="center" indent="1"/>
    </xf>
    <xf numFmtId="0" fontId="158" fillId="5" borderId="1" xfId="0" applyFont="1" applyFill="1" applyBorder="1" applyAlignment="1">
      <alignment horizontal="left" vertical="center" indent="2"/>
    </xf>
    <xf numFmtId="0" fontId="158" fillId="5" borderId="0" xfId="0" applyFont="1" applyFill="1" applyAlignment="1">
      <alignment horizontal="left" vertical="center" indent="2"/>
    </xf>
    <xf numFmtId="0" fontId="158" fillId="5" borderId="8" xfId="0" applyFont="1" applyFill="1" applyBorder="1" applyAlignment="1">
      <alignment horizontal="left" vertical="center" indent="2"/>
    </xf>
    <xf numFmtId="0" fontId="158" fillId="5" borderId="13" xfId="0" applyFont="1" applyFill="1" applyBorder="1" applyAlignment="1">
      <alignment horizontal="left" vertical="center" indent="2"/>
    </xf>
    <xf numFmtId="0" fontId="158" fillId="5" borderId="1" xfId="0" applyFont="1" applyFill="1" applyBorder="1" applyAlignment="1">
      <alignment horizontal="center" vertical="center"/>
    </xf>
    <xf numFmtId="0" fontId="158" fillId="5" borderId="8" xfId="0" applyFont="1" applyFill="1" applyBorder="1" applyAlignment="1">
      <alignment horizontal="center" vertical="center"/>
    </xf>
    <xf numFmtId="0" fontId="158" fillId="5" borderId="0" xfId="0" applyFont="1" applyFill="1" applyAlignment="1">
      <alignment horizontal="center" vertical="center"/>
    </xf>
    <xf numFmtId="0" fontId="152" fillId="0" borderId="0" xfId="1" applyFont="1" applyAlignment="1">
      <alignment vertical="center"/>
    </xf>
    <xf numFmtId="0" fontId="151" fillId="0" borderId="0" xfId="0" applyFont="1" applyAlignment="1">
      <alignment horizontal="center" vertical="center"/>
    </xf>
    <xf numFmtId="0" fontId="152" fillId="0" borderId="0" xfId="1" applyFont="1" applyAlignment="1">
      <alignment horizontal="center" vertical="center"/>
    </xf>
    <xf numFmtId="0" fontId="161" fillId="5" borderId="8" xfId="0" applyFont="1" applyFill="1" applyBorder="1" applyAlignment="1">
      <alignment horizontal="center" vertical="center"/>
    </xf>
    <xf numFmtId="0" fontId="162" fillId="0" borderId="26" xfId="0" applyFont="1" applyBorder="1" applyAlignment="1">
      <alignment horizontal="center" vertical="center"/>
    </xf>
    <xf numFmtId="0" fontId="162" fillId="0" borderId="7" xfId="0" applyFont="1" applyBorder="1" applyAlignment="1">
      <alignment horizontal="center" vertical="center"/>
    </xf>
    <xf numFmtId="0" fontId="163" fillId="0" borderId="26" xfId="0" applyFont="1" applyBorder="1" applyAlignment="1">
      <alignment horizontal="center" vertical="center"/>
    </xf>
    <xf numFmtId="0" fontId="165" fillId="0" borderId="0" xfId="0" applyFont="1" applyAlignment="1">
      <alignment horizontal="center" vertical="center"/>
    </xf>
    <xf numFmtId="0" fontId="166" fillId="6" borderId="15" xfId="0" applyFont="1" applyFill="1" applyBorder="1" applyAlignment="1">
      <alignment horizontal="center" vertical="center"/>
    </xf>
    <xf numFmtId="0" fontId="152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124" fillId="6" borderId="6" xfId="0" applyFont="1" applyFill="1" applyBorder="1" applyAlignment="1">
      <alignment horizontal="center" vertical="center"/>
    </xf>
    <xf numFmtId="0" fontId="153" fillId="4" borderId="6" xfId="0" applyFont="1" applyFill="1" applyBorder="1" applyAlignment="1">
      <alignment horizontal="center" vertical="center"/>
    </xf>
    <xf numFmtId="0" fontId="147" fillId="5" borderId="6" xfId="0" applyFont="1" applyFill="1" applyBorder="1" applyAlignment="1">
      <alignment horizontal="center" vertical="center"/>
    </xf>
    <xf numFmtId="0" fontId="147" fillId="0" borderId="6" xfId="0" applyFont="1" applyBorder="1" applyAlignment="1">
      <alignment horizontal="center" vertical="center"/>
    </xf>
    <xf numFmtId="0" fontId="158" fillId="5" borderId="6" xfId="0" applyFont="1" applyFill="1" applyBorder="1" applyAlignment="1">
      <alignment horizontal="center" vertical="center"/>
    </xf>
    <xf numFmtId="0" fontId="124" fillId="5" borderId="11" xfId="0" applyFont="1" applyFill="1" applyBorder="1" applyAlignment="1">
      <alignment horizontal="left" vertical="center" indent="1"/>
    </xf>
    <xf numFmtId="0" fontId="147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28" fillId="7" borderId="28" xfId="0" applyFont="1" applyFill="1" applyBorder="1" applyAlignment="1">
      <alignment horizontal="center" vertical="center"/>
    </xf>
    <xf numFmtId="0" fontId="130" fillId="6" borderId="28" xfId="0" applyFont="1" applyFill="1" applyBorder="1" applyAlignment="1">
      <alignment horizontal="center" vertical="center"/>
    </xf>
    <xf numFmtId="0" fontId="129" fillId="4" borderId="28" xfId="0" applyFont="1" applyFill="1" applyBorder="1" applyAlignment="1">
      <alignment horizontal="center" vertical="center"/>
    </xf>
    <xf numFmtId="0" fontId="147" fillId="5" borderId="28" xfId="0" applyFont="1" applyFill="1" applyBorder="1" applyAlignment="1">
      <alignment horizontal="center" vertical="center"/>
    </xf>
    <xf numFmtId="0" fontId="160" fillId="0" borderId="6" xfId="0" applyFont="1" applyBorder="1" applyAlignment="1">
      <alignment horizontal="center" vertical="center"/>
    </xf>
    <xf numFmtId="0" fontId="158" fillId="5" borderId="28" xfId="0" applyFont="1" applyFill="1" applyBorder="1" applyAlignment="1">
      <alignment horizontal="left" vertical="center" indent="2"/>
    </xf>
    <xf numFmtId="0" fontId="130" fillId="5" borderId="30" xfId="0" applyFont="1" applyFill="1" applyBorder="1" applyAlignment="1">
      <alignment horizontal="left" vertical="center" indent="1"/>
    </xf>
    <xf numFmtId="0" fontId="22" fillId="2" borderId="31" xfId="0" applyFont="1" applyFill="1" applyBorder="1" applyAlignment="1">
      <alignment horizontal="left" vertical="center" indent="1"/>
    </xf>
    <xf numFmtId="0" fontId="128" fillId="7" borderId="6" xfId="0" applyFont="1" applyFill="1" applyBorder="1" applyAlignment="1">
      <alignment horizontal="center" vertical="center"/>
    </xf>
    <xf numFmtId="0" fontId="131" fillId="6" borderId="6" xfId="0" applyFont="1" applyFill="1" applyBorder="1" applyAlignment="1">
      <alignment horizontal="center" vertical="center"/>
    </xf>
    <xf numFmtId="0" fontId="129" fillId="4" borderId="6" xfId="0" applyFont="1" applyFill="1" applyBorder="1" applyAlignment="1">
      <alignment horizontal="center" vertical="center"/>
    </xf>
    <xf numFmtId="0" fontId="160" fillId="26" borderId="6" xfId="0" applyFont="1" applyFill="1" applyBorder="1" applyAlignment="1">
      <alignment horizontal="center" vertical="center"/>
    </xf>
    <xf numFmtId="0" fontId="158" fillId="5" borderId="6" xfId="0" applyFont="1" applyFill="1" applyBorder="1" applyAlignment="1">
      <alignment horizontal="left" vertical="center" indent="2"/>
    </xf>
    <xf numFmtId="0" fontId="130" fillId="5" borderId="32" xfId="0" applyFont="1" applyFill="1" applyBorder="1" applyAlignment="1">
      <alignment horizontal="left" vertical="center" indent="1"/>
    </xf>
    <xf numFmtId="0" fontId="124" fillId="5" borderId="32" xfId="0" applyFont="1" applyFill="1" applyBorder="1" applyAlignment="1">
      <alignment horizontal="left" vertical="center" indent="1"/>
    </xf>
    <xf numFmtId="0" fontId="22" fillId="2" borderId="33" xfId="0" applyFont="1" applyFill="1" applyBorder="1" applyAlignment="1">
      <alignment horizontal="left" vertical="center" indent="1"/>
    </xf>
    <xf numFmtId="0" fontId="128" fillId="7" borderId="34" xfId="0" applyFont="1" applyFill="1" applyBorder="1" applyAlignment="1">
      <alignment horizontal="center" vertical="center"/>
    </xf>
    <xf numFmtId="0" fontId="131" fillId="6" borderId="34" xfId="0" applyFont="1" applyFill="1" applyBorder="1" applyAlignment="1">
      <alignment horizontal="center" vertical="center"/>
    </xf>
    <xf numFmtId="0" fontId="129" fillId="4" borderId="34" xfId="0" applyFont="1" applyFill="1" applyBorder="1" applyAlignment="1">
      <alignment horizontal="center" vertical="center"/>
    </xf>
    <xf numFmtId="0" fontId="147" fillId="5" borderId="34" xfId="0" applyFont="1" applyFill="1" applyBorder="1" applyAlignment="1">
      <alignment horizontal="center" vertical="center"/>
    </xf>
    <xf numFmtId="0" fontId="158" fillId="5" borderId="34" xfId="0" applyFont="1" applyFill="1" applyBorder="1" applyAlignment="1">
      <alignment horizontal="left" vertical="center" indent="2"/>
    </xf>
    <xf numFmtId="0" fontId="130" fillId="5" borderId="35" xfId="0" applyFont="1" applyFill="1" applyBorder="1" applyAlignment="1">
      <alignment horizontal="left" vertical="center" indent="1"/>
    </xf>
    <xf numFmtId="0" fontId="152" fillId="6" borderId="1" xfId="0" applyFont="1" applyFill="1" applyBorder="1" applyAlignment="1">
      <alignment horizontal="center" vertical="center"/>
    </xf>
    <xf numFmtId="0" fontId="152" fillId="6" borderId="8" xfId="0" applyFont="1" applyFill="1" applyBorder="1" applyAlignment="1">
      <alignment horizontal="center" vertical="center"/>
    </xf>
    <xf numFmtId="0" fontId="150" fillId="6" borderId="0" xfId="0" applyFont="1" applyFill="1" applyAlignment="1">
      <alignment horizontal="center" vertical="center"/>
    </xf>
    <xf numFmtId="0" fontId="124" fillId="5" borderId="11" xfId="0" quotePrefix="1" applyFont="1" applyFill="1" applyBorder="1" applyAlignment="1">
      <alignment horizontal="left" vertical="center" indent="1"/>
    </xf>
    <xf numFmtId="0" fontId="167" fillId="5" borderId="0" xfId="0" applyFont="1" applyFill="1" applyAlignment="1">
      <alignment horizontal="center" vertical="center"/>
    </xf>
    <xf numFmtId="0" fontId="134" fillId="4" borderId="0" xfId="0" applyFont="1" applyFill="1" applyAlignment="1">
      <alignment horizontal="center" vertical="center"/>
    </xf>
    <xf numFmtId="0" fontId="134" fillId="3" borderId="36" xfId="0" applyFont="1" applyFill="1" applyBorder="1" applyAlignment="1">
      <alignment horizontal="center" vertical="center"/>
    </xf>
    <xf numFmtId="0" fontId="134" fillId="5" borderId="37" xfId="0" applyFont="1" applyFill="1" applyBorder="1" applyAlignment="1">
      <alignment horizontal="center" vertical="center"/>
    </xf>
    <xf numFmtId="0" fontId="168" fillId="0" borderId="0" xfId="1" applyFont="1" applyAlignment="1">
      <alignment horizontal="left"/>
    </xf>
    <xf numFmtId="0" fontId="169" fillId="0" borderId="0" xfId="1" applyFont="1"/>
    <xf numFmtId="0" fontId="170" fillId="0" borderId="0" xfId="1" applyFont="1"/>
    <xf numFmtId="0" fontId="171" fillId="0" borderId="0" xfId="1" applyFont="1" applyAlignment="1">
      <alignment horizontal="left"/>
    </xf>
    <xf numFmtId="0" fontId="169" fillId="0" borderId="0" xfId="1" applyFont="1" applyAlignment="1" applyProtection="1">
      <alignment horizontal="center" vertical="center"/>
      <protection locked="0"/>
    </xf>
    <xf numFmtId="0" fontId="169" fillId="0" borderId="0" xfId="1" applyFont="1" applyAlignment="1">
      <alignment horizontal="center" vertical="center"/>
    </xf>
    <xf numFmtId="0" fontId="170" fillId="0" borderId="0" xfId="1" applyFont="1" applyAlignment="1">
      <alignment horizontal="center" vertical="center"/>
    </xf>
    <xf numFmtId="0" fontId="174" fillId="0" borderId="0" xfId="1" applyFont="1" applyAlignment="1">
      <alignment horizontal="center" vertical="center"/>
    </xf>
    <xf numFmtId="0" fontId="175" fillId="0" borderId="0" xfId="1" applyFont="1" applyAlignment="1">
      <alignment horizontal="center" vertical="center"/>
    </xf>
    <xf numFmtId="0" fontId="143" fillId="4" borderId="0" xfId="1" applyFont="1" applyFill="1" applyAlignment="1">
      <alignment horizontal="center" vertical="center"/>
    </xf>
    <xf numFmtId="49" fontId="172" fillId="0" borderId="0" xfId="1" applyNumberFormat="1" applyFont="1" applyAlignment="1">
      <alignment horizontal="center" vertical="center"/>
    </xf>
    <xf numFmtId="49" fontId="173" fillId="0" borderId="0" xfId="1" applyNumberFormat="1" applyFont="1" applyAlignment="1">
      <alignment horizontal="center" vertical="center"/>
    </xf>
    <xf numFmtId="49" fontId="81" fillId="0" borderId="0" xfId="1" applyNumberFormat="1" applyFont="1" applyAlignment="1">
      <alignment horizontal="center" vertical="center"/>
    </xf>
    <xf numFmtId="0" fontId="151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0" fillId="2" borderId="16" xfId="0" applyFont="1" applyFill="1" applyBorder="1" applyAlignment="1">
      <alignment horizontal="center" vertical="center"/>
    </xf>
    <xf numFmtId="0" fontId="176" fillId="2" borderId="16" xfId="0" applyFont="1" applyFill="1" applyBorder="1"/>
    <xf numFmtId="0" fontId="177" fillId="6" borderId="0" xfId="0" applyFont="1" applyFill="1" applyAlignment="1">
      <alignment horizontal="center" vertical="center"/>
    </xf>
    <xf numFmtId="0" fontId="178" fillId="6" borderId="0" xfId="0" applyFont="1" applyFill="1" applyAlignment="1">
      <alignment horizontal="center" vertical="center"/>
    </xf>
    <xf numFmtId="0" fontId="179" fillId="6" borderId="0" xfId="0" applyFont="1" applyFill="1" applyAlignment="1">
      <alignment horizontal="center" vertical="center"/>
    </xf>
    <xf numFmtId="0" fontId="180" fillId="6" borderId="8" xfId="0" applyFont="1" applyFill="1" applyBorder="1" applyAlignment="1">
      <alignment horizontal="center" vertical="center"/>
    </xf>
    <xf numFmtId="0" fontId="181" fillId="6" borderId="0" xfId="0" applyFont="1" applyFill="1" applyAlignment="1">
      <alignment horizontal="center" vertical="center"/>
    </xf>
    <xf numFmtId="0" fontId="182" fillId="6" borderId="8" xfId="0" applyFont="1" applyFill="1" applyBorder="1" applyAlignment="1">
      <alignment horizontal="center" vertical="center"/>
    </xf>
    <xf numFmtId="0" fontId="183" fillId="6" borderId="0" xfId="0" applyFont="1" applyFill="1" applyAlignment="1">
      <alignment horizontal="center" vertical="center"/>
    </xf>
    <xf numFmtId="0" fontId="184" fillId="6" borderId="0" xfId="0" applyFont="1" applyFill="1" applyAlignment="1">
      <alignment horizontal="center" vertical="center"/>
    </xf>
    <xf numFmtId="0" fontId="185" fillId="6" borderId="0" xfId="0" applyFont="1" applyFill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0" fillId="2" borderId="12" xfId="0" applyFont="1" applyFill="1" applyBorder="1" applyAlignment="1">
      <alignment horizontal="center" vertical="center"/>
    </xf>
    <xf numFmtId="0" fontId="110" fillId="2" borderId="14" xfId="0" applyFont="1" applyFill="1" applyBorder="1" applyAlignment="1">
      <alignment horizontal="center" vertical="center"/>
    </xf>
    <xf numFmtId="0" fontId="110" fillId="2" borderId="13" xfId="0" applyFont="1" applyFill="1" applyBorder="1" applyAlignment="1">
      <alignment horizontal="center" vertic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9" fillId="16" borderId="23" xfId="2" applyFont="1" applyFill="1" applyBorder="1" applyAlignment="1">
      <alignment horizontal="center"/>
    </xf>
    <xf numFmtId="0" fontId="79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177" fontId="186" fillId="6" borderId="21" xfId="2" applyNumberFormat="1" applyFont="1" applyFill="1" applyBorder="1" applyAlignment="1">
      <alignment horizontal="center" vertical="center"/>
    </xf>
    <xf numFmtId="177" fontId="187" fillId="6" borderId="23" xfId="2" applyNumberFormat="1" applyFont="1" applyFill="1" applyBorder="1" applyAlignment="1">
      <alignment horizontal="center" vertical="center"/>
    </xf>
    <xf numFmtId="0" fontId="188" fillId="6" borderId="0" xfId="0" applyFont="1" applyFill="1" applyAlignment="1">
      <alignment horizontal="center" vertical="center"/>
    </xf>
    <xf numFmtId="0" fontId="188" fillId="5" borderId="0" xfId="0" applyFont="1" applyFill="1" applyAlignment="1">
      <alignment horizontal="left" vertical="center" indent="3"/>
    </xf>
    <xf numFmtId="0" fontId="189" fillId="4" borderId="0" xfId="0" applyFont="1" applyFill="1" applyAlignment="1">
      <alignment horizontal="center" vertical="center"/>
    </xf>
    <xf numFmtId="177" fontId="189" fillId="4" borderId="0" xfId="0" applyNumberFormat="1" applyFont="1" applyFill="1" applyAlignment="1">
      <alignment horizontal="center" vertical="center"/>
    </xf>
    <xf numFmtId="177" fontId="186" fillId="7" borderId="21" xfId="2" applyNumberFormat="1" applyFont="1" applyFill="1" applyBorder="1" applyAlignment="1">
      <alignment horizontal="center" vertical="center"/>
    </xf>
    <xf numFmtId="177" fontId="187" fillId="7" borderId="23" xfId="2" applyNumberFormat="1" applyFont="1" applyFill="1" applyBorder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73" fillId="6" borderId="0" xfId="2" applyFont="1" applyFill="1" applyAlignment="1">
      <alignment horizontal="center" vertical="center"/>
    </xf>
    <xf numFmtId="0" fontId="190" fillId="0" borderId="0" xfId="4" applyAlignment="1">
      <alignment horizontal="center"/>
    </xf>
    <xf numFmtId="0" fontId="191" fillId="2" borderId="18" xfId="4" applyFont="1" applyFill="1" applyBorder="1" applyAlignment="1">
      <alignment horizontal="center"/>
    </xf>
    <xf numFmtId="0" fontId="191" fillId="2" borderId="19" xfId="4" applyFont="1" applyFill="1" applyBorder="1" applyAlignment="1">
      <alignment horizontal="center"/>
    </xf>
    <xf numFmtId="0" fontId="191" fillId="2" borderId="20" xfId="4" applyFont="1" applyFill="1" applyBorder="1" applyAlignment="1">
      <alignment horizontal="center"/>
    </xf>
    <xf numFmtId="9" fontId="191" fillId="2" borderId="18" xfId="4" quotePrefix="1" applyNumberFormat="1" applyFont="1" applyFill="1" applyBorder="1" applyAlignment="1">
      <alignment horizontal="center"/>
    </xf>
    <xf numFmtId="0" fontId="191" fillId="20" borderId="18" xfId="4" applyFont="1" applyFill="1" applyBorder="1" applyAlignment="1">
      <alignment horizontal="center"/>
    </xf>
    <xf numFmtId="0" fontId="191" fillId="20" borderId="19" xfId="4" applyFont="1" applyFill="1" applyBorder="1" applyAlignment="1">
      <alignment horizontal="center"/>
    </xf>
    <xf numFmtId="0" fontId="191" fillId="20" borderId="20" xfId="4" applyFont="1" applyFill="1" applyBorder="1" applyAlignment="1">
      <alignment horizontal="center"/>
    </xf>
    <xf numFmtId="0" fontId="191" fillId="20" borderId="18" xfId="4" quotePrefix="1" applyFont="1" applyFill="1" applyBorder="1" applyAlignment="1">
      <alignment horizontal="center"/>
    </xf>
    <xf numFmtId="0" fontId="192" fillId="0" borderId="0" xfId="4" applyFont="1" applyAlignment="1">
      <alignment horizontal="center"/>
    </xf>
    <xf numFmtId="0" fontId="195" fillId="2" borderId="23" xfId="4" applyFont="1" applyFill="1" applyBorder="1" applyAlignment="1">
      <alignment horizontal="center"/>
    </xf>
    <xf numFmtId="0" fontId="195" fillId="2" borderId="24" xfId="4" applyFont="1" applyFill="1" applyBorder="1" applyAlignment="1">
      <alignment horizontal="center"/>
    </xf>
    <xf numFmtId="0" fontId="195" fillId="2" borderId="25" xfId="4" applyFont="1" applyFill="1" applyBorder="1" applyAlignment="1">
      <alignment horizontal="center"/>
    </xf>
    <xf numFmtId="0" fontId="195" fillId="2" borderId="23" xfId="4" applyFont="1" applyFill="1" applyBorder="1" applyAlignment="1">
      <alignment horizontal="center" vertical="top"/>
    </xf>
    <xf numFmtId="0" fontId="195" fillId="2" borderId="24" xfId="4" applyFont="1" applyFill="1" applyBorder="1" applyAlignment="1">
      <alignment horizontal="center" vertical="top"/>
    </xf>
    <xf numFmtId="0" fontId="195" fillId="2" borderId="25" xfId="4" applyFont="1" applyFill="1" applyBorder="1" applyAlignment="1">
      <alignment horizontal="center" vertical="top"/>
    </xf>
    <xf numFmtId="0" fontId="193" fillId="20" borderId="23" xfId="4" applyFont="1" applyFill="1" applyBorder="1" applyAlignment="1">
      <alignment horizontal="center" vertical="center"/>
    </xf>
    <xf numFmtId="0" fontId="194" fillId="20" borderId="24" xfId="4" applyFont="1" applyFill="1" applyBorder="1" applyAlignment="1">
      <alignment horizontal="center" vertical="center"/>
    </xf>
    <xf numFmtId="0" fontId="194" fillId="20" borderId="25" xfId="4" applyFont="1" applyFill="1" applyBorder="1" applyAlignment="1">
      <alignment horizontal="center" vertical="center"/>
    </xf>
    <xf numFmtId="0" fontId="196" fillId="20" borderId="23" xfId="4" applyFont="1" applyFill="1" applyBorder="1" applyAlignment="1">
      <alignment horizontal="center" vertical="center"/>
    </xf>
    <xf numFmtId="0" fontId="196" fillId="20" borderId="24" xfId="4" applyFont="1" applyFill="1" applyBorder="1" applyAlignment="1">
      <alignment horizontal="center" vertical="center"/>
    </xf>
    <xf numFmtId="0" fontId="196" fillId="20" borderId="25" xfId="4" applyFont="1" applyFill="1" applyBorder="1" applyAlignment="1">
      <alignment horizontal="center" vertical="center"/>
    </xf>
    <xf numFmtId="0" fontId="197" fillId="20" borderId="23" xfId="4" applyFont="1" applyFill="1" applyBorder="1" applyAlignment="1">
      <alignment horizontal="left" vertical="center"/>
    </xf>
    <xf numFmtId="0" fontId="197" fillId="20" borderId="24" xfId="4" applyFont="1" applyFill="1" applyBorder="1" applyAlignment="1">
      <alignment horizontal="left" vertical="center"/>
    </xf>
    <xf numFmtId="0" fontId="197" fillId="20" borderId="25" xfId="4" applyFont="1" applyFill="1" applyBorder="1" applyAlignment="1">
      <alignment horizontal="left" vertical="center"/>
    </xf>
    <xf numFmtId="0" fontId="196" fillId="20" borderId="23" xfId="4" quotePrefix="1" applyFont="1" applyFill="1" applyBorder="1" applyAlignment="1">
      <alignment horizontal="center" vertical="center"/>
    </xf>
    <xf numFmtId="0" fontId="190" fillId="0" borderId="0" xfId="4" applyAlignment="1">
      <alignment horizontal="center" vertical="center"/>
    </xf>
    <xf numFmtId="0" fontId="198" fillId="20" borderId="18" xfId="4" applyFont="1" applyFill="1" applyBorder="1" applyAlignment="1">
      <alignment horizontal="center"/>
    </xf>
    <xf numFmtId="0" fontId="199" fillId="20" borderId="19" xfId="4" applyFont="1" applyFill="1" applyBorder="1" applyAlignment="1">
      <alignment horizontal="center"/>
    </xf>
    <xf numFmtId="0" fontId="199" fillId="20" borderId="20" xfId="4" applyFont="1" applyFill="1" applyBorder="1" applyAlignment="1">
      <alignment horizontal="center"/>
    </xf>
    <xf numFmtId="0" fontId="202" fillId="20" borderId="23" xfId="4" applyFont="1" applyFill="1" applyBorder="1" applyAlignment="1">
      <alignment horizontal="center" vertical="center"/>
    </xf>
    <xf numFmtId="0" fontId="202" fillId="20" borderId="24" xfId="4" applyFont="1" applyFill="1" applyBorder="1" applyAlignment="1">
      <alignment horizontal="center" vertical="center"/>
    </xf>
    <xf numFmtId="0" fontId="202" fillId="20" borderId="25" xfId="4" applyFont="1" applyFill="1" applyBorder="1" applyAlignment="1">
      <alignment horizontal="center" vertical="center"/>
    </xf>
    <xf numFmtId="0" fontId="203" fillId="0" borderId="0" xfId="4" applyFont="1" applyAlignment="1">
      <alignment horizontal="center"/>
    </xf>
    <xf numFmtId="0" fontId="194" fillId="20" borderId="23" xfId="4" applyFont="1" applyFill="1" applyBorder="1" applyAlignment="1">
      <alignment horizontal="center" vertical="center"/>
    </xf>
    <xf numFmtId="0" fontId="190" fillId="0" borderId="0" xfId="4" quotePrefix="1" applyAlignment="1">
      <alignment horizontal="center" vertical="center"/>
    </xf>
    <xf numFmtId="0" fontId="204" fillId="27" borderId="0" xfId="4" applyFont="1" applyFill="1" applyAlignment="1">
      <alignment horizontal="center"/>
    </xf>
    <xf numFmtId="0" fontId="205" fillId="0" borderId="0" xfId="4" applyFont="1" applyAlignment="1">
      <alignment horizontal="center"/>
    </xf>
    <xf numFmtId="0" fontId="206" fillId="0" borderId="0" xfId="4" applyFont="1" applyAlignment="1">
      <alignment horizontal="center"/>
    </xf>
    <xf numFmtId="0" fontId="190" fillId="27" borderId="0" xfId="4" applyFill="1" applyAlignment="1">
      <alignment horizontal="center"/>
    </xf>
    <xf numFmtId="0" fontId="207" fillId="20" borderId="0" xfId="4" applyFont="1" applyFill="1" applyAlignment="1">
      <alignment horizontal="center"/>
    </xf>
    <xf numFmtId="0" fontId="208" fillId="0" borderId="0" xfId="4" applyFont="1" applyAlignment="1">
      <alignment horizontal="center"/>
    </xf>
    <xf numFmtId="0" fontId="190" fillId="20" borderId="0" xfId="4" applyFill="1" applyAlignment="1">
      <alignment horizontal="center"/>
    </xf>
    <xf numFmtId="0" fontId="34" fillId="2" borderId="0" xfId="4" applyFont="1" applyFill="1" applyAlignment="1">
      <alignment horizontal="left" vertical="center"/>
    </xf>
    <xf numFmtId="0" fontId="190" fillId="2" borderId="0" xfId="4" applyFill="1" applyAlignment="1">
      <alignment horizontal="center"/>
    </xf>
    <xf numFmtId="0" fontId="209" fillId="2" borderId="0" xfId="4" applyFont="1" applyFill="1" applyAlignment="1">
      <alignment horizontal="center"/>
    </xf>
    <xf numFmtId="0" fontId="210" fillId="0" borderId="0" xfId="4" applyFont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190" fillId="0" borderId="0" xfId="4" applyAlignment="1">
      <alignment horizontal="left"/>
    </xf>
    <xf numFmtId="0" fontId="197" fillId="20" borderId="23" xfId="4" applyFont="1" applyFill="1" applyBorder="1" applyAlignment="1">
      <alignment horizontal="left" vertical="center" wrapText="1"/>
    </xf>
    <xf numFmtId="0" fontId="191" fillId="4" borderId="18" xfId="4" applyFont="1" applyFill="1" applyBorder="1" applyAlignment="1">
      <alignment horizontal="center"/>
    </xf>
    <xf numFmtId="0" fontId="191" fillId="4" borderId="19" xfId="4" applyFont="1" applyFill="1" applyBorder="1" applyAlignment="1">
      <alignment horizontal="center"/>
    </xf>
    <xf numFmtId="0" fontId="191" fillId="4" borderId="20" xfId="4" applyFont="1" applyFill="1" applyBorder="1" applyAlignment="1">
      <alignment horizontal="center"/>
    </xf>
    <xf numFmtId="0" fontId="193" fillId="4" borderId="23" xfId="4" applyFont="1" applyFill="1" applyBorder="1" applyAlignment="1">
      <alignment horizontal="center" vertical="center"/>
    </xf>
    <xf numFmtId="0" fontId="194" fillId="4" borderId="24" xfId="4" applyFont="1" applyFill="1" applyBorder="1" applyAlignment="1">
      <alignment horizontal="center" vertical="center"/>
    </xf>
    <xf numFmtId="0" fontId="194" fillId="4" borderId="25" xfId="4" applyFont="1" applyFill="1" applyBorder="1" applyAlignment="1">
      <alignment horizontal="center" vertical="center"/>
    </xf>
    <xf numFmtId="0" fontId="198" fillId="4" borderId="18" xfId="4" applyFont="1" applyFill="1" applyBorder="1" applyAlignment="1">
      <alignment horizontal="center"/>
    </xf>
    <xf numFmtId="0" fontId="199" fillId="4" borderId="19" xfId="4" applyFont="1" applyFill="1" applyBorder="1" applyAlignment="1">
      <alignment horizontal="center"/>
    </xf>
    <xf numFmtId="0" fontId="199" fillId="4" borderId="20" xfId="4" applyFont="1" applyFill="1" applyBorder="1" applyAlignment="1">
      <alignment horizontal="center"/>
    </xf>
    <xf numFmtId="0" fontId="200" fillId="4" borderId="23" xfId="4" applyFont="1" applyFill="1" applyBorder="1" applyAlignment="1">
      <alignment horizontal="center" vertical="center"/>
    </xf>
    <xf numFmtId="0" fontId="201" fillId="4" borderId="24" xfId="4" applyFont="1" applyFill="1" applyBorder="1" applyAlignment="1">
      <alignment horizontal="center" vertical="center"/>
    </xf>
    <xf numFmtId="0" fontId="201" fillId="4" borderId="25" xfId="4" applyFont="1" applyFill="1" applyBorder="1" applyAlignment="1">
      <alignment horizontal="center" vertical="center"/>
    </xf>
    <xf numFmtId="0" fontId="201" fillId="4" borderId="23" xfId="4" applyFont="1" applyFill="1" applyBorder="1" applyAlignment="1">
      <alignment horizontal="center" vertical="center"/>
    </xf>
    <xf numFmtId="0" fontId="211" fillId="0" borderId="0" xfId="0" applyFont="1"/>
    <xf numFmtId="0" fontId="2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14" fillId="28" borderId="38" xfId="0" applyFont="1" applyFill="1" applyBorder="1" applyAlignment="1">
      <alignment horizontal="center"/>
    </xf>
    <xf numFmtId="0" fontId="213" fillId="0" borderId="38" xfId="0" applyFont="1" applyBorder="1" applyAlignment="1">
      <alignment horizontal="center" vertical="center"/>
    </xf>
    <xf numFmtId="0" fontId="0" fillId="0" borderId="38" xfId="0" applyBorder="1"/>
    <xf numFmtId="0" fontId="154" fillId="0" borderId="38" xfId="0" applyFont="1" applyBorder="1" applyAlignment="1">
      <alignment horizontal="center" vertical="center"/>
    </xf>
    <xf numFmtId="0" fontId="215" fillId="0" borderId="38" xfId="0" applyFont="1" applyBorder="1" applyAlignment="1">
      <alignment horizontal="center" vertical="center"/>
    </xf>
    <xf numFmtId="0" fontId="216" fillId="0" borderId="38" xfId="0" quotePrefix="1" applyFont="1" applyBorder="1" applyAlignment="1">
      <alignment horizontal="center" vertical="center"/>
    </xf>
    <xf numFmtId="0" fontId="214" fillId="28" borderId="38" xfId="0" applyFont="1" applyFill="1" applyBorder="1" applyAlignment="1">
      <alignment horizontal="center" vertical="center"/>
    </xf>
  </cellXfs>
  <cellStyles count="5">
    <cellStyle name="一般" xfId="0" builtinId="0"/>
    <cellStyle name="一般 2" xfId="4" xr:uid="{50EDC2C5-1C2E-4F95-9C89-AAC21D54A82B}"/>
    <cellStyle name="一般 3 2" xfId="2" xr:uid="{703AF641-2554-41E3-A1E3-F082EFEA06AE}"/>
    <cellStyle name="一般 4" xfId="1" xr:uid="{D00E67AF-1809-4A9B-A488-D9A10688594D}"/>
    <cellStyle name="超連結" xfId="3" builtinId="8"/>
  </cellStyles>
  <dxfs count="82">
    <dxf>
      <font>
        <color auto="1"/>
      </font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27880;&#38899;&#31526;&#34399;&#35373;&#35336;.xlsx" TargetMode="External"/><Relationship Id="rId1" Type="http://schemas.openxmlformats.org/officeDocument/2006/relationships/externalLinkPath" Target="&#27880;&#38899;&#31526;&#34399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聲母發音表"/>
      <sheetName val="國語注音符號"/>
      <sheetName val="切語聲母"/>
      <sheetName val=" 拼音對照表 (2)"/>
      <sheetName val=" 拼音對照表"/>
      <sheetName val="河洛方音鍵盤"/>
      <sheetName val="河洛注音鍵盤"/>
      <sheetName val=" 台語ABC鍵盤設計"/>
      <sheetName val=" 台語ABC鍵盤編碼"/>
      <sheetName val="萌台語方音鍵盤"/>
      <sheetName val="河洛白話音"/>
      <sheetName val="河洛白話音 (2)"/>
      <sheetName val=" 注音符號"/>
      <sheetName val="河洛注音使用符號"/>
      <sheetName val="聲韻母"/>
      <sheetName val="說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49" totalsRowShown="0" headerRowBorderDxfId="81" tableBorderDxfId="80">
  <autoFilter ref="B2:J49" xr:uid="{779076CF-6DEF-4E4E-89FE-E37B7352A3DC}"/>
  <tableColumns count="9">
    <tableColumn id="1" xr3:uid="{7ED75D5E-652B-4A3F-A63F-E28CD639A2D8}" name="序號" dataDxfId="79">
      <calculatedColumnFormula>ROW() - 2</calculatedColumnFormula>
    </tableColumn>
    <tableColumn id="2" xr3:uid="{A7CD0E37-FA88-4B7F-9344-02DCFD03CA57}" name="鍵盤按鍵" dataDxfId="78">
      <calculatedColumnFormula xml:space="preserve"> IFERROR( INDEX(#REF!, MATCH($AD3,#REF!, 0)), "")</calculatedColumnFormula>
    </tableColumn>
    <tableColumn id="3" xr3:uid="{5803CFB3-58F1-42C5-8A9B-67D4C055A271}" name="注音編碼" dataDxfId="77">
      <calculatedColumnFormula xml:space="preserve"> IFERROR( INDEX(#REF!, MATCH($AD3,#REF!, 0)), "")</calculatedColumnFormula>
    </tableColumn>
    <tableColumn id="9" xr3:uid="{09D9CE2F-FF7F-4954-9029-DC42E2224DD4}" name="台語音標注音" dataDxfId="76"/>
    <tableColumn id="4" xr3:uid="{529434D2-88AB-4124-93AE-208E9AF52CB4}" name="方音符號" dataDxfId="75"/>
    <tableColumn id="5" xr3:uid="{A0645D5D-DBED-4761-A763-4D6D5538C014}" name="注音符號" dataDxfId="74"/>
    <tableColumn id="8" xr3:uid="{66F8B891-9FE4-45B3-8BD8-51BA7DD3D43F}" name="組合符號" dataDxfId="73"/>
    <tableColumn id="7" xr3:uid="{F4C14CB4-A82C-41D9-AF30-BE553CA46FA3}" name="國際音標" dataDxfId="72"/>
    <tableColumn id="6" xr3:uid="{5020FE3A-F6A8-4B02-9B83-6BADE97A0BE0}" name="台語音標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L2:R8" totalsRowShown="0" headerRowDxfId="70" dataDxfId="68" headerRowBorderDxfId="69" tableBorderDxfId="67" totalsRowBorderDxfId="66">
  <autoFilter ref="L2:R8" xr:uid="{6A40958B-9384-4E59-AE7A-3C944257DC11}"/>
  <tableColumns count="7">
    <tableColumn id="1" xr3:uid="{8F368751-5DB2-45B7-AEA8-1EA789D18D9E}" name="發音部位" dataDxfId="65"/>
    <tableColumn id="2" xr3:uid="{565C2DE6-6770-43E6-8E08-95DB3D74F449}" name="塞音_x000a_(不送氣)" dataDxfId="64"/>
    <tableColumn id="3" xr3:uid="{C60AB197-3C88-4553-AC8F-FA44CBAED771}" name="塞音_x000a_(送氣)" dataDxfId="63"/>
    <tableColumn id="4" xr3:uid="{D3AC809B-436F-4540-B125-7D7963B95663}" name="濁音" dataDxfId="62"/>
    <tableColumn id="5" xr3:uid="{E45EF470-ADED-4F00-ADA7-0F1E5230D10E}" name="鼻音" dataDxfId="61"/>
    <tableColumn id="6" xr3:uid="{67CD2B7D-B586-43C6-A726-BDF60FE9AE6C}" name="擦音" dataDxfId="60"/>
    <tableColumn id="7" xr3:uid="{0BF3A333-A1A0-4499-BCC9-FE62942F95E5}" name="邊音" dataDxfId="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8" dataDxfId="57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6">
      <calculatedColumnFormula xml:space="preserve"> J3</calculatedColumnFormula>
    </tableColumn>
    <tableColumn id="4" xr3:uid="{7407D282-3312-489C-B29B-19D43E4E79D6}" name="注音編碼" dataDxfId="55" dataCellStyle="一般 4">
      <calculatedColumnFormula>I3</calculatedColumnFormula>
    </tableColumn>
    <tableColumn id="2" xr3:uid="{DAFEC160-B656-4EE0-9837-61A87BB277BC}" name="注音符號" dataDxfId="54" dataCellStyle="一般 4">
      <calculatedColumnFormula array="1" xml:space="preserve"> INDEX(注音編碼對照表[注音符號], MATCH(TRUE, EXACT(表格1_33411[[#This Row],[注音編碼]], 注音編碼對照表[注音編碼]), 0))</calculatedColumnFormula>
    </tableColumn>
    <tableColumn id="3" xr3:uid="{716636BA-FE9C-4F70-80B3-61C875130210}" name="台語音標" dataDxfId="53" dataCellStyle="一般 4">
      <calculatedColumnFormula array="1" xml:space="preserve"> INDEX(注音編碼對照表!$J$3:$J$54, MATCH(TRUE, EXACT(表格1_33411[[#This Row],[注音編碼]], 注音編碼對照表!$D$3:$D$49),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2">
  <autoFilter ref="C4:G56" xr:uid="{CBD99B6E-1695-45CA-A35A-919D424705A0}"/>
  <tableColumns count="5">
    <tableColumn id="1" xr3:uid="{23C441A4-A9BF-4AF3-9A00-C54EFA849863}" name="按鍵字元" dataDxfId="51"/>
    <tableColumn id="2" xr3:uid="{BF68382C-29B0-42B3-B1E7-6BBFB43FDBF8}" name="注音符號" dataDxfId="50"/>
    <tableColumn id="3" xr3:uid="{53638260-1BF6-4965-A4AE-956982740802}" name="方音符號" dataDxfId="49"/>
    <tableColumn id="4" xr3:uid="{DCF6B5DB-F2BF-4A75-8F81-445A20F5EFEC}" name="音標編碼" dataDxfId="48"/>
    <tableColumn id="5" xr3:uid="{138EEA27-F029-4B76-B6E7-B073EAAE87F1}" name="台語音標" dataDxfId="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6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5">
      <calculatedColumnFormula>H3</calculatedColumnFormula>
    </tableColumn>
    <tableColumn id="4" xr3:uid="{52141FD4-4282-4655-8FDB-25D018179FEA}" name="字典編碼" dataDxfId="44" dataCellStyle="一般 4">
      <calculatedColumnFormula>G3</calculatedColumnFormula>
    </tableColumn>
    <tableColumn id="2" xr3:uid="{59B967E3-C71C-4CF6-991D-C8F093BAB101}" name="方音符號" dataDxfId="43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2" dataDxfId="40" headerRowBorderDxfId="41" tableBorderDxfId="39" totalsRowBorderDxfId="38">
  <autoFilter ref="B3:H9" xr:uid="{CB332761-5FFA-4AA1-A510-7EB68827E47D}"/>
  <tableColumns count="7">
    <tableColumn id="1" xr3:uid="{D99DF20F-51FB-47D5-B4CC-DA04A48AAC2D}" name="發音部位" dataDxfId="37"/>
    <tableColumn id="2" xr3:uid="{6BC15A71-E0D5-404C-A6A6-8B01367E9B89}" name="塞音(不送氣)" dataDxfId="36"/>
    <tableColumn id="3" xr3:uid="{44295C3E-0304-4D25-AA15-E5C51BA36FD4}" name="塞音(送氣)" dataDxfId="35"/>
    <tableColumn id="4" xr3:uid="{F4CC72CD-7170-4DE4-8D5A-C18C426CA527}" name="濁音" dataDxfId="34"/>
    <tableColumn id="5" xr3:uid="{CE151E5C-E9DA-4A02-AD63-353CCFA6087C}" name="鼻音" dataDxfId="33"/>
    <tableColumn id="6" xr3:uid="{69AB656D-E99F-4EEB-9854-42DF77ECEB05}" name="擦音" dataDxfId="32"/>
    <tableColumn id="7" xr3:uid="{F61BA027-9E56-47A1-8224-3F0734C11F32}" name="邊音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0" dataDxfId="28" headerRowBorderDxfId="29" tableBorderDxfId="27" totalsRowBorderDxfId="26">
  <tableColumns count="20">
    <tableColumn id="1" xr3:uid="{D5BB5D32-B8B3-4985-99FE-4CAE416F8896}" name="韻腹" dataDxfId="25"/>
    <tableColumn id="2" xr3:uid="{2E75F452-C9EB-485A-898D-31B0B52F386A}" name="a" dataDxfId="24"/>
    <tableColumn id="3" xr3:uid="{232D45FA-6A65-4DC6-83E0-957B07FDBA26}" name="aɪ" dataDxfId="23"/>
    <tableColumn id="4" xr3:uid="{70955649-D6B5-40D6-8690-B978B91DB6A6}" name="aʊ" dataDxfId="22"/>
    <tableColumn id="5" xr3:uid="{17517C7F-5843-41D1-B4A0-D822E2A05A3F}" name="e" dataDxfId="21"/>
    <tableColumn id="6" xr3:uid="{A32FB388-F51D-4A09-8143-A8FE8C2735DE}" name="i" dataDxfId="20"/>
    <tableColumn id="7" xr3:uid="{0E349367-F4AB-4C53-8AD3-78E3A14DA801}" name="ɪa" dataDxfId="19"/>
    <tableColumn id="8" xr3:uid="{79DEC6A5-E8D0-4D21-9F9D-F46FE120B69D}" name="ɪaʊ" dataDxfId="18"/>
    <tableColumn id="9" xr3:uid="{9744BF02-11F5-4A49-94C9-F7ABD46F3CF7}" name="ɪə" dataDxfId="17"/>
    <tableColumn id="10" xr3:uid="{7ECBA68D-4E2D-4AE6-95E9-14B150FB60F3}" name="ɪɔ" dataDxfId="16"/>
    <tableColumn id="11" xr3:uid="{AA74AB0B-66F4-4084-A3FE-D313C4537337}" name="iu" dataDxfId="15"/>
    <tableColumn id="12" xr3:uid="{952CA3C9-B72B-4B4A-8975-0116A219DC35}" name="ə" dataDxfId="14"/>
    <tableColumn id="13" xr3:uid="{889BAAAD-336F-4D7B-A274-546C3C9BAC2F}" name="ɔ" dataDxfId="13"/>
    <tableColumn id="14" xr3:uid="{91C2AF01-8439-4A47-A026-6CDF055DF255}" name="u" dataDxfId="12"/>
    <tableColumn id="15" xr3:uid="{5AC88F01-3D1A-4AB5-A9A0-C569C4DDA3AA}" name="ua" dataDxfId="11"/>
    <tableColumn id="16" xr3:uid="{53FD8BAA-0AD0-4BA5-A488-E8FBF6E3B776}" name="uaɪ" dataDxfId="10"/>
    <tableColumn id="17" xr3:uid="{AA997DB6-667B-42B6-9983-F5C6536CECFC}" name="ue" dataDxfId="9"/>
    <tableColumn id="18" xr3:uid="{07146182-EDC0-48F7-B098-DF65D5099290}" name="ui" dataDxfId="8"/>
    <tableColumn id="19" xr3:uid="{C0F0792E-1F02-4269-AD48-9C7CAC2FFDA8}" name="m̩" dataDxfId="7"/>
    <tableColumn id="20" xr3:uid="{CC92EBF2-6977-48AE-A3D3-E116BF9C29F9}" name="ŋ̍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39" workbookViewId="0">
      <selection activeCell="C2" sqref="C2"/>
    </sheetView>
    <sheetView workbookViewId="1"/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618</v>
      </c>
      <c r="C2" s="356" t="s">
        <v>688</v>
      </c>
      <c r="D2" s="356"/>
      <c r="E2" s="356"/>
      <c r="F2" s="356"/>
      <c r="G2" s="356"/>
      <c r="H2" s="356"/>
      <c r="I2" s="356"/>
      <c r="J2" s="356"/>
    </row>
    <row r="4" spans="2:10">
      <c r="B4" t="s">
        <v>619</v>
      </c>
      <c r="C4" s="357" t="s">
        <v>526</v>
      </c>
    </row>
    <row r="5" spans="2:10" ht="23.25">
      <c r="B5" t="s">
        <v>620</v>
      </c>
      <c r="C5" s="11">
        <f xml:space="preserve"> SEARCH($C$4,$C$2,1) + 1</f>
        <v>12</v>
      </c>
      <c r="D5" s="2"/>
    </row>
    <row r="6" spans="2:10" ht="23.25">
      <c r="B6" t="s">
        <v>621</v>
      </c>
      <c r="C6" s="11">
        <f xml:space="preserve"> SEARCH($C$4,$C$2,C5+1) - 1</f>
        <v>63</v>
      </c>
      <c r="D6" s="2"/>
    </row>
    <row r="7" spans="2:10">
      <c r="B7" t="s">
        <v>622</v>
      </c>
      <c r="C7" s="356" t="str">
        <f xml:space="preserve"> MID(C2, C5, C6-C5+1)</f>
        <v>1!qa2wsxeEdcbyhnBYHN?ujm8ik,9l.0p;:/-OAUJ*I&lt;(L 43657</v>
      </c>
      <c r="D7" s="356"/>
      <c r="E7" s="356"/>
      <c r="F7" s="356"/>
      <c r="G7" s="356"/>
      <c r="H7" s="356"/>
      <c r="I7" s="356"/>
      <c r="J7" s="356"/>
    </row>
    <row r="8" spans="2:10" ht="25.5">
      <c r="B8" t="s">
        <v>623</v>
      </c>
      <c r="C8" s="358">
        <f xml:space="preserve"> LEN(C7)</f>
        <v>52</v>
      </c>
    </row>
    <row r="11" spans="2:10">
      <c r="B11" s="237">
        <f xml:space="preserve"> ROW() - 10</f>
        <v>1</v>
      </c>
      <c r="C11" s="348" t="str">
        <f xml:space="preserve"> MID($C$7, B11,1)</f>
        <v>1</v>
      </c>
    </row>
    <row r="12" spans="2:10">
      <c r="B12" s="237">
        <f t="shared" ref="B12:B63" si="0" xml:space="preserve"> ROW() - 10</f>
        <v>2</v>
      </c>
      <c r="C12" s="348" t="str">
        <f t="shared" ref="C12:C63" si="1" xml:space="preserve"> MID($C$7, B12,1)</f>
        <v>!</v>
      </c>
    </row>
    <row r="13" spans="2:10">
      <c r="B13" s="237">
        <f t="shared" si="0"/>
        <v>3</v>
      </c>
      <c r="C13" s="348" t="str">
        <f t="shared" si="1"/>
        <v>q</v>
      </c>
    </row>
    <row r="14" spans="2:10">
      <c r="B14" s="237">
        <f t="shared" si="0"/>
        <v>4</v>
      </c>
      <c r="C14" s="348" t="str">
        <f t="shared" si="1"/>
        <v>a</v>
      </c>
    </row>
    <row r="15" spans="2:10">
      <c r="B15" s="237">
        <f t="shared" si="0"/>
        <v>5</v>
      </c>
      <c r="C15" s="348" t="str">
        <f t="shared" si="1"/>
        <v>2</v>
      </c>
    </row>
    <row r="16" spans="2:10">
      <c r="B16" s="237">
        <f t="shared" si="0"/>
        <v>6</v>
      </c>
      <c r="C16" s="348" t="str">
        <f t="shared" si="1"/>
        <v>w</v>
      </c>
    </row>
    <row r="17" spans="2:3">
      <c r="B17" s="237">
        <f t="shared" si="0"/>
        <v>7</v>
      </c>
      <c r="C17" s="348" t="str">
        <f t="shared" si="1"/>
        <v>s</v>
      </c>
    </row>
    <row r="18" spans="2:3">
      <c r="B18" s="237">
        <f t="shared" si="0"/>
        <v>8</v>
      </c>
      <c r="C18" s="348" t="str">
        <f t="shared" si="1"/>
        <v>x</v>
      </c>
    </row>
    <row r="19" spans="2:3">
      <c r="B19" s="237">
        <f t="shared" si="0"/>
        <v>9</v>
      </c>
      <c r="C19" s="348" t="str">
        <f t="shared" si="1"/>
        <v>e</v>
      </c>
    </row>
    <row r="20" spans="2:3">
      <c r="B20" s="237">
        <f t="shared" si="0"/>
        <v>10</v>
      </c>
      <c r="C20" s="348" t="str">
        <f t="shared" si="1"/>
        <v>E</v>
      </c>
    </row>
    <row r="21" spans="2:3">
      <c r="B21" s="237">
        <f t="shared" si="0"/>
        <v>11</v>
      </c>
      <c r="C21" s="348" t="str">
        <f t="shared" si="1"/>
        <v>d</v>
      </c>
    </row>
    <row r="22" spans="2:3">
      <c r="B22" s="237">
        <f t="shared" si="0"/>
        <v>12</v>
      </c>
      <c r="C22" s="348" t="str">
        <f t="shared" si="1"/>
        <v>c</v>
      </c>
    </row>
    <row r="23" spans="2:3">
      <c r="B23" s="237">
        <f t="shared" si="0"/>
        <v>13</v>
      </c>
      <c r="C23" s="348" t="str">
        <f t="shared" si="1"/>
        <v>b</v>
      </c>
    </row>
    <row r="24" spans="2:3">
      <c r="B24" s="237">
        <f t="shared" si="0"/>
        <v>14</v>
      </c>
      <c r="C24" s="348" t="str">
        <f t="shared" si="1"/>
        <v>y</v>
      </c>
    </row>
    <row r="25" spans="2:3">
      <c r="B25" s="237">
        <f t="shared" si="0"/>
        <v>15</v>
      </c>
      <c r="C25" s="348" t="str">
        <f t="shared" si="1"/>
        <v>h</v>
      </c>
    </row>
    <row r="26" spans="2:3">
      <c r="B26" s="237">
        <f t="shared" si="0"/>
        <v>16</v>
      </c>
      <c r="C26" s="348" t="str">
        <f t="shared" si="1"/>
        <v>n</v>
      </c>
    </row>
    <row r="27" spans="2:3">
      <c r="B27" s="237">
        <f t="shared" si="0"/>
        <v>17</v>
      </c>
      <c r="C27" s="348" t="str">
        <f t="shared" si="1"/>
        <v>B</v>
      </c>
    </row>
    <row r="28" spans="2:3">
      <c r="B28" s="237">
        <f t="shared" si="0"/>
        <v>18</v>
      </c>
      <c r="C28" s="348" t="str">
        <f t="shared" si="1"/>
        <v>Y</v>
      </c>
    </row>
    <row r="29" spans="2:3">
      <c r="B29" s="237">
        <f t="shared" si="0"/>
        <v>19</v>
      </c>
      <c r="C29" s="348" t="str">
        <f t="shared" si="1"/>
        <v>H</v>
      </c>
    </row>
    <row r="30" spans="2:3">
      <c r="B30" s="237">
        <f t="shared" si="0"/>
        <v>20</v>
      </c>
      <c r="C30" s="348" t="str">
        <f t="shared" si="1"/>
        <v>N</v>
      </c>
    </row>
    <row r="31" spans="2:3">
      <c r="B31" s="237">
        <f t="shared" si="0"/>
        <v>21</v>
      </c>
      <c r="C31" s="348" t="str">
        <f t="shared" si="1"/>
        <v>?</v>
      </c>
    </row>
    <row r="32" spans="2:3">
      <c r="B32" s="237">
        <f t="shared" si="0"/>
        <v>22</v>
      </c>
      <c r="C32" s="348" t="str">
        <f t="shared" si="1"/>
        <v>u</v>
      </c>
    </row>
    <row r="33" spans="2:3">
      <c r="B33" s="237">
        <f t="shared" si="0"/>
        <v>23</v>
      </c>
      <c r="C33" s="348" t="str">
        <f t="shared" si="1"/>
        <v>j</v>
      </c>
    </row>
    <row r="34" spans="2:3">
      <c r="B34" s="237">
        <f t="shared" si="0"/>
        <v>24</v>
      </c>
      <c r="C34" s="348" t="str">
        <f t="shared" si="1"/>
        <v>m</v>
      </c>
    </row>
    <row r="35" spans="2:3">
      <c r="B35" s="237">
        <f t="shared" si="0"/>
        <v>25</v>
      </c>
      <c r="C35" s="348" t="str">
        <f t="shared" si="1"/>
        <v>8</v>
      </c>
    </row>
    <row r="36" spans="2:3">
      <c r="B36" s="237">
        <f t="shared" si="0"/>
        <v>26</v>
      </c>
      <c r="C36" s="348" t="str">
        <f t="shared" si="1"/>
        <v>i</v>
      </c>
    </row>
    <row r="37" spans="2:3">
      <c r="B37" s="237">
        <f t="shared" si="0"/>
        <v>27</v>
      </c>
      <c r="C37" s="348" t="str">
        <f t="shared" si="1"/>
        <v>k</v>
      </c>
    </row>
    <row r="38" spans="2:3">
      <c r="B38" s="237">
        <f t="shared" si="0"/>
        <v>28</v>
      </c>
      <c r="C38" s="348" t="str">
        <f t="shared" si="1"/>
        <v>,</v>
      </c>
    </row>
    <row r="39" spans="2:3">
      <c r="B39" s="237">
        <f t="shared" si="0"/>
        <v>29</v>
      </c>
      <c r="C39" s="348" t="str">
        <f t="shared" si="1"/>
        <v>9</v>
      </c>
    </row>
    <row r="40" spans="2:3">
      <c r="B40" s="237">
        <f t="shared" si="0"/>
        <v>30</v>
      </c>
      <c r="C40" s="348" t="str">
        <f t="shared" si="1"/>
        <v>l</v>
      </c>
    </row>
    <row r="41" spans="2:3">
      <c r="B41" s="237">
        <f t="shared" si="0"/>
        <v>31</v>
      </c>
      <c r="C41" s="348" t="str">
        <f t="shared" si="1"/>
        <v>.</v>
      </c>
    </row>
    <row r="42" spans="2:3">
      <c r="B42" s="237">
        <f t="shared" si="0"/>
        <v>32</v>
      </c>
      <c r="C42" s="348" t="str">
        <f t="shared" si="1"/>
        <v>0</v>
      </c>
    </row>
    <row r="43" spans="2:3">
      <c r="B43" s="237">
        <f t="shared" si="0"/>
        <v>33</v>
      </c>
      <c r="C43" s="348" t="str">
        <f t="shared" si="1"/>
        <v>p</v>
      </c>
    </row>
    <row r="44" spans="2:3">
      <c r="B44" s="237">
        <f t="shared" si="0"/>
        <v>34</v>
      </c>
      <c r="C44" s="348" t="str">
        <f t="shared" si="1"/>
        <v>;</v>
      </c>
    </row>
    <row r="45" spans="2:3">
      <c r="B45" s="237">
        <f t="shared" si="0"/>
        <v>35</v>
      </c>
      <c r="C45" s="348" t="str">
        <f t="shared" si="1"/>
        <v>:</v>
      </c>
    </row>
    <row r="46" spans="2:3">
      <c r="B46" s="237">
        <f t="shared" si="0"/>
        <v>36</v>
      </c>
      <c r="C46" s="348" t="str">
        <f t="shared" si="1"/>
        <v>/</v>
      </c>
    </row>
    <row r="47" spans="2:3">
      <c r="B47" s="237">
        <f t="shared" si="0"/>
        <v>37</v>
      </c>
      <c r="C47" s="348" t="str">
        <f t="shared" si="1"/>
        <v>-</v>
      </c>
    </row>
    <row r="48" spans="2:3">
      <c r="B48" s="237">
        <f t="shared" si="0"/>
        <v>38</v>
      </c>
      <c r="C48" s="348" t="str">
        <f t="shared" si="1"/>
        <v>O</v>
      </c>
    </row>
    <row r="49" spans="2:4">
      <c r="B49" s="237">
        <f t="shared" si="0"/>
        <v>39</v>
      </c>
      <c r="C49" s="348" t="str">
        <f t="shared" si="1"/>
        <v>A</v>
      </c>
    </row>
    <row r="50" spans="2:4">
      <c r="B50" s="237">
        <f t="shared" si="0"/>
        <v>40</v>
      </c>
      <c r="C50" s="348" t="str">
        <f t="shared" si="1"/>
        <v>U</v>
      </c>
    </row>
    <row r="51" spans="2:4">
      <c r="B51" s="237">
        <f t="shared" si="0"/>
        <v>41</v>
      </c>
      <c r="C51" s="348" t="str">
        <f t="shared" si="1"/>
        <v>J</v>
      </c>
    </row>
    <row r="52" spans="2:4">
      <c r="B52" s="237">
        <f t="shared" si="0"/>
        <v>42</v>
      </c>
      <c r="C52" s="348" t="str">
        <f t="shared" si="1"/>
        <v>*</v>
      </c>
    </row>
    <row r="53" spans="2:4">
      <c r="B53" s="237">
        <f t="shared" si="0"/>
        <v>43</v>
      </c>
      <c r="C53" s="348" t="str">
        <f t="shared" si="1"/>
        <v>I</v>
      </c>
    </row>
    <row r="54" spans="2:4">
      <c r="B54" s="237">
        <f t="shared" si="0"/>
        <v>44</v>
      </c>
      <c r="C54" s="348" t="str">
        <f t="shared" si="1"/>
        <v>&lt;</v>
      </c>
    </row>
    <row r="55" spans="2:4">
      <c r="B55" s="237">
        <f t="shared" si="0"/>
        <v>45</v>
      </c>
      <c r="C55" s="348" t="str">
        <f t="shared" si="1"/>
        <v>(</v>
      </c>
    </row>
    <row r="56" spans="2:4">
      <c r="B56" s="237">
        <f t="shared" si="0"/>
        <v>46</v>
      </c>
      <c r="C56" s="348" t="s">
        <v>666</v>
      </c>
    </row>
    <row r="57" spans="2:4">
      <c r="B57" s="237">
        <f t="shared" si="0"/>
        <v>47</v>
      </c>
      <c r="C57" s="348" t="str">
        <f t="shared" si="1"/>
        <v xml:space="preserve"> </v>
      </c>
      <c r="D57" s="325" t="s">
        <v>647</v>
      </c>
    </row>
    <row r="58" spans="2:4">
      <c r="B58" s="237">
        <f t="shared" si="0"/>
        <v>48</v>
      </c>
      <c r="C58" s="348" t="str">
        <f t="shared" si="1"/>
        <v>4</v>
      </c>
    </row>
    <row r="59" spans="2:4">
      <c r="B59" s="237">
        <f t="shared" si="0"/>
        <v>49</v>
      </c>
      <c r="C59" s="348" t="str">
        <f t="shared" si="1"/>
        <v>3</v>
      </c>
    </row>
    <row r="60" spans="2:4">
      <c r="B60" s="237">
        <f t="shared" si="0"/>
        <v>50</v>
      </c>
      <c r="C60" s="348" t="str">
        <f t="shared" si="1"/>
        <v>6</v>
      </c>
    </row>
    <row r="61" spans="2:4">
      <c r="B61" s="237">
        <f t="shared" si="0"/>
        <v>51</v>
      </c>
      <c r="C61" s="348" t="str">
        <f t="shared" si="1"/>
        <v>5</v>
      </c>
    </row>
    <row r="62" spans="2:4">
      <c r="B62" s="237">
        <f t="shared" si="0"/>
        <v>52</v>
      </c>
      <c r="C62" s="348" t="str">
        <f t="shared" si="1"/>
        <v>7</v>
      </c>
    </row>
    <row r="63" spans="2:4">
      <c r="B63" s="237">
        <f t="shared" si="0"/>
        <v>53</v>
      </c>
      <c r="C63" s="348" t="str">
        <f t="shared" si="1"/>
        <v/>
      </c>
    </row>
  </sheetData>
  <phoneticPr fontId="9" type="noConversion"/>
  <conditionalFormatting sqref="C11:C63">
    <cfRule type="cellIs" dxfId="5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R82"/>
  <sheetViews>
    <sheetView workbookViewId="0">
      <pane ySplit="2" topLeftCell="A32" activePane="bottomLeft" state="frozen"/>
      <selection pane="bottomLeft" activeCell="I43" sqref="I43"/>
    </sheetView>
    <sheetView tabSelected="1" topLeftCell="A20" workbookViewId="1">
      <selection activeCell="G34" sqref="G34"/>
    </sheetView>
  </sheetViews>
  <sheetFormatPr defaultRowHeight="23.25"/>
  <cols>
    <col min="2" max="2" width="6.3984375" style="2" customWidth="1"/>
    <col min="3" max="6" width="10.59765625" style="370" customWidth="1"/>
    <col min="7" max="7" width="10.59765625" style="11" customWidth="1"/>
    <col min="8" max="8" width="8.796875" style="478"/>
    <col min="9" max="9" width="10.59765625" style="11" customWidth="1"/>
    <col min="10" max="10" width="10.59765625" style="359" customWidth="1"/>
    <col min="14" max="19" width="9.69921875" customWidth="1"/>
  </cols>
  <sheetData>
    <row r="1" spans="2:18" ht="32.25">
      <c r="B1" s="7" t="s">
        <v>5</v>
      </c>
      <c r="C1" s="139"/>
      <c r="D1" s="139"/>
      <c r="E1" s="139"/>
      <c r="F1" s="8"/>
      <c r="G1" s="139"/>
      <c r="I1" s="139"/>
      <c r="J1" s="138"/>
    </row>
    <row r="2" spans="2:18" ht="33">
      <c r="B2" s="426" t="s">
        <v>14</v>
      </c>
      <c r="C2" s="427" t="s">
        <v>19</v>
      </c>
      <c r="D2" s="428" t="s">
        <v>584</v>
      </c>
      <c r="E2" s="428" t="s">
        <v>928</v>
      </c>
      <c r="F2" s="524" t="s">
        <v>386</v>
      </c>
      <c r="G2" s="429" t="s">
        <v>385</v>
      </c>
      <c r="H2" s="429" t="s">
        <v>813</v>
      </c>
      <c r="I2" s="429" t="s">
        <v>742</v>
      </c>
      <c r="J2" s="429" t="s">
        <v>388</v>
      </c>
      <c r="L2" s="437" t="s">
        <v>725</v>
      </c>
      <c r="M2" s="438" t="s">
        <v>740</v>
      </c>
      <c r="N2" s="438" t="s">
        <v>741</v>
      </c>
      <c r="O2" s="439" t="s">
        <v>694</v>
      </c>
      <c r="P2" s="439" t="s">
        <v>695</v>
      </c>
      <c r="Q2" s="439" t="s">
        <v>696</v>
      </c>
      <c r="R2" s="440" t="s">
        <v>697</v>
      </c>
    </row>
    <row r="3" spans="2:18" ht="32.25">
      <c r="B3" s="25">
        <f>ROW() - 2</f>
        <v>1</v>
      </c>
      <c r="C3" s="109" t="s">
        <v>361</v>
      </c>
      <c r="D3" s="430" t="s">
        <v>217</v>
      </c>
      <c r="E3" s="430" t="s">
        <v>20</v>
      </c>
      <c r="F3" s="26" t="s">
        <v>20</v>
      </c>
      <c r="G3" s="431" t="s">
        <v>20</v>
      </c>
      <c r="H3" s="431"/>
      <c r="I3" s="470" t="s">
        <v>743</v>
      </c>
      <c r="J3" s="432" t="s">
        <v>217</v>
      </c>
      <c r="L3" s="445" t="s">
        <v>698</v>
      </c>
      <c r="M3" s="441" t="s">
        <v>699</v>
      </c>
      <c r="N3" s="441" t="s">
        <v>700</v>
      </c>
      <c r="O3" s="441" t="s">
        <v>701</v>
      </c>
      <c r="P3" s="441" t="s">
        <v>702</v>
      </c>
      <c r="Q3" s="441"/>
      <c r="R3" s="442"/>
    </row>
    <row r="4" spans="2:18" ht="32.25">
      <c r="B4" s="31">
        <f t="shared" ref="B4:B66" si="0">ROW() - 2</f>
        <v>2</v>
      </c>
      <c r="C4" s="71" t="s">
        <v>353</v>
      </c>
      <c r="D4" s="352" t="s">
        <v>400</v>
      </c>
      <c r="E4" s="352" t="s">
        <v>23</v>
      </c>
      <c r="F4" s="32" t="s">
        <v>23</v>
      </c>
      <c r="G4" s="404" t="s">
        <v>23</v>
      </c>
      <c r="H4" s="404"/>
      <c r="I4" s="471" t="s">
        <v>760</v>
      </c>
      <c r="J4" s="433" t="s">
        <v>392</v>
      </c>
      <c r="L4" s="445" t="s">
        <v>703</v>
      </c>
      <c r="M4" s="441" t="s">
        <v>704</v>
      </c>
      <c r="N4" s="441" t="s">
        <v>705</v>
      </c>
      <c r="O4" s="441"/>
      <c r="P4" s="441" t="s">
        <v>706</v>
      </c>
      <c r="Q4" s="441"/>
      <c r="R4" s="442" t="s">
        <v>707</v>
      </c>
    </row>
    <row r="5" spans="2:18" ht="32.25">
      <c r="B5" s="31">
        <f t="shared" si="0"/>
        <v>3</v>
      </c>
      <c r="C5" s="71" t="s">
        <v>394</v>
      </c>
      <c r="D5" s="352" t="s">
        <v>190</v>
      </c>
      <c r="E5" s="547" t="s">
        <v>908</v>
      </c>
      <c r="F5" s="32" t="s">
        <v>27</v>
      </c>
      <c r="G5" s="404" t="s">
        <v>649</v>
      </c>
      <c r="H5" s="404"/>
      <c r="I5" s="471" t="s">
        <v>745</v>
      </c>
      <c r="J5" s="433" t="s">
        <v>190</v>
      </c>
      <c r="L5" s="445" t="s">
        <v>708</v>
      </c>
      <c r="M5" s="441" t="s">
        <v>709</v>
      </c>
      <c r="N5" s="441" t="s">
        <v>710</v>
      </c>
      <c r="O5" s="441" t="s">
        <v>711</v>
      </c>
      <c r="P5" s="441"/>
      <c r="Q5" s="441" t="s">
        <v>712</v>
      </c>
      <c r="R5" s="442"/>
    </row>
    <row r="6" spans="2:18" ht="32.25">
      <c r="B6" s="41">
        <f t="shared" si="0"/>
        <v>4</v>
      </c>
      <c r="C6" s="73" t="s">
        <v>351</v>
      </c>
      <c r="D6" s="434" t="s">
        <v>143</v>
      </c>
      <c r="E6" s="434" t="s">
        <v>83</v>
      </c>
      <c r="F6" s="42" t="s">
        <v>83</v>
      </c>
      <c r="G6" s="435" t="s">
        <v>83</v>
      </c>
      <c r="H6" s="435"/>
      <c r="I6" s="472" t="s">
        <v>744</v>
      </c>
      <c r="J6" s="436" t="s">
        <v>143</v>
      </c>
      <c r="L6" s="445" t="s">
        <v>713</v>
      </c>
      <c r="M6" s="441" t="s">
        <v>714</v>
      </c>
      <c r="N6" s="441" t="s">
        <v>715</v>
      </c>
      <c r="O6" s="441" t="s">
        <v>716</v>
      </c>
      <c r="P6" s="441"/>
      <c r="Q6" s="441" t="s">
        <v>717</v>
      </c>
      <c r="R6" s="442"/>
    </row>
    <row r="7" spans="2:18" ht="32.25">
      <c r="B7" s="25">
        <f t="shared" si="0"/>
        <v>5</v>
      </c>
      <c r="C7" s="109" t="s">
        <v>347</v>
      </c>
      <c r="D7" s="430" t="s">
        <v>30</v>
      </c>
      <c r="E7" s="430" t="s">
        <v>29</v>
      </c>
      <c r="F7" s="26" t="s">
        <v>29</v>
      </c>
      <c r="G7" s="431" t="s">
        <v>29</v>
      </c>
      <c r="H7" s="431"/>
      <c r="I7" s="470" t="s">
        <v>746</v>
      </c>
      <c r="J7" s="432" t="s">
        <v>30</v>
      </c>
      <c r="L7" s="445" t="s">
        <v>718</v>
      </c>
      <c r="M7" s="441" t="s">
        <v>719</v>
      </c>
      <c r="N7" s="441" t="s">
        <v>720</v>
      </c>
      <c r="O7" s="441" t="s">
        <v>721</v>
      </c>
      <c r="P7" s="441" t="s">
        <v>722</v>
      </c>
      <c r="Q7" s="441"/>
      <c r="R7" s="442"/>
    </row>
    <row r="8" spans="2:18" ht="32.25">
      <c r="B8" s="31">
        <f t="shared" si="0"/>
        <v>6</v>
      </c>
      <c r="C8" s="71" t="s">
        <v>341</v>
      </c>
      <c r="D8" s="352" t="s">
        <v>408</v>
      </c>
      <c r="E8" s="352" t="s">
        <v>31</v>
      </c>
      <c r="F8" s="32" t="s">
        <v>31</v>
      </c>
      <c r="G8" s="404" t="s">
        <v>31</v>
      </c>
      <c r="H8" s="404"/>
      <c r="I8" s="471" t="s">
        <v>761</v>
      </c>
      <c r="J8" s="433" t="s">
        <v>32</v>
      </c>
      <c r="L8" s="446" t="s">
        <v>723</v>
      </c>
      <c r="M8" s="443"/>
      <c r="N8" s="443"/>
      <c r="O8" s="443"/>
      <c r="P8" s="443"/>
      <c r="Q8" s="443" t="s">
        <v>724</v>
      </c>
      <c r="R8" s="444"/>
    </row>
    <row r="9" spans="2:18" ht="32.25">
      <c r="B9" s="31">
        <f t="shared" si="0"/>
        <v>7</v>
      </c>
      <c r="C9" s="71" t="s">
        <v>338</v>
      </c>
      <c r="D9" s="352" t="s">
        <v>34</v>
      </c>
      <c r="E9" s="352" t="s">
        <v>33</v>
      </c>
      <c r="F9" s="32" t="s">
        <v>33</v>
      </c>
      <c r="G9" s="404" t="s">
        <v>33</v>
      </c>
      <c r="H9" s="404"/>
      <c r="I9" s="471" t="s">
        <v>747</v>
      </c>
      <c r="J9" s="433" t="s">
        <v>34</v>
      </c>
    </row>
    <row r="10" spans="2:18" ht="45.75">
      <c r="B10" s="41">
        <f t="shared" si="0"/>
        <v>8</v>
      </c>
      <c r="C10" s="73" t="s">
        <v>332</v>
      </c>
      <c r="D10" s="434" t="s">
        <v>86</v>
      </c>
      <c r="E10" s="434" t="s">
        <v>85</v>
      </c>
      <c r="F10" s="42" t="s">
        <v>85</v>
      </c>
      <c r="G10" s="435" t="s">
        <v>85</v>
      </c>
      <c r="H10" s="435"/>
      <c r="I10" s="472" t="s">
        <v>748</v>
      </c>
      <c r="J10" s="436" t="s">
        <v>86</v>
      </c>
      <c r="L10" s="655" t="s">
        <v>1001</v>
      </c>
    </row>
    <row r="11" spans="2:18" ht="44.25">
      <c r="B11" s="25">
        <f t="shared" si="0"/>
        <v>9</v>
      </c>
      <c r="C11" s="447" t="s">
        <v>589</v>
      </c>
      <c r="D11" s="448" t="s">
        <v>179</v>
      </c>
      <c r="E11" s="448" t="s">
        <v>43</v>
      </c>
      <c r="F11" s="449" t="s">
        <v>43</v>
      </c>
      <c r="G11" s="431" t="s">
        <v>43</v>
      </c>
      <c r="H11" s="431"/>
      <c r="I11" s="470" t="s">
        <v>750</v>
      </c>
      <c r="J11" s="450" t="s">
        <v>179</v>
      </c>
      <c r="L11" s="656" cm="1">
        <f t="array" ref="L11" xml:space="preserve"> ROW() - ROW($10:$10)</f>
        <v>1</v>
      </c>
      <c r="M11" s="656" t="str">
        <f xml:space="preserve"> MID($L$10, L11, 1)</f>
        <v>t</v>
      </c>
      <c r="N11" s="320" t="str" cm="1">
        <f t="array" ref="N11" xml:space="preserve"> INDEX(注音編碼對照表[方音符號], MATCH(TRUE, EXACT(M11, 注音編碼對照表[台語音標]), 0))</f>
        <v>ㄉ</v>
      </c>
      <c r="O11" s="656"/>
      <c r="P11" s="656"/>
      <c r="Q11" s="656"/>
      <c r="R11" s="656"/>
    </row>
    <row r="12" spans="2:18" ht="44.25">
      <c r="B12" s="31">
        <f t="shared" si="0"/>
        <v>10</v>
      </c>
      <c r="C12" s="451" t="s">
        <v>422</v>
      </c>
      <c r="D12" s="452" t="s">
        <v>305</v>
      </c>
      <c r="E12" s="452" t="s">
        <v>46</v>
      </c>
      <c r="F12" s="453" t="s">
        <v>46</v>
      </c>
      <c r="G12" s="404" t="s">
        <v>46</v>
      </c>
      <c r="H12" s="404"/>
      <c r="I12" s="471" t="s">
        <v>749</v>
      </c>
      <c r="J12" s="454" t="s">
        <v>305</v>
      </c>
      <c r="L12" s="656" cm="1">
        <f t="array" ref="L12" xml:space="preserve"> ROW() - ROW($10:$10)</f>
        <v>2</v>
      </c>
      <c r="M12" s="656" t="str">
        <f t="shared" ref="M12:M16" si="1" xml:space="preserve"> MID($L$10, L12, 1)</f>
        <v>a</v>
      </c>
      <c r="N12" s="320" t="str" cm="1">
        <f t="array" ref="N12" xml:space="preserve"> INDEX(注音編碼對照表[方音符號], MATCH(TRUE, EXACT(M12, 注音編碼對照表[台語音標]), 0))</f>
        <v>ㄚ</v>
      </c>
      <c r="O12" s="656"/>
      <c r="P12" s="656"/>
    </row>
    <row r="13" spans="2:18" ht="44.25">
      <c r="B13" s="31">
        <f t="shared" si="0"/>
        <v>11</v>
      </c>
      <c r="C13" s="71" t="s">
        <v>190</v>
      </c>
      <c r="D13" s="352" t="s">
        <v>254</v>
      </c>
      <c r="E13" s="548" t="s">
        <v>909</v>
      </c>
      <c r="F13" s="32" t="s">
        <v>442</v>
      </c>
      <c r="G13" s="404" t="s">
        <v>441</v>
      </c>
      <c r="H13" s="404"/>
      <c r="I13" s="471" t="s">
        <v>751</v>
      </c>
      <c r="J13" s="433" t="s">
        <v>254</v>
      </c>
      <c r="L13" s="656" cm="1">
        <f t="array" ref="L13" xml:space="preserve"> ROW() - ROW($10:$10)</f>
        <v>3</v>
      </c>
      <c r="M13" s="656" t="str">
        <f t="shared" si="1"/>
        <v>n</v>
      </c>
      <c r="N13" s="320" t="str" cm="1">
        <f t="array" ref="N13" xml:space="preserve"> INDEX(注音編碼對照表[方音符號], MATCH(TRUE, EXACT(M13, 注音編碼對照表[台語音標]), 0))</f>
        <v>ㄋ</v>
      </c>
      <c r="O13" s="320"/>
      <c r="P13" s="320"/>
    </row>
    <row r="14" spans="2:18" ht="44.25">
      <c r="B14" s="41">
        <f t="shared" si="0"/>
        <v>12</v>
      </c>
      <c r="C14" s="455" t="s">
        <v>34</v>
      </c>
      <c r="D14" s="456" t="s">
        <v>338</v>
      </c>
      <c r="E14" s="456" t="s">
        <v>50</v>
      </c>
      <c r="F14" s="457" t="s">
        <v>50</v>
      </c>
      <c r="G14" s="435" t="s">
        <v>50</v>
      </c>
      <c r="H14" s="435"/>
      <c r="I14" s="472" t="s">
        <v>752</v>
      </c>
      <c r="J14" s="458" t="s">
        <v>338</v>
      </c>
      <c r="L14" s="656" cm="1">
        <f t="array" ref="L14" xml:space="preserve"> ROW() - ROW($10:$10)</f>
        <v>4</v>
      </c>
      <c r="M14" s="656" t="str">
        <f t="shared" si="1"/>
        <v>g</v>
      </c>
      <c r="N14" s="320" t="str" cm="1">
        <f t="array" ref="N14" xml:space="preserve"> INDEX(注音編碼對照表[方音符號], MATCH(TRUE, EXACT(M14, 注音編碼對照表[台語音標]), 0))</f>
        <v>ㆣ</v>
      </c>
    </row>
    <row r="15" spans="2:18" ht="44.25">
      <c r="B15" s="25">
        <f t="shared" si="0"/>
        <v>13</v>
      </c>
      <c r="C15" s="109" t="s">
        <v>329</v>
      </c>
      <c r="D15" s="430" t="s">
        <v>37</v>
      </c>
      <c r="E15" s="430" t="s">
        <v>36</v>
      </c>
      <c r="F15" s="26" t="s">
        <v>36</v>
      </c>
      <c r="G15" s="431" t="s">
        <v>36</v>
      </c>
      <c r="H15" s="431"/>
      <c r="I15" s="470" t="s">
        <v>757</v>
      </c>
      <c r="J15" s="432" t="s">
        <v>37</v>
      </c>
      <c r="L15" s="656" cm="1">
        <f t="array" ref="L15" xml:space="preserve"> ROW() - ROW($10:$10)</f>
        <v>5</v>
      </c>
      <c r="M15" s="656" t="str">
        <f t="shared" si="1"/>
        <v>1</v>
      </c>
      <c r="N15" s="320" t="str" cm="1">
        <f t="array" ref="N15" xml:space="preserve"> INDEX(注音編碼對照表[方音符號], MATCH(TRUE, EXACT(M15, 注音編碼對照表[台語音標]), 0))</f>
        <v>ˉ</v>
      </c>
    </row>
    <row r="16" spans="2:18" ht="44.25">
      <c r="B16" s="31">
        <f t="shared" si="0"/>
        <v>14</v>
      </c>
      <c r="C16" s="71" t="s">
        <v>309</v>
      </c>
      <c r="D16" s="352" t="s">
        <v>425</v>
      </c>
      <c r="E16" s="549" t="s">
        <v>910</v>
      </c>
      <c r="F16" s="32" t="s">
        <v>38</v>
      </c>
      <c r="G16" s="404" t="s">
        <v>38</v>
      </c>
      <c r="H16" s="404"/>
      <c r="I16" s="471" t="s">
        <v>762</v>
      </c>
      <c r="J16" s="433" t="s">
        <v>418</v>
      </c>
      <c r="L16" s="656" cm="1">
        <f t="array" ref="L16" xml:space="preserve"> ROW() - ROW($10:$10)</f>
        <v>6</v>
      </c>
      <c r="M16" s="656" t="str">
        <f t="shared" si="1"/>
        <v/>
      </c>
    </row>
    <row r="17" spans="2:16" ht="44.25">
      <c r="B17" s="31">
        <f t="shared" si="0"/>
        <v>15</v>
      </c>
      <c r="C17" s="71" t="s">
        <v>322</v>
      </c>
      <c r="D17" s="352" t="s">
        <v>184</v>
      </c>
      <c r="E17" s="547" t="s">
        <v>911</v>
      </c>
      <c r="F17" s="32" t="s">
        <v>41</v>
      </c>
      <c r="G17" s="404" t="s">
        <v>650</v>
      </c>
      <c r="H17" s="404"/>
      <c r="I17" s="471" t="s">
        <v>758</v>
      </c>
      <c r="J17" s="433" t="s">
        <v>184</v>
      </c>
      <c r="L17" s="656" cm="1">
        <f t="array" ref="L17" xml:space="preserve"> ROW() - ROW($10:$10)</f>
        <v>7</v>
      </c>
    </row>
    <row r="18" spans="2:16" ht="44.25">
      <c r="B18" s="41">
        <f t="shared" si="0"/>
        <v>16</v>
      </c>
      <c r="C18" s="455" t="s">
        <v>758</v>
      </c>
      <c r="D18" s="456" t="s">
        <v>341</v>
      </c>
      <c r="E18" s="550" t="str">
        <f xml:space="preserve"> _xlfn.UNICHAR(8304) &amp; "兀"</f>
        <v>⁰兀</v>
      </c>
      <c r="F18" s="457" t="s">
        <v>645</v>
      </c>
      <c r="G18" s="435" t="s">
        <v>646</v>
      </c>
      <c r="H18" s="435"/>
      <c r="I18" s="472" t="s">
        <v>763</v>
      </c>
      <c r="J18" s="458" t="s">
        <v>612</v>
      </c>
      <c r="L18" s="656" cm="1">
        <f t="array" ref="L18" xml:space="preserve"> ROW() - ROW($10:$10)</f>
        <v>8</v>
      </c>
    </row>
    <row r="19" spans="2:16" ht="32.25">
      <c r="B19" s="55">
        <f t="shared" si="0"/>
        <v>17</v>
      </c>
      <c r="C19" s="459" t="s">
        <v>305</v>
      </c>
      <c r="D19" s="460" t="s">
        <v>422</v>
      </c>
      <c r="E19" s="460" t="s">
        <v>52</v>
      </c>
      <c r="F19" s="461" t="s">
        <v>52</v>
      </c>
      <c r="G19" s="462" t="s">
        <v>52</v>
      </c>
      <c r="H19" s="462"/>
      <c r="I19" s="473" t="s">
        <v>759</v>
      </c>
      <c r="J19" s="463" t="s">
        <v>759</v>
      </c>
    </row>
    <row r="20" spans="2:16" ht="32.25">
      <c r="B20" s="87">
        <f t="shared" si="0"/>
        <v>18</v>
      </c>
      <c r="C20" s="109" t="s">
        <v>196</v>
      </c>
      <c r="D20" s="430" t="s">
        <v>279</v>
      </c>
      <c r="E20" s="430" t="s">
        <v>54</v>
      </c>
      <c r="F20" s="26" t="s">
        <v>54</v>
      </c>
      <c r="G20" s="431" t="s">
        <v>54</v>
      </c>
      <c r="H20" s="431"/>
      <c r="I20" s="474" t="s">
        <v>764</v>
      </c>
      <c r="J20" s="432" t="s">
        <v>279</v>
      </c>
    </row>
    <row r="21" spans="2:16" ht="32.25">
      <c r="B21" s="78">
        <f t="shared" si="0"/>
        <v>19</v>
      </c>
      <c r="C21" s="464" t="s">
        <v>254</v>
      </c>
      <c r="D21" s="465" t="s">
        <v>196</v>
      </c>
      <c r="E21" s="465" t="s">
        <v>56</v>
      </c>
      <c r="F21" s="42" t="s">
        <v>56</v>
      </c>
      <c r="G21" s="435" t="s">
        <v>56</v>
      </c>
      <c r="H21" s="435"/>
      <c r="I21" s="475" t="s">
        <v>765</v>
      </c>
      <c r="J21" s="436" t="s">
        <v>196</v>
      </c>
    </row>
    <row r="22" spans="2:16" ht="32.25">
      <c r="B22" s="87">
        <f t="shared" si="0"/>
        <v>20</v>
      </c>
      <c r="C22" s="109" t="s">
        <v>590</v>
      </c>
      <c r="D22" s="430" t="s">
        <v>351</v>
      </c>
      <c r="E22" s="430" t="s">
        <v>58</v>
      </c>
      <c r="F22" s="26" t="s">
        <v>58</v>
      </c>
      <c r="G22" s="431" t="s">
        <v>58</v>
      </c>
      <c r="H22" s="431"/>
      <c r="I22" s="474" t="s">
        <v>768</v>
      </c>
      <c r="J22" s="432" t="s">
        <v>351</v>
      </c>
    </row>
    <row r="23" spans="2:16" ht="32.25">
      <c r="B23" s="77">
        <f t="shared" si="0"/>
        <v>21</v>
      </c>
      <c r="C23" s="71" t="s">
        <v>279</v>
      </c>
      <c r="D23" s="352" t="s">
        <v>267</v>
      </c>
      <c r="E23" s="548" t="s">
        <v>912</v>
      </c>
      <c r="F23" s="32" t="s">
        <v>67</v>
      </c>
      <c r="G23" s="404" t="s">
        <v>483</v>
      </c>
      <c r="H23" s="404"/>
      <c r="I23" s="476" t="s">
        <v>766</v>
      </c>
      <c r="J23" s="433" t="s">
        <v>346</v>
      </c>
    </row>
    <row r="24" spans="2:16" ht="32.25">
      <c r="B24" s="77">
        <f t="shared" si="0"/>
        <v>22</v>
      </c>
      <c r="C24" s="71" t="s">
        <v>37</v>
      </c>
      <c r="D24" s="352" t="s">
        <v>65</v>
      </c>
      <c r="E24" s="551" t="s">
        <v>913</v>
      </c>
      <c r="F24" s="32" t="s">
        <v>473</v>
      </c>
      <c r="G24" s="404" t="s">
        <v>913</v>
      </c>
      <c r="H24" s="404"/>
      <c r="I24" s="476" t="s">
        <v>767</v>
      </c>
      <c r="J24" s="433" t="s">
        <v>65</v>
      </c>
    </row>
    <row r="25" spans="2:16" ht="32.25">
      <c r="B25" s="78">
        <f t="shared" si="0"/>
        <v>23</v>
      </c>
      <c r="C25" s="466" t="s">
        <v>225</v>
      </c>
      <c r="D25" s="467" t="s">
        <v>329</v>
      </c>
      <c r="E25" s="552" t="s">
        <v>914</v>
      </c>
      <c r="F25" s="468" t="s">
        <v>61</v>
      </c>
      <c r="G25" s="435" t="s">
        <v>635</v>
      </c>
      <c r="H25" s="435"/>
      <c r="I25" s="480" t="s">
        <v>784</v>
      </c>
      <c r="J25" s="469" t="s">
        <v>329</v>
      </c>
      <c r="L25" s="408" t="s">
        <v>143</v>
      </c>
      <c r="M25" s="408" t="s">
        <v>525</v>
      </c>
      <c r="N25" s="408" t="s">
        <v>145</v>
      </c>
      <c r="O25" s="408" t="s">
        <v>83</v>
      </c>
      <c r="P25" s="408" t="s">
        <v>607</v>
      </c>
    </row>
    <row r="26" spans="2:16" ht="32.25">
      <c r="B26" s="98">
        <f t="shared" si="0"/>
        <v>24</v>
      </c>
      <c r="C26" s="381" t="s">
        <v>264</v>
      </c>
      <c r="D26" s="383" t="s">
        <v>589</v>
      </c>
      <c r="E26" s="383" t="s">
        <v>241</v>
      </c>
      <c r="F26" s="382" t="s">
        <v>241</v>
      </c>
      <c r="G26" s="404" t="s">
        <v>241</v>
      </c>
      <c r="H26" s="404"/>
      <c r="I26" s="476" t="s">
        <v>770</v>
      </c>
      <c r="J26" s="384" t="s">
        <v>330</v>
      </c>
      <c r="L26" s="408" t="s">
        <v>217</v>
      </c>
      <c r="M26" s="408" t="s">
        <v>570</v>
      </c>
      <c r="N26" s="408" t="s">
        <v>76</v>
      </c>
      <c r="O26" s="408" t="s">
        <v>689</v>
      </c>
      <c r="P26" s="408" t="s">
        <v>489</v>
      </c>
    </row>
    <row r="27" spans="2:16" ht="32.25">
      <c r="B27" s="98">
        <f t="shared" si="0"/>
        <v>25</v>
      </c>
      <c r="C27" s="71" t="s">
        <v>86</v>
      </c>
      <c r="D27" s="352" t="s">
        <v>332</v>
      </c>
      <c r="E27" s="352" t="s">
        <v>72</v>
      </c>
      <c r="F27" s="32" t="s">
        <v>72</v>
      </c>
      <c r="G27" s="404" t="s">
        <v>72</v>
      </c>
      <c r="H27" s="404"/>
      <c r="I27" s="476" t="s">
        <v>771</v>
      </c>
      <c r="J27" s="379" t="s">
        <v>326</v>
      </c>
      <c r="L27" s="408" t="s">
        <v>202</v>
      </c>
      <c r="M27" s="408" t="s">
        <v>559</v>
      </c>
      <c r="N27" s="408" t="s">
        <v>74</v>
      </c>
      <c r="O27" s="408" t="s">
        <v>74</v>
      </c>
      <c r="P27" s="408" t="s">
        <v>494</v>
      </c>
    </row>
    <row r="28" spans="2:16" ht="32.25">
      <c r="B28" s="98">
        <f t="shared" si="0"/>
        <v>26</v>
      </c>
      <c r="C28" s="71" t="s">
        <v>219</v>
      </c>
      <c r="D28" s="352" t="s">
        <v>613</v>
      </c>
      <c r="E28" s="352" t="s">
        <v>97</v>
      </c>
      <c r="F28" s="32" t="s">
        <v>97</v>
      </c>
      <c r="G28" s="404" t="s">
        <v>97</v>
      </c>
      <c r="H28" s="404"/>
      <c r="I28" s="476" t="s">
        <v>772</v>
      </c>
      <c r="J28" s="379" t="s">
        <v>177</v>
      </c>
      <c r="L28" s="408" t="s">
        <v>595</v>
      </c>
      <c r="M28" s="408" t="s">
        <v>144</v>
      </c>
      <c r="N28" s="408" t="s">
        <v>593</v>
      </c>
      <c r="O28" s="408" t="s">
        <v>593</v>
      </c>
      <c r="P28" s="408" t="s">
        <v>617</v>
      </c>
    </row>
    <row r="29" spans="2:16" ht="32.25">
      <c r="B29" s="98">
        <f t="shared" si="0"/>
        <v>27</v>
      </c>
      <c r="C29" s="71" t="s">
        <v>212</v>
      </c>
      <c r="D29" s="352" t="s">
        <v>195</v>
      </c>
      <c r="E29" s="352" t="s">
        <v>95</v>
      </c>
      <c r="F29" s="32" t="s">
        <v>95</v>
      </c>
      <c r="G29" s="404" t="s">
        <v>95</v>
      </c>
      <c r="H29" s="404" t="s">
        <v>776</v>
      </c>
      <c r="I29" s="476" t="s">
        <v>774</v>
      </c>
      <c r="J29" s="379" t="s">
        <v>163</v>
      </c>
      <c r="L29" s="408"/>
      <c r="M29" s="408"/>
      <c r="N29" s="408"/>
      <c r="O29" s="408"/>
      <c r="P29" s="408"/>
    </row>
    <row r="30" spans="2:16" ht="32.25">
      <c r="B30" s="98">
        <f t="shared" si="0"/>
        <v>28</v>
      </c>
      <c r="C30" s="71" t="s">
        <v>198</v>
      </c>
      <c r="D30" s="352" t="s">
        <v>560</v>
      </c>
      <c r="E30" s="553" t="s">
        <v>916</v>
      </c>
      <c r="F30" s="32" t="s">
        <v>592</v>
      </c>
      <c r="G30" s="404" t="s">
        <v>915</v>
      </c>
      <c r="H30" s="404"/>
      <c r="I30" s="476" t="s">
        <v>820</v>
      </c>
      <c r="J30" s="379" t="s">
        <v>522</v>
      </c>
      <c r="L30" s="408">
        <v>2070</v>
      </c>
      <c r="M30" s="408">
        <v>8304</v>
      </c>
      <c r="N30" s="408"/>
      <c r="O30" s="408"/>
      <c r="P30" s="408"/>
    </row>
    <row r="31" spans="2:16" ht="32.25">
      <c r="B31" s="98">
        <f t="shared" si="0"/>
        <v>29</v>
      </c>
      <c r="C31" s="71" t="s">
        <v>259</v>
      </c>
      <c r="D31" s="352" t="s">
        <v>275</v>
      </c>
      <c r="E31" s="554" t="str">
        <f xml:space="preserve"> _xlfn.UNICHAR(8304) &amp; "ㄧ"</f>
        <v>⁰ㄧ</v>
      </c>
      <c r="F31" s="32" t="s">
        <v>111</v>
      </c>
      <c r="G31" s="404" t="s">
        <v>667</v>
      </c>
      <c r="H31" s="404"/>
      <c r="I31" s="476" t="s">
        <v>782</v>
      </c>
      <c r="J31" s="379" t="s">
        <v>513</v>
      </c>
      <c r="L31" s="408" t="str">
        <f xml:space="preserve"> _xlfn.UNICHAR(8304)</f>
        <v>⁰</v>
      </c>
      <c r="M31" s="408" t="str">
        <f xml:space="preserve"> L31 &amp; RIGHT(E32)</f>
        <v>⁰ㄨ</v>
      </c>
      <c r="N31" s="408"/>
      <c r="O31" s="408"/>
      <c r="P31" s="408"/>
    </row>
    <row r="32" spans="2:16" ht="32.25">
      <c r="B32" s="98">
        <f t="shared" si="0"/>
        <v>30</v>
      </c>
      <c r="C32" s="71" t="s">
        <v>249</v>
      </c>
      <c r="D32" s="352" t="s">
        <v>259</v>
      </c>
      <c r="E32" s="554" t="s">
        <v>917</v>
      </c>
      <c r="F32" s="32" t="s">
        <v>113</v>
      </c>
      <c r="G32" s="404" t="s">
        <v>638</v>
      </c>
      <c r="H32" s="404"/>
      <c r="I32" s="476" t="s">
        <v>781</v>
      </c>
      <c r="J32" s="379" t="s">
        <v>518</v>
      </c>
      <c r="L32" s="408" t="str">
        <f t="shared" ref="L32:L37" si="2" xml:space="preserve"> _xlfn.UNICHAR(8304)</f>
        <v>⁰</v>
      </c>
      <c r="M32" s="408" t="str">
        <f t="shared" ref="M32:M37" si="3" xml:space="preserve"> L32 &amp; RIGHT(E33)</f>
        <v>⁰ㄚ</v>
      </c>
      <c r="N32" s="408"/>
      <c r="O32" s="408"/>
      <c r="P32" s="408"/>
    </row>
    <row r="33" spans="2:16" ht="32.25">
      <c r="B33" s="98">
        <f t="shared" si="0"/>
        <v>31</v>
      </c>
      <c r="C33" s="71" t="s">
        <v>281</v>
      </c>
      <c r="D33" s="352" t="s">
        <v>611</v>
      </c>
      <c r="E33" s="554" t="s">
        <v>918</v>
      </c>
      <c r="F33" s="32" t="s">
        <v>115</v>
      </c>
      <c r="G33" s="404" t="s">
        <v>639</v>
      </c>
      <c r="H33" s="404"/>
      <c r="I33" s="476" t="s">
        <v>785</v>
      </c>
      <c r="J33" s="379" t="s">
        <v>276</v>
      </c>
      <c r="L33" s="408" t="str">
        <f t="shared" si="2"/>
        <v>⁰</v>
      </c>
      <c r="M33" s="408" t="str">
        <f t="shared" si="3"/>
        <v>⁰ㆦ</v>
      </c>
      <c r="N33" s="408"/>
      <c r="O33" s="408"/>
      <c r="P33" s="408"/>
    </row>
    <row r="34" spans="2:16" ht="32.25">
      <c r="B34" s="98">
        <f t="shared" si="0"/>
        <v>32</v>
      </c>
      <c r="C34" s="71" t="s">
        <v>275</v>
      </c>
      <c r="D34" s="352" t="s">
        <v>558</v>
      </c>
      <c r="E34" s="554" t="s">
        <v>919</v>
      </c>
      <c r="F34" s="32" t="s">
        <v>121</v>
      </c>
      <c r="G34" s="404" t="s">
        <v>640</v>
      </c>
      <c r="H34" s="404"/>
      <c r="I34" s="476" t="s">
        <v>786</v>
      </c>
      <c r="J34" s="379" t="s">
        <v>273</v>
      </c>
      <c r="L34" s="408" t="str">
        <f t="shared" si="2"/>
        <v>⁰</v>
      </c>
      <c r="M34" s="408" t="str">
        <f t="shared" si="3"/>
        <v>⁰ㄝ</v>
      </c>
      <c r="N34" s="408"/>
      <c r="O34" s="408"/>
      <c r="P34" s="408"/>
    </row>
    <row r="35" spans="2:16" ht="32.25">
      <c r="B35" s="98">
        <f t="shared" si="0"/>
        <v>33</v>
      </c>
      <c r="C35" s="71" t="s">
        <v>223</v>
      </c>
      <c r="D35" s="352" t="s">
        <v>322</v>
      </c>
      <c r="E35" s="554" t="s">
        <v>920</v>
      </c>
      <c r="F35" s="32" t="s">
        <v>119</v>
      </c>
      <c r="G35" s="404" t="s">
        <v>641</v>
      </c>
      <c r="H35" s="404"/>
      <c r="I35" s="476" t="s">
        <v>783</v>
      </c>
      <c r="J35" s="379" t="s">
        <v>270</v>
      </c>
      <c r="L35" s="408" t="str">
        <f t="shared" si="2"/>
        <v>⁰</v>
      </c>
      <c r="M35" s="408" t="str">
        <f t="shared" si="3"/>
        <v>⁰ㄞ</v>
      </c>
      <c r="N35" s="408"/>
      <c r="O35" s="408"/>
      <c r="P35" s="408"/>
    </row>
    <row r="36" spans="2:16" ht="32.25">
      <c r="B36" s="98">
        <f t="shared" si="0"/>
        <v>34</v>
      </c>
      <c r="C36" s="71" t="s">
        <v>240</v>
      </c>
      <c r="D36" s="352" t="s">
        <v>447</v>
      </c>
      <c r="E36" s="554" t="s">
        <v>921</v>
      </c>
      <c r="F36" s="32" t="s">
        <v>117</v>
      </c>
      <c r="G36" s="404" t="s">
        <v>642</v>
      </c>
      <c r="H36" s="404"/>
      <c r="I36" s="476" t="s">
        <v>810</v>
      </c>
      <c r="J36" s="379" t="s">
        <v>268</v>
      </c>
      <c r="L36" s="408" t="str">
        <f t="shared" si="2"/>
        <v>⁰</v>
      </c>
      <c r="M36" s="408" t="str">
        <f t="shared" si="3"/>
        <v>⁰ㄠ</v>
      </c>
      <c r="N36" s="408"/>
      <c r="O36" s="408"/>
      <c r="P36" s="408"/>
    </row>
    <row r="37" spans="2:16" ht="32.25">
      <c r="B37" s="98">
        <f t="shared" si="0"/>
        <v>35</v>
      </c>
      <c r="C37" s="71" t="s">
        <v>497</v>
      </c>
      <c r="D37" s="352" t="s">
        <v>568</v>
      </c>
      <c r="E37" s="554" t="s">
        <v>922</v>
      </c>
      <c r="F37" s="32" t="s">
        <v>123</v>
      </c>
      <c r="G37" s="404" t="s">
        <v>643</v>
      </c>
      <c r="H37" s="404"/>
      <c r="I37" s="476" t="s">
        <v>811</v>
      </c>
      <c r="J37" s="379" t="s">
        <v>265</v>
      </c>
      <c r="L37" s="408" t="str">
        <f t="shared" si="2"/>
        <v>⁰</v>
      </c>
      <c r="M37" s="408" t="str">
        <f t="shared" si="3"/>
        <v>⁰ㄇ</v>
      </c>
      <c r="N37" s="408"/>
      <c r="O37" s="408"/>
      <c r="P37" s="408"/>
    </row>
    <row r="38" spans="2:16" ht="32.25">
      <c r="B38" s="98">
        <f t="shared" si="0"/>
        <v>36</v>
      </c>
      <c r="C38" s="71" t="s">
        <v>481</v>
      </c>
      <c r="D38" s="352" t="s">
        <v>444</v>
      </c>
      <c r="E38" s="352" t="s">
        <v>506</v>
      </c>
      <c r="F38" s="32" t="s">
        <v>99</v>
      </c>
      <c r="G38" s="404" t="s">
        <v>644</v>
      </c>
      <c r="H38" s="404"/>
      <c r="I38" s="476" t="s">
        <v>812</v>
      </c>
      <c r="J38" s="379" t="s">
        <v>207</v>
      </c>
      <c r="L38" s="408"/>
      <c r="M38" s="408"/>
      <c r="N38" s="408"/>
      <c r="O38" s="408"/>
      <c r="P38" s="408"/>
    </row>
    <row r="39" spans="2:16" ht="32.25">
      <c r="B39" s="98">
        <f t="shared" si="0"/>
        <v>37</v>
      </c>
      <c r="C39" s="205" t="s">
        <v>66</v>
      </c>
      <c r="D39" s="352" t="s">
        <v>375</v>
      </c>
      <c r="E39" s="555" t="s">
        <v>924</v>
      </c>
      <c r="F39" s="32" t="s">
        <v>101</v>
      </c>
      <c r="G39" s="404" t="s">
        <v>809</v>
      </c>
      <c r="H39" s="404"/>
      <c r="I39" s="476" t="s">
        <v>808</v>
      </c>
      <c r="J39" s="379" t="s">
        <v>160</v>
      </c>
      <c r="L39" s="408"/>
      <c r="M39" s="408"/>
      <c r="N39" s="408"/>
      <c r="O39" s="408"/>
      <c r="P39" s="408"/>
    </row>
    <row r="40" spans="2:16" ht="32.25">
      <c r="B40" s="98">
        <f t="shared" si="0"/>
        <v>38</v>
      </c>
      <c r="C40" s="71" t="s">
        <v>202</v>
      </c>
      <c r="D40" s="352" t="s">
        <v>559</v>
      </c>
      <c r="E40" s="548" t="s">
        <v>923</v>
      </c>
      <c r="F40" s="32" t="s">
        <v>74</v>
      </c>
      <c r="G40" s="404" t="s">
        <v>142</v>
      </c>
      <c r="H40" s="404"/>
      <c r="I40" s="476" t="s">
        <v>815</v>
      </c>
      <c r="J40" s="379" t="s">
        <v>494</v>
      </c>
      <c r="L40" s="408"/>
      <c r="M40" s="408"/>
      <c r="N40" s="408"/>
      <c r="O40" s="408"/>
      <c r="P40" s="408"/>
    </row>
    <row r="41" spans="2:16" ht="32.25">
      <c r="B41" s="98">
        <f t="shared" si="0"/>
        <v>39</v>
      </c>
      <c r="C41" s="71" t="s">
        <v>217</v>
      </c>
      <c r="D41" s="352" t="s">
        <v>570</v>
      </c>
      <c r="E41" s="352" t="s">
        <v>76</v>
      </c>
      <c r="F41" s="32" t="s">
        <v>76</v>
      </c>
      <c r="G41" s="404" t="s">
        <v>690</v>
      </c>
      <c r="H41" s="404"/>
      <c r="I41" s="523" t="s">
        <v>747</v>
      </c>
      <c r="J41" s="379" t="s">
        <v>489</v>
      </c>
      <c r="L41" s="408"/>
      <c r="M41" s="408"/>
      <c r="N41" s="408"/>
      <c r="O41" s="408"/>
      <c r="P41" s="408"/>
    </row>
    <row r="42" spans="2:16" ht="32.25">
      <c r="B42" s="98">
        <f t="shared" si="0"/>
        <v>40</v>
      </c>
      <c r="C42" s="71" t="s">
        <v>143</v>
      </c>
      <c r="D42" s="352" t="s">
        <v>525</v>
      </c>
      <c r="E42" s="548" t="s">
        <v>925</v>
      </c>
      <c r="F42" s="32" t="s">
        <v>145</v>
      </c>
      <c r="G42" s="404" t="s">
        <v>636</v>
      </c>
      <c r="H42" s="404"/>
      <c r="I42" s="476" t="s">
        <v>814</v>
      </c>
      <c r="J42" s="379" t="s">
        <v>607</v>
      </c>
      <c r="L42" s="408"/>
      <c r="M42" s="408"/>
      <c r="N42" s="408"/>
      <c r="O42" s="408"/>
      <c r="P42" s="408"/>
    </row>
    <row r="43" spans="2:16" ht="32.25">
      <c r="B43" s="98">
        <f t="shared" si="0"/>
        <v>41</v>
      </c>
      <c r="C43" s="71" t="s">
        <v>805</v>
      </c>
      <c r="D43" s="521" t="s">
        <v>804</v>
      </c>
      <c r="E43" s="521" t="s">
        <v>907</v>
      </c>
      <c r="F43" s="232" t="s">
        <v>803</v>
      </c>
      <c r="G43" s="404" t="s">
        <v>803</v>
      </c>
      <c r="H43" s="404"/>
      <c r="I43" s="476" t="s">
        <v>821</v>
      </c>
      <c r="J43" s="379" t="s">
        <v>617</v>
      </c>
      <c r="L43" s="408">
        <f xml:space="preserve"> _xlfn.UNICODE(注音編碼對照表[[#This Row],[注音符號]])</f>
        <v>12588</v>
      </c>
      <c r="M43" s="408" t="str">
        <f xml:space="preserve"> DEC2HEX(L43)</f>
        <v>312C</v>
      </c>
      <c r="N43" s="408"/>
      <c r="O43" s="408"/>
      <c r="P43" s="408"/>
    </row>
    <row r="44" spans="2:16" ht="32.25">
      <c r="B44" s="98">
        <f t="shared" si="0"/>
        <v>42</v>
      </c>
      <c r="C44" s="71" t="str">
        <f xml:space="preserve"> CHAR(32)</f>
        <v xml:space="preserve"> </v>
      </c>
      <c r="D44" s="352" t="s">
        <v>361</v>
      </c>
      <c r="E44" s="352"/>
      <c r="F44" s="32" t="s">
        <v>532</v>
      </c>
      <c r="G44" s="404" t="s">
        <v>532</v>
      </c>
      <c r="H44" s="404"/>
      <c r="I44" s="476"/>
      <c r="J44" s="379">
        <v>1</v>
      </c>
      <c r="L44" s="408"/>
      <c r="M44" s="408"/>
      <c r="N44" s="408"/>
      <c r="O44" s="408"/>
      <c r="P44" s="408"/>
    </row>
    <row r="45" spans="2:16" ht="32.25">
      <c r="B45" s="98">
        <f t="shared" si="0"/>
        <v>43</v>
      </c>
      <c r="C45" s="71" t="s">
        <v>193</v>
      </c>
      <c r="D45" s="352" t="s">
        <v>347</v>
      </c>
      <c r="E45" s="352"/>
      <c r="F45" s="32" t="s">
        <v>104</v>
      </c>
      <c r="G45" s="404" t="s">
        <v>104</v>
      </c>
      <c r="H45" s="404"/>
      <c r="I45" s="476"/>
      <c r="J45" s="379">
        <v>2</v>
      </c>
      <c r="L45" s="408"/>
      <c r="M45" s="408"/>
      <c r="N45" s="408"/>
      <c r="O45" s="408"/>
      <c r="P45" s="408"/>
    </row>
    <row r="46" spans="2:16" ht="32.25">
      <c r="B46" s="98">
        <f t="shared" si="0"/>
        <v>44</v>
      </c>
      <c r="C46" s="71" t="s">
        <v>191</v>
      </c>
      <c r="D46" s="352" t="s">
        <v>191</v>
      </c>
      <c r="E46" s="352"/>
      <c r="F46" s="32" t="s">
        <v>105</v>
      </c>
      <c r="G46" s="404" t="s">
        <v>105</v>
      </c>
      <c r="H46" s="404"/>
      <c r="I46" s="476"/>
      <c r="J46" s="379">
        <v>3</v>
      </c>
      <c r="L46" s="408"/>
      <c r="M46" s="408"/>
      <c r="N46" s="408"/>
      <c r="O46" s="408"/>
      <c r="P46" s="408"/>
    </row>
    <row r="47" spans="2:16" ht="32.25">
      <c r="B47" s="98">
        <f t="shared" si="0"/>
        <v>45</v>
      </c>
      <c r="C47" s="71" t="s">
        <v>175</v>
      </c>
      <c r="D47" s="352" t="s">
        <v>170</v>
      </c>
      <c r="E47" s="352"/>
      <c r="F47" s="32" t="s">
        <v>106</v>
      </c>
      <c r="G47" s="404" t="s">
        <v>106</v>
      </c>
      <c r="H47" s="404"/>
      <c r="I47" s="476"/>
      <c r="J47" s="379">
        <v>5</v>
      </c>
      <c r="L47" s="408"/>
      <c r="M47" s="408"/>
      <c r="N47" s="408"/>
      <c r="O47" s="408"/>
      <c r="P47" s="408"/>
    </row>
    <row r="48" spans="2:16" ht="32.25">
      <c r="B48" s="98">
        <f t="shared" si="0"/>
        <v>46</v>
      </c>
      <c r="C48" s="71" t="s">
        <v>170</v>
      </c>
      <c r="D48" s="352" t="s">
        <v>166</v>
      </c>
      <c r="E48" s="352"/>
      <c r="F48" s="32" t="s">
        <v>107</v>
      </c>
      <c r="G48" s="404" t="s">
        <v>107</v>
      </c>
      <c r="H48" s="404"/>
      <c r="I48" s="476"/>
      <c r="J48" s="379">
        <v>7</v>
      </c>
      <c r="K48" t="s">
        <v>656</v>
      </c>
      <c r="L48" t="s">
        <v>653</v>
      </c>
      <c r="M48" t="s">
        <v>654</v>
      </c>
      <c r="N48" t="s">
        <v>655</v>
      </c>
    </row>
    <row r="49" spans="2:14" ht="32.25">
      <c r="B49" s="98">
        <f t="shared" si="0"/>
        <v>47</v>
      </c>
      <c r="C49" s="71" t="s">
        <v>166</v>
      </c>
      <c r="D49" s="352" t="s">
        <v>219</v>
      </c>
      <c r="E49" s="352"/>
      <c r="F49" s="32" t="s">
        <v>108</v>
      </c>
      <c r="G49" s="404" t="s">
        <v>108</v>
      </c>
      <c r="H49" s="404"/>
      <c r="I49" s="476"/>
      <c r="J49" s="379" t="s">
        <v>608</v>
      </c>
      <c r="K49" s="320">
        <v>1</v>
      </c>
      <c r="L49" s="405" t="s">
        <v>532</v>
      </c>
      <c r="M49" s="405" t="s">
        <v>532</v>
      </c>
      <c r="N49" s="405" t="s">
        <v>532</v>
      </c>
    </row>
    <row r="50" spans="2:14" ht="30">
      <c r="K50" s="320">
        <v>2</v>
      </c>
      <c r="L50" s="405" t="s">
        <v>104</v>
      </c>
      <c r="M50" s="405" t="s">
        <v>104</v>
      </c>
      <c r="N50" s="405" t="s">
        <v>104</v>
      </c>
    </row>
    <row r="51" spans="2:14" ht="32.25">
      <c r="B51" s="487">
        <f t="shared" si="0"/>
        <v>49</v>
      </c>
      <c r="C51" s="488" t="str">
        <f xml:space="preserve"> IFERROR( INDEX(#REF!, MATCH($AD55,#REF!, 0)), "")</f>
        <v/>
      </c>
      <c r="D51" s="489" t="str">
        <f xml:space="preserve"> IFERROR( INDEX(#REF!, MATCH($AD55,#REF!, 0)), "")</f>
        <v/>
      </c>
      <c r="E51" s="489"/>
      <c r="F51" s="490" t="s">
        <v>128</v>
      </c>
      <c r="G51" s="491" t="s">
        <v>128</v>
      </c>
      <c r="H51" s="491"/>
      <c r="I51" s="493" t="s">
        <v>816</v>
      </c>
      <c r="J51" s="494" t="s">
        <v>627</v>
      </c>
      <c r="K51" s="320">
        <v>5</v>
      </c>
      <c r="L51" s="406" t="s">
        <v>658</v>
      </c>
      <c r="M51" s="406" t="s">
        <v>659</v>
      </c>
      <c r="N51" s="406" t="s">
        <v>661</v>
      </c>
    </row>
    <row r="52" spans="2:14" ht="32.25">
      <c r="B52" s="487">
        <f t="shared" si="0"/>
        <v>50</v>
      </c>
      <c r="C52" s="488" t="str">
        <f xml:space="preserve"> IFERROR( INDEX(#REF!, MATCH($AD56,#REF!, 0)), "")</f>
        <v/>
      </c>
      <c r="D52" s="489" t="str">
        <f xml:space="preserve"> IFERROR( INDEX(#REF!, MATCH($AD56,#REF!, 0)), "")</f>
        <v/>
      </c>
      <c r="E52" s="489"/>
      <c r="F52" s="490" t="s">
        <v>130</v>
      </c>
      <c r="G52" s="491" t="s">
        <v>130</v>
      </c>
      <c r="H52" s="491"/>
      <c r="I52" s="493" t="s">
        <v>817</v>
      </c>
      <c r="J52" s="494" t="s">
        <v>628</v>
      </c>
      <c r="K52" s="320">
        <v>3</v>
      </c>
      <c r="L52" s="405" t="s">
        <v>106</v>
      </c>
      <c r="M52" s="405" t="s">
        <v>106</v>
      </c>
      <c r="N52" s="405" t="s">
        <v>106</v>
      </c>
    </row>
    <row r="53" spans="2:14" ht="32.25">
      <c r="B53" s="487">
        <f t="shared" si="0"/>
        <v>51</v>
      </c>
      <c r="C53" s="488" t="str">
        <f xml:space="preserve"> IFERROR( INDEX(#REF!, MATCH($AD57,#REF!, 0)), "")</f>
        <v/>
      </c>
      <c r="D53" s="489" t="str">
        <f xml:space="preserve"> IFERROR( INDEX(#REF!, MATCH($AD57,#REF!, 0)), "")</f>
        <v/>
      </c>
      <c r="E53" s="489"/>
      <c r="F53" s="490" t="s">
        <v>132</v>
      </c>
      <c r="G53" s="491" t="s">
        <v>132</v>
      </c>
      <c r="H53" s="491"/>
      <c r="I53" s="493" t="s">
        <v>818</v>
      </c>
      <c r="J53" s="494" t="s">
        <v>629</v>
      </c>
      <c r="K53" s="320">
        <v>7</v>
      </c>
      <c r="L53" s="406" t="s">
        <v>657</v>
      </c>
      <c r="M53" s="406" t="s">
        <v>660</v>
      </c>
      <c r="N53" s="406" t="s">
        <v>662</v>
      </c>
    </row>
    <row r="54" spans="2:14" ht="32.25">
      <c r="B54" s="487">
        <f t="shared" si="0"/>
        <v>52</v>
      </c>
      <c r="C54" s="488" t="str">
        <f xml:space="preserve"> IFERROR( INDEX(#REF!, MATCH($AD58,#REF!, 0)), "")</f>
        <v/>
      </c>
      <c r="D54" s="489" t="str">
        <f xml:space="preserve"> IFERROR( INDEX(#REF!, MATCH($AD58,#REF!, 0)), "")</f>
        <v/>
      </c>
      <c r="E54" s="489"/>
      <c r="F54" s="490" t="s">
        <v>648</v>
      </c>
      <c r="G54" s="491" t="s">
        <v>134</v>
      </c>
      <c r="H54" s="491"/>
      <c r="I54" s="493" t="s">
        <v>819</v>
      </c>
      <c r="J54" s="494" t="s">
        <v>630</v>
      </c>
      <c r="K54" s="320">
        <v>8</v>
      </c>
      <c r="L54" s="405" t="s">
        <v>108</v>
      </c>
      <c r="M54" s="405" t="s">
        <v>108</v>
      </c>
      <c r="N54" s="405" t="s">
        <v>108</v>
      </c>
    </row>
    <row r="55" spans="2:14" ht="32.25">
      <c r="B55" s="496">
        <f t="shared" si="0"/>
        <v>53</v>
      </c>
      <c r="C55" s="497"/>
      <c r="D55" s="498" t="s">
        <v>449</v>
      </c>
      <c r="E55" s="498"/>
      <c r="F55" s="499" t="s">
        <v>89</v>
      </c>
      <c r="G55" s="500" t="s">
        <v>89</v>
      </c>
      <c r="H55" s="501"/>
      <c r="I55" s="502" t="s">
        <v>753</v>
      </c>
      <c r="J55" s="503" t="s">
        <v>632</v>
      </c>
    </row>
    <row r="56" spans="2:14" ht="32.25">
      <c r="B56" s="504">
        <f t="shared" si="0"/>
        <v>54</v>
      </c>
      <c r="C56" s="505"/>
      <c r="D56" s="506" t="s">
        <v>456</v>
      </c>
      <c r="E56" s="506"/>
      <c r="F56" s="507" t="s">
        <v>91</v>
      </c>
      <c r="G56" s="491" t="s">
        <v>91</v>
      </c>
      <c r="H56" s="508"/>
      <c r="I56" s="509" t="s">
        <v>754</v>
      </c>
      <c r="J56" s="510" t="s">
        <v>633</v>
      </c>
    </row>
    <row r="57" spans="2:14" ht="32.25">
      <c r="B57" s="504">
        <f t="shared" si="0"/>
        <v>55</v>
      </c>
      <c r="C57" s="488"/>
      <c r="D57" s="489" t="s">
        <v>249</v>
      </c>
      <c r="E57" s="489"/>
      <c r="F57" s="490" t="s">
        <v>109</v>
      </c>
      <c r="G57" s="491" t="s">
        <v>441</v>
      </c>
      <c r="H57" s="501"/>
      <c r="I57" s="509" t="s">
        <v>755</v>
      </c>
      <c r="J57" s="511" t="s">
        <v>606</v>
      </c>
    </row>
    <row r="58" spans="2:14" ht="32.25">
      <c r="B58" s="512">
        <f t="shared" si="0"/>
        <v>56</v>
      </c>
      <c r="C58" s="513"/>
      <c r="D58" s="514" t="s">
        <v>460</v>
      </c>
      <c r="E58" s="514"/>
      <c r="F58" s="515" t="s">
        <v>284</v>
      </c>
      <c r="G58" s="516" t="s">
        <v>284</v>
      </c>
      <c r="H58" s="508"/>
      <c r="I58" s="517" t="s">
        <v>756</v>
      </c>
      <c r="J58" s="518" t="s">
        <v>461</v>
      </c>
    </row>
    <row r="59" spans="2:14" ht="21">
      <c r="B59"/>
      <c r="C59"/>
      <c r="D59"/>
      <c r="E59"/>
      <c r="F59"/>
      <c r="G59"/>
      <c r="H59"/>
      <c r="I59"/>
      <c r="J59"/>
    </row>
    <row r="60" spans="2:14" ht="32.25">
      <c r="B60" s="487">
        <f>ROW() - 2</f>
        <v>58</v>
      </c>
      <c r="C60" s="488" t="str">
        <f xml:space="preserve"> IFERROR( INDEX(#REF!, MATCH($AD30,#REF!, 0)), "")</f>
        <v/>
      </c>
      <c r="D60" s="489" t="str">
        <f xml:space="preserve"> IFERROR( INDEX(#REF!, MATCH($AD30,#REF!, 0)), "")</f>
        <v/>
      </c>
      <c r="E60" s="489"/>
      <c r="F60" s="490"/>
      <c r="G60" s="491" t="s">
        <v>807</v>
      </c>
      <c r="H60" s="508" t="s">
        <v>775</v>
      </c>
      <c r="I60" s="493" t="s">
        <v>773</v>
      </c>
      <c r="J60" s="522" t="s">
        <v>806</v>
      </c>
    </row>
    <row r="61" spans="2:14" ht="32.25">
      <c r="B61" s="487">
        <f>ROW() - 2</f>
        <v>59</v>
      </c>
      <c r="C61" s="488" t="str">
        <f xml:space="preserve"> IFERROR( INDEX(#REF!, MATCH($AD31,#REF!, 0)), "")</f>
        <v/>
      </c>
      <c r="D61" s="489" t="str">
        <f xml:space="preserve"> IFERROR( INDEX(#REF!, MATCH($AD31,#REF!, 0)), "")</f>
        <v/>
      </c>
      <c r="E61" s="489"/>
      <c r="F61" s="490"/>
      <c r="G61" s="491" t="s">
        <v>794</v>
      </c>
      <c r="H61" s="492"/>
      <c r="I61" s="493" t="s">
        <v>795</v>
      </c>
      <c r="J61" s="494" t="s">
        <v>796</v>
      </c>
    </row>
    <row r="62" spans="2:14" ht="32.25">
      <c r="B62" s="487">
        <f>ROW() - 2</f>
        <v>60</v>
      </c>
      <c r="C62" s="488" t="str">
        <f xml:space="preserve"> IFERROR( INDEX(#REF!, MATCH($AD32,#REF!, 0)), "")</f>
        <v/>
      </c>
      <c r="D62" s="489" t="str">
        <f xml:space="preserve"> IFERROR( INDEX(#REF!, MATCH($AD32,#REF!, 0)), "")</f>
        <v/>
      </c>
      <c r="E62" s="489"/>
      <c r="F62" s="490"/>
      <c r="G62" s="491" t="s">
        <v>791</v>
      </c>
      <c r="H62" s="495"/>
      <c r="I62" s="493" t="s">
        <v>792</v>
      </c>
      <c r="J62" s="494" t="s">
        <v>793</v>
      </c>
    </row>
    <row r="63" spans="2:14" ht="32.25">
      <c r="B63" s="487">
        <f>ROW() - 2</f>
        <v>61</v>
      </c>
      <c r="C63" s="488" t="str">
        <f xml:space="preserve"> IFERROR( INDEX(#REF!, MATCH($AD34,#REF!, 0)), "")</f>
        <v/>
      </c>
      <c r="D63" s="489" t="str">
        <f xml:space="preserve"> IFERROR( INDEX(#REF!, MATCH($AD34,#REF!, 0)), "")</f>
        <v/>
      </c>
      <c r="E63" s="489"/>
      <c r="F63" s="490"/>
      <c r="G63" s="491" t="s">
        <v>780</v>
      </c>
      <c r="H63" s="492" t="s">
        <v>777</v>
      </c>
      <c r="I63" s="493" t="s">
        <v>778</v>
      </c>
      <c r="J63" s="494" t="s">
        <v>779</v>
      </c>
    </row>
    <row r="64" spans="2:14" ht="32.25">
      <c r="B64" s="487">
        <f t="shared" ref="B64:B65" si="4">ROW() - 2</f>
        <v>62</v>
      </c>
      <c r="C64" s="488" t="str">
        <f xml:space="preserve"> IFERROR( INDEX(#REF!, MATCH($AD36,#REF!, 0)), "")</f>
        <v/>
      </c>
      <c r="D64" s="489" t="str">
        <f xml:space="preserve"> IFERROR( INDEX(#REF!, MATCH($AD36,#REF!, 0)), "")</f>
        <v/>
      </c>
      <c r="E64" s="489"/>
      <c r="F64" s="490"/>
      <c r="G64" s="491" t="s">
        <v>787</v>
      </c>
      <c r="H64" s="495"/>
      <c r="I64" s="493" t="s">
        <v>767</v>
      </c>
      <c r="J64" s="494" t="s">
        <v>790</v>
      </c>
    </row>
    <row r="65" spans="2:10" ht="32.25">
      <c r="B65" s="487">
        <f t="shared" si="4"/>
        <v>63</v>
      </c>
      <c r="C65" s="488" t="str">
        <f xml:space="preserve"> IFERROR( INDEX(#REF!, MATCH($AD37,#REF!, 0)), "")</f>
        <v/>
      </c>
      <c r="D65" s="489" t="str">
        <f xml:space="preserve"> IFERROR( INDEX(#REF!, MATCH($AD37,#REF!, 0)), "")</f>
        <v/>
      </c>
      <c r="E65" s="489"/>
      <c r="F65" s="490"/>
      <c r="G65" s="491" t="s">
        <v>788</v>
      </c>
      <c r="H65" s="492"/>
      <c r="I65" s="493" t="s">
        <v>769</v>
      </c>
      <c r="J65" s="494" t="s">
        <v>789</v>
      </c>
    </row>
    <row r="66" spans="2:10" ht="32.25">
      <c r="B66" s="487">
        <f t="shared" si="0"/>
        <v>64</v>
      </c>
      <c r="C66" s="488" t="s">
        <v>69</v>
      </c>
      <c r="D66" s="489" t="s">
        <v>426</v>
      </c>
      <c r="E66" s="489"/>
      <c r="F66" s="490" t="s">
        <v>125</v>
      </c>
      <c r="G66" s="491" t="s">
        <v>637</v>
      </c>
      <c r="H66" s="501"/>
      <c r="I66" s="493"/>
      <c r="J66" s="494" t="s">
        <v>203</v>
      </c>
    </row>
    <row r="67" spans="2:10" ht="25.5">
      <c r="D67" s="377"/>
      <c r="E67" s="377"/>
      <c r="F67" s="407" t="s">
        <v>668</v>
      </c>
      <c r="G67" s="402" t="s">
        <v>678</v>
      </c>
      <c r="H67" s="479" t="s">
        <v>689</v>
      </c>
      <c r="I67" s="402"/>
      <c r="J67" s="378" t="s">
        <v>364</v>
      </c>
    </row>
    <row r="68" spans="2:10">
      <c r="F68" s="407" t="s">
        <v>669</v>
      </c>
      <c r="G68" s="11" t="s">
        <v>679</v>
      </c>
    </row>
    <row r="69" spans="2:10">
      <c r="F69" s="407" t="s">
        <v>670</v>
      </c>
      <c r="G69" s="11" t="s">
        <v>680</v>
      </c>
    </row>
    <row r="70" spans="2:10">
      <c r="F70" s="407" t="s">
        <v>671</v>
      </c>
      <c r="G70" s="11" t="s">
        <v>681</v>
      </c>
    </row>
    <row r="72" spans="2:10">
      <c r="F72" s="407" t="s">
        <v>672</v>
      </c>
      <c r="G72" s="11" t="s">
        <v>682</v>
      </c>
    </row>
    <row r="73" spans="2:10">
      <c r="F73" s="407" t="s">
        <v>673</v>
      </c>
      <c r="G73" s="11" t="s">
        <v>683</v>
      </c>
    </row>
    <row r="75" spans="2:10">
      <c r="F75" s="407" t="s">
        <v>674</v>
      </c>
      <c r="G75" s="11" t="s">
        <v>684</v>
      </c>
    </row>
    <row r="76" spans="2:10">
      <c r="F76" s="407" t="s">
        <v>675</v>
      </c>
      <c r="G76" s="11" t="s">
        <v>685</v>
      </c>
    </row>
    <row r="77" spans="2:10">
      <c r="F77" s="407" t="s">
        <v>676</v>
      </c>
      <c r="G77" s="11" t="s">
        <v>686</v>
      </c>
    </row>
    <row r="78" spans="2:10">
      <c r="F78" s="407" t="s">
        <v>677</v>
      </c>
      <c r="G78" s="11" t="s">
        <v>687</v>
      </c>
    </row>
    <row r="79" spans="2:10" ht="25.5">
      <c r="G79" s="479" t="s">
        <v>903</v>
      </c>
    </row>
    <row r="80" spans="2:10" ht="25.5">
      <c r="G80" s="479" t="s">
        <v>904</v>
      </c>
    </row>
    <row r="81" spans="7:7" ht="25.5">
      <c r="G81" s="479" t="s">
        <v>905</v>
      </c>
    </row>
    <row r="82" spans="7:7" ht="25.5">
      <c r="G82" s="479" t="s">
        <v>906</v>
      </c>
    </row>
  </sheetData>
  <phoneticPr fontId="9" type="noConversion"/>
  <conditionalFormatting sqref="C3:E49 C51:E58">
    <cfRule type="cellIs" dxfId="4" priority="2" operator="equal">
      <formula>CHAR(32)</formula>
    </cfRule>
  </conditionalFormatting>
  <conditionalFormatting sqref="C60:E66">
    <cfRule type="cellIs" dxfId="3" priority="1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1A65-D3F4-4D7F-8821-6DB681163119}">
  <dimension ref="B2:Y7"/>
  <sheetViews>
    <sheetView showGridLines="0" workbookViewId="0">
      <selection activeCell="Q13" sqref="Q13"/>
    </sheetView>
    <sheetView workbookViewId="1"/>
  </sheetViews>
  <sheetFormatPr defaultRowHeight="21"/>
  <sheetData>
    <row r="2" spans="2:25" ht="45" customHeight="1">
      <c r="B2" s="658" t="s">
        <v>1002</v>
      </c>
      <c r="C2" s="658"/>
      <c r="D2" s="658"/>
      <c r="E2" s="658"/>
      <c r="F2" s="658"/>
      <c r="G2" s="658"/>
      <c r="H2" s="658"/>
      <c r="I2" s="658"/>
      <c r="J2" s="658"/>
      <c r="K2" s="658"/>
      <c r="L2" s="658"/>
      <c r="M2" s="658"/>
      <c r="N2" s="658"/>
      <c r="O2" s="658"/>
      <c r="P2" s="658"/>
      <c r="Q2" s="658"/>
      <c r="R2" s="658"/>
      <c r="S2" s="658"/>
      <c r="T2" s="658"/>
      <c r="U2" s="658"/>
      <c r="V2" s="658"/>
      <c r="W2" s="658"/>
      <c r="X2" s="658"/>
      <c r="Y2" s="658"/>
    </row>
    <row r="3" spans="2:25" ht="45" customHeight="1">
      <c r="B3" s="659" t="s">
        <v>20</v>
      </c>
      <c r="C3" s="659" t="s">
        <v>27</v>
      </c>
      <c r="D3" s="659" t="s">
        <v>23</v>
      </c>
      <c r="E3" s="659" t="s">
        <v>83</v>
      </c>
      <c r="F3" s="659" t="s">
        <v>29</v>
      </c>
      <c r="G3" s="659" t="s">
        <v>31</v>
      </c>
      <c r="H3" s="659" t="s">
        <v>33</v>
      </c>
      <c r="I3" s="659" t="s">
        <v>85</v>
      </c>
      <c r="J3" s="659" t="s">
        <v>36</v>
      </c>
      <c r="K3" s="659" t="s">
        <v>41</v>
      </c>
      <c r="L3" s="659" t="s">
        <v>38</v>
      </c>
      <c r="M3" s="659" t="s">
        <v>87</v>
      </c>
      <c r="N3" s="659" t="s">
        <v>52</v>
      </c>
      <c r="O3" s="659" t="s">
        <v>1008</v>
      </c>
      <c r="P3" s="659" t="s">
        <v>1016</v>
      </c>
      <c r="Q3" s="659" t="s">
        <v>1007</v>
      </c>
      <c r="R3" s="659" t="s">
        <v>1005</v>
      </c>
      <c r="S3" s="659" t="s">
        <v>43</v>
      </c>
      <c r="T3" s="659" t="s">
        <v>48</v>
      </c>
      <c r="U3" s="659" t="s">
        <v>46</v>
      </c>
      <c r="V3" s="659" t="s">
        <v>50</v>
      </c>
      <c r="W3" s="660"/>
      <c r="X3" s="660"/>
      <c r="Y3" s="660"/>
    </row>
    <row r="4" spans="2:25" ht="45" customHeight="1">
      <c r="B4" s="661" t="s">
        <v>389</v>
      </c>
      <c r="C4" s="661" t="s">
        <v>402</v>
      </c>
      <c r="D4" s="661" t="s">
        <v>393</v>
      </c>
      <c r="E4" s="661" t="s">
        <v>398</v>
      </c>
      <c r="F4" s="661" t="s">
        <v>403</v>
      </c>
      <c r="G4" s="661" t="s">
        <v>406</v>
      </c>
      <c r="H4" s="661" t="s">
        <v>411</v>
      </c>
      <c r="I4" s="661" t="s">
        <v>412</v>
      </c>
      <c r="J4" s="661" t="s">
        <v>415</v>
      </c>
      <c r="K4" s="661" t="s">
        <v>437</v>
      </c>
      <c r="L4" s="661" t="s">
        <v>419</v>
      </c>
      <c r="M4" s="661" t="s">
        <v>1004</v>
      </c>
      <c r="N4" s="661" t="s">
        <v>423</v>
      </c>
      <c r="O4" s="661" t="s">
        <v>428</v>
      </c>
      <c r="P4" s="661" t="s">
        <v>446</v>
      </c>
      <c r="Q4" s="661" t="s">
        <v>431</v>
      </c>
      <c r="R4" s="661" t="s">
        <v>434</v>
      </c>
      <c r="S4" s="661" t="s">
        <v>459</v>
      </c>
      <c r="T4" s="661" t="s">
        <v>453</v>
      </c>
      <c r="U4" s="661" t="s">
        <v>464</v>
      </c>
      <c r="V4" s="661" t="s">
        <v>465</v>
      </c>
      <c r="W4" s="660"/>
      <c r="X4" s="660"/>
      <c r="Y4" s="660"/>
    </row>
    <row r="5" spans="2:25" ht="45" customHeight="1">
      <c r="B5" s="658" t="s">
        <v>1003</v>
      </c>
      <c r="C5" s="658"/>
      <c r="D5" s="658"/>
      <c r="E5" s="658"/>
      <c r="F5" s="658"/>
      <c r="G5" s="658"/>
      <c r="H5" s="658"/>
      <c r="I5" s="658"/>
      <c r="J5" s="658"/>
      <c r="K5" s="658"/>
      <c r="L5" s="658"/>
      <c r="M5" s="658"/>
      <c r="N5" s="658"/>
      <c r="O5" s="658"/>
      <c r="P5" s="658"/>
      <c r="Q5" s="658"/>
      <c r="R5" s="658"/>
      <c r="S5" s="658"/>
      <c r="T5" s="658"/>
      <c r="U5" s="658"/>
      <c r="V5" s="658"/>
      <c r="W5" s="658"/>
      <c r="X5" s="658"/>
      <c r="Y5" s="658"/>
    </row>
    <row r="6" spans="2:25" ht="45" customHeight="1">
      <c r="B6" s="659" t="s">
        <v>58</v>
      </c>
      <c r="C6" s="659" t="s">
        <v>115</v>
      </c>
      <c r="D6" s="659" t="s">
        <v>67</v>
      </c>
      <c r="E6" s="659" t="s">
        <v>121</v>
      </c>
      <c r="F6" s="659" t="s">
        <v>483</v>
      </c>
      <c r="G6" s="659" t="s">
        <v>61</v>
      </c>
      <c r="H6" s="659" t="s">
        <v>119</v>
      </c>
      <c r="I6" s="659" t="s">
        <v>241</v>
      </c>
      <c r="J6" s="659" t="s">
        <v>117</v>
      </c>
      <c r="K6" s="659" t="s">
        <v>72</v>
      </c>
      <c r="L6" s="659" t="s">
        <v>123</v>
      </c>
      <c r="M6" s="659" t="s">
        <v>99</v>
      </c>
      <c r="N6" s="659" t="s">
        <v>125</v>
      </c>
      <c r="O6" s="659" t="s">
        <v>145</v>
      </c>
      <c r="P6" s="659" t="s">
        <v>97</v>
      </c>
      <c r="Q6" s="659" t="s">
        <v>76</v>
      </c>
      <c r="R6" s="659" t="s">
        <v>95</v>
      </c>
      <c r="S6" s="659" t="s">
        <v>101</v>
      </c>
      <c r="T6" s="659" t="s">
        <v>127</v>
      </c>
      <c r="U6" s="659" t="s">
        <v>74</v>
      </c>
      <c r="V6" s="659" t="s">
        <v>54</v>
      </c>
      <c r="W6" s="659" t="s">
        <v>111</v>
      </c>
      <c r="X6" s="659" t="s">
        <v>56</v>
      </c>
      <c r="Y6" s="659" t="s">
        <v>113</v>
      </c>
    </row>
    <row r="7" spans="2:25" ht="45" customHeight="1">
      <c r="B7" s="661" t="s">
        <v>471</v>
      </c>
      <c r="C7" s="661" t="s">
        <v>508</v>
      </c>
      <c r="D7" s="661" t="s">
        <v>474</v>
      </c>
      <c r="E7" s="661" t="s">
        <v>990</v>
      </c>
      <c r="F7" s="661" t="s">
        <v>868</v>
      </c>
      <c r="G7" s="661" t="s">
        <v>482</v>
      </c>
      <c r="H7" s="661" t="s">
        <v>524</v>
      </c>
      <c r="I7" s="661" t="s">
        <v>479</v>
      </c>
      <c r="J7" s="661" t="s">
        <v>991</v>
      </c>
      <c r="K7" s="661" t="s">
        <v>485</v>
      </c>
      <c r="L7" s="661" t="s">
        <v>992</v>
      </c>
      <c r="M7" s="661" t="s">
        <v>501</v>
      </c>
      <c r="N7" s="661" t="s">
        <v>505</v>
      </c>
      <c r="O7" s="661" t="s">
        <v>470</v>
      </c>
      <c r="P7" s="661" t="s">
        <v>488</v>
      </c>
      <c r="Q7" s="661" t="s">
        <v>411</v>
      </c>
      <c r="R7" s="661" t="s">
        <v>492</v>
      </c>
      <c r="S7" s="661" t="s">
        <v>487</v>
      </c>
      <c r="T7" s="661" t="s">
        <v>495</v>
      </c>
      <c r="U7" s="661" t="s">
        <v>498</v>
      </c>
      <c r="V7" s="661" t="s">
        <v>468</v>
      </c>
      <c r="W7" s="661" t="s">
        <v>514</v>
      </c>
      <c r="X7" s="661" t="s">
        <v>469</v>
      </c>
      <c r="Y7" s="661" t="s">
        <v>519</v>
      </c>
    </row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55B7-8D83-4E42-99E2-92375357F94E}">
  <dimension ref="B2:Y7"/>
  <sheetViews>
    <sheetView showGridLines="0" tabSelected="1" workbookViewId="0">
      <selection activeCell="H13" sqref="H13"/>
    </sheetView>
    <sheetView workbookViewId="1"/>
  </sheetViews>
  <sheetFormatPr defaultRowHeight="21"/>
  <cols>
    <col min="1" max="1" width="3.3984375" customWidth="1"/>
    <col min="2" max="25" width="6.8984375" customWidth="1"/>
    <col min="26" max="26" width="3.3984375" customWidth="1"/>
  </cols>
  <sheetData>
    <row r="2" spans="2:25" s="657" customFormat="1" ht="45" customHeight="1">
      <c r="B2" s="664" t="s">
        <v>1002</v>
      </c>
      <c r="C2" s="664"/>
      <c r="D2" s="664"/>
      <c r="E2" s="664"/>
      <c r="F2" s="664"/>
      <c r="G2" s="664"/>
      <c r="H2" s="664"/>
      <c r="I2" s="664"/>
      <c r="J2" s="664"/>
      <c r="K2" s="664"/>
      <c r="L2" s="664"/>
      <c r="M2" s="664"/>
      <c r="N2" s="664"/>
      <c r="O2" s="664"/>
      <c r="P2" s="664"/>
      <c r="Q2" s="664"/>
      <c r="R2" s="664"/>
      <c r="S2" s="664"/>
      <c r="T2" s="664"/>
      <c r="U2" s="664"/>
      <c r="V2" s="664"/>
      <c r="W2" s="664"/>
      <c r="X2" s="664"/>
      <c r="Y2" s="664"/>
    </row>
    <row r="3" spans="2:25" ht="45" customHeight="1">
      <c r="B3" s="659" t="s">
        <v>20</v>
      </c>
      <c r="C3" s="659" t="s">
        <v>908</v>
      </c>
      <c r="D3" s="659" t="s">
        <v>23</v>
      </c>
      <c r="E3" s="659" t="s">
        <v>83</v>
      </c>
      <c r="F3" s="659" t="s">
        <v>29</v>
      </c>
      <c r="G3" s="659" t="s">
        <v>31</v>
      </c>
      <c r="H3" s="659" t="s">
        <v>33</v>
      </c>
      <c r="I3" s="659" t="s">
        <v>85</v>
      </c>
      <c r="J3" s="659" t="s">
        <v>36</v>
      </c>
      <c r="K3" s="659" t="s">
        <v>911</v>
      </c>
      <c r="L3" s="659" t="s">
        <v>38</v>
      </c>
      <c r="M3" s="659" t="str">
        <f xml:space="preserve"> _xlfn.UNICHAR(8304) &amp; "兀"</f>
        <v>⁰兀</v>
      </c>
      <c r="N3" s="659" t="s">
        <v>52</v>
      </c>
      <c r="O3" s="659" t="s">
        <v>1008</v>
      </c>
      <c r="P3" s="659" t="s">
        <v>441</v>
      </c>
      <c r="Q3" s="659" t="s">
        <v>1007</v>
      </c>
      <c r="R3" s="659" t="s">
        <v>1006</v>
      </c>
      <c r="S3" s="659" t="s">
        <v>43</v>
      </c>
      <c r="T3" s="659" t="s">
        <v>441</v>
      </c>
      <c r="U3" s="659" t="s">
        <v>46</v>
      </c>
      <c r="V3" s="659" t="s">
        <v>50</v>
      </c>
      <c r="W3" s="660"/>
      <c r="X3" s="660"/>
      <c r="Y3" s="660"/>
    </row>
    <row r="4" spans="2:25" ht="45" customHeight="1">
      <c r="B4" s="661" t="s">
        <v>389</v>
      </c>
      <c r="C4" s="661" t="s">
        <v>402</v>
      </c>
      <c r="D4" s="661" t="s">
        <v>393</v>
      </c>
      <c r="E4" s="661" t="s">
        <v>398</v>
      </c>
      <c r="F4" s="661" t="s">
        <v>403</v>
      </c>
      <c r="G4" s="661" t="s">
        <v>406</v>
      </c>
      <c r="H4" s="661" t="s">
        <v>411</v>
      </c>
      <c r="I4" s="661" t="s">
        <v>412</v>
      </c>
      <c r="J4" s="661" t="s">
        <v>415</v>
      </c>
      <c r="K4" s="661" t="s">
        <v>437</v>
      </c>
      <c r="L4" s="661" t="s">
        <v>419</v>
      </c>
      <c r="M4" s="661" t="s">
        <v>1004</v>
      </c>
      <c r="N4" s="661" t="s">
        <v>423</v>
      </c>
      <c r="O4" s="661" t="s">
        <v>428</v>
      </c>
      <c r="P4" s="661" t="s">
        <v>446</v>
      </c>
      <c r="Q4" s="661" t="s">
        <v>431</v>
      </c>
      <c r="R4" s="661" t="s">
        <v>434</v>
      </c>
      <c r="S4" s="661" t="s">
        <v>459</v>
      </c>
      <c r="T4" s="661" t="s">
        <v>453</v>
      </c>
      <c r="U4" s="661" t="s">
        <v>464</v>
      </c>
      <c r="V4" s="661" t="s">
        <v>465</v>
      </c>
      <c r="W4" s="660"/>
      <c r="X4" s="660"/>
      <c r="Y4" s="660"/>
    </row>
    <row r="5" spans="2:25" s="657" customFormat="1" ht="45" customHeight="1">
      <c r="B5" s="664" t="s">
        <v>1003</v>
      </c>
      <c r="C5" s="664"/>
      <c r="D5" s="664"/>
      <c r="E5" s="664"/>
      <c r="F5" s="664"/>
      <c r="G5" s="664"/>
      <c r="H5" s="664"/>
      <c r="I5" s="664"/>
      <c r="J5" s="664"/>
      <c r="K5" s="664"/>
      <c r="L5" s="664"/>
      <c r="M5" s="664"/>
      <c r="N5" s="664"/>
      <c r="O5" s="664"/>
      <c r="P5" s="664"/>
      <c r="Q5" s="664"/>
      <c r="R5" s="664"/>
      <c r="S5" s="664"/>
      <c r="T5" s="664"/>
      <c r="U5" s="664"/>
      <c r="V5" s="664"/>
      <c r="W5" s="664"/>
      <c r="X5" s="664"/>
      <c r="Y5" s="664"/>
    </row>
    <row r="6" spans="2:25" ht="45" customHeight="1">
      <c r="B6" s="659" t="s">
        <v>58</v>
      </c>
      <c r="C6" s="659" t="s">
        <v>1009</v>
      </c>
      <c r="D6" s="659" t="s">
        <v>912</v>
      </c>
      <c r="E6" s="659" t="s">
        <v>1013</v>
      </c>
      <c r="F6" s="659" t="s">
        <v>64</v>
      </c>
      <c r="G6" s="659" t="s">
        <v>477</v>
      </c>
      <c r="H6" s="659" t="s">
        <v>1010</v>
      </c>
      <c r="I6" s="659" t="s">
        <v>241</v>
      </c>
      <c r="J6" s="659" t="s">
        <v>1011</v>
      </c>
      <c r="K6" s="659" t="s">
        <v>72</v>
      </c>
      <c r="L6" s="659" t="s">
        <v>1012</v>
      </c>
      <c r="M6" s="659" t="s">
        <v>644</v>
      </c>
      <c r="N6" s="659" t="s">
        <v>637</v>
      </c>
      <c r="O6" s="659" t="s">
        <v>636</v>
      </c>
      <c r="P6" s="659" t="s">
        <v>97</v>
      </c>
      <c r="Q6" s="659" t="s">
        <v>76</v>
      </c>
      <c r="R6" s="659" t="s">
        <v>95</v>
      </c>
      <c r="S6" s="659" t="s">
        <v>1014</v>
      </c>
      <c r="T6" s="659" t="s">
        <v>127</v>
      </c>
      <c r="U6" s="659" t="s">
        <v>54</v>
      </c>
      <c r="V6" s="659" t="s">
        <v>926</v>
      </c>
      <c r="W6" s="659" t="s">
        <v>56</v>
      </c>
      <c r="X6" s="659" t="s">
        <v>917</v>
      </c>
      <c r="Y6" s="662" t="s">
        <v>803</v>
      </c>
    </row>
    <row r="7" spans="2:25" ht="45" customHeight="1">
      <c r="B7" s="661" t="s">
        <v>471</v>
      </c>
      <c r="C7" s="661" t="s">
        <v>508</v>
      </c>
      <c r="D7" s="661" t="s">
        <v>474</v>
      </c>
      <c r="E7" s="661" t="s">
        <v>990</v>
      </c>
      <c r="F7" s="661" t="s">
        <v>868</v>
      </c>
      <c r="G7" s="661" t="s">
        <v>482</v>
      </c>
      <c r="H7" s="661" t="s">
        <v>524</v>
      </c>
      <c r="I7" s="661" t="s">
        <v>479</v>
      </c>
      <c r="J7" s="661" t="s">
        <v>991</v>
      </c>
      <c r="K7" s="661" t="s">
        <v>485</v>
      </c>
      <c r="L7" s="661" t="s">
        <v>992</v>
      </c>
      <c r="M7" s="661" t="s">
        <v>501</v>
      </c>
      <c r="N7" s="661" t="s">
        <v>505</v>
      </c>
      <c r="O7" s="661" t="s">
        <v>470</v>
      </c>
      <c r="P7" s="661" t="s">
        <v>488</v>
      </c>
      <c r="Q7" s="661" t="s">
        <v>411</v>
      </c>
      <c r="R7" s="661" t="s">
        <v>492</v>
      </c>
      <c r="S7" s="661" t="s">
        <v>487</v>
      </c>
      <c r="T7" s="661" t="s">
        <v>498</v>
      </c>
      <c r="U7" s="661" t="s">
        <v>468</v>
      </c>
      <c r="V7" s="661" t="s">
        <v>514</v>
      </c>
      <c r="W7" s="661" t="s">
        <v>469</v>
      </c>
      <c r="X7" s="661" t="s">
        <v>519</v>
      </c>
      <c r="Y7" s="663" t="s">
        <v>1015</v>
      </c>
    </row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zoomScaleNormal="100" workbookViewId="0">
      <pane ySplit="2" topLeftCell="A3" activePane="bottomLeft" state="frozen"/>
      <selection activeCell="W1" sqref="W1"/>
      <selection pane="bottomLeft" activeCell="BG11" sqref="BG11"/>
    </sheetView>
    <sheetView workbookViewId="1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77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6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84"/>
      <c r="AE1" s="138"/>
      <c r="AF1" s="359"/>
      <c r="AG1" s="359"/>
      <c r="AH1" s="2"/>
      <c r="AI1" s="370"/>
      <c r="AJ1" s="2"/>
      <c r="AY1" s="11"/>
      <c r="BA1" s="2"/>
      <c r="BB1" s="386"/>
      <c r="BE1" s="2"/>
    </row>
    <row r="2" spans="2:105" ht="26.25" thickBot="1">
      <c r="B2" s="403" t="s">
        <v>651</v>
      </c>
      <c r="I2" s="13" t="s">
        <v>584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624</v>
      </c>
      <c r="U2" s="369" t="s">
        <v>11</v>
      </c>
      <c r="V2" s="369" t="s">
        <v>626</v>
      </c>
      <c r="W2" s="369" t="s">
        <v>625</v>
      </c>
      <c r="X2" s="369" t="s">
        <v>663</v>
      </c>
      <c r="Y2" s="369"/>
      <c r="Z2" s="525" t="s">
        <v>14</v>
      </c>
      <c r="AA2" s="353" t="s">
        <v>19</v>
      </c>
      <c r="AB2" s="355" t="s">
        <v>584</v>
      </c>
      <c r="AC2" s="354" t="s">
        <v>664</v>
      </c>
      <c r="AD2" s="485" t="s">
        <v>665</v>
      </c>
      <c r="AE2" s="526" t="s">
        <v>388</v>
      </c>
      <c r="AF2" s="369"/>
      <c r="AG2" s="369"/>
      <c r="AH2" s="2"/>
      <c r="AI2" s="370"/>
      <c r="AJ2" s="2"/>
      <c r="AY2" s="11"/>
      <c r="BA2" s="2"/>
      <c r="BB2" s="386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str" cm="1">
        <f t="array" ref="W3" xml:space="preserve"> INDEX(注音編碼對照表[注音符號], MATCH(TRUE, EXACT(表格1_33411[[#This Row],[注音編碼]], 注音編碼對照表[注音編碼]), 0))</f>
        <v>ㄅ</v>
      </c>
      <c r="X3" s="364" t="str" cm="1">
        <f t="array" ref="X3" xml:space="preserve"> INDEX(注音編碼對照表!$J$3:$J$54, MATCH(TRUE, EXACT(表格1_33411[[#This Row],[注音編碼]], 注音編碼對照表!$D$3:$D$49), 0))</f>
        <v>p</v>
      </c>
      <c r="Y3" s="24"/>
      <c r="Z3" s="31">
        <f>ROW() - 2</f>
        <v>1</v>
      </c>
      <c r="AA3" s="71" t="str">
        <f>注音編碼對照表!$C3</f>
        <v>1</v>
      </c>
      <c r="AB3" s="352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86" t="str" cm="1">
        <f t="array" ref="AD3" xml:space="preserve"> INDEX(注音編碼對照表[注音符號], MATCH(TRUE, EXACT(RIME設定解析!$AA3, 注音編碼對照表[鍵盤按鍵] ),0))</f>
        <v>ㄅ</v>
      </c>
      <c r="AE3" s="433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4" t="str">
        <f xml:space="preserve"> "  alphabet: '" &amp; _xlfn.CONCAT(AA$3:AA$49) &amp; "'"</f>
        <v xml:space="preserve">  alphabet: '1q!a2wsxyhbnedEgcuj8ik,9l0;-UJ*I&lt;(LMo/pm. 43657'</v>
      </c>
      <c r="AJ3" s="385"/>
      <c r="AK3" s="385"/>
      <c r="AL3" s="385"/>
      <c r="AM3" s="385"/>
      <c r="AN3" s="385"/>
      <c r="AO3" s="385"/>
      <c r="AP3" s="385"/>
      <c r="AQ3" s="385"/>
      <c r="AY3" s="11"/>
      <c r="BA3" s="2"/>
      <c r="BB3" s="386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str" cm="1">
        <f t="array" ref="W4" xml:space="preserve"> INDEX(注音編碼對照表[注音符號], MATCH(TRUE, EXACT(表格1_33411[[#This Row],[注音編碼]], 注音編碼對照表[注音編碼]), 0))</f>
        <v>ㄅㆷ</v>
      </c>
      <c r="X4" s="364" t="str" cm="1">
        <f t="array" ref="X4" xml:space="preserve"> INDEX(注音編碼對照表!$J$3:$J$54, MATCH(TRUE, EXACT(表格1_33411[[#This Row],[注音編碼]], 注音編碼對照表!$D$3:$D$49), 0))</f>
        <v>b</v>
      </c>
      <c r="Y4" s="24"/>
      <c r="Z4" s="31">
        <f t="shared" ref="Z4:Z58" si="10">ROW() - 2</f>
        <v>2</v>
      </c>
      <c r="AA4" s="71" t="str">
        <f>注音編碼對照表!$C4</f>
        <v>q</v>
      </c>
      <c r="AB4" s="352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86" t="str" cm="1">
        <f t="array" ref="AD4" xml:space="preserve"> INDEX(注音編碼對照表[注音符號], MATCH(TRUE, EXACT(RIME設定解析!$AA4, 注音編碼對照表[鍵盤按鍵] ),0))</f>
        <v>ㄆ</v>
      </c>
      <c r="AE4" s="433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4" t="str">
        <f xml:space="preserve"> "  initials: '" &amp; _xlfn.CONCAT(AA$3:AA$43) &amp; "'"</f>
        <v xml:space="preserve">  initials: '1q!a2wsxyhbnedEgcuj8ik,9l0;-UJ*I&lt;(LMo/pm.'</v>
      </c>
      <c r="AJ4" s="385"/>
      <c r="AK4" s="385"/>
      <c r="AL4" s="385"/>
      <c r="AM4" s="385"/>
      <c r="AN4" s="385"/>
      <c r="AO4" s="385"/>
      <c r="AP4" s="385"/>
      <c r="AQ4" s="385"/>
      <c r="AY4" s="11"/>
      <c r="BA4" s="2"/>
      <c r="BB4" s="386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str" cm="1">
        <f t="array" ref="W5" xml:space="preserve"> INDEX(注音編碼對照表[注音符號], MATCH(TRUE, EXACT(表格1_33411[[#This Row],[注音編碼]], 注音編碼對照表[注音編碼]), 0))</f>
        <v>ㄆ</v>
      </c>
      <c r="X5" s="364" t="str" cm="1">
        <f t="array" ref="X5" xml:space="preserve"> INDEX(注音編碼對照表!$J$3:$J$54, MATCH(TRUE, EXACT(表格1_33411[[#This Row],[注音編碼]], 注音編碼對照表!$D$3:$D$49), 0))</f>
        <v>ph</v>
      </c>
      <c r="Y5" s="24"/>
      <c r="Z5" s="31">
        <f t="shared" si="10"/>
        <v>3</v>
      </c>
      <c r="AA5" s="71" t="str">
        <f>注音編碼對照表!$C5</f>
        <v>!</v>
      </c>
      <c r="AB5" s="352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86" t="str" cm="1">
        <f t="array" ref="AD5" xml:space="preserve"> INDEX(注音編碼對照表[注音符號], MATCH(TRUE, EXACT(RIME設定解析!$AA5, 注音編碼對照表[鍵盤按鍵] ),0))</f>
        <v>ㄅㆷ</v>
      </c>
      <c r="AE5" s="433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ㄅㆷ</v>
      </c>
      <c r="AH5" s="2"/>
      <c r="AI5" s="334" t="str">
        <f xml:space="preserve"> "  finals:   '" &amp; _xlfn.CONCAT(AA$44:AA$49) &amp; "'"</f>
        <v xml:space="preserve">  finals:   ' 43657'</v>
      </c>
      <c r="AJ5" s="385"/>
      <c r="AK5" s="385"/>
      <c r="AL5" s="385"/>
      <c r="AM5" s="385"/>
      <c r="AN5" s="385"/>
      <c r="AO5" s="385"/>
      <c r="AP5" s="385"/>
      <c r="AQ5" s="385"/>
      <c r="AY5" s="11"/>
      <c r="BA5" s="2"/>
      <c r="BB5" s="386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str" cm="1">
        <f t="array" ref="W6" xml:space="preserve"> INDEX(注音編碼對照表[注音符號], MATCH(TRUE, EXACT(表格1_33411[[#This Row],[注音編碼]], 注音編碼對照表[注音編碼]), 0))</f>
        <v>ㄇ</v>
      </c>
      <c r="X6" s="364" t="str" cm="1">
        <f t="array" ref="X6" xml:space="preserve"> INDEX(注音編碼對照表!$J$3:$J$54, MATCH(TRUE, EXACT(表格1_33411[[#This Row],[注音編碼]], 注音編碼對照表!$D$3:$D$49), 0))</f>
        <v>m</v>
      </c>
      <c r="Y6" s="24"/>
      <c r="Z6" s="31">
        <f t="shared" si="10"/>
        <v>4</v>
      </c>
      <c r="AA6" s="71" t="str">
        <f>注音編碼對照表!$C6</f>
        <v>a</v>
      </c>
      <c r="AB6" s="352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86" t="str" cm="1">
        <f t="array" ref="AD6" xml:space="preserve"> INDEX(注音編碼對照表[注音符號], MATCH(TRUE, EXACT(RIME設定解析!$AA6, 注音編碼對照表[鍵盤按鍵] ),0))</f>
        <v>ㄇ</v>
      </c>
      <c r="AE6" s="433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6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str" cm="1">
        <f t="array" ref="W7" xml:space="preserve"> INDEX(注音編碼對照表[注音符號], MATCH(TRUE, EXACT(表格1_33411[[#This Row],[注音編碼]], 注音編碼對照表[注音編碼]), 0))</f>
        <v>ㄉ</v>
      </c>
      <c r="X7" s="364" t="str" cm="1">
        <f t="array" ref="X7" xml:space="preserve"> INDEX(注音編碼對照表!$J$3:$J$54, MATCH(TRUE, EXACT(表格1_33411[[#This Row],[注音編碼]], 注音編碼對照表!$D$3:$D$49), 0))</f>
        <v>t</v>
      </c>
      <c r="Y7" s="24"/>
      <c r="Z7" s="31">
        <f t="shared" si="10"/>
        <v>5</v>
      </c>
      <c r="AA7" s="71" t="str">
        <f>注音編碼對照表!$C7</f>
        <v>2</v>
      </c>
      <c r="AB7" s="352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86" t="str" cm="1">
        <f t="array" ref="AD7" xml:space="preserve"> INDEX(注音編碼對照表[注音符號], MATCH(TRUE, EXACT(RIME設定解析!$AA7, 注音編碼對照表[鍵盤按鍵] ),0))</f>
        <v>ㄉ</v>
      </c>
      <c r="AE7" s="433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6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str" cm="1">
        <f t="array" ref="W8" xml:space="preserve"> INDEX(注音編碼對照表[注音符號], MATCH(TRUE, EXACT(表格1_33411[[#This Row],[注音編碼]], 注音編碼對照表[注音編碼]), 0))</f>
        <v>ㄊ</v>
      </c>
      <c r="X8" s="364" t="str" cm="1">
        <f t="array" ref="X8" xml:space="preserve"> INDEX(注音編碼對照表!$J$3:$J$54, MATCH(TRUE, EXACT(表格1_33411[[#This Row],[注音編碼]], 注音編碼對照表!$D$3:$D$49), 0))</f>
        <v>th</v>
      </c>
      <c r="Y8" s="24"/>
      <c r="Z8" s="31">
        <f t="shared" si="10"/>
        <v>6</v>
      </c>
      <c r="AA8" s="71" t="str">
        <f>注音編碼對照表!$C8</f>
        <v>w</v>
      </c>
      <c r="AB8" s="352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86" t="str" cm="1">
        <f t="array" ref="AD8" xml:space="preserve"> INDEX(注音編碼對照表[注音符號], MATCH(TRUE, EXACT(RIME設定解析!$AA8, 注音編碼對照表[鍵盤按鍵] ),0))</f>
        <v>ㄊ</v>
      </c>
      <c r="AE8" s="433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634</v>
      </c>
      <c r="AJ8" s="2"/>
      <c r="AK8" s="396" t="str">
        <f xml:space="preserve"> """xlit|" &amp; AK9 &amp; "|" &amp; AK10 &amp; "|"""</f>
        <v>"xlit|pPbmtTnlzcjskKgwhiuaOoeyx@GRIUAQEYXVHWNMB123570|1q!a2wsxyhbnedEgcuj8ik,9l0;-UJ*I&lt;(LMo/pm. 43657|"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9"/>
      <c r="BA8" s="2"/>
      <c r="BB8" s="536" cm="1">
        <f t="array" ref="BB8" xml:space="preserve"> COLUMN() - COLUMN($BB:$BB)</f>
        <v>0</v>
      </c>
      <c r="BC8" s="536" cm="1">
        <f t="array" ref="BC8" xml:space="preserve"> COLUMN() - COLUMN($BB:$BB)</f>
        <v>1</v>
      </c>
      <c r="BD8" s="536" cm="1">
        <f t="array" ref="BD8" xml:space="preserve"> COLUMN() - COLUMN($BB:$BB)</f>
        <v>2</v>
      </c>
      <c r="BE8" s="536" cm="1">
        <f t="array" ref="BE8" xml:space="preserve"> COLUMN() - COLUMN($BB:$BB)</f>
        <v>3</v>
      </c>
      <c r="BF8" s="536" cm="1">
        <f t="array" ref="BF8" xml:space="preserve"> COLUMN() - COLUMN($BB:$BB)</f>
        <v>4</v>
      </c>
      <c r="BG8" s="536" cm="1">
        <f t="array" ref="BG8" xml:space="preserve"> COLUMN() - COLUMN($BB:$BB)</f>
        <v>5</v>
      </c>
      <c r="BH8" s="536" cm="1">
        <f t="array" ref="BH8" xml:space="preserve"> COLUMN() - COLUMN($BB:$BB)</f>
        <v>6</v>
      </c>
      <c r="BI8" s="536" cm="1">
        <f t="array" ref="BI8" xml:space="preserve"> COLUMN() - COLUMN($BB:$BB)</f>
        <v>7</v>
      </c>
      <c r="BJ8" s="536" cm="1">
        <f t="array" ref="BJ8" xml:space="preserve"> COLUMN() - COLUMN($BB:$BB)</f>
        <v>8</v>
      </c>
      <c r="BK8" s="536" cm="1">
        <f t="array" ref="BK8" xml:space="preserve"> COLUMN() - COLUMN($BB:$BB)</f>
        <v>9</v>
      </c>
      <c r="BL8" s="536" cm="1">
        <f t="array" ref="BL8" xml:space="preserve"> COLUMN() - COLUMN($BB:$BB)</f>
        <v>10</v>
      </c>
      <c r="BM8" s="536" cm="1">
        <f t="array" ref="BM8" xml:space="preserve"> COLUMN() - COLUMN($BB:$BB)</f>
        <v>11</v>
      </c>
      <c r="BN8" s="536" cm="1">
        <f t="array" ref="BN8" xml:space="preserve"> COLUMN() - COLUMN($BB:$BB)</f>
        <v>12</v>
      </c>
      <c r="BO8" s="536" cm="1">
        <f t="array" ref="BO8" xml:space="preserve"> COLUMN() - COLUMN($BB:$BB)</f>
        <v>13</v>
      </c>
      <c r="BP8" s="536" cm="1">
        <f t="array" ref="BP8" xml:space="preserve"> COLUMN() - COLUMN($BB:$BB)</f>
        <v>14</v>
      </c>
      <c r="BQ8" s="536" cm="1">
        <f t="array" ref="BQ8" xml:space="preserve"> COLUMN() - COLUMN($BB:$BB)</f>
        <v>15</v>
      </c>
      <c r="BR8" s="536" cm="1">
        <f t="array" ref="BR8" xml:space="preserve"> COLUMN() - COLUMN($BB:$BB)</f>
        <v>16</v>
      </c>
      <c r="BS8" s="536" cm="1">
        <f t="array" ref="BS8" xml:space="preserve"> COLUMN() - COLUMN($BB:$BB)</f>
        <v>17</v>
      </c>
      <c r="BT8" s="536" cm="1">
        <f t="array" ref="BT8" xml:space="preserve"> COLUMN() - COLUMN($BB:$BB)</f>
        <v>18</v>
      </c>
      <c r="BU8" s="536" cm="1">
        <f t="array" ref="BU8" xml:space="preserve"> COLUMN() - COLUMN($BB:$BB)</f>
        <v>19</v>
      </c>
      <c r="BV8" s="536" cm="1">
        <f t="array" ref="BV8" xml:space="preserve"> COLUMN() - COLUMN($BB:$BB)</f>
        <v>20</v>
      </c>
      <c r="BW8" s="536" cm="1">
        <f t="array" ref="BW8" xml:space="preserve"> COLUMN() - COLUMN($BB:$BB)</f>
        <v>21</v>
      </c>
      <c r="BX8" s="536" cm="1">
        <f t="array" ref="BX8" xml:space="preserve"> COLUMN() - COLUMN($BB:$BB)</f>
        <v>22</v>
      </c>
      <c r="BY8" s="536" cm="1">
        <f t="array" ref="BY8" xml:space="preserve"> COLUMN() - COLUMN($BB:$BB)</f>
        <v>23</v>
      </c>
      <c r="BZ8" s="536" cm="1">
        <f t="array" ref="BZ8" xml:space="preserve"> COLUMN() - COLUMN($BB:$BB)</f>
        <v>24</v>
      </c>
      <c r="CA8" s="536" cm="1">
        <f t="array" ref="CA8" xml:space="preserve"> COLUMN() - COLUMN($BB:$BB)</f>
        <v>25</v>
      </c>
      <c r="CB8" s="536" cm="1">
        <f t="array" ref="CB8" xml:space="preserve"> COLUMN() - COLUMN($BB:$BB)</f>
        <v>26</v>
      </c>
      <c r="CC8" s="536" cm="1">
        <f t="array" ref="CC8" xml:space="preserve"> COLUMN() - COLUMN($BB:$BB)</f>
        <v>27</v>
      </c>
      <c r="CD8" s="536" cm="1">
        <f t="array" ref="CD8" xml:space="preserve"> COLUMN() - COLUMN($BB:$BB)</f>
        <v>28</v>
      </c>
      <c r="CE8" s="536" cm="1">
        <f t="array" ref="CE8" xml:space="preserve"> COLUMN() - COLUMN($BB:$BB)</f>
        <v>29</v>
      </c>
      <c r="CF8" s="536" cm="1">
        <f t="array" ref="CF8" xml:space="preserve"> COLUMN() - COLUMN($BB:$BB)</f>
        <v>30</v>
      </c>
      <c r="CG8" s="536" cm="1">
        <f t="array" ref="CG8" xml:space="preserve"> COLUMN() - COLUMN($BB:$BB)</f>
        <v>31</v>
      </c>
      <c r="CH8" s="536" cm="1">
        <f t="array" ref="CH8" xml:space="preserve"> COLUMN() - COLUMN($BB:$BB)</f>
        <v>32</v>
      </c>
      <c r="CI8" s="536" cm="1">
        <f t="array" ref="CI8" xml:space="preserve"> COLUMN() - COLUMN($BB:$BB)</f>
        <v>33</v>
      </c>
      <c r="CJ8" s="536" cm="1">
        <f t="array" ref="CJ8" xml:space="preserve"> COLUMN() - COLUMN($BB:$BB)</f>
        <v>34</v>
      </c>
      <c r="CK8" s="536" cm="1">
        <f t="array" ref="CK8" xml:space="preserve"> COLUMN() - COLUMN($BB:$BB)</f>
        <v>35</v>
      </c>
      <c r="CL8" s="536" cm="1">
        <f t="array" ref="CL8" xml:space="preserve"> COLUMN() - COLUMN($BB:$BB)</f>
        <v>36</v>
      </c>
      <c r="CM8" s="536" cm="1">
        <f t="array" ref="CM8" xml:space="preserve"> COLUMN() - COLUMN($BB:$BB)</f>
        <v>37</v>
      </c>
      <c r="CN8" s="536" cm="1">
        <f t="array" ref="CN8" xml:space="preserve"> COLUMN() - COLUMN($BB:$BB)</f>
        <v>38</v>
      </c>
      <c r="CO8" s="536" cm="1">
        <f t="array" ref="CO8" xml:space="preserve"> COLUMN() - COLUMN($BB:$BB)</f>
        <v>39</v>
      </c>
      <c r="CP8" s="536" cm="1">
        <f t="array" ref="CP8" xml:space="preserve"> COLUMN() - COLUMN($BB:$BB)</f>
        <v>40</v>
      </c>
      <c r="CQ8" s="536" cm="1">
        <f t="array" ref="CQ8" xml:space="preserve"> COLUMN() - COLUMN($BB:$BB)</f>
        <v>41</v>
      </c>
      <c r="CR8" s="536" cm="1">
        <f t="array" ref="CR8" xml:space="preserve"> COLUMN() - COLUMN($BB:$BB)</f>
        <v>42</v>
      </c>
      <c r="CS8" s="536" cm="1">
        <f t="array" ref="CS8" xml:space="preserve"> COLUMN() - COLUMN($BB:$BB)</f>
        <v>43</v>
      </c>
      <c r="CT8" s="536" cm="1">
        <f t="array" ref="CT8" xml:space="preserve"> COLUMN() - COLUMN($BB:$BB)</f>
        <v>44</v>
      </c>
      <c r="CU8" s="536" cm="1">
        <f t="array" ref="CU8" xml:space="preserve"> COLUMN() - COLUMN($BB:$BB)</f>
        <v>45</v>
      </c>
      <c r="CV8" s="536" cm="1">
        <f t="array" ref="CV8" xml:space="preserve"> COLUMN() - COLUMN($BB:$BB)</f>
        <v>46</v>
      </c>
      <c r="CW8" s="536" cm="1">
        <f t="array" ref="CW8" xml:space="preserve"> COLUMN() - COLUMN($BB:$BB)</f>
        <v>47</v>
      </c>
      <c r="CX8" s="536" cm="1">
        <f t="array" ref="CX8" xml:space="preserve"> COLUMN() - COLUMN($BB:$BB)</f>
        <v>48</v>
      </c>
      <c r="CY8" s="536" cm="1">
        <f t="array" ref="CY8" xml:space="preserve"> COLUMN() - COLUMN($BB:$BB)</f>
        <v>49</v>
      </c>
      <c r="CZ8" s="536" cm="1">
        <f t="array" ref="CZ8" xml:space="preserve"> COLUMN() - COLUMN($BB:$BB)</f>
        <v>50</v>
      </c>
      <c r="DA8" s="536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str" cm="1">
        <f t="array" ref="W9" xml:space="preserve"> INDEX(注音編碼對照表[注音符號], MATCH(TRUE, EXACT(表格1_33411[[#This Row],[注音編碼]], 注音編碼對照表[注音編碼]), 0))</f>
        <v>ㄋ</v>
      </c>
      <c r="X9" s="364" t="str" cm="1">
        <f t="array" ref="X9" xml:space="preserve"> INDEX(注音編碼對照表!$J$3:$J$54, MATCH(TRUE, EXACT(表格1_33411[[#This Row],[注音編碼]], 注音編碼對照表!$D$3:$D$49), 0))</f>
        <v>n</v>
      </c>
      <c r="Y9" s="24"/>
      <c r="Z9" s="31">
        <f t="shared" si="10"/>
        <v>7</v>
      </c>
      <c r="AA9" s="71" t="str">
        <f>注音編碼對照表!$C9</f>
        <v>s</v>
      </c>
      <c r="AB9" s="352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86" t="str" cm="1">
        <f t="array" ref="AD9" xml:space="preserve"> INDEX(注音編碼對照表[注音符號], MATCH(TRUE, EXACT(RIME設定解析!$AA9, 注音編碼對照表[鍵盤按鍵] ),0))</f>
        <v>ㄋ</v>
      </c>
      <c r="AE9" s="433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626</v>
      </c>
      <c r="AJ9" s="1">
        <f xml:space="preserve"> LEN(AK9)</f>
        <v>47</v>
      </c>
      <c r="AK9" s="527" t="str">
        <f xml:space="preserve"> _xlfn.CONCAT(AB$3:AB$49)</f>
        <v>pPbmtTnlzcjskKgwhiuaOoeyx@GRIUAQEYXVHWNMB123570</v>
      </c>
      <c r="AL9" s="528"/>
      <c r="AM9" s="528"/>
      <c r="AN9" s="528"/>
      <c r="AO9" s="528"/>
      <c r="AP9" s="528"/>
      <c r="AQ9" s="528"/>
      <c r="AR9" s="528"/>
      <c r="AS9" s="528"/>
      <c r="AT9" s="528"/>
      <c r="AU9" s="528"/>
      <c r="AV9" s="528"/>
      <c r="AW9" s="528"/>
      <c r="AX9" s="38" t="s">
        <v>25</v>
      </c>
      <c r="AY9" s="400" t="s">
        <v>230</v>
      </c>
      <c r="AZ9" s="40">
        <f xml:space="preserve"> FIND(AY9, AK9)</f>
        <v>30</v>
      </c>
      <c r="BA9" s="2"/>
      <c r="BB9" s="361"/>
      <c r="BC9" s="537" t="str">
        <f xml:space="preserve"> MID($AK$9, BC$8, 1)</f>
        <v>p</v>
      </c>
      <c r="BD9" s="537" t="str">
        <f t="shared" ref="BD9:CX9" si="11" xml:space="preserve"> MID($AK$9, BD$8, 1)</f>
        <v>P</v>
      </c>
      <c r="BE9" s="537" t="str">
        <f t="shared" si="11"/>
        <v>b</v>
      </c>
      <c r="BF9" s="537" t="str">
        <f t="shared" si="11"/>
        <v>m</v>
      </c>
      <c r="BG9" s="537" t="str">
        <f t="shared" si="11"/>
        <v>t</v>
      </c>
      <c r="BH9" s="537" t="str">
        <f t="shared" si="11"/>
        <v>T</v>
      </c>
      <c r="BI9" s="537" t="str">
        <f t="shared" si="11"/>
        <v>n</v>
      </c>
      <c r="BJ9" s="537" t="str">
        <f t="shared" si="11"/>
        <v>l</v>
      </c>
      <c r="BK9" s="537" t="str">
        <f t="shared" si="11"/>
        <v>z</v>
      </c>
      <c r="BL9" s="537" t="str">
        <f t="shared" si="11"/>
        <v>c</v>
      </c>
      <c r="BM9" s="537" t="str">
        <f t="shared" si="11"/>
        <v>j</v>
      </c>
      <c r="BN9" s="537" t="str">
        <f t="shared" si="11"/>
        <v>s</v>
      </c>
      <c r="BO9" s="537" t="str">
        <f t="shared" si="11"/>
        <v>k</v>
      </c>
      <c r="BP9" s="537" t="str">
        <f t="shared" si="11"/>
        <v>K</v>
      </c>
      <c r="BQ9" s="537" t="str">
        <f t="shared" si="11"/>
        <v>g</v>
      </c>
      <c r="BR9" s="537" t="str">
        <f t="shared" si="11"/>
        <v>w</v>
      </c>
      <c r="BS9" s="537" t="str">
        <f t="shared" si="11"/>
        <v>h</v>
      </c>
      <c r="BT9" s="537" t="str">
        <f t="shared" si="11"/>
        <v>i</v>
      </c>
      <c r="BU9" s="537" t="str">
        <f t="shared" si="11"/>
        <v>u</v>
      </c>
      <c r="BV9" s="537" t="str">
        <f t="shared" si="11"/>
        <v>a</v>
      </c>
      <c r="BW9" s="537" t="str">
        <f t="shared" si="11"/>
        <v>O</v>
      </c>
      <c r="BX9" s="537" t="str">
        <f t="shared" si="11"/>
        <v>o</v>
      </c>
      <c r="BY9" s="537" t="str">
        <f t="shared" si="11"/>
        <v>e</v>
      </c>
      <c r="BZ9" s="537" t="str">
        <f t="shared" si="11"/>
        <v>y</v>
      </c>
      <c r="CA9" s="537" t="str">
        <f t="shared" si="11"/>
        <v>x</v>
      </c>
      <c r="CB9" s="537" t="str">
        <f t="shared" si="11"/>
        <v>@</v>
      </c>
      <c r="CC9" s="537" t="str">
        <f t="shared" si="11"/>
        <v>G</v>
      </c>
      <c r="CD9" s="537" t="str">
        <f t="shared" si="11"/>
        <v>R</v>
      </c>
      <c r="CE9" s="537" t="str">
        <f t="shared" si="11"/>
        <v>I</v>
      </c>
      <c r="CF9" s="538" t="str">
        <f t="shared" si="11"/>
        <v>U</v>
      </c>
      <c r="CG9" s="537" t="str">
        <f t="shared" si="11"/>
        <v>A</v>
      </c>
      <c r="CH9" s="537" t="str">
        <f t="shared" si="11"/>
        <v>Q</v>
      </c>
      <c r="CI9" s="537" t="str">
        <f t="shared" si="11"/>
        <v>E</v>
      </c>
      <c r="CJ9" s="537" t="str">
        <f t="shared" si="11"/>
        <v>Y</v>
      </c>
      <c r="CK9" s="537" t="str">
        <f t="shared" si="11"/>
        <v>X</v>
      </c>
      <c r="CL9" s="537" t="str">
        <f t="shared" si="11"/>
        <v>V</v>
      </c>
      <c r="CM9" s="537" t="str">
        <f t="shared" si="11"/>
        <v>H</v>
      </c>
      <c r="CN9" s="537" t="str">
        <f t="shared" si="11"/>
        <v>W</v>
      </c>
      <c r="CO9" s="537" t="str">
        <f t="shared" si="11"/>
        <v>N</v>
      </c>
      <c r="CP9" s="537" t="str">
        <f t="shared" si="11"/>
        <v>M</v>
      </c>
      <c r="CQ9" s="538" t="str">
        <f t="shared" si="11"/>
        <v>B</v>
      </c>
      <c r="CR9" s="537" t="str">
        <f t="shared" si="11"/>
        <v>1</v>
      </c>
      <c r="CS9" s="537" t="str">
        <f t="shared" si="11"/>
        <v>2</v>
      </c>
      <c r="CT9" s="537" t="str">
        <f t="shared" si="11"/>
        <v>3</v>
      </c>
      <c r="CU9" s="537" t="str">
        <f t="shared" si="11"/>
        <v>5</v>
      </c>
      <c r="CV9" s="537" t="str">
        <f t="shared" si="11"/>
        <v>7</v>
      </c>
      <c r="CW9" s="537" t="str">
        <f t="shared" si="11"/>
        <v>0</v>
      </c>
      <c r="CX9" s="539" t="str">
        <f t="shared" si="11"/>
        <v/>
      </c>
      <c r="CY9" s="539" t="str">
        <f t="shared" ref="CY9:DA9" si="12" xml:space="preserve"> MID($AK$9, CY$13, 1)</f>
        <v/>
      </c>
      <c r="CZ9" s="539" t="str">
        <f t="shared" si="12"/>
        <v/>
      </c>
      <c r="DA9" s="539" t="str">
        <f t="shared" si="12"/>
        <v/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str" cm="1">
        <f t="array" ref="W10" xml:space="preserve"> INDEX(注音編碼對照表[注音符號], MATCH(TRUE, EXACT(表格1_33411[[#This Row],[注音編碼]], 注音編碼對照表[注音編碼]), 0))</f>
        <v>ㄌ</v>
      </c>
      <c r="X10" s="364" t="str" cm="1">
        <f t="array" ref="X10" xml:space="preserve"> INDEX(注音編碼對照表!$J$3:$J$54, MATCH(TRUE, EXACT(表格1_33411[[#This Row],[注音編碼]], 注音編碼對照表!$D$3:$D$49), 0))</f>
        <v>l</v>
      </c>
      <c r="Y10" s="24"/>
      <c r="Z10" s="31">
        <f t="shared" si="10"/>
        <v>8</v>
      </c>
      <c r="AA10" s="71" t="str">
        <f>注音編碼對照表!$C10</f>
        <v>x</v>
      </c>
      <c r="AB10" s="352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86" t="str" cm="1">
        <f t="array" ref="AD10" xml:space="preserve"> INDEX(注音編碼對照表[注音符號], MATCH(TRUE, EXACT(RIME設定解析!$AA10, 注音編碼對照表[鍵盤按鍵] ),0))</f>
        <v>ㄌ</v>
      </c>
      <c r="AE10" s="433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>
        <f xml:space="preserve"> LEN(AK10)</f>
        <v>47</v>
      </c>
      <c r="AK10" s="527" t="str">
        <f>_xlfn.CONCAT(AA3:AA49)</f>
        <v>1q!a2wsxyhbnedEgcuj8ik,9l0;-UJ*I&lt;(LMo/pm. 43657</v>
      </c>
      <c r="AL10" s="528"/>
      <c r="AM10" s="528"/>
      <c r="AN10" s="528"/>
      <c r="AO10" s="528"/>
      <c r="AP10" s="528"/>
      <c r="AQ10" s="528"/>
      <c r="AR10" s="528"/>
      <c r="AS10" s="528"/>
      <c r="AT10" s="529" t="str">
        <f xml:space="preserve"> MID("/", AJ9, 1)</f>
        <v/>
      </c>
      <c r="AU10" s="528"/>
      <c r="AV10" s="528"/>
      <c r="AW10" s="528"/>
      <c r="AY10" s="49" t="str">
        <f xml:space="preserve"> MID(AK10, AZ9, 1)</f>
        <v>J</v>
      </c>
      <c r="AZ10" s="40"/>
      <c r="BA10" s="2"/>
      <c r="BB10" s="361"/>
      <c r="BC10" s="537" t="str">
        <f xml:space="preserve"> MID($AK$10, BC$8, 1)</f>
        <v>1</v>
      </c>
      <c r="BD10" s="537" t="str">
        <f t="shared" ref="BD10:CX10" si="13" xml:space="preserve"> MID($AK$10, BD$8, 1)</f>
        <v>q</v>
      </c>
      <c r="BE10" s="537" t="str">
        <f t="shared" si="13"/>
        <v>!</v>
      </c>
      <c r="BF10" s="537" t="str">
        <f t="shared" si="13"/>
        <v>a</v>
      </c>
      <c r="BG10" s="537" t="str">
        <f t="shared" si="13"/>
        <v>2</v>
      </c>
      <c r="BH10" s="537" t="str">
        <f t="shared" si="13"/>
        <v>w</v>
      </c>
      <c r="BI10" s="537" t="str">
        <f t="shared" si="13"/>
        <v>s</v>
      </c>
      <c r="BJ10" s="537" t="str">
        <f t="shared" si="13"/>
        <v>x</v>
      </c>
      <c r="BK10" s="537" t="str">
        <f t="shared" si="13"/>
        <v>y</v>
      </c>
      <c r="BL10" s="537" t="str">
        <f t="shared" si="13"/>
        <v>h</v>
      </c>
      <c r="BM10" s="537" t="str">
        <f t="shared" si="13"/>
        <v>b</v>
      </c>
      <c r="BN10" s="537" t="str">
        <f t="shared" si="13"/>
        <v>n</v>
      </c>
      <c r="BO10" s="537" t="str">
        <f t="shared" si="13"/>
        <v>e</v>
      </c>
      <c r="BP10" s="537" t="str">
        <f t="shared" si="13"/>
        <v>d</v>
      </c>
      <c r="BQ10" s="537" t="str">
        <f t="shared" si="13"/>
        <v>E</v>
      </c>
      <c r="BR10" s="537" t="str">
        <f t="shared" si="13"/>
        <v>g</v>
      </c>
      <c r="BS10" s="537" t="str">
        <f t="shared" si="13"/>
        <v>c</v>
      </c>
      <c r="BT10" s="537" t="str">
        <f t="shared" si="13"/>
        <v>u</v>
      </c>
      <c r="BU10" s="537" t="str">
        <f t="shared" si="13"/>
        <v>j</v>
      </c>
      <c r="BV10" s="537" t="str">
        <f t="shared" si="13"/>
        <v>8</v>
      </c>
      <c r="BW10" s="537" t="str">
        <f t="shared" si="13"/>
        <v>i</v>
      </c>
      <c r="BX10" s="537" t="str">
        <f t="shared" si="13"/>
        <v>k</v>
      </c>
      <c r="BY10" s="537" t="str">
        <f t="shared" si="13"/>
        <v>,</v>
      </c>
      <c r="BZ10" s="537" t="str">
        <f t="shared" si="13"/>
        <v>9</v>
      </c>
      <c r="CA10" s="537" t="str">
        <f t="shared" si="13"/>
        <v>l</v>
      </c>
      <c r="CB10" s="537" t="str">
        <f t="shared" si="13"/>
        <v>0</v>
      </c>
      <c r="CC10" s="537" t="str">
        <f t="shared" si="13"/>
        <v>;</v>
      </c>
      <c r="CD10" s="537" t="str">
        <f t="shared" si="13"/>
        <v>-</v>
      </c>
      <c r="CE10" s="537" t="str">
        <f t="shared" si="13"/>
        <v>U</v>
      </c>
      <c r="CF10" s="538" t="str">
        <f t="shared" si="13"/>
        <v>J</v>
      </c>
      <c r="CG10" s="537" t="str">
        <f t="shared" si="13"/>
        <v>*</v>
      </c>
      <c r="CH10" s="537" t="str">
        <f t="shared" si="13"/>
        <v>I</v>
      </c>
      <c r="CI10" s="537" t="str">
        <f t="shared" si="13"/>
        <v>&lt;</v>
      </c>
      <c r="CJ10" s="537" t="str">
        <f t="shared" si="13"/>
        <v>(</v>
      </c>
      <c r="CK10" s="537" t="str">
        <f t="shared" si="13"/>
        <v>L</v>
      </c>
      <c r="CL10" s="537" t="str">
        <f t="shared" si="13"/>
        <v>M</v>
      </c>
      <c r="CM10" s="537" t="str">
        <f t="shared" si="13"/>
        <v>o</v>
      </c>
      <c r="CN10" s="537" t="str">
        <f t="shared" si="13"/>
        <v>/</v>
      </c>
      <c r="CO10" s="537" t="str">
        <f t="shared" si="13"/>
        <v>p</v>
      </c>
      <c r="CP10" s="537" t="str">
        <f t="shared" si="13"/>
        <v>m</v>
      </c>
      <c r="CQ10" s="538" t="str">
        <f t="shared" si="13"/>
        <v>.</v>
      </c>
      <c r="CR10" s="537" t="str">
        <f t="shared" si="13"/>
        <v xml:space="preserve"> </v>
      </c>
      <c r="CS10" s="537" t="str">
        <f t="shared" si="13"/>
        <v>4</v>
      </c>
      <c r="CT10" s="537" t="str">
        <f t="shared" si="13"/>
        <v>3</v>
      </c>
      <c r="CU10" s="537" t="str">
        <f t="shared" si="13"/>
        <v>6</v>
      </c>
      <c r="CV10" s="537" t="str">
        <f t="shared" si="13"/>
        <v>5</v>
      </c>
      <c r="CW10" s="537" t="str">
        <f t="shared" si="13"/>
        <v>7</v>
      </c>
      <c r="CX10" s="539" t="str">
        <f t="shared" si="13"/>
        <v/>
      </c>
      <c r="CY10" s="539" t="str">
        <f t="shared" ref="CY10:DA10" si="14" xml:space="preserve"> MID($AK$10, CY$13, 1)</f>
        <v/>
      </c>
      <c r="CZ10" s="539" t="str">
        <f t="shared" si="14"/>
        <v/>
      </c>
      <c r="DA10" s="539" t="str">
        <f t="shared" si="14"/>
        <v/>
      </c>
    </row>
    <row r="11" spans="2:105" ht="32.25">
      <c r="B11" s="360" t="s">
        <v>652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str" cm="1">
        <f t="array" ref="W11" xml:space="preserve"> INDEX(注音編碼對照表[注音符號], MATCH(TRUE, EXACT(表格1_33411[[#This Row],[注音編碼]], 注音編碼對照表[注音編碼]), 0))</f>
        <v>ㄍ</v>
      </c>
      <c r="X11" s="364" t="str" cm="1">
        <f t="array" ref="X11" xml:space="preserve"> INDEX(注音編碼對照表!$J$3:$J$54, MATCH(TRUE, EXACT(表格1_33411[[#This Row],[注音編碼]], 注音編碼對照表!$D$3:$D$49), 0))</f>
        <v>k</v>
      </c>
      <c r="Y11" s="24"/>
      <c r="Z11" s="31">
        <f t="shared" si="10"/>
        <v>9</v>
      </c>
      <c r="AA11" s="71" t="str">
        <f>注音編碼對照表!$C11</f>
        <v>y</v>
      </c>
      <c r="AB11" s="352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86" t="str" cm="1">
        <f t="array" ref="AD11" xml:space="preserve"> INDEX(注音編碼對照表[注音符號], MATCH(TRUE, EXACT(RIME設定解析!$AA11, 注音編碼對照表[鍵盤按鍵] ),0))</f>
        <v>ㄗ</v>
      </c>
      <c r="AE11" s="433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ㄗ</v>
      </c>
      <c r="AH11" s="2"/>
      <c r="AI11" s="374"/>
      <c r="AJ11" s="37"/>
      <c r="AK11" s="37"/>
      <c r="AT11" s="48"/>
      <c r="AY11" s="11"/>
      <c r="BA11" s="2"/>
      <c r="BB11" s="386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str" cm="1">
        <f t="array" ref="W12" xml:space="preserve"> INDEX(注音編碼對照表[注音符號], MATCH(TRUE, EXACT(表格1_33411[[#This Row],[注音編碼]], 注音編碼對照表[注音編碼]), 0))</f>
        <v>ㄍㆷ</v>
      </c>
      <c r="X12" s="364" t="str" cm="1">
        <f t="array" ref="X12" xml:space="preserve"> INDEX(注音編碼對照表!$J$3:$J$54, MATCH(TRUE, EXACT(表格1_33411[[#This Row],[注音編碼]], 注音編碼對照表!$D$3:$D$49), 0))</f>
        <v>g</v>
      </c>
      <c r="Y12" s="24"/>
      <c r="Z12" s="31">
        <f t="shared" si="10"/>
        <v>10</v>
      </c>
      <c r="AA12" s="71" t="str">
        <f>注音編碼對照表!$C12</f>
        <v>h</v>
      </c>
      <c r="AB12" s="352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86" t="str" cm="1">
        <f t="array" ref="AD12" xml:space="preserve"> INDEX(注音編碼對照表[注音符號], MATCH(TRUE, EXACT(RIME設定解析!$AA12, 注音編碼對照表[鍵盤按鍵] ),0))</f>
        <v>ㄘ</v>
      </c>
      <c r="AE12" s="433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ㄘ</v>
      </c>
      <c r="AH12" s="2"/>
      <c r="AI12" s="370"/>
      <c r="AJ12" s="2"/>
      <c r="AK12" s="48"/>
      <c r="AY12" s="11"/>
      <c r="BA12" s="2"/>
      <c r="BB12" s="386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str" cm="1">
        <f t="array" ref="W13" xml:space="preserve"> INDEX(注音編碼對照表[注音符號], MATCH(TRUE, EXACT(表格1_33411[[#This Row],[注音編碼]], 注音編碼對照表[注音編碼]), 0))</f>
        <v>ㄎ</v>
      </c>
      <c r="X13" s="364" t="str" cm="1">
        <f t="array" ref="X13" xml:space="preserve"> INDEX(注音編碼對照表!$J$3:$J$54, MATCH(TRUE, EXACT(表格1_33411[[#This Row],[注音編碼]], 注音編碼對照表!$D$3:$D$49), 0))</f>
        <v>kh</v>
      </c>
      <c r="Y13" s="24"/>
      <c r="Z13" s="31">
        <f t="shared" si="10"/>
        <v>11</v>
      </c>
      <c r="AA13" s="71" t="str">
        <f>注音編碼對照表!$C13</f>
        <v>b</v>
      </c>
      <c r="AB13" s="352" t="str" cm="1">
        <f t="array" ref="AB13" xml:space="preserve"> INDEX(注音編碼對照表[注音編碼], MATCH(TRUE, EXACT(RIME設定解析!$AA13, 注音編碼對照表[鍵盤按鍵] ),0))</f>
        <v>j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86" t="str" cm="1">
        <f t="array" ref="AD13" xml:space="preserve"> INDEX(注音編碼對照表[注音符號], MATCH(TRUE, EXACT(RIME設定解析!$AA13, 注音編碼對照表[鍵盤按鍵] ),0))</f>
        <v>ㄖ</v>
      </c>
      <c r="AE13" s="433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"b" : ㄖ</v>
      </c>
      <c r="AH13" s="2"/>
      <c r="AI13" s="371" t="s">
        <v>35</v>
      </c>
      <c r="AJ13" s="2"/>
      <c r="AK13" s="397" t="str">
        <f xml:space="preserve"> """xlit|" &amp; AK14 &amp; "|" &amp; AK15 &amp; "|"""</f>
        <v>"xlit|1q!a2wsxyhbnedEgcuj8ik,9l0;-UJ*I&lt;(LMo/pm. 43657|ㄅㄆㆠㄇㄉㄊㄋㄌㄗㄘㆡㄙㄍㄎㆣㄫㄏㄧㄨㄚㆦㄜㆤㄞㄠㄢㄤㆨㆪㆫㆩㆧㆥㆮㆯㆰㆲㆭㄣㆬㄬˉˋ˪ˊ˫˙|"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9"/>
      <c r="BA13" s="2"/>
      <c r="BB13" s="536" cm="1">
        <f t="array" ref="BB13" xml:space="preserve"> COLUMN() - COLUMN($BB:$BB)</f>
        <v>0</v>
      </c>
      <c r="BC13" s="536" cm="1">
        <f t="array" ref="BC13" xml:space="preserve"> COLUMN() - COLUMN($BB:$BB)</f>
        <v>1</v>
      </c>
      <c r="BD13" s="536" cm="1">
        <f t="array" ref="BD13" xml:space="preserve"> COLUMN() - COLUMN($BB:$BB)</f>
        <v>2</v>
      </c>
      <c r="BE13" s="536" cm="1">
        <f t="array" ref="BE13" xml:space="preserve"> COLUMN() - COLUMN($BB:$BB)</f>
        <v>3</v>
      </c>
      <c r="BF13" s="536" cm="1">
        <f t="array" ref="BF13" xml:space="preserve"> COLUMN() - COLUMN($BB:$BB)</f>
        <v>4</v>
      </c>
      <c r="BG13" s="536" cm="1">
        <f t="array" ref="BG13" xml:space="preserve"> COLUMN() - COLUMN($BB:$BB)</f>
        <v>5</v>
      </c>
      <c r="BH13" s="536" cm="1">
        <f t="array" ref="BH13" xml:space="preserve"> COLUMN() - COLUMN($BB:$BB)</f>
        <v>6</v>
      </c>
      <c r="BI13" s="536" cm="1">
        <f t="array" ref="BI13" xml:space="preserve"> COLUMN() - COLUMN($BB:$BB)</f>
        <v>7</v>
      </c>
      <c r="BJ13" s="536" cm="1">
        <f t="array" ref="BJ13" xml:space="preserve"> COLUMN() - COLUMN($BB:$BB)</f>
        <v>8</v>
      </c>
      <c r="BK13" s="536" cm="1">
        <f t="array" ref="BK13" xml:space="preserve"> COLUMN() - COLUMN($BB:$BB)</f>
        <v>9</v>
      </c>
      <c r="BL13" s="536" cm="1">
        <f t="array" ref="BL13" xml:space="preserve"> COLUMN() - COLUMN($BB:$BB)</f>
        <v>10</v>
      </c>
      <c r="BM13" s="536" cm="1">
        <f t="array" ref="BM13" xml:space="preserve"> COLUMN() - COLUMN($BB:$BB)</f>
        <v>11</v>
      </c>
      <c r="BN13" s="536" cm="1">
        <f t="array" ref="BN13" xml:space="preserve"> COLUMN() - COLUMN($BB:$BB)</f>
        <v>12</v>
      </c>
      <c r="BO13" s="536" cm="1">
        <f t="array" ref="BO13" xml:space="preserve"> COLUMN() - COLUMN($BB:$BB)</f>
        <v>13</v>
      </c>
      <c r="BP13" s="536" cm="1">
        <f t="array" ref="BP13" xml:space="preserve"> COLUMN() - COLUMN($BB:$BB)</f>
        <v>14</v>
      </c>
      <c r="BQ13" s="536" cm="1">
        <f t="array" ref="BQ13" xml:space="preserve"> COLUMN() - COLUMN($BB:$BB)</f>
        <v>15</v>
      </c>
      <c r="BR13" s="536" cm="1">
        <f t="array" ref="BR13" xml:space="preserve"> COLUMN() - COLUMN($BB:$BB)</f>
        <v>16</v>
      </c>
      <c r="BS13" s="536" cm="1">
        <f t="array" ref="BS13" xml:space="preserve"> COLUMN() - COLUMN($BB:$BB)</f>
        <v>17</v>
      </c>
      <c r="BT13" s="536" cm="1">
        <f t="array" ref="BT13" xml:space="preserve"> COLUMN() - COLUMN($BB:$BB)</f>
        <v>18</v>
      </c>
      <c r="BU13" s="536" cm="1">
        <f t="array" ref="BU13" xml:space="preserve"> COLUMN() - COLUMN($BB:$BB)</f>
        <v>19</v>
      </c>
      <c r="BV13" s="536" cm="1">
        <f t="array" ref="BV13" xml:space="preserve"> COLUMN() - COLUMN($BB:$BB)</f>
        <v>20</v>
      </c>
      <c r="BW13" s="536" cm="1">
        <f t="array" ref="BW13" xml:space="preserve"> COLUMN() - COLUMN($BB:$BB)</f>
        <v>21</v>
      </c>
      <c r="BX13" s="536" cm="1">
        <f t="array" ref="BX13" xml:space="preserve"> COLUMN() - COLUMN($BB:$BB)</f>
        <v>22</v>
      </c>
      <c r="BY13" s="536" cm="1">
        <f t="array" ref="BY13" xml:space="preserve"> COLUMN() - COLUMN($BB:$BB)</f>
        <v>23</v>
      </c>
      <c r="BZ13" s="536" cm="1">
        <f t="array" ref="BZ13" xml:space="preserve"> COLUMN() - COLUMN($BB:$BB)</f>
        <v>24</v>
      </c>
      <c r="CA13" s="536" cm="1">
        <f t="array" ref="CA13" xml:space="preserve"> COLUMN() - COLUMN($BB:$BB)</f>
        <v>25</v>
      </c>
      <c r="CB13" s="536" cm="1">
        <f t="array" ref="CB13" xml:space="preserve"> COLUMN() - COLUMN($BB:$BB)</f>
        <v>26</v>
      </c>
      <c r="CC13" s="536" cm="1">
        <f t="array" ref="CC13" xml:space="preserve"> COLUMN() - COLUMN($BB:$BB)</f>
        <v>27</v>
      </c>
      <c r="CD13" s="536" cm="1">
        <f t="array" ref="CD13" xml:space="preserve"> COLUMN() - COLUMN($BB:$BB)</f>
        <v>28</v>
      </c>
      <c r="CE13" s="536" cm="1">
        <f t="array" ref="CE13" xml:space="preserve"> COLUMN() - COLUMN($BB:$BB)</f>
        <v>29</v>
      </c>
      <c r="CF13" s="536" cm="1">
        <f t="array" ref="CF13" xml:space="preserve"> COLUMN() - COLUMN($BB:$BB)</f>
        <v>30</v>
      </c>
      <c r="CG13" s="536" cm="1">
        <f t="array" ref="CG13" xml:space="preserve"> COLUMN() - COLUMN($BB:$BB)</f>
        <v>31</v>
      </c>
      <c r="CH13" s="536" cm="1">
        <f t="array" ref="CH13" xml:space="preserve"> COLUMN() - COLUMN($BB:$BB)</f>
        <v>32</v>
      </c>
      <c r="CI13" s="536" cm="1">
        <f t="array" ref="CI13" xml:space="preserve"> COLUMN() - COLUMN($BB:$BB)</f>
        <v>33</v>
      </c>
      <c r="CJ13" s="536" cm="1">
        <f t="array" ref="CJ13" xml:space="preserve"> COLUMN() - COLUMN($BB:$BB)</f>
        <v>34</v>
      </c>
      <c r="CK13" s="536" cm="1">
        <f t="array" ref="CK13" xml:space="preserve"> COLUMN() - COLUMN($BB:$BB)</f>
        <v>35</v>
      </c>
      <c r="CL13" s="536" cm="1">
        <f t="array" ref="CL13" xml:space="preserve"> COLUMN() - COLUMN($BB:$BB)</f>
        <v>36</v>
      </c>
      <c r="CM13" s="536" cm="1">
        <f t="array" ref="CM13" xml:space="preserve"> COLUMN() - COLUMN($BB:$BB)</f>
        <v>37</v>
      </c>
      <c r="CN13" s="536" cm="1">
        <f t="array" ref="CN13" xml:space="preserve"> COLUMN() - COLUMN($BB:$BB)</f>
        <v>38</v>
      </c>
      <c r="CO13" s="536" cm="1">
        <f t="array" ref="CO13" xml:space="preserve"> COLUMN() - COLUMN($BB:$BB)</f>
        <v>39</v>
      </c>
      <c r="CP13" s="536" cm="1">
        <f t="array" ref="CP13" xml:space="preserve"> COLUMN() - COLUMN($BB:$BB)</f>
        <v>40</v>
      </c>
      <c r="CQ13" s="536" cm="1">
        <f t="array" ref="CQ13" xml:space="preserve"> COLUMN() - COLUMN($BB:$BB)</f>
        <v>41</v>
      </c>
      <c r="CR13" s="536" cm="1">
        <f t="array" ref="CR13" xml:space="preserve"> COLUMN() - COLUMN($BB:$BB)</f>
        <v>42</v>
      </c>
      <c r="CS13" s="536" cm="1">
        <f t="array" ref="CS13" xml:space="preserve"> COLUMN() - COLUMN($BB:$BB)</f>
        <v>43</v>
      </c>
      <c r="CT13" s="536" cm="1">
        <f t="array" ref="CT13" xml:space="preserve"> COLUMN() - COLUMN($BB:$BB)</f>
        <v>44</v>
      </c>
      <c r="CU13" s="536" cm="1">
        <f t="array" ref="CU13" xml:space="preserve"> COLUMN() - COLUMN($BB:$BB)</f>
        <v>45</v>
      </c>
      <c r="CV13" s="536" cm="1">
        <f t="array" ref="CV13" xml:space="preserve"> COLUMN() - COLUMN($BB:$BB)</f>
        <v>46</v>
      </c>
      <c r="CW13" s="536" cm="1">
        <f t="array" ref="CW13" xml:space="preserve"> COLUMN() - COLUMN($BB:$BB)</f>
        <v>47</v>
      </c>
      <c r="CX13" s="536" cm="1">
        <f t="array" ref="CX13" xml:space="preserve"> COLUMN() - COLUMN($BB:$BB)</f>
        <v>48</v>
      </c>
      <c r="CY13" s="536" cm="1">
        <f t="array" ref="CY13" xml:space="preserve"> COLUMN() - COLUMN($BB:$BB)</f>
        <v>49</v>
      </c>
      <c r="CZ13" s="536" cm="1">
        <f t="array" ref="CZ13" xml:space="preserve"> COLUMN() - COLUMN($BB:$BB)</f>
        <v>50</v>
      </c>
      <c r="DA13" s="536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str" cm="1">
        <f t="array" ref="W14" xml:space="preserve"> INDEX(注音編碼對照表[注音符號], MATCH(TRUE, EXACT(表格1_33411[[#This Row],[注音編碼]], 注音編碼對照表[注音編碼]), 0))</f>
        <v>ㄏ</v>
      </c>
      <c r="X14" s="364" t="str" cm="1">
        <f t="array" ref="X14" xml:space="preserve"> INDEX(注音編碼對照表!$J$3:$J$54, MATCH(TRUE, EXACT(表格1_33411[[#This Row],[注音編碼]], 注音編碼對照表!$D$3:$D$49), 0))</f>
        <v>h</v>
      </c>
      <c r="Y14" s="24"/>
      <c r="Z14" s="31">
        <f t="shared" si="10"/>
        <v>12</v>
      </c>
      <c r="AA14" s="71" t="str">
        <f>注音編碼對照表!$C14</f>
        <v>n</v>
      </c>
      <c r="AB14" s="352" t="str" cm="1">
        <f t="array" ref="AB14" xml:space="preserve"> INDEX(注音編碼對照表[注音編碼],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86" t="str" cm="1">
        <f t="array" ref="AD14" xml:space="preserve"> INDEX(注音編碼對照表[注音符號], MATCH(TRUE, EXACT(RIME設定解析!$AA14, 注音編碼對照表[鍵盤按鍵] ),0))</f>
        <v>ㄙ</v>
      </c>
      <c r="AE14" s="433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ㄙ</v>
      </c>
      <c r="AH14" s="2"/>
      <c r="AI14" s="373" t="s">
        <v>11</v>
      </c>
      <c r="AJ14" s="1">
        <f xml:space="preserve"> LEN(AK14)</f>
        <v>47</v>
      </c>
      <c r="AK14" s="527" t="str">
        <f xml:space="preserve"> _xlfn.CONCAT($AA3:$AA$49)</f>
        <v>1q!a2wsxyhbnedEgcuj8ik,9l0;-UJ*I&lt;(LMo/pm. 43657</v>
      </c>
      <c r="AX14" s="38" t="s">
        <v>25</v>
      </c>
      <c r="AY14" s="401" t="str">
        <f>AY10</f>
        <v>J</v>
      </c>
      <c r="AZ14" s="40">
        <f xml:space="preserve"> FIND(AY14, AK14)</f>
        <v>30</v>
      </c>
      <c r="BA14" s="2"/>
      <c r="BB14" s="387"/>
      <c r="BC14" s="532" t="str">
        <f t="shared" ref="BC14:CG14" si="15" xml:space="preserve"> MID($AK$14, BC$13, 1)</f>
        <v>1</v>
      </c>
      <c r="BD14" s="531" t="str">
        <f t="shared" si="15"/>
        <v>q</v>
      </c>
      <c r="BE14" s="532" t="str">
        <f t="shared" si="15"/>
        <v>!</v>
      </c>
      <c r="BF14" s="532" t="str">
        <f t="shared" si="15"/>
        <v>a</v>
      </c>
      <c r="BG14" s="532" t="str">
        <f t="shared" si="15"/>
        <v>2</v>
      </c>
      <c r="BH14" s="532" t="str">
        <f t="shared" si="15"/>
        <v>w</v>
      </c>
      <c r="BI14" s="532" t="str">
        <f t="shared" si="15"/>
        <v>s</v>
      </c>
      <c r="BJ14" s="532" t="str">
        <f t="shared" si="15"/>
        <v>x</v>
      </c>
      <c r="BK14" s="532" t="str">
        <f t="shared" si="15"/>
        <v>y</v>
      </c>
      <c r="BL14" s="532" t="str">
        <f t="shared" si="15"/>
        <v>h</v>
      </c>
      <c r="BM14" s="532" t="str">
        <f t="shared" si="15"/>
        <v>b</v>
      </c>
      <c r="BN14" s="532" t="str">
        <f t="shared" si="15"/>
        <v>n</v>
      </c>
      <c r="BO14" s="532" t="str">
        <f t="shared" si="15"/>
        <v>e</v>
      </c>
      <c r="BP14" s="532" t="str">
        <f t="shared" si="15"/>
        <v>d</v>
      </c>
      <c r="BQ14" s="532" t="str">
        <f t="shared" si="15"/>
        <v>E</v>
      </c>
      <c r="BR14" s="532" t="str">
        <f t="shared" si="15"/>
        <v>g</v>
      </c>
      <c r="BS14" s="532" t="str">
        <f t="shared" si="15"/>
        <v>c</v>
      </c>
      <c r="BT14" s="532" t="str">
        <f t="shared" si="15"/>
        <v>u</v>
      </c>
      <c r="BU14" s="532" t="str">
        <f t="shared" si="15"/>
        <v>j</v>
      </c>
      <c r="BV14" s="532" t="str">
        <f t="shared" si="15"/>
        <v>8</v>
      </c>
      <c r="BW14" s="532" t="str">
        <f t="shared" si="15"/>
        <v>i</v>
      </c>
      <c r="BX14" s="532" t="str">
        <f t="shared" si="15"/>
        <v>k</v>
      </c>
      <c r="BY14" s="532" t="str">
        <f t="shared" si="15"/>
        <v>,</v>
      </c>
      <c r="BZ14" s="532" t="str">
        <f t="shared" si="15"/>
        <v>9</v>
      </c>
      <c r="CA14" s="532" t="str">
        <f t="shared" si="15"/>
        <v>l</v>
      </c>
      <c r="CB14" s="532" t="str">
        <f t="shared" si="15"/>
        <v>0</v>
      </c>
      <c r="CC14" s="532" t="str">
        <f t="shared" si="15"/>
        <v>;</v>
      </c>
      <c r="CD14" s="532" t="str">
        <f t="shared" si="15"/>
        <v>-</v>
      </c>
      <c r="CE14" s="535" t="str">
        <f t="shared" si="15"/>
        <v>U</v>
      </c>
      <c r="CF14" s="534" t="str">
        <f t="shared" si="15"/>
        <v>J</v>
      </c>
      <c r="CG14" s="532" t="str">
        <f t="shared" si="15"/>
        <v>*</v>
      </c>
      <c r="CH14" s="532" t="str">
        <f t="shared" ref="CH14:DA14" si="16" xml:space="preserve"> MID($AK$14, CH$13, 1)</f>
        <v>I</v>
      </c>
      <c r="CI14" s="532" t="str">
        <f t="shared" si="16"/>
        <v>&lt;</v>
      </c>
      <c r="CJ14" s="532" t="str">
        <f t="shared" si="16"/>
        <v>(</v>
      </c>
      <c r="CK14" s="532" t="str">
        <f t="shared" si="16"/>
        <v>L</v>
      </c>
      <c r="CL14" s="532" t="str">
        <f t="shared" si="16"/>
        <v>M</v>
      </c>
      <c r="CM14" s="532" t="str">
        <f t="shared" si="16"/>
        <v>o</v>
      </c>
      <c r="CN14" s="532" t="str">
        <f t="shared" si="16"/>
        <v>/</v>
      </c>
      <c r="CO14" s="532" t="str">
        <f t="shared" si="16"/>
        <v>p</v>
      </c>
      <c r="CP14" s="533" t="str">
        <f t="shared" si="16"/>
        <v>m</v>
      </c>
      <c r="CQ14" s="533" t="str">
        <f t="shared" si="16"/>
        <v>.</v>
      </c>
      <c r="CR14" s="533" t="str">
        <f t="shared" si="16"/>
        <v xml:space="preserve"> </v>
      </c>
      <c r="CS14" s="533" t="str">
        <f t="shared" si="16"/>
        <v>4</v>
      </c>
      <c r="CT14" s="533" t="str">
        <f t="shared" si="16"/>
        <v>3</v>
      </c>
      <c r="CU14" s="533" t="str">
        <f t="shared" si="16"/>
        <v>6</v>
      </c>
      <c r="CV14" s="532" t="str">
        <f t="shared" si="16"/>
        <v>5</v>
      </c>
      <c r="CW14" s="532" t="str">
        <f t="shared" si="16"/>
        <v>7</v>
      </c>
      <c r="CX14" s="388" t="str">
        <f t="shared" si="16"/>
        <v/>
      </c>
      <c r="CY14" s="388" t="str">
        <f t="shared" si="16"/>
        <v/>
      </c>
      <c r="CZ14" s="388" t="str">
        <f t="shared" si="16"/>
        <v/>
      </c>
      <c r="DA14" s="388" t="str">
        <f t="shared" si="16"/>
        <v/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str" cm="1">
        <f t="array" ref="W15" xml:space="preserve"> INDEX(注音編碼對照表[注音符號], MATCH(TRUE, EXACT(表格1_33411[[#This Row],[注音編碼]], 注音編碼對照表[注音編碼]), 0))</f>
        <v>ㄗ</v>
      </c>
      <c r="X15" s="364" t="str" cm="1">
        <f t="array" ref="X15" xml:space="preserve"> INDEX(注音編碼對照表!$J$3:$J$54, MATCH(TRUE, EXACT(表格1_33411[[#This Row],[注音編碼]], 注音編碼對照表!$D$3:$D$49), 0))</f>
        <v>z</v>
      </c>
      <c r="Y15" s="24"/>
      <c r="Z15" s="31">
        <f t="shared" si="10"/>
        <v>13</v>
      </c>
      <c r="AA15" s="71" t="str">
        <f>注音編碼對照表!$C15</f>
        <v>e</v>
      </c>
      <c r="AB15" s="352" t="str" cm="1">
        <f t="array" ref="AB15" xml:space="preserve"> INDEX(注音編碼對照表[注音編碼], MATCH(TRUE, EXACT(RIME設定解析!$AA15, 注音編碼對照表[鍵盤按鍵] ),0))</f>
        <v>k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86" t="str" cm="1">
        <f t="array" ref="AD15" xml:space="preserve"> INDEX(注音編碼對照表[注音符號], MATCH(TRUE, EXACT(RIME設定解析!$AA15, 注音編碼對照表[鍵盤按鍵] ),0))</f>
        <v>ㄍ</v>
      </c>
      <c r="AE15" s="433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ㄍ</v>
      </c>
      <c r="AH15" s="2"/>
      <c r="AI15" s="375" t="s">
        <v>13</v>
      </c>
      <c r="AJ15" s="1">
        <f xml:space="preserve"> LEN(AK15)</f>
        <v>47</v>
      </c>
      <c r="AK15" s="530" t="str">
        <f xml:space="preserve"> _xlfn.CONCAT($AC3:$AC$49)</f>
        <v>ㄅㄆㆠㄇㄉㄊㄋㄌㄗㄘㆡㄙㄍㄎㆣㄫㄏㄧㄨㄚㆦㄜㆤㄞㄠㄢㄤㆨㆪㆫㆩㆧㆥㆮㆯㆰㆲㆭㄣㆬㄬˉˋ˪ˊ˫˙</v>
      </c>
      <c r="AY15" s="49" t="str">
        <f xml:space="preserve"> MID(AK15, AZ14, 1)</f>
        <v>ㆫ</v>
      </c>
      <c r="AZ15" s="40"/>
      <c r="BA15" s="2"/>
      <c r="BB15" s="387"/>
      <c r="BC15" s="532" t="str">
        <f t="shared" ref="BC15:CG15" si="17" xml:space="preserve"> MID($AK$15, BC$13, 1)</f>
        <v>ㄅ</v>
      </c>
      <c r="BD15" s="532" t="str">
        <f t="shared" si="17"/>
        <v>ㄆ</v>
      </c>
      <c r="BE15" s="532" t="str">
        <f t="shared" si="17"/>
        <v>ㆠ</v>
      </c>
      <c r="BF15" s="532" t="str">
        <f t="shared" si="17"/>
        <v>ㄇ</v>
      </c>
      <c r="BG15" s="532" t="str">
        <f t="shared" si="17"/>
        <v>ㄉ</v>
      </c>
      <c r="BH15" s="532" t="str">
        <f t="shared" si="17"/>
        <v>ㄊ</v>
      </c>
      <c r="BI15" s="532" t="str">
        <f t="shared" si="17"/>
        <v>ㄋ</v>
      </c>
      <c r="BJ15" s="532" t="str">
        <f t="shared" si="17"/>
        <v>ㄌ</v>
      </c>
      <c r="BK15" s="532" t="str">
        <f t="shared" si="17"/>
        <v>ㄗ</v>
      </c>
      <c r="BL15" s="532" t="str">
        <f t="shared" si="17"/>
        <v>ㄘ</v>
      </c>
      <c r="BM15" s="532" t="str">
        <f t="shared" si="17"/>
        <v>ㆡ</v>
      </c>
      <c r="BN15" s="532" t="str">
        <f t="shared" si="17"/>
        <v>ㄙ</v>
      </c>
      <c r="BO15" s="532" t="str">
        <f t="shared" si="17"/>
        <v>ㄍ</v>
      </c>
      <c r="BP15" s="532" t="str">
        <f t="shared" si="17"/>
        <v>ㄎ</v>
      </c>
      <c r="BQ15" s="532" t="str">
        <f t="shared" si="17"/>
        <v>ㆣ</v>
      </c>
      <c r="BR15" s="532" t="str">
        <f t="shared" si="17"/>
        <v>ㄫ</v>
      </c>
      <c r="BS15" s="532" t="str">
        <f t="shared" si="17"/>
        <v>ㄏ</v>
      </c>
      <c r="BT15" s="532" t="str">
        <f t="shared" si="17"/>
        <v>ㄧ</v>
      </c>
      <c r="BU15" s="532" t="str">
        <f t="shared" si="17"/>
        <v>ㄨ</v>
      </c>
      <c r="BV15" s="532" t="str">
        <f t="shared" si="17"/>
        <v>ㄚ</v>
      </c>
      <c r="BW15" s="532" t="str">
        <f t="shared" si="17"/>
        <v>ㆦ</v>
      </c>
      <c r="BX15" s="532" t="str">
        <f t="shared" si="17"/>
        <v>ㄜ</v>
      </c>
      <c r="BY15" s="532" t="str">
        <f t="shared" si="17"/>
        <v>ㆤ</v>
      </c>
      <c r="BZ15" s="532" t="str">
        <f t="shared" si="17"/>
        <v>ㄞ</v>
      </c>
      <c r="CA15" s="532" t="str">
        <f t="shared" si="17"/>
        <v>ㄠ</v>
      </c>
      <c r="CB15" s="532" t="str">
        <f t="shared" si="17"/>
        <v>ㄢ</v>
      </c>
      <c r="CC15" s="532" t="str">
        <f t="shared" si="17"/>
        <v>ㄤ</v>
      </c>
      <c r="CD15" s="532" t="str">
        <f t="shared" si="17"/>
        <v>ㆨ</v>
      </c>
      <c r="CE15" s="535" t="str">
        <f t="shared" si="17"/>
        <v>ㆪ</v>
      </c>
      <c r="CF15" s="534" t="str">
        <f t="shared" si="17"/>
        <v>ㆫ</v>
      </c>
      <c r="CG15" s="532" t="str">
        <f t="shared" si="17"/>
        <v>ㆩ</v>
      </c>
      <c r="CH15" s="532" t="str">
        <f t="shared" ref="CH15:DA15" si="18" xml:space="preserve"> MID($AK$15, CH$13, 1)</f>
        <v>ㆧ</v>
      </c>
      <c r="CI15" s="532" t="str">
        <f t="shared" si="18"/>
        <v>ㆥ</v>
      </c>
      <c r="CJ15" s="532" t="str">
        <f t="shared" si="18"/>
        <v>ㆮ</v>
      </c>
      <c r="CK15" s="532" t="str">
        <f t="shared" si="18"/>
        <v>ㆯ</v>
      </c>
      <c r="CL15" s="532" t="str">
        <f t="shared" si="18"/>
        <v>ㆰ</v>
      </c>
      <c r="CM15" s="532" t="str">
        <f t="shared" si="18"/>
        <v>ㆲ</v>
      </c>
      <c r="CN15" s="532" t="str">
        <f t="shared" si="18"/>
        <v>ㆭ</v>
      </c>
      <c r="CO15" s="532" t="str">
        <f t="shared" si="18"/>
        <v>ㄣ</v>
      </c>
      <c r="CP15" s="533" t="str">
        <f t="shared" si="18"/>
        <v>ㆬ</v>
      </c>
      <c r="CQ15" s="533" t="str">
        <f t="shared" si="18"/>
        <v>ㄬ</v>
      </c>
      <c r="CR15" s="533" t="str">
        <f t="shared" si="18"/>
        <v>ˉ</v>
      </c>
      <c r="CS15" s="533" t="str">
        <f t="shared" si="18"/>
        <v>ˋ</v>
      </c>
      <c r="CT15" s="533" t="str">
        <f t="shared" si="18"/>
        <v>˪</v>
      </c>
      <c r="CU15" s="533" t="str">
        <f t="shared" si="18"/>
        <v>ˊ</v>
      </c>
      <c r="CV15" s="532" t="str">
        <f t="shared" si="18"/>
        <v>˫</v>
      </c>
      <c r="CW15" s="532" t="str">
        <f t="shared" si="18"/>
        <v>˙</v>
      </c>
      <c r="CX15" s="388" t="str">
        <f t="shared" si="18"/>
        <v/>
      </c>
      <c r="CY15" s="388" t="str">
        <f t="shared" si="18"/>
        <v/>
      </c>
      <c r="CZ15" s="388" t="str">
        <f t="shared" si="18"/>
        <v/>
      </c>
      <c r="DA15" s="388" t="str">
        <f t="shared" si="18"/>
        <v/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str" cm="1">
        <f t="array" ref="W16" xml:space="preserve"> INDEX(注音編碼對照表[注音符號], MATCH(TRUE, EXACT(表格1_33411[[#This Row],[注音編碼]], 注音編碼對照表[注音編碼]), 0))</f>
        <v>ㄘ</v>
      </c>
      <c r="X16" s="364" t="str" cm="1">
        <f t="array" ref="X16" xml:space="preserve"> INDEX(注音編碼對照表!$J$3:$J$54, MATCH(TRUE, EXACT(表格1_33411[[#This Row],[注音編碼]], 注音編碼對照表!$D$3:$D$49), 0))</f>
        <v>c</v>
      </c>
      <c r="Y16" s="24"/>
      <c r="Z16" s="31">
        <f t="shared" si="10"/>
        <v>14</v>
      </c>
      <c r="AA16" s="71" t="str">
        <f>注音編碼對照表!$C16</f>
        <v>d</v>
      </c>
      <c r="AB16" s="352" t="str" cm="1">
        <f t="array" ref="AB16" xml:space="preserve"> INDEX(注音編碼對照表[注音編碼],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86" t="str" cm="1">
        <f t="array" ref="AD16" xml:space="preserve"> INDEX(注音編碼對照表[注音符號], MATCH(TRUE, EXACT(RIME設定解析!$AA16, 注音編碼對照表[鍵盤按鍵] ),0))</f>
        <v>ㄎ</v>
      </c>
      <c r="AE16" s="433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ㄎ</v>
      </c>
      <c r="AH16" s="2"/>
      <c r="AI16" s="370"/>
      <c r="AJ16" s="2"/>
      <c r="AL16" s="54"/>
      <c r="AY16" s="11"/>
      <c r="BA16" s="2"/>
      <c r="BB16" s="386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str" cm="1">
        <f t="array" ref="W17" xml:space="preserve"> INDEX(注音編碼對照表[注音符號], MATCH(TRUE, EXACT(表格1_33411[[#This Row],[注音編碼]], 注音編碼對照表[注音編碼]), 0))</f>
        <v>ㄙ</v>
      </c>
      <c r="X17" s="364" t="str" cm="1">
        <f t="array" ref="X17" xml:space="preserve"> INDEX(注音編碼對照表!$J$3:$J$54, MATCH(TRUE, EXACT(表格1_33411[[#This Row],[注音編碼]], 注音編碼對照表!$D$3:$D$49), 0))</f>
        <v>s</v>
      </c>
      <c r="Y17" s="24"/>
      <c r="Z17" s="31">
        <f t="shared" si="10"/>
        <v>15</v>
      </c>
      <c r="AA17" s="71" t="str">
        <f>注音編碼對照表!$C17</f>
        <v>E</v>
      </c>
      <c r="AB17" s="352" t="str" cm="1">
        <f t="array" ref="AB17" xml:space="preserve"> INDEX(注音編碼對照表[注音編碼],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86" t="str" cm="1">
        <f t="array" ref="AD17" xml:space="preserve"> INDEX(注音編碼對照表[注音符號], MATCH(TRUE, EXACT(RIME設定解析!$AA17, 注音編碼對照表[鍵盤按鍵] ),0))</f>
        <v>ㄍㆷ</v>
      </c>
      <c r="AE17" s="433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ㄍㆷ</v>
      </c>
      <c r="AH17" s="2"/>
      <c r="AI17" s="371" t="s">
        <v>45</v>
      </c>
      <c r="AJ17" s="2"/>
      <c r="AK17" s="398" t="str">
        <f xml:space="preserve"> """xlit|" &amp; AK18 &amp; "|" &amp; AK19 &amp; "|"""</f>
        <v>"xlit|pPbmtTnlzcjskKgwhiuaOoeyx@GRIUAQEYXVHWNMB123570|ㄅㄆㆠㄇㄉㄊㄋㄌㄗㄘㆡㄙㄍㄎㆣㄫㄏㄧㄨㄚㆦㄜㆤㄞㄠㄢㄤㆨㆪㆫㆩㆧㆥㆮㆯㆰㆲㆭㄣㆬㄬˉˋ˪ˊ˫˙|"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9"/>
      <c r="BA17" s="2"/>
      <c r="BB17" s="386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str" cm="1">
        <f t="array" ref="W18" xml:space="preserve"> INDEX(注音編碼對照表[注音符號], MATCH(TRUE, EXACT(表格1_33411[[#This Row],[注音編碼]], 注音編碼對照表[注音編碼]), 0))</f>
        <v>ㄖ</v>
      </c>
      <c r="X18" s="364" t="str" cm="1">
        <f t="array" ref="X18" xml:space="preserve"> INDEX(注音編碼對照表!$J$3:$J$54, MATCH(TRUE, EXACT(表格1_33411[[#This Row],[注音編碼]], 注音編碼對照表!$D$3:$D$49), 0))</f>
        <v>j</v>
      </c>
      <c r="Y18" s="24"/>
      <c r="Z18" s="31">
        <f t="shared" si="10"/>
        <v>16</v>
      </c>
      <c r="AA18" s="71" t="str">
        <f>注音編碼對照表!$C18</f>
        <v>g</v>
      </c>
      <c r="AB18" s="352" t="str" cm="1">
        <f t="array" ref="AB18" xml:space="preserve"> INDEX(注音編碼對照表[注音編碼],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86" t="str" cm="1">
        <f t="array" ref="AD18" xml:space="preserve"> INDEX(注音編碼對照表[注音符號], MATCH(TRUE, EXACT(RIME設定解析!$AA18, 注音編碼對照表[鍵盤按鍵] ),0))</f>
        <v>ㄥ</v>
      </c>
      <c r="AE18" s="433" t="str" cm="1">
        <f t="array" ref="AE18" xml:space="preserve"> INDEX(注音編碼對照表[台語音標], MATCH(TRUE, EXACT(RIME設定解析!$AA18, 注音編碼對照表[鍵盤按鍵] ),0))</f>
        <v>ng-</v>
      </c>
      <c r="AF18" s="364"/>
      <c r="AG18" s="364" t="str">
        <f t="shared" si="8"/>
        <v>"g" : ㄥ</v>
      </c>
      <c r="AH18" s="2"/>
      <c r="AI18" s="372" t="s">
        <v>584</v>
      </c>
      <c r="AJ18" s="1">
        <f xml:space="preserve"> LEN(AK18)</f>
        <v>47</v>
      </c>
      <c r="AK18" s="37" t="str">
        <f xml:space="preserve"> _xlfn.CONCAT(AB$3:AB$49)</f>
        <v>pPbmtTnlzcjskKgwhiuaOoeyx@GRIUAQEYXVHWNMB123570</v>
      </c>
      <c r="AX18" s="38" t="s">
        <v>25</v>
      </c>
      <c r="AY18" s="401" t="str">
        <f>AY9</f>
        <v>U</v>
      </c>
      <c r="AZ18" s="40">
        <f xml:space="preserve"> FIND(AY18, AK18)</f>
        <v>30</v>
      </c>
      <c r="BA18" s="2"/>
      <c r="BB18" s="386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INDEX(注音編碼對照表[注音符號], MATCH(TRUE, EXACT(表格1_33411[[#This Row],[注音編碼]], 注音編碼對照表[注音編碼]), 0))</f>
        <v>#N/A</v>
      </c>
      <c r="X19" s="364" t="e" cm="1">
        <f t="array" ref="X19" xml:space="preserve"> INDEX(注音編碼對照表!$J$3:$J$54, MATCH(TRUE, EXACT(表格1_33411[[#This Row],[注音編碼]], 注音編碼對照表!$D$3:$D$49), 0))</f>
        <v>#N/A</v>
      </c>
      <c r="Y19" s="24"/>
      <c r="Z19" s="31">
        <f t="shared" si="10"/>
        <v>17</v>
      </c>
      <c r="AA19" s="71" t="str">
        <f>注音編碼對照表!$C19</f>
        <v>c</v>
      </c>
      <c r="AB19" s="352" t="str" cm="1">
        <f t="array" ref="AB19" xml:space="preserve"> INDEX(注音編碼對照表[注音編碼],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86" t="str" cm="1">
        <f t="array" ref="AD19" xml:space="preserve"> INDEX(注音編碼對照表[注音符號], MATCH(TRUE, EXACT(RIME設定解析!$AA19, 注音編碼對照表[鍵盤按鍵] ),0))</f>
        <v>ㄏ</v>
      </c>
      <c r="AE19" s="433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ㄏ</v>
      </c>
      <c r="AH19" s="2"/>
      <c r="AI19" s="375" t="s">
        <v>625</v>
      </c>
      <c r="AJ19" s="1">
        <f xml:space="preserve"> LEN(AK19)</f>
        <v>47</v>
      </c>
      <c r="AK19" s="376" t="str">
        <f xml:space="preserve"> _xlfn.CONCAT(AC3:AC49)</f>
        <v>ㄅㄆㆠㄇㄉㄊㄋㄌㄗㄘㆡㄙㄍㄎㆣㄫㄏㄧㄨㄚㆦㄜㆤㄞㄠㄢㄤㆨㆪㆫㆩㆧㆥㆮㆯㆰㆲㆭㄣㆬㄬˉˋ˪ˊ˫˙</v>
      </c>
      <c r="AY19" s="49" t="str">
        <f xml:space="preserve"> MID(AK19, AZ18, 1)</f>
        <v>ㆫ</v>
      </c>
      <c r="AZ19" s="40"/>
      <c r="BA19" s="2"/>
      <c r="BB19" s="386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INDEX(注音編碼對照表[注音符號], MATCH(TRUE, EXACT(表格1_33411[[#This Row],[注音編碼]], 注音編碼對照表[注音編碼]), 0))</f>
        <v>#N/A</v>
      </c>
      <c r="X20" s="364" t="e" cm="1">
        <f t="array" ref="X20" xml:space="preserve"> INDEX(注音編碼對照表!$J$3:$J$54, MATCH(TRUE, EXACT(表格1_33411[[#This Row],[注音編碼]], 注音編碼對照表!$D$3:$D$49), 0))</f>
        <v>#N/A</v>
      </c>
      <c r="Y20" s="24"/>
      <c r="Z20" s="31">
        <f t="shared" si="10"/>
        <v>18</v>
      </c>
      <c r="AA20" s="71" t="str">
        <f>注音編碼對照表!$C20</f>
        <v>u</v>
      </c>
      <c r="AB20" s="352" t="str" cm="1">
        <f t="array" ref="AB20" xml:space="preserve"> INDEX(注音編碼對照表[注音編碼],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86" t="str" cm="1">
        <f t="array" ref="AD20" xml:space="preserve"> INDEX(注音編碼對照表[注音符號], MATCH(TRUE, EXACT(RIME設定解析!$AA20, 注音編碼對照表[鍵盤按鍵] ),0))</f>
        <v>ㄧ</v>
      </c>
      <c r="AE20" s="433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ㄧ</v>
      </c>
      <c r="AH20" s="2"/>
      <c r="AI20" s="370"/>
      <c r="AJ20" s="2"/>
      <c r="AY20" s="11"/>
      <c r="BA20" s="2"/>
      <c r="BB20" s="386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INDEX(注音編碼對照表[注音符號], MATCH(TRUE, EXACT(表格1_33411[[#This Row],[注音編碼]], 注音編碼對照表[注音編碼]), 0))</f>
        <v>#N/A</v>
      </c>
      <c r="X21" s="364" t="e" cm="1">
        <f t="array" ref="X21" xml:space="preserve"> INDEX(注音編碼對照表!$J$3:$J$54, MATCH(TRUE, EXACT(表格1_33411[[#This Row],[注音編碼]], 注音編碼對照表!$D$3:$D$49), 0))</f>
        <v>#N/A</v>
      </c>
      <c r="Y21" s="24"/>
      <c r="Z21" s="31">
        <f t="shared" si="10"/>
        <v>19</v>
      </c>
      <c r="AA21" s="71" t="str">
        <f>注音編碼對照表!$C21</f>
        <v>j</v>
      </c>
      <c r="AB21" s="352" t="str" cm="1">
        <f t="array" ref="AB21" xml:space="preserve"> INDEX(注音編碼對照表[注音編碼],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86" t="str" cm="1">
        <f t="array" ref="AD21" xml:space="preserve"> INDEX(注音編碼對照表[注音符號], MATCH(TRUE, EXACT(RIME設定解析!$AA21, 注音編碼對照表[鍵盤按鍵] ),0))</f>
        <v>ㄨ</v>
      </c>
      <c r="AE21" s="433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ㄨ</v>
      </c>
      <c r="AH21" s="2"/>
      <c r="AI21" s="370"/>
      <c r="AJ21" s="2"/>
      <c r="AY21" s="11"/>
      <c r="BA21" s="2"/>
      <c r="BB21" s="386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str" cm="1">
        <f t="array" ref="W22" xml:space="preserve"> INDEX(注音編碼對照表[注音符號], MATCH(TRUE, EXACT(表格1_33411[[#This Row],[注音編碼]], 注音編碼對照表[注音編碼]), 0))</f>
        <v>ㄥ</v>
      </c>
      <c r="X22" s="364" t="str" cm="1">
        <f t="array" ref="X22" xml:space="preserve"> INDEX(注音編碼對照表!$J$3:$J$54, MATCH(TRUE, EXACT(表格1_33411[[#This Row],[注音編碼]], 注音編碼對照表!$D$3:$D$49), 0))</f>
        <v>ng-</v>
      </c>
      <c r="Y22" s="24"/>
      <c r="Z22" s="31">
        <f t="shared" si="10"/>
        <v>20</v>
      </c>
      <c r="AA22" s="71" t="str">
        <f>注音編碼對照表!$C22</f>
        <v>8</v>
      </c>
      <c r="AB22" s="352" t="str" cm="1">
        <f t="array" ref="AB22" xml:space="preserve"> INDEX(注音編碼對照表[注音編碼],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86" t="str" cm="1">
        <f t="array" ref="AD22" xml:space="preserve"> INDEX(注音編碼對照表[注音符號], MATCH(TRUE, EXACT(RIME設定解析!$AA22, 注音編碼對照表[鍵盤按鍵] ),0))</f>
        <v>ㄚ</v>
      </c>
      <c r="AE22" s="433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ㄚ</v>
      </c>
      <c r="AH22" s="2"/>
      <c r="AI22" s="370"/>
      <c r="AJ22" s="2"/>
      <c r="AY22" s="11"/>
      <c r="BA22" s="2"/>
      <c r="BB22" s="386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9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str" cm="1">
        <f t="array" ref="W23" xml:space="preserve"> INDEX(注音編碼對照表[注音符號], MATCH(TRUE, EXACT(表格1_33411[[#This Row],[注音編碼]], 注音編碼對照表[注音編碼]), 0))</f>
        <v>ㄧ</v>
      </c>
      <c r="X23" s="364" t="str" cm="1">
        <f t="array" ref="X23" xml:space="preserve"> INDEX(注音編碼對照表!$J$3:$J$54, MATCH(TRUE, EXACT(表格1_33411[[#This Row],[注音編碼]], 注音編碼對照表!$D$3:$D$49), 0))</f>
        <v>i</v>
      </c>
      <c r="Y23" s="24"/>
      <c r="Z23" s="31">
        <f t="shared" si="10"/>
        <v>21</v>
      </c>
      <c r="AA23" s="71" t="str">
        <f>注音編碼對照表!$C23</f>
        <v>i</v>
      </c>
      <c r="AB23" s="352" t="str" cm="1">
        <f t="array" ref="AB23" xml:space="preserve"> INDEX(注音編碼對照表[注音編碼],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86" t="str" cm="1">
        <f t="array" ref="AD23" xml:space="preserve"> INDEX(注音編碼對照表[注音符號], MATCH(TRUE, EXACT(RIME設定解析!$AA23, 注音編碼對照表[鍵盤按鍵] ),0))</f>
        <v>ㄛ</v>
      </c>
      <c r="AE23" s="433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ㄛ</v>
      </c>
      <c r="AH23" s="2"/>
      <c r="AI23" s="370"/>
      <c r="AJ23" s="2"/>
      <c r="AY23" s="11"/>
      <c r="BA23" s="2"/>
      <c r="BB23" s="386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9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str" cm="1">
        <f t="array" ref="W24" xml:space="preserve"> INDEX(注音編碼對照表[注音符號], MATCH(TRUE, EXACT(表格1_33411[[#This Row],[注音編碼]], 注音編碼對照表[注音編碼]), 0))</f>
        <v>ㄨ</v>
      </c>
      <c r="X24" s="364" t="str" cm="1">
        <f t="array" ref="X24" xml:space="preserve"> INDEX(注音編碼對照表!$J$3:$J$54, MATCH(TRUE, EXACT(表格1_33411[[#This Row],[注音編碼]], 注音編碼對照表!$D$3:$D$49), 0))</f>
        <v>u</v>
      </c>
      <c r="Y24" s="24"/>
      <c r="Z24" s="77">
        <f t="shared" si="10"/>
        <v>22</v>
      </c>
      <c r="AA24" s="71" t="str">
        <f>注音編碼對照表!$C24</f>
        <v>k</v>
      </c>
      <c r="AB24" s="352" t="str" cm="1">
        <f t="array" ref="AB24" xml:space="preserve"> INDEX(注音編碼對照表[注音編碼],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86" t="str" cm="1">
        <f t="array" ref="AD24" xml:space="preserve"> INDEX(注音編碼對照表[注音符號], MATCH(TRUE, EXACT(RIME設定解析!$AA24, 注音編碼對照表[鍵盤按鍵] ),0))</f>
        <v>ㄜ</v>
      </c>
      <c r="AE24" s="433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ㄜ</v>
      </c>
      <c r="AH24" s="2"/>
      <c r="AI24" s="370"/>
      <c r="AJ24" s="2"/>
      <c r="AY24" s="11"/>
      <c r="BA24" s="2"/>
      <c r="BB24" s="386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9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str" cm="1">
        <f t="array" ref="W25" xml:space="preserve"> INDEX(注音編碼對照表[注音符號], MATCH(TRUE, EXACT(表格1_33411[[#This Row],[注音編碼]], 注音編碼對照表[注音編碼]), 0))</f>
        <v>ㄇ</v>
      </c>
      <c r="X25" s="364" t="str" cm="1">
        <f t="array" ref="X25" xml:space="preserve"> INDEX(注音編碼對照表!$J$3:$J$54, MATCH(TRUE, EXACT(表格1_33411[[#This Row],[注音編碼]], 注音編碼對照表!$D$3:$D$49), 0))</f>
        <v>-m</v>
      </c>
      <c r="Y25" s="24"/>
      <c r="Z25" s="77">
        <f t="shared" si="10"/>
        <v>23</v>
      </c>
      <c r="AA25" s="71" t="str">
        <f>注音編碼對照表!$C25</f>
        <v>,</v>
      </c>
      <c r="AB25" s="352" t="str" cm="1">
        <f t="array" ref="AB25" xml:space="preserve"> INDEX(注音編碼對照表[注音編碼],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86" t="str" cm="1">
        <f t="array" ref="AD25" xml:space="preserve"> INDEX(注音編碼對照表[注音符號], MATCH(TRUE, EXACT(RIME設定解析!$AA25, 注音編碼對照表[鍵盤按鍵] ),0))</f>
        <v>ㄝ</v>
      </c>
      <c r="AE25" s="433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ㄝ</v>
      </c>
      <c r="AH25" s="2"/>
      <c r="AI25" s="370"/>
      <c r="AJ25" s="2"/>
      <c r="AY25" s="11"/>
      <c r="BA25" s="2"/>
      <c r="BB25" s="386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9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str" cm="1">
        <f t="array" ref="W26" xml:space="preserve"> INDEX(注音編碼對照表[注音符號], MATCH(TRUE, EXACT(表格1_33411[[#This Row],[注音編碼]], 注音編碼對照表[注音編碼]), 0))</f>
        <v>ㄚ</v>
      </c>
      <c r="X26" s="364" t="str" cm="1">
        <f t="array" ref="X26" xml:space="preserve"> INDEX(注音編碼對照表!$J$3:$J$54, MATCH(TRUE, EXACT(表格1_33411[[#This Row],[注音編碼]], 注音編碼對照表!$D$3:$D$49), 0))</f>
        <v>a</v>
      </c>
      <c r="Y26" s="24"/>
      <c r="Z26" s="77">
        <f t="shared" si="10"/>
        <v>24</v>
      </c>
      <c r="AA26" s="71" t="str">
        <f>注音編碼對照表!$C26</f>
        <v>9</v>
      </c>
      <c r="AB26" s="352" t="str" cm="1">
        <f t="array" ref="AB26" xml:space="preserve"> INDEX(注音編碼對照表[注音編碼], MATCH(TRUE, EXACT(RIME設定解析!$AA26, 注音編碼對照表[鍵盤按鍵] ),0))</f>
        <v>y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86" t="str" cm="1">
        <f t="array" ref="AD26" xml:space="preserve"> INDEX(注音編碼對照表[注音符號], MATCH(TRUE, EXACT(RIME設定解析!$AA26, 注音編碼對照表[鍵盤按鍵] ),0))</f>
        <v>ㄞ</v>
      </c>
      <c r="AE26" s="433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ㄥㄧ</v>
      </c>
      <c r="AH26" s="2"/>
      <c r="AI26" s="370" t="s">
        <v>67</v>
      </c>
      <c r="AJ26" s="2"/>
      <c r="AY26" s="11"/>
      <c r="BA26" s="2"/>
      <c r="BB26" s="386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9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str" cm="1">
        <f t="array" ref="W27" xml:space="preserve"> INDEX(注音編碼對照表[注音符號], MATCH(TRUE, EXACT(表格1_33411[[#This Row],[注音編碼]], 注音編碼對照表[注音編碼]), 0))</f>
        <v>ㄛ</v>
      </c>
      <c r="X27" s="364" t="str" cm="1">
        <f t="array" ref="X27" xml:space="preserve"> INDEX(注音編碼對照表!$J$3:$J$54, MATCH(TRUE, EXACT(表格1_33411[[#This Row],[注音編碼]], 注音編碼對照表!$D$3:$D$49), 0))</f>
        <v>oo</v>
      </c>
      <c r="Y27" s="24"/>
      <c r="Z27" s="77">
        <f t="shared" si="10"/>
        <v>25</v>
      </c>
      <c r="AA27" s="71" t="str">
        <f>注音編碼對照表!$C27</f>
        <v>l</v>
      </c>
      <c r="AB27" s="352" t="str" cm="1">
        <f t="array" ref="AB27" xml:space="preserve"> INDEX(注音編碼對照表[注音編碼], MATCH(TRUE, EXACT(RIME設定解析!$AA27, 注音編碼對照表[鍵盤按鍵] ),0))</f>
        <v>x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86" t="str" cm="1">
        <f t="array" ref="AD27" xml:space="preserve"> INDEX(注音編碼對照表[注音符號], MATCH(TRUE, EXACT(RIME設定解析!$AA27, 注音編碼對照表[鍵盤按鍵] ),0))</f>
        <v>ㄠ</v>
      </c>
      <c r="AE27" s="433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ㄞ</v>
      </c>
      <c r="AH27" s="2"/>
      <c r="AI27" s="370" t="s">
        <v>121</v>
      </c>
      <c r="AJ27" s="2"/>
      <c r="AY27" s="11"/>
      <c r="BA27" s="2"/>
      <c r="BB27" s="386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9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str" cm="1">
        <f t="array" ref="W28" xml:space="preserve"> INDEX(注音編碼對照表[注音符號], MATCH(TRUE, EXACT(表格1_33411[[#This Row],[注音編碼]], 注音編碼對照表[注音編碼]), 0))</f>
        <v>ㄜ</v>
      </c>
      <c r="X28" s="364" t="str" cm="1">
        <f t="array" ref="X28" xml:space="preserve"> INDEX(注音編碼對照表!$J$3:$J$54, MATCH(TRUE, EXACT(表格1_33411[[#This Row],[注音編碼]], 注音編碼對照表!$D$3:$D$49), 0))</f>
        <v>o</v>
      </c>
      <c r="Y28" s="24"/>
      <c r="Z28" s="77">
        <f t="shared" si="10"/>
        <v>26</v>
      </c>
      <c r="AA28" s="71" t="str">
        <f>注音編碼對照表!$C28</f>
        <v>0</v>
      </c>
      <c r="AB28" s="352" t="str" cm="1">
        <f t="array" ref="AB28" xml:space="preserve"> INDEX(注音編碼對照表[注音編碼],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86" t="str" cm="1">
        <f t="array" ref="AD28" xml:space="preserve"> INDEX(注音編碼對照表[注音符號], MATCH(TRUE, EXACT(RIME設定解析!$AA28, 注音編碼對照表[鍵盤按鍵] ),0))</f>
        <v>ㄢ</v>
      </c>
      <c r="AE28" s="433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ㄠ</v>
      </c>
      <c r="AH28" s="2"/>
      <c r="AI28" s="370" t="s">
        <v>473</v>
      </c>
      <c r="AJ28" s="2"/>
      <c r="AY28" s="11"/>
      <c r="BA28" s="2"/>
      <c r="BB28" s="386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9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str" cm="1">
        <f t="array" ref="W29" xml:space="preserve"> INDEX(注音編碼對照表[注音符號], MATCH(TRUE, EXACT(表格1_33411[[#This Row],[注音編碼]], 注音編碼對照表[注音編碼]), 0))</f>
        <v>ㄝ</v>
      </c>
      <c r="X29" s="364" t="str" cm="1">
        <f t="array" ref="X29" xml:space="preserve"> INDEX(注音編碼對照表!$J$3:$J$54, MATCH(TRUE, EXACT(表格1_33411[[#This Row],[注音編碼]], 注音編碼對照表!$D$3:$D$49), 0))</f>
        <v>e</v>
      </c>
      <c r="Y29" s="24"/>
      <c r="Z29" s="77">
        <f t="shared" si="10"/>
        <v>27</v>
      </c>
      <c r="AA29" s="71" t="str">
        <f>注音編碼對照表!$C29</f>
        <v>;</v>
      </c>
      <c r="AB29" s="352" t="str" cm="1">
        <f t="array" ref="AB29" xml:space="preserve"> INDEX(注音編碼對照表[注音編碼],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86" t="str" cm="1">
        <f t="array" ref="AD29" xml:space="preserve"> INDEX(注音編碼對照表[注音符號], MATCH(TRUE, EXACT(RIME設定解析!$AA29, 注音編碼對照表[鍵盤按鍵] ),0))</f>
        <v>ㄤ</v>
      </c>
      <c r="AE29" s="433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ㄢ</v>
      </c>
      <c r="AH29" s="2"/>
      <c r="AI29" s="370" t="s">
        <v>61</v>
      </c>
      <c r="AJ29" s="2"/>
      <c r="AY29" s="11"/>
      <c r="BA29" s="2"/>
      <c r="BB29" s="386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9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str" cm="1">
        <f t="array" ref="W30" xml:space="preserve"> INDEX(注音編碼對照表[注音符號], MATCH(TRUE, EXACT(表格1_33411[[#This Row],[注音編碼]], 注音編碼對照表[注音編碼]), 0))</f>
        <v>ㄞ</v>
      </c>
      <c r="X30" s="364" t="str" cm="1">
        <f t="array" ref="X30" xml:space="preserve"> INDEX(注音編碼對照表!$J$3:$J$54, MATCH(TRUE, EXACT(表格1_33411[[#This Row],[注音編碼]], 注音編碼對照表!$D$3:$D$49), 0))</f>
        <v>ai</v>
      </c>
      <c r="Y30" s="24"/>
      <c r="Z30" s="77">
        <f t="shared" si="10"/>
        <v>28</v>
      </c>
      <c r="AA30" s="71" t="str">
        <f>注音編碼對照表!$C30</f>
        <v>-</v>
      </c>
      <c r="AB30" s="352" t="str" cm="1">
        <f t="array" ref="AB30" xml:space="preserve"> INDEX(注音編碼對照表[注音編碼],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86" t="str" cm="1">
        <f t="array" ref="AD30" xml:space="preserve"> INDEX(注音編碼對照表[注音符號], MATCH(TRUE, EXACT(RIME設定解析!$AA30, 注音編碼對照表[鍵盤按鍵] ),0))</f>
        <v>ㄦ</v>
      </c>
      <c r="AE30" s="433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ㄤ</v>
      </c>
      <c r="AH30" s="2"/>
      <c r="AI30" s="370" t="s">
        <v>119</v>
      </c>
      <c r="AJ30" s="2"/>
      <c r="AY30" s="11"/>
      <c r="BA30" s="2"/>
      <c r="BB30" s="386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9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str" cm="1">
        <f t="array" ref="W31" xml:space="preserve"> INDEX(注音編碼對照表[注音符號], MATCH(TRUE, EXACT(表格1_33411[[#This Row],[注音編碼]], 注音編碼對照表[注音編碼]), 0))</f>
        <v>ㄠ</v>
      </c>
      <c r="X31" s="364" t="str" cm="1">
        <f t="array" ref="X31" xml:space="preserve"> INDEX(注音編碼對照表!$J$3:$J$54, MATCH(TRUE, EXACT(表格1_33411[[#This Row],[注音編碼]], 注音編碼對照表!$D$3:$D$49), 0))</f>
        <v>au</v>
      </c>
      <c r="Y31" s="24"/>
      <c r="Z31" s="77">
        <f t="shared" si="10"/>
        <v>29</v>
      </c>
      <c r="AA31" s="71" t="str">
        <f>注音編碼對照表!$C31</f>
        <v>U</v>
      </c>
      <c r="AB31" s="352" t="str" cm="1">
        <f t="array" ref="AB31" xml:space="preserve"> INDEX(注音編碼對照表[注音編碼],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86" t="str" cm="1">
        <f t="array" ref="AD31" xml:space="preserve"> INDEX(注音編碼對照表[注音符號], MATCH(TRUE, EXACT(RIME設定解析!$AA31, 注音編碼對照表[鍵盤按鍵] ),0))</f>
        <v>ㄥㄧ</v>
      </c>
      <c r="AE31" s="433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"-" : ㄦ</v>
      </c>
      <c r="AH31" s="2"/>
      <c r="AI31" s="370" t="s">
        <v>241</v>
      </c>
      <c r="AJ31" s="2"/>
      <c r="AY31" s="11"/>
      <c r="BA31" s="2"/>
      <c r="BB31" s="386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9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str" cm="1">
        <f t="array" ref="W32" xml:space="preserve"> INDEX(注音編碼對照表[注音符號], MATCH(TRUE, EXACT(表格1_33411[[#This Row],[注音編碼]], 注音編碼對照表[注音編碼]), 0))</f>
        <v>ㄬ</v>
      </c>
      <c r="X32" s="364" t="str" cm="1">
        <f t="array" ref="X32" xml:space="preserve"> INDEX(注音編碼對照表!$J$3:$J$54, MATCH(TRUE, EXACT(表格1_33411[[#This Row],[注音編碼]], 注音編碼對照表!$D$3:$D$49), 0))</f>
        <v>-nn</v>
      </c>
      <c r="Y32" s="24"/>
      <c r="Z32" s="77">
        <f t="shared" si="10"/>
        <v>30</v>
      </c>
      <c r="AA32" s="71" t="str">
        <f>注音編碼對照表!$C32</f>
        <v>J</v>
      </c>
      <c r="AB32" s="352" t="str" cm="1">
        <f t="array" ref="AB32" xml:space="preserve"> INDEX(注音編碼對照表[注音編碼],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86" t="str" cm="1">
        <f t="array" ref="AD32" xml:space="preserve"> INDEX(注音編碼對照表[注音符號], MATCH(TRUE, EXACT(RIME設定解析!$AA32, 注音編碼對照表[鍵盤按鍵] ),0))</f>
        <v>ㄥㄨ</v>
      </c>
      <c r="AE32" s="433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xml:space="preserve"> """" &amp; AA32 &amp; """ : " &amp; AD32</f>
        <v>"J" : ㄥㄨ</v>
      </c>
      <c r="AH32" s="2"/>
      <c r="AI32" s="370" t="s">
        <v>117</v>
      </c>
      <c r="AY32" s="11"/>
      <c r="BA32" s="2"/>
      <c r="BB32" s="386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9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str" cm="1">
        <f t="array" ref="W33" xml:space="preserve"> INDEX(注音編碼對照表[注音符號], MATCH(TRUE, EXACT(表格1_33411[[#This Row],[注音編碼]], 注音編碼對照表[注音編碼]), 0))</f>
        <v>ㄢ</v>
      </c>
      <c r="X33" s="364" t="str" cm="1">
        <f t="array" ref="X33" xml:space="preserve"> INDEX(注音編碼對照表!$J$3:$J$54, MATCH(TRUE, EXACT(表格1_33411[[#This Row],[注音編碼]], 注音編碼對照表!$D$3:$D$49), 0))</f>
        <v>an</v>
      </c>
      <c r="Y33" s="24"/>
      <c r="Z33" s="77">
        <f t="shared" si="10"/>
        <v>31</v>
      </c>
      <c r="AA33" s="71" t="str">
        <f>注音編碼對照表!$C33</f>
        <v>*</v>
      </c>
      <c r="AB33" s="352" t="str" cm="1">
        <f t="array" ref="AB33" xml:space="preserve"> INDEX(注音編碼對照表[注音編碼],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86" t="str" cm="1">
        <f t="array" ref="AD33" xml:space="preserve"> INDEX(注音編碼對照表[注音符號], MATCH(TRUE, EXACT(RIME設定解析!$AA33, 注音編碼對照表[鍵盤按鍵] ),0))</f>
        <v>ㄥㄚ</v>
      </c>
      <c r="AE33" s="433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xml:space="preserve"> """" &amp; AA33 &amp; """ : " &amp; AD33</f>
        <v>"*" : ㄥㄚ</v>
      </c>
      <c r="AH33" s="2"/>
      <c r="AI33" s="370" t="s">
        <v>72</v>
      </c>
      <c r="AJ33" s="2"/>
      <c r="AY33" s="11"/>
      <c r="BA33" s="2"/>
      <c r="BB33" s="386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9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str" cm="1">
        <f t="array" ref="W34" xml:space="preserve"> INDEX(注音編碼對照表[注音符號], MATCH(TRUE, EXACT(表格1_33411[[#This Row],[注音編碼]], 注音編碼對照表[注音編碼]), 0))</f>
        <v>ㄯ</v>
      </c>
      <c r="X34" s="364" t="str" cm="1">
        <f t="array" ref="X34" xml:space="preserve"> INDEX(注音編碼對照表!$J$3:$J$54, MATCH(TRUE, EXACT(表格1_33411[[#This Row],[注音編碼]], 注音編碼對照表!$D$3:$D$49), 0))</f>
        <v>-n</v>
      </c>
      <c r="Y34" s="24"/>
      <c r="Z34" s="77">
        <f t="shared" si="10"/>
        <v>32</v>
      </c>
      <c r="AA34" s="71" t="str">
        <f>注音編碼對照表!$C34</f>
        <v>I</v>
      </c>
      <c r="AB34" s="352" t="str" cm="1">
        <f t="array" ref="AB34" xml:space="preserve"> INDEX(注音編碼對照表[注音編碼],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86" t="str" cm="1">
        <f t="array" ref="AD34" xml:space="preserve"> INDEX(注音編碼對照表[注音符號], MATCH(TRUE, EXACT(RIME設定解析!$AA34, 注音編碼對照表[鍵盤按鍵] ),0))</f>
        <v>ㄥㄛ</v>
      </c>
      <c r="AE34" s="433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xml:space="preserve"> """" &amp; AA34 &amp; """ : " &amp; AD34</f>
        <v>"I" : ㄥㄛ</v>
      </c>
      <c r="AH34" s="2"/>
      <c r="AI34" s="370" t="s">
        <v>123</v>
      </c>
      <c r="AJ34" s="2"/>
      <c r="AY34" s="11"/>
      <c r="BA34" s="2"/>
      <c r="BB34" s="386"/>
      <c r="BE34" s="2"/>
    </row>
    <row r="35" spans="2:57" ht="32.25">
      <c r="H35" s="2">
        <f t="shared" si="9"/>
        <v>33</v>
      </c>
      <c r="I35" s="136" t="str">
        <f t="shared" ref="I35:I54" si="20" xml:space="preserve"> IFERROR( MID($B$6, $H35, 1), "")</f>
        <v>[</v>
      </c>
      <c r="J35" s="136" t="str">
        <f t="shared" ref="J35:J54" si="21" xml:space="preserve"> IFERROR( MID($B$7, $H35, 1), "")</f>
        <v>;</v>
      </c>
      <c r="L35" s="2">
        <v>33</v>
      </c>
      <c r="M35" s="21" t="str">
        <f t="shared" si="19"/>
        <v>;</v>
      </c>
      <c r="N35" s="21" t="str">
        <f t="shared" ref="N35:N54" si="22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3" xml:space="preserve"> J35</f>
        <v>;</v>
      </c>
      <c r="V35" s="363" t="str">
        <f t="shared" ref="V35:V53" si="24">I35</f>
        <v>[</v>
      </c>
      <c r="W35" s="362" t="e" cm="1">
        <f t="array" ref="W35" xml:space="preserve"> INDEX(注音編碼對照表[注音符號], MATCH(TRUE, EXACT(表格1_33411[[#This Row],[注音編碼]], 注音編碼對照表[注音編碼]), 0))</f>
        <v>#N/A</v>
      </c>
      <c r="X35" s="364" t="e" cm="1">
        <f t="array" ref="X35" xml:space="preserve"> INDEX(注音編碼對照表!$J$3:$J$54, MATCH(TRUE, EXACT(表格1_33411[[#This Row],[注音編碼]], 注音編碼對照表!$D$3:$D$49), 0))</f>
        <v>#N/A</v>
      </c>
      <c r="Y35" s="24"/>
      <c r="Z35" s="77">
        <f t="shared" si="10"/>
        <v>33</v>
      </c>
      <c r="AA35" s="71" t="str">
        <f>注音編碼對照表!$C35</f>
        <v>&lt;</v>
      </c>
      <c r="AB35" s="352" t="str" cm="1">
        <f t="array" ref="AB35" xml:space="preserve"> INDEX(注音編碼對照表[注音編碼],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86" t="str" cm="1">
        <f t="array" ref="AD35" xml:space="preserve"> INDEX(注音編碼對照表[注音符號], MATCH(TRUE, EXACT(RIME設定解析!$AA35, 注音編碼對照表[鍵盤按鍵] ),0))</f>
        <v>ㄥㄝ</v>
      </c>
      <c r="AE35" s="433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ref="AG35:AG39" si="25" xml:space="preserve"> """" &amp; AA35 &amp; """ : " &amp; AD35</f>
        <v>"&lt;" : ㄥㄝ</v>
      </c>
      <c r="AH35" s="2"/>
      <c r="AI35" s="370" t="s">
        <v>97</v>
      </c>
      <c r="AJ35" s="2"/>
      <c r="AY35" s="11"/>
      <c r="BA35" s="2"/>
      <c r="BB35" s="386"/>
      <c r="BE35" s="2"/>
    </row>
    <row r="36" spans="2:57" ht="32.25">
      <c r="H36" s="2">
        <f t="shared" si="9"/>
        <v>34</v>
      </c>
      <c r="I36" s="136" t="str">
        <f t="shared" si="20"/>
        <v>W</v>
      </c>
      <c r="J36" s="136" t="str">
        <f t="shared" si="21"/>
        <v>/</v>
      </c>
      <c r="L36" s="2">
        <v>34</v>
      </c>
      <c r="M36" s="21" t="str">
        <f t="shared" si="19"/>
        <v>/</v>
      </c>
      <c r="N36" s="21" t="str">
        <f t="shared" si="22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3"/>
        <v>/</v>
      </c>
      <c r="V36" s="363" t="str">
        <f t="shared" si="24"/>
        <v>W</v>
      </c>
      <c r="W36" s="362" t="str" cm="1">
        <f t="array" ref="W36" xml:space="preserve"> INDEX(注音編碼對照表[注音符號], MATCH(TRUE, EXACT(表格1_33411[[#This Row],[注音編碼]], 注音編碼對照表[注音編碼]), 0))</f>
        <v>ㆭ</v>
      </c>
      <c r="X36" s="364" t="str" cm="1">
        <f t="array" ref="X36" xml:space="preserve"> INDEX(注音編碼對照表!$J$3:$J$54, MATCH(TRUE, EXACT(表格1_33411[[#This Row],[注音編碼]], 注音編碼對照表!$D$3:$D$49), 0))</f>
        <v>-ng</v>
      </c>
      <c r="Y36" s="24"/>
      <c r="Z36" s="77">
        <f t="shared" si="10"/>
        <v>34</v>
      </c>
      <c r="AA36" s="71" t="str">
        <f>注音編碼對照表!$C36</f>
        <v>(</v>
      </c>
      <c r="AB36" s="352" t="str" cm="1">
        <f t="array" ref="AB36" xml:space="preserve"> INDEX(注音編碼對照表[注音編碼], MATCH(TRUE, EXACT(RIME設定解析!$AA36, 注音編碼對照表[鍵盤按鍵] ),0))</f>
        <v>Y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86" t="str" cm="1">
        <f t="array" ref="AD36" xml:space="preserve"> INDEX(注音編碼對照表[注音符號], MATCH(TRUE, EXACT(RIME設定解析!$AA36, 注音編碼對照表[鍵盤按鍵] ),0))</f>
        <v>ㄥㄞ</v>
      </c>
      <c r="AE36" s="433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25"/>
        <v>"(" : ㄥㄞ</v>
      </c>
      <c r="AH36" s="2"/>
      <c r="AI36" s="370" t="s">
        <v>95</v>
      </c>
      <c r="AJ36" s="2"/>
      <c r="AY36" s="11"/>
      <c r="BA36" s="2"/>
      <c r="BB36" s="386"/>
      <c r="BE36" s="2"/>
    </row>
    <row r="37" spans="2:57" ht="32.25">
      <c r="H37" s="2">
        <f t="shared" si="9"/>
        <v>35</v>
      </c>
      <c r="I37" s="136" t="str">
        <f t="shared" si="20"/>
        <v>R</v>
      </c>
      <c r="J37" s="136" t="str">
        <f t="shared" si="21"/>
        <v>-</v>
      </c>
      <c r="L37" s="2">
        <v>35</v>
      </c>
      <c r="M37" s="21" t="str">
        <f t="shared" si="19"/>
        <v>-</v>
      </c>
      <c r="N37" s="21" t="str">
        <f t="shared" si="22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3"/>
        <v>-</v>
      </c>
      <c r="V37" s="363" t="str">
        <f t="shared" si="24"/>
        <v>R</v>
      </c>
      <c r="W37" s="362" t="str" cm="1">
        <f t="array" ref="W37" xml:space="preserve"> INDEX(注音編碼對照表[注音符號], MATCH(TRUE, EXACT(表格1_33411[[#This Row],[注音編碼]], 注音編碼對照表[注音編碼]), 0))</f>
        <v>ㄦ</v>
      </c>
      <c r="X37" s="364" t="str" cm="1">
        <f t="array" ref="X37" xml:space="preserve"> INDEX(注音編碼對照表!$J$3:$J$54, MATCH(TRUE, EXACT(表格1_33411[[#This Row],[注音編碼]], 注音編碼對照表!$D$3:$D$49), 0))</f>
        <v>ir</v>
      </c>
      <c r="Y37" s="24"/>
      <c r="Z37" s="77">
        <f t="shared" si="10"/>
        <v>35</v>
      </c>
      <c r="AA37" s="71" t="str">
        <f>注音編碼對照表!$C37</f>
        <v>L</v>
      </c>
      <c r="AB37" s="352" t="str" cm="1">
        <f t="array" ref="AB37" xml:space="preserve"> INDEX(注音編碼對照表[注音編碼], MATCH(TRUE, EXACT(RIME設定解析!$AA37, 注音編碼對照表[鍵盤按鍵] ),0))</f>
        <v>X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86" t="str" cm="1">
        <f t="array" ref="AD37" xml:space="preserve"> INDEX(注音編碼對照表[注音符號], MATCH(TRUE, EXACT(RIME設定解析!$AA37, 注音編碼對照表[鍵盤按鍵] ),0))</f>
        <v>ㄥㄠ</v>
      </c>
      <c r="AE37" s="433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25"/>
        <v>"L" : ㄥㄠ</v>
      </c>
      <c r="AH37" s="2"/>
      <c r="AI37" s="370" t="s">
        <v>101</v>
      </c>
      <c r="AJ37" s="2"/>
      <c r="AY37" s="11"/>
      <c r="BA37" s="2"/>
      <c r="BB37" s="386"/>
      <c r="BE37" s="2"/>
    </row>
    <row r="38" spans="2:57" ht="32.25">
      <c r="H38" s="2">
        <f t="shared" si="9"/>
        <v>36</v>
      </c>
      <c r="I38" s="136" t="str">
        <f t="shared" si="20"/>
        <v>I</v>
      </c>
      <c r="J38" s="136" t="str">
        <f t="shared" si="21"/>
        <v>U</v>
      </c>
      <c r="L38" s="2">
        <v>36</v>
      </c>
      <c r="M38" s="21" t="str">
        <f t="shared" si="19"/>
        <v>U</v>
      </c>
      <c r="N38" s="21" t="str">
        <f t="shared" si="22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3"/>
        <v>U</v>
      </c>
      <c r="V38" s="363" t="str">
        <f t="shared" si="24"/>
        <v>I</v>
      </c>
      <c r="W38" s="362" t="str" cm="1">
        <f t="array" ref="W38" xml:space="preserve"> INDEX(注音編碼對照表[注音符號], MATCH(TRUE, EXACT(表格1_33411[[#This Row],[注音編碼]], 注音編碼對照表[注音編碼]), 0))</f>
        <v>ㄥㄧ</v>
      </c>
      <c r="X38" s="364" t="str" cm="1">
        <f t="array" ref="X38" xml:space="preserve"> INDEX(注音編碼對照表!$J$3:$J$54, MATCH(TRUE, EXACT(表格1_33411[[#This Row],[注音編碼]], 注音編碼對照表!$D$3:$D$49), 0))</f>
        <v>inn</v>
      </c>
      <c r="Y38" s="24"/>
      <c r="Z38" s="77">
        <f t="shared" si="10"/>
        <v>36</v>
      </c>
      <c r="AA38" s="71" t="str">
        <f>注音編碼對照表!$C38</f>
        <v>M</v>
      </c>
      <c r="AB38" s="352" t="str" cm="1">
        <f t="array" ref="AB38" xml:space="preserve"> INDEX(注音編碼對照表[注音編碼],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86" t="str" cm="1">
        <f t="array" ref="AD38" xml:space="preserve"> INDEX(注音編碼對照表[注音符號], MATCH(TRUE, EXACT(RIME設定解析!$AA38, 注音編碼對照表[鍵盤按鍵] ),0))</f>
        <v>ㄚㄇ</v>
      </c>
      <c r="AE38" s="433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25"/>
        <v>"M" : ㄚㄇ</v>
      </c>
      <c r="AH38" s="2"/>
      <c r="AI38" s="370" t="s">
        <v>592</v>
      </c>
      <c r="AJ38" s="2"/>
      <c r="AY38" s="11"/>
      <c r="BA38" s="2"/>
      <c r="BB38" s="386"/>
      <c r="BE38" s="2"/>
    </row>
    <row r="39" spans="2:57" ht="32.25">
      <c r="H39" s="2">
        <f t="shared" si="9"/>
        <v>37</v>
      </c>
      <c r="I39" s="136" t="str">
        <f t="shared" si="20"/>
        <v>U</v>
      </c>
      <c r="J39" s="136" t="str">
        <f t="shared" si="21"/>
        <v>J</v>
      </c>
      <c r="L39" s="2">
        <v>37</v>
      </c>
      <c r="M39" s="21" t="str">
        <f t="shared" si="19"/>
        <v>J</v>
      </c>
      <c r="N39" s="21" t="str">
        <f t="shared" si="22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3"/>
        <v>J</v>
      </c>
      <c r="V39" s="363" t="str">
        <f t="shared" si="24"/>
        <v>U</v>
      </c>
      <c r="W39" s="362" t="str" cm="1">
        <f t="array" ref="W39" xml:space="preserve"> INDEX(注音編碼對照表[注音符號], MATCH(TRUE, EXACT(表格1_33411[[#This Row],[注音編碼]], 注音編碼對照表[注音編碼]), 0))</f>
        <v>ㄥㄨ</v>
      </c>
      <c r="X39" s="364" t="str" cm="1">
        <f t="array" ref="X39" xml:space="preserve"> INDEX(注音編碼對照表!$J$3:$J$54, MATCH(TRUE, EXACT(表格1_33411[[#This Row],[注音編碼]], 注音編碼對照表!$D$3:$D$49), 0))</f>
        <v>unn</v>
      </c>
      <c r="Y39" s="24"/>
      <c r="Z39" s="77">
        <f t="shared" si="10"/>
        <v>37</v>
      </c>
      <c r="AA39" s="71" t="str">
        <f>注音編碼對照表!$C39</f>
        <v>o</v>
      </c>
      <c r="AB39" s="352" t="str" cm="1">
        <f t="array" ref="AB39" xml:space="preserve"> INDEX(注音編碼對照表[注音編碼],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86" t="str" cm="1">
        <f t="array" ref="AD39" xml:space="preserve"> INDEX(注音編碼對照表[注音符號], MATCH(TRUE, EXACT(RIME設定解析!$AA39, 注音編碼對照表[鍵盤按鍵] ),0))</f>
        <v>ㄛㆭ</v>
      </c>
      <c r="AE39" s="433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25"/>
        <v>"o" : ㄛㆭ</v>
      </c>
      <c r="AH39" s="2"/>
      <c r="AI39" s="370" t="s">
        <v>125</v>
      </c>
      <c r="AJ39" s="2"/>
      <c r="AY39" s="11"/>
      <c r="BA39" s="2"/>
      <c r="BB39" s="386"/>
      <c r="BE39" s="2"/>
    </row>
    <row r="40" spans="2:57" ht="32.25">
      <c r="H40" s="2">
        <f t="shared" si="9"/>
        <v>38</v>
      </c>
      <c r="I40" s="136" t="str">
        <f t="shared" si="20"/>
        <v>A</v>
      </c>
      <c r="J40" s="136" t="str">
        <f t="shared" si="21"/>
        <v>*</v>
      </c>
      <c r="L40" s="2">
        <v>38</v>
      </c>
      <c r="M40" s="21" t="str">
        <f t="shared" si="19"/>
        <v>*</v>
      </c>
      <c r="N40" s="21" t="str">
        <f t="shared" si="22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3"/>
        <v>*</v>
      </c>
      <c r="V40" s="363" t="str">
        <f t="shared" si="24"/>
        <v>A</v>
      </c>
      <c r="W40" s="362" t="str" cm="1">
        <f t="array" ref="W40" xml:space="preserve"> INDEX(注音編碼對照表[注音符號], MATCH(TRUE, EXACT(表格1_33411[[#This Row],[注音編碼]], 注音編碼對照表[注音編碼]), 0))</f>
        <v>ㄥㄚ</v>
      </c>
      <c r="X40" s="364" t="str" cm="1">
        <f t="array" ref="X40" xml:space="preserve"> INDEX(注音編碼對照表!$J$3:$J$54, MATCH(TRUE, EXACT(表格1_33411[[#This Row],[注音編碼]], 注音編碼對照表!$D$3:$D$49), 0))</f>
        <v>ann</v>
      </c>
      <c r="Y40" s="24"/>
      <c r="Z40" s="77">
        <f t="shared" si="10"/>
        <v>38</v>
      </c>
      <c r="AA40" s="71" t="str">
        <f>注音編碼對照表!$C40</f>
        <v>/</v>
      </c>
      <c r="AB40" s="352" t="str" cm="1">
        <f t="array" ref="AB40" xml:space="preserve"> INDEX(注音編碼對照表[注音編碼],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86" t="str" cm="1">
        <f t="array" ref="AD40" xml:space="preserve"> INDEX(注音編碼對照表[注音符號], MATCH(TRUE, EXACT(RIME設定解析!$AA40, 注音編碼對照表[鍵盤按鍵] ),0))</f>
        <v>ㆭ</v>
      </c>
      <c r="AE40" s="433" t="str" cm="1">
        <f t="array" ref="AE40" xml:space="preserve"> INDEX(注音編碼對照表[台語音標], MATCH(TRUE, EXACT(RIME設定解析!$AA40, 注音編碼對照表[鍵盤按鍵] ),0))</f>
        <v>-ng</v>
      </c>
      <c r="AF40" s="364"/>
      <c r="AG40" s="364" t="str">
        <f xml:space="preserve"> """" &amp; AA56 &amp; """ : " &amp; AD56</f>
        <v xml:space="preserve">"" : </v>
      </c>
      <c r="AH40" s="2"/>
      <c r="AI40" s="370" t="s">
        <v>99</v>
      </c>
      <c r="AJ40" s="2"/>
      <c r="AY40" s="11"/>
      <c r="BA40" s="2"/>
      <c r="BB40" s="386"/>
      <c r="BE40" s="2"/>
    </row>
    <row r="41" spans="2:57" ht="32.25">
      <c r="H41" s="2">
        <f t="shared" si="9"/>
        <v>39</v>
      </c>
      <c r="I41" s="136" t="str">
        <f t="shared" si="20"/>
        <v>Q</v>
      </c>
      <c r="J41" s="136" t="str">
        <f t="shared" si="21"/>
        <v>I</v>
      </c>
      <c r="L41" s="2">
        <v>39</v>
      </c>
      <c r="M41" s="21" t="str">
        <f t="shared" si="19"/>
        <v>I</v>
      </c>
      <c r="N41" s="21" t="str">
        <f t="shared" si="22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3"/>
        <v>I</v>
      </c>
      <c r="V41" s="363" t="str">
        <f t="shared" si="24"/>
        <v>Q</v>
      </c>
      <c r="W41" s="362" t="str" cm="1">
        <f t="array" ref="W41" xml:space="preserve"> INDEX(注音編碼對照表[注音符號], MATCH(TRUE, EXACT(表格1_33411[[#This Row],[注音編碼]], 注音編碼對照表[注音編碼]), 0))</f>
        <v>ㄥㄛ</v>
      </c>
      <c r="X41" s="364" t="str" cm="1">
        <f t="array" ref="X41" xml:space="preserve"> INDEX(注音編碼對照表!$J$3:$J$54, MATCH(TRUE, EXACT(表格1_33411[[#This Row],[注音編碼]], 注音編碼對照表!$D$3:$D$49), 0))</f>
        <v>onn</v>
      </c>
      <c r="Y41" s="24"/>
      <c r="Z41" s="77">
        <f t="shared" si="10"/>
        <v>39</v>
      </c>
      <c r="AA41" s="71" t="str">
        <f>注音編碼對照表!$C41</f>
        <v>p</v>
      </c>
      <c r="AB41" s="352" t="str" cm="1">
        <f t="array" ref="AB41" xml:space="preserve"> INDEX(注音編碼對照表[注音編碼], MATCH(TRUE, EXACT(RIME設定解析!$AA41, 注音編碼對照表[鍵盤按鍵] ),0))</f>
        <v>N</v>
      </c>
      <c r="AC41" s="32" t="str" cm="1">
        <f t="array" ref="AC41" xml:space="preserve"> INDEX(注音編碼對照表[方音符號], MATCH(TRUE, EXACT(RIME設定解析!$AA41, 注音編碼對照表[鍵盤按鍵] ),0))</f>
        <v>ㄣ</v>
      </c>
      <c r="AD41" s="486" t="str" cm="1">
        <f t="array" ref="AD41" xml:space="preserve"> INDEX(注音編碼對照表[注音符號], MATCH(TRUE, EXACT(RIME設定解析!$AA41, 注音編碼對照表[鍵盤按鍵] ),0))</f>
        <v>ㄯ</v>
      </c>
      <c r="AE41" s="433" t="str" cm="1">
        <f t="array" ref="AE41" xml:space="preserve"> INDEX(注音編碼對照表[台語音標], MATCH(TRUE, EXACT(RIME設定解析!$AA41, 注音編碼對照表[鍵盤按鍵] ),0))</f>
        <v>-n</v>
      </c>
      <c r="AF41" s="364"/>
      <c r="AG41" s="364" t="str">
        <f t="shared" ref="AG41:AG53" si="26" xml:space="preserve"> """" &amp; AA40 &amp; """ : " &amp; AD40</f>
        <v>"/" : ㆭ</v>
      </c>
      <c r="AH41" s="2"/>
      <c r="AI41" s="370" t="s">
        <v>145</v>
      </c>
      <c r="AJ41" s="2"/>
      <c r="AY41" s="11"/>
      <c r="BA41" s="2"/>
      <c r="BB41" s="386"/>
      <c r="BE41" s="2"/>
    </row>
    <row r="42" spans="2:57" ht="32.25">
      <c r="H42" s="2">
        <f t="shared" si="9"/>
        <v>40</v>
      </c>
      <c r="I42" s="136" t="str">
        <f t="shared" si="20"/>
        <v>E</v>
      </c>
      <c r="J42" s="136" t="str">
        <f t="shared" si="21"/>
        <v>&lt;</v>
      </c>
      <c r="L42" s="2">
        <v>40</v>
      </c>
      <c r="M42" s="21" t="str">
        <f t="shared" si="19"/>
        <v>&lt;</v>
      </c>
      <c r="N42" s="21" t="str">
        <f t="shared" si="22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3"/>
        <v>&lt;</v>
      </c>
      <c r="V42" s="363" t="str">
        <f t="shared" si="24"/>
        <v>E</v>
      </c>
      <c r="W42" s="362" t="str" cm="1">
        <f t="array" ref="W42" xml:space="preserve"> INDEX(注音編碼對照表[注音符號], MATCH(TRUE, EXACT(表格1_33411[[#This Row],[注音編碼]], 注音編碼對照表[注音編碼]), 0))</f>
        <v>ㄥㄝ</v>
      </c>
      <c r="X42" s="364" t="str" cm="1">
        <f t="array" ref="X42" xml:space="preserve"> INDEX(注音編碼對照表!$J$3:$J$54, MATCH(TRUE, EXACT(表格1_33411[[#This Row],[注音編碼]], 注音編碼對照表!$D$3:$D$49), 0))</f>
        <v>enn</v>
      </c>
      <c r="Y42" s="24"/>
      <c r="Z42" s="77">
        <f t="shared" si="10"/>
        <v>40</v>
      </c>
      <c r="AA42" s="71" t="str">
        <f>注音編碼對照表!$C42</f>
        <v>m</v>
      </c>
      <c r="AB42" s="352" t="str" cm="1">
        <f t="array" ref="AB42" xml:space="preserve"> INDEX(注音編碼對照表[注音編碼],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86" t="str" cm="1">
        <f t="array" ref="AD42" xml:space="preserve"> INDEX(注音編碼對照表[注音符號], MATCH(TRUE, EXACT(RIME設定解析!$AA42, 注音編碼對照表[鍵盤按鍵] ),0))</f>
        <v>ㄇ</v>
      </c>
      <c r="AE42" s="433" t="str" cm="1">
        <f t="array" ref="AE42" xml:space="preserve"> INDEX(注音編碼對照表[台語音標], MATCH(TRUE, EXACT(RIME設定解析!$AA42, 注音編碼對照表[鍵盤按鍵] ),0))</f>
        <v>-m</v>
      </c>
      <c r="AF42" s="364"/>
      <c r="AG42" s="364" t="str">
        <f t="shared" si="26"/>
        <v>"p" : ㄯ</v>
      </c>
      <c r="AH42" s="2"/>
      <c r="AI42" s="370" t="s">
        <v>74</v>
      </c>
      <c r="AJ42" s="2"/>
      <c r="AY42" s="11"/>
      <c r="BA42" s="2"/>
      <c r="BB42" s="386"/>
      <c r="BE42" s="2"/>
    </row>
    <row r="43" spans="2:57" ht="32.25">
      <c r="H43" s="2">
        <f t="shared" si="9"/>
        <v>41</v>
      </c>
      <c r="I43" s="136" t="str">
        <f t="shared" si="20"/>
        <v>Y</v>
      </c>
      <c r="J43" s="136" t="str">
        <f t="shared" si="21"/>
        <v>(</v>
      </c>
      <c r="L43" s="2">
        <v>41</v>
      </c>
      <c r="M43" s="21" t="str">
        <f t="shared" si="19"/>
        <v>(</v>
      </c>
      <c r="N43" s="21" t="str">
        <f t="shared" si="22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3"/>
        <v>(</v>
      </c>
      <c r="V43" s="363" t="str">
        <f t="shared" si="24"/>
        <v>Y</v>
      </c>
      <c r="W43" s="362" t="str" cm="1">
        <f t="array" ref="W43" xml:space="preserve"> INDEX(注音編碼對照表[注音符號], MATCH(TRUE, EXACT(表格1_33411[[#This Row],[注音編碼]], 注音編碼對照表[注音編碼]), 0))</f>
        <v>ㄥㄞ</v>
      </c>
      <c r="X43" s="364" t="str" cm="1">
        <f t="array" ref="X43" xml:space="preserve"> INDEX(注音編碼對照表!$J$3:$J$54, MATCH(TRUE, EXACT(表格1_33411[[#This Row],[注音編碼]], 注音編碼對照表!$D$3:$D$49), 0))</f>
        <v>ainn</v>
      </c>
      <c r="Y43" s="24"/>
      <c r="Z43" s="77">
        <f t="shared" si="10"/>
        <v>41</v>
      </c>
      <c r="AA43" s="71" t="str">
        <f>注音編碼對照表!$C43</f>
        <v>.</v>
      </c>
      <c r="AB43" s="352" t="str" cm="1">
        <f t="array" ref="AB43" xml:space="preserve"> INDEX(注音編碼對照表[注音編碼], MATCH(TRUE, EXACT(RIME設定解析!$AA43, 注音編碼對照表[鍵盤按鍵] ),0))</f>
        <v>B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486" t="str" cm="1">
        <f t="array" ref="AD43" xml:space="preserve"> INDEX(注音編碼對照表[注音符號], MATCH(TRUE, EXACT(RIME設定解析!$AA43, 注音編碼對照表[鍵盤按鍵] ),0))</f>
        <v>ㄬ</v>
      </c>
      <c r="AE43" s="433" t="str" cm="1">
        <f t="array" ref="AE43" xml:space="preserve"> INDEX(注音編碼對照表[台語音標], MATCH(TRUE, EXACT(RIME設定解析!$AA43, 注音編碼對照表[鍵盤按鍵] ),0))</f>
        <v>-nn</v>
      </c>
      <c r="AF43" s="364"/>
      <c r="AG43" s="364" t="str">
        <f t="shared" si="26"/>
        <v>"m" : ㄇ</v>
      </c>
      <c r="AH43" s="2"/>
      <c r="AI43" s="370" t="s">
        <v>76</v>
      </c>
      <c r="AJ43" s="2"/>
      <c r="AY43" s="11"/>
      <c r="BA43" s="2"/>
      <c r="BB43" s="386"/>
      <c r="BE43" s="2"/>
    </row>
    <row r="44" spans="2:57" ht="32.25">
      <c r="H44" s="2">
        <f t="shared" si="9"/>
        <v>42</v>
      </c>
      <c r="I44" s="136" t="str">
        <f t="shared" si="20"/>
        <v>X</v>
      </c>
      <c r="J44" s="136" t="str">
        <f t="shared" si="21"/>
        <v>L</v>
      </c>
      <c r="L44" s="2">
        <v>42</v>
      </c>
      <c r="M44" s="21" t="str">
        <f t="shared" si="19"/>
        <v>L</v>
      </c>
      <c r="N44" s="21" t="str">
        <f t="shared" si="22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3"/>
        <v>L</v>
      </c>
      <c r="V44" s="363" t="str">
        <f t="shared" si="24"/>
        <v>X</v>
      </c>
      <c r="W44" s="362" t="str" cm="1">
        <f t="array" ref="W44" xml:space="preserve"> INDEX(注音編碼對照表[注音符號], MATCH(TRUE, EXACT(表格1_33411[[#This Row],[注音編碼]], 注音編碼對照表[注音編碼]), 0))</f>
        <v>ㄥㄠ</v>
      </c>
      <c r="X44" s="364" t="str" cm="1">
        <f t="array" ref="X44" xml:space="preserve"> INDEX(注音編碼對照表!$J$3:$J$54, MATCH(TRUE, EXACT(表格1_33411[[#This Row],[注音編碼]], 注音編碼對照表!$D$3:$D$49), 0))</f>
        <v>aunn</v>
      </c>
      <c r="Y44" s="24"/>
      <c r="Z44" s="87">
        <f t="shared" si="10"/>
        <v>42</v>
      </c>
      <c r="AA44" s="71" t="str">
        <f>注音編碼對照表!$C44</f>
        <v xml:space="preserve"> </v>
      </c>
      <c r="AB44" s="430" t="str" cm="1">
        <f t="array" ref="AB44" xml:space="preserve"> INDEX(注音編碼對照表[注音編碼],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519" t="str" cm="1">
        <f t="array" ref="AD44" xml:space="preserve"> INDEX(注音編碼對照表[注音符號], MATCH(TRUE, EXACT(RIME設定解析!$AA44, 注音編碼對照表[鍵盤按鍵] ),0))</f>
        <v>ˉ</v>
      </c>
      <c r="AE44" s="432" cm="1">
        <f t="array" ref="AE44" xml:space="preserve"> INDEX(注音編碼對照表[台語音標], MATCH(TRUE, EXACT(RIME設定解析!$AA44, 注音編碼對照表[鍵盤按鍵] ),0))</f>
        <v>1</v>
      </c>
      <c r="AF44" s="364"/>
      <c r="AG44" s="364" t="str">
        <f t="shared" si="26"/>
        <v>"." : ㄬ</v>
      </c>
      <c r="AH44" s="2"/>
      <c r="AI44" s="370" t="s">
        <v>593</v>
      </c>
      <c r="AJ44" s="2"/>
      <c r="AY44" s="11"/>
      <c r="BA44" s="2"/>
      <c r="BB44" s="386"/>
      <c r="BE44" s="2"/>
    </row>
    <row r="45" spans="2:57" ht="32.25">
      <c r="H45" s="2">
        <f t="shared" si="9"/>
        <v>43</v>
      </c>
      <c r="I45" s="136" t="str">
        <f t="shared" si="20"/>
        <v>}</v>
      </c>
      <c r="J45" s="136" t="str">
        <f t="shared" si="21"/>
        <v>O</v>
      </c>
      <c r="L45" s="2">
        <v>43</v>
      </c>
      <c r="M45" s="21" t="str">
        <f t="shared" si="19"/>
        <v>O</v>
      </c>
      <c r="N45" s="21" t="str">
        <f t="shared" si="22"/>
        <v>ㆱ</v>
      </c>
      <c r="R45" s="2"/>
      <c r="T45" s="2">
        <v>43</v>
      </c>
      <c r="U45" s="361" t="str">
        <f t="shared" si="23"/>
        <v>O</v>
      </c>
      <c r="V45" s="363" t="str">
        <f t="shared" si="24"/>
        <v>}</v>
      </c>
      <c r="W45" s="362" t="e" cm="1">
        <f t="array" ref="W45" xml:space="preserve"> INDEX(注音編碼對照表[注音符號], MATCH(TRUE, EXACT(表格1_33411[[#This Row],[注音編碼]], 注音編碼對照表[注音編碼]), 0))</f>
        <v>#N/A</v>
      </c>
      <c r="X45" s="364" t="e" cm="1">
        <f t="array" ref="X45" xml:space="preserve"> INDEX(注音編碼對照表!$J$3:$J$54, MATCH(TRUE, EXACT(表格1_33411[[#This Row],[注音編碼]], 注音編碼對照表!$D$3:$D$49), 0))</f>
        <v>#N/A</v>
      </c>
      <c r="Y45" s="24"/>
      <c r="Z45" s="77">
        <f t="shared" si="10"/>
        <v>43</v>
      </c>
      <c r="AA45" s="71" t="str">
        <f>注音編碼對照表!$C45</f>
        <v>4</v>
      </c>
      <c r="AB45" s="352" t="str" cm="1">
        <f t="array" ref="AB45" xml:space="preserve"> INDEX(注音編碼對照表[注音編碼],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86" t="str" cm="1">
        <f t="array" ref="AD45" xml:space="preserve"> INDEX(注音編碼對照表[注音符號], MATCH(TRUE, EXACT(RIME設定解析!$AA45, 注音編碼對照表[鍵盤按鍵] ),0))</f>
        <v>ˋ</v>
      </c>
      <c r="AE45" s="433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6"/>
        <v>" " : ˉ</v>
      </c>
      <c r="AH45" s="2"/>
      <c r="AI45" s="370"/>
      <c r="AJ45" s="2"/>
      <c r="AY45" s="11"/>
      <c r="BA45" s="2"/>
      <c r="BB45" s="386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20"/>
        <v>{</v>
      </c>
      <c r="J46" s="136" t="str">
        <f t="shared" si="21"/>
        <v>A</v>
      </c>
      <c r="L46" s="2">
        <v>44</v>
      </c>
      <c r="M46" s="21" t="str">
        <f t="shared" si="19"/>
        <v>A</v>
      </c>
      <c r="N46" s="21" t="str">
        <f t="shared" si="22"/>
        <v>ㆰ</v>
      </c>
      <c r="R46" s="2"/>
      <c r="T46" s="2">
        <v>44</v>
      </c>
      <c r="U46" s="361" t="str">
        <f t="shared" si="23"/>
        <v>A</v>
      </c>
      <c r="V46" s="363" t="str">
        <f t="shared" si="24"/>
        <v>{</v>
      </c>
      <c r="W46" s="362" t="e" cm="1">
        <f t="array" ref="W46" xml:space="preserve"> INDEX(注音編碼對照表[注音符號], MATCH(TRUE, EXACT(表格1_33411[[#This Row],[注音編碼]], 注音編碼對照表[注音編碼]), 0))</f>
        <v>#N/A</v>
      </c>
      <c r="X46" s="364" t="e" cm="1">
        <f t="array" ref="X46" xml:space="preserve"> INDEX(注音編碼對照表!$J$3:$J$54, MATCH(TRUE, EXACT(表格1_33411[[#This Row],[注音編碼]], 注音編碼對照表!$D$3:$D$49), 0))</f>
        <v>#N/A</v>
      </c>
      <c r="Y46" s="24"/>
      <c r="Z46" s="77">
        <f t="shared" si="10"/>
        <v>44</v>
      </c>
      <c r="AA46" s="71" t="str">
        <f>注音編碼對照表!$C46</f>
        <v>3</v>
      </c>
      <c r="AB46" s="352" t="str" cm="1">
        <f t="array" ref="AB46" xml:space="preserve"> INDEX(注音編碼對照表[注音編碼],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86" t="str" cm="1">
        <f t="array" ref="AD46" xml:space="preserve"> INDEX(注音編碼對照表[注音符號], MATCH(TRUE, EXACT(RIME設定解析!$AA46, 注音編碼對照表[鍵盤按鍵] ),0))</f>
        <v>˪</v>
      </c>
      <c r="AE46" s="433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6"/>
        <v>"4" : ˋ</v>
      </c>
      <c r="AH46" s="2"/>
      <c r="AI46" s="370"/>
      <c r="AJ46" s="2"/>
      <c r="AY46" s="11"/>
      <c r="BA46" s="2"/>
      <c r="BB46" s="386"/>
      <c r="BE46" s="2"/>
    </row>
    <row r="47" spans="2:57" ht="32.25">
      <c r="B47" s="93" t="s">
        <v>136</v>
      </c>
      <c r="C47" s="2">
        <v>1</v>
      </c>
      <c r="D47" s="21" t="str">
        <f t="shared" ref="D47:D88" si="27" xml:space="preserve"> MID($B$47, $C47, 1)</f>
        <v>1</v>
      </c>
      <c r="E47" s="5" t="str">
        <f t="shared" ref="E47:E88" si="28" xml:space="preserve"> IFERROR( INDEX($N$3:$N$44, MATCH(D47, $M$3:$M$44, 0)), "")</f>
        <v>ㄅ</v>
      </c>
      <c r="F47" s="5" t="str">
        <f t="shared" ref="F47:F88" si="29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20"/>
        <v>]</v>
      </c>
      <c r="J47" s="136" t="str">
        <f t="shared" si="21"/>
        <v>:</v>
      </c>
      <c r="L47" s="2">
        <v>45</v>
      </c>
      <c r="M47" s="21" t="str">
        <f t="shared" si="19"/>
        <v>:</v>
      </c>
      <c r="N47" s="21" t="str">
        <f t="shared" si="22"/>
        <v>ㆲ</v>
      </c>
      <c r="R47" s="2"/>
      <c r="T47" s="2">
        <v>45</v>
      </c>
      <c r="U47" s="361" t="str">
        <f t="shared" si="23"/>
        <v>:</v>
      </c>
      <c r="V47" s="363" t="str">
        <f t="shared" si="24"/>
        <v>]</v>
      </c>
      <c r="W47" s="362" t="e" cm="1">
        <f t="array" ref="W47" xml:space="preserve"> INDEX(注音編碼對照表[注音符號], MATCH(TRUE, EXACT(表格1_33411[[#This Row],[注音編碼]], 注音編碼對照表[注音編碼]), 0))</f>
        <v>#N/A</v>
      </c>
      <c r="X47" s="364" t="e" cm="1">
        <f t="array" ref="X47" xml:space="preserve"> INDEX(注音編碼對照表!$J$3:$J$54, MATCH(TRUE, EXACT(表格1_33411[[#This Row],[注音編碼]], 注音編碼對照表!$D$3:$D$49), 0))</f>
        <v>#N/A</v>
      </c>
      <c r="Y47" s="24"/>
      <c r="Z47" s="77">
        <f t="shared" si="10"/>
        <v>45</v>
      </c>
      <c r="AA47" s="71" t="str">
        <f>注音編碼對照表!$C47</f>
        <v>6</v>
      </c>
      <c r="AB47" s="352" t="str" cm="1">
        <f t="array" ref="AB47" xml:space="preserve"> INDEX(注音編碼對照表[注音編碼],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86" t="str" cm="1">
        <f t="array" ref="AD47" xml:space="preserve"> INDEX(注音編碼對照表[注音符號], MATCH(TRUE, EXACT(RIME設定解析!$AA47, 注音編碼對照表[鍵盤按鍵] ),0))</f>
        <v>ˊ</v>
      </c>
      <c r="AE47" s="433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6"/>
        <v>"3" : ˪</v>
      </c>
      <c r="AH47" s="2"/>
      <c r="AI47" s="370"/>
      <c r="AJ47" s="2"/>
      <c r="AY47" s="11"/>
      <c r="BA47" s="2"/>
      <c r="BB47" s="386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7"/>
        <v>q</v>
      </c>
      <c r="E48" s="5" t="str">
        <f t="shared" si="28"/>
        <v>ㄆ</v>
      </c>
      <c r="F48" s="5" t="str">
        <f t="shared" si="29"/>
        <v>P</v>
      </c>
      <c r="G48" s="5"/>
      <c r="H48" s="2">
        <f t="shared" si="9"/>
        <v>46</v>
      </c>
      <c r="I48" s="136" t="str">
        <f t="shared" si="20"/>
        <v>1</v>
      </c>
      <c r="J48" s="136" t="str">
        <f t="shared" si="21"/>
        <v xml:space="preserve"> </v>
      </c>
      <c r="L48" s="2">
        <v>46</v>
      </c>
      <c r="M48" s="21" t="str">
        <f t="shared" si="19"/>
        <v>4</v>
      </c>
      <c r="N48" s="21" t="str">
        <f t="shared" si="22"/>
        <v>ˋ</v>
      </c>
      <c r="R48" s="2"/>
      <c r="T48" s="2">
        <v>46</v>
      </c>
      <c r="U48" s="361" t="str">
        <f t="shared" si="23"/>
        <v xml:space="preserve"> </v>
      </c>
      <c r="V48" s="363" t="str">
        <f t="shared" si="24"/>
        <v>1</v>
      </c>
      <c r="W48" s="362" t="str" cm="1">
        <f t="array" ref="W48" xml:space="preserve"> INDEX(注音編碼對照表[注音符號], MATCH(TRUE, EXACT(表格1_33411[[#This Row],[注音編碼]], 注音編碼對照表[注音編碼]), 0))</f>
        <v>ˉ</v>
      </c>
      <c r="X48" s="364" cm="1">
        <f t="array" ref="X48" xml:space="preserve"> INDEX(注音編碼對照表!$J$3:$J$54, MATCH(TRUE, EXACT(表格1_33411[[#This Row],[注音編碼]], 注音編碼對照表!$D$3:$D$49), 0))</f>
        <v>1</v>
      </c>
      <c r="Y48" s="24"/>
      <c r="Z48" s="77">
        <f t="shared" si="10"/>
        <v>46</v>
      </c>
      <c r="AA48" s="71" t="str">
        <f>注音編碼對照表!$C48</f>
        <v>5</v>
      </c>
      <c r="AB48" s="352" t="str" cm="1">
        <f t="array" ref="AB48" xml:space="preserve"> INDEX(注音編碼對照表[注音編碼],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86" t="str" cm="1">
        <f t="array" ref="AD48" xml:space="preserve"> INDEX(注音編碼對照表[注音符號], MATCH(TRUE, EXACT(RIME設定解析!$AA48, 注音編碼對照表[鍵盤按鍵] ),0))</f>
        <v>˫</v>
      </c>
      <c r="AE48" s="433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6"/>
        <v>"6" : ˊ</v>
      </c>
      <c r="AH48" s="2"/>
      <c r="AI48" s="370"/>
      <c r="AJ48" s="2"/>
      <c r="AY48" s="11"/>
      <c r="BA48" s="2"/>
      <c r="BB48" s="386"/>
      <c r="BE48" s="2"/>
    </row>
    <row r="49" spans="2:57" ht="32.25">
      <c r="C49" s="2">
        <v>3</v>
      </c>
      <c r="D49" s="21" t="str">
        <f t="shared" si="27"/>
        <v>a</v>
      </c>
      <c r="E49" s="5" t="str">
        <f t="shared" si="28"/>
        <v>ㄇ</v>
      </c>
      <c r="F49" s="5" t="str">
        <f t="shared" si="29"/>
        <v>m</v>
      </c>
      <c r="G49" s="5"/>
      <c r="H49" s="2">
        <f t="shared" si="9"/>
        <v>47</v>
      </c>
      <c r="I49" s="136" t="str">
        <f t="shared" si="20"/>
        <v>2</v>
      </c>
      <c r="J49" s="136" t="str">
        <f t="shared" si="21"/>
        <v>4</v>
      </c>
      <c r="L49" s="2">
        <v>47</v>
      </c>
      <c r="M49" s="21" t="str">
        <f t="shared" si="19"/>
        <v>3</v>
      </c>
      <c r="N49" s="21" t="str">
        <f t="shared" si="22"/>
        <v>'</v>
      </c>
      <c r="R49" s="2"/>
      <c r="T49" s="2">
        <v>47</v>
      </c>
      <c r="U49" s="361" t="str">
        <f t="shared" si="23"/>
        <v>4</v>
      </c>
      <c r="V49" s="363" t="str">
        <f t="shared" si="24"/>
        <v>2</v>
      </c>
      <c r="W49" s="362" t="str" cm="1">
        <f t="array" ref="W49" xml:space="preserve"> INDEX(注音編碼對照表[注音符號], MATCH(TRUE, EXACT(表格1_33411[[#This Row],[注音編碼]], 注音編碼對照表[注音編碼]), 0))</f>
        <v>ˋ</v>
      </c>
      <c r="X49" s="364" cm="1">
        <f t="array" ref="X49" xml:space="preserve"> INDEX(注音編碼對照表!$J$3:$J$54, MATCH(TRUE, EXACT(表格1_33411[[#This Row],[注音編碼]], 注音編碼對照表!$D$3:$D$49), 0))</f>
        <v>2</v>
      </c>
      <c r="Y49" s="24"/>
      <c r="Z49" s="78">
        <f t="shared" si="10"/>
        <v>47</v>
      </c>
      <c r="AA49" s="73" t="str">
        <f>注音編碼對照表!$C49</f>
        <v>7</v>
      </c>
      <c r="AB49" s="434" t="str" cm="1">
        <f t="array" ref="AB49" xml:space="preserve"> INDEX(注音編碼對照表[注音編碼],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520" t="str" cm="1">
        <f t="array" ref="AD49" xml:space="preserve"> INDEX(注音編碼對照表[注音符號], MATCH(TRUE, EXACT(RIME設定解析!$AA49, 注音編碼對照表[鍵盤按鍵] ),0))</f>
        <v>˙</v>
      </c>
      <c r="AE49" s="436" t="str" cm="1">
        <f t="array" ref="AE49" xml:space="preserve"> INDEX(注音編碼對照表[台語音標], MATCH(TRUE, EXACT(RIME設定解析!$AA49, 注音編碼對照表[鍵盤按鍵] ),0))</f>
        <v>[48]</v>
      </c>
      <c r="AF49" s="364"/>
      <c r="AG49" s="364" t="str">
        <f t="shared" si="26"/>
        <v>"5" : ˫</v>
      </c>
      <c r="AH49" s="2"/>
      <c r="AI49" s="370"/>
      <c r="AJ49" s="2"/>
      <c r="AY49" s="11"/>
      <c r="BA49" s="2"/>
      <c r="BB49" s="386"/>
      <c r="BE49" s="2"/>
    </row>
    <row r="50" spans="2:57" ht="32.25">
      <c r="C50" s="2">
        <v>4</v>
      </c>
      <c r="D50" s="21" t="str">
        <f t="shared" si="27"/>
        <v>z</v>
      </c>
      <c r="E50" s="5" t="str">
        <f t="shared" si="28"/>
        <v/>
      </c>
      <c r="F50" s="5" t="str">
        <f t="shared" si="29"/>
        <v/>
      </c>
      <c r="G50" s="5"/>
      <c r="H50" s="2">
        <f t="shared" si="9"/>
        <v>48</v>
      </c>
      <c r="I50" s="136" t="str">
        <f t="shared" si="20"/>
        <v>3</v>
      </c>
      <c r="J50" s="136" t="str">
        <f t="shared" si="21"/>
        <v>3</v>
      </c>
      <c r="L50" s="2">
        <v>48</v>
      </c>
      <c r="M50" s="21" t="str">
        <f t="shared" si="19"/>
        <v>6</v>
      </c>
      <c r="N50" s="21" t="str">
        <f t="shared" si="22"/>
        <v>ˇ</v>
      </c>
      <c r="R50" s="2"/>
      <c r="T50" s="2">
        <v>48</v>
      </c>
      <c r="U50" s="361" t="str">
        <f t="shared" si="23"/>
        <v>3</v>
      </c>
      <c r="V50" s="363" t="str">
        <f t="shared" si="24"/>
        <v>3</v>
      </c>
      <c r="W50" s="362" t="str" cm="1">
        <f t="array" ref="W50" xml:space="preserve"> INDEX(注音編碼對照表[注音符號], MATCH(TRUE, EXACT(表格1_33411[[#This Row],[注音編碼]], 注音編碼對照表[注音編碼]), 0))</f>
        <v>˪</v>
      </c>
      <c r="X50" s="364" cm="1">
        <f t="array" ref="X50" xml:space="preserve"> INDEX(注音編碼對照表!$J$3:$J$54, MATCH(TRUE, EXACT(表格1_33411[[#This Row],[注音編碼]], 注音編碼對照表!$D$3:$D$49), 0))</f>
        <v>3</v>
      </c>
      <c r="Y50" s="24"/>
      <c r="Z50" s="98">
        <f t="shared" si="10"/>
        <v>48</v>
      </c>
      <c r="AA50" s="71"/>
      <c r="AB50" s="352"/>
      <c r="AC50" s="32"/>
      <c r="AD50" s="486"/>
      <c r="AE50" s="379"/>
      <c r="AF50" s="364"/>
      <c r="AG50" s="364" t="str">
        <f t="shared" si="26"/>
        <v>"7" : ˙</v>
      </c>
      <c r="AH50" s="2"/>
      <c r="AI50" s="370"/>
      <c r="AJ50" s="2"/>
      <c r="AY50" s="11"/>
      <c r="BA50" s="2"/>
      <c r="BB50" s="386"/>
      <c r="BE50" s="2"/>
    </row>
    <row r="51" spans="2:57" ht="32.25">
      <c r="B51" s="92" t="s">
        <v>139</v>
      </c>
      <c r="C51" s="2">
        <v>5</v>
      </c>
      <c r="D51" s="21" t="str">
        <f t="shared" si="27"/>
        <v>2</v>
      </c>
      <c r="E51" s="5" t="str">
        <f t="shared" si="28"/>
        <v>ㄉ</v>
      </c>
      <c r="F51" s="5" t="str">
        <f t="shared" si="29"/>
        <v>t</v>
      </c>
      <c r="G51" s="5"/>
      <c r="H51" s="2">
        <f t="shared" si="9"/>
        <v>49</v>
      </c>
      <c r="I51" s="136" t="str">
        <f t="shared" si="20"/>
        <v>5</v>
      </c>
      <c r="J51" s="136" t="str">
        <f t="shared" si="21"/>
        <v>6</v>
      </c>
      <c r="L51" s="2">
        <v>49</v>
      </c>
      <c r="M51" s="21" t="str">
        <f t="shared" si="19"/>
        <v>5</v>
      </c>
      <c r="N51" s="21" t="str">
        <f t="shared" si="22"/>
        <v>\</v>
      </c>
      <c r="R51" s="2"/>
      <c r="T51" s="2">
        <v>49</v>
      </c>
      <c r="U51" s="361" t="str">
        <f t="shared" si="23"/>
        <v>6</v>
      </c>
      <c r="V51" s="363" t="str">
        <f t="shared" si="24"/>
        <v>5</v>
      </c>
      <c r="W51" s="362" t="str" cm="1">
        <f t="array" ref="W51" xml:space="preserve"> INDEX(注音編碼對照表[注音符號], MATCH(TRUE, EXACT(表格1_33411[[#This Row],[注音編碼]], 注音編碼對照表[注音編碼]), 0))</f>
        <v>ˊ</v>
      </c>
      <c r="X51" s="364" cm="1">
        <f t="array" ref="X51" xml:space="preserve"> INDEX(注音編碼對照表!$J$3:$J$54, MATCH(TRUE, EXACT(表格1_33411[[#This Row],[注音編碼]], 注音編碼對照表!$D$3:$D$49), 0))</f>
        <v>5</v>
      </c>
      <c r="Y51" s="24"/>
      <c r="Z51" s="98">
        <f t="shared" si="10"/>
        <v>49</v>
      </c>
      <c r="AA51" s="71"/>
      <c r="AB51" s="352"/>
      <c r="AC51" s="32"/>
      <c r="AD51" s="486"/>
      <c r="AE51" s="379"/>
      <c r="AF51" s="364"/>
      <c r="AG51" s="364" t="str">
        <f t="shared" si="26"/>
        <v xml:space="preserve">"" : </v>
      </c>
      <c r="AH51" s="2"/>
      <c r="AI51" s="370"/>
      <c r="AJ51" s="2"/>
      <c r="AY51" s="11"/>
      <c r="BA51" s="2"/>
      <c r="BB51" s="386"/>
      <c r="BE51" s="2"/>
    </row>
    <row r="52" spans="2:57" ht="32.25">
      <c r="B52" s="93" t="s">
        <v>137</v>
      </c>
      <c r="C52" s="2">
        <v>6</v>
      </c>
      <c r="D52" s="21" t="str">
        <f t="shared" si="27"/>
        <v>w</v>
      </c>
      <c r="E52" s="5" t="str">
        <f t="shared" si="28"/>
        <v>ㄊ</v>
      </c>
      <c r="F52" s="5" t="str">
        <f t="shared" si="29"/>
        <v>T</v>
      </c>
      <c r="G52" s="5"/>
      <c r="H52" s="2">
        <f t="shared" si="9"/>
        <v>50</v>
      </c>
      <c r="I52" s="136" t="str">
        <f t="shared" si="20"/>
        <v>7</v>
      </c>
      <c r="J52" s="136" t="str">
        <f t="shared" si="21"/>
        <v>5</v>
      </c>
      <c r="L52" s="2">
        <v>50</v>
      </c>
      <c r="M52" s="21" t="str">
        <f t="shared" si="19"/>
        <v>7</v>
      </c>
      <c r="N52" s="21" t="str">
        <f t="shared" si="22"/>
        <v>"</v>
      </c>
      <c r="R52" s="2"/>
      <c r="T52" s="2">
        <v>50</v>
      </c>
      <c r="U52" s="361" t="str">
        <f t="shared" si="23"/>
        <v>5</v>
      </c>
      <c r="V52" s="363" t="str">
        <f t="shared" si="24"/>
        <v>7</v>
      </c>
      <c r="W52" s="362" t="str" cm="1">
        <f t="array" ref="W52" xml:space="preserve"> INDEX(注音編碼對照表[注音符號], MATCH(TRUE, EXACT(表格1_33411[[#This Row],[注音編碼]], 注音編碼對照表[注音編碼]), 0))</f>
        <v>˫</v>
      </c>
      <c r="X52" s="364" cm="1">
        <f t="array" ref="X52" xml:space="preserve"> INDEX(注音編碼對照表!$J$3:$J$54, MATCH(TRUE, EXACT(表格1_33411[[#This Row],[注音編碼]], 注音編碼對照表!$D$3:$D$49), 0))</f>
        <v>7</v>
      </c>
      <c r="Y52" s="24"/>
      <c r="Z52" s="98">
        <f t="shared" si="10"/>
        <v>50</v>
      </c>
      <c r="AA52" s="71"/>
      <c r="AB52" s="352"/>
      <c r="AC52" s="32"/>
      <c r="AD52" s="486"/>
      <c r="AE52" s="379"/>
      <c r="AF52" s="364"/>
      <c r="AG52" s="364" t="str">
        <f t="shared" si="26"/>
        <v xml:space="preserve">"" : </v>
      </c>
      <c r="AH52" s="2"/>
      <c r="AI52" s="370"/>
      <c r="AJ52" s="2"/>
      <c r="AY52" s="11"/>
      <c r="BA52" s="2"/>
      <c r="BB52" s="386"/>
      <c r="BE52" s="2"/>
    </row>
    <row r="53" spans="2:57" ht="32.25">
      <c r="C53" s="2">
        <v>7</v>
      </c>
      <c r="D53" s="21" t="str">
        <f t="shared" si="27"/>
        <v>s</v>
      </c>
      <c r="E53" s="5" t="str">
        <f t="shared" si="28"/>
        <v>ㄋ</v>
      </c>
      <c r="F53" s="5" t="str">
        <f t="shared" si="29"/>
        <v>n</v>
      </c>
      <c r="G53" s="5"/>
      <c r="H53" s="2">
        <f t="shared" si="9"/>
        <v>51</v>
      </c>
      <c r="I53" s="136" t="str">
        <f t="shared" si="20"/>
        <v>0</v>
      </c>
      <c r="J53" s="136" t="str">
        <f t="shared" si="21"/>
        <v>7</v>
      </c>
      <c r="L53" s="2">
        <v>51</v>
      </c>
      <c r="M53" s="21" t="str">
        <f t="shared" si="19"/>
        <v/>
      </c>
      <c r="N53" s="21" t="str">
        <f t="shared" si="22"/>
        <v>˙</v>
      </c>
      <c r="R53" s="2"/>
      <c r="T53" s="2">
        <v>51</v>
      </c>
      <c r="U53" s="361" t="str">
        <f t="shared" si="23"/>
        <v>7</v>
      </c>
      <c r="V53" s="363" t="str">
        <f t="shared" si="24"/>
        <v>0</v>
      </c>
      <c r="W53" s="362" t="str" cm="1">
        <f t="array" ref="W53" xml:space="preserve"> INDEX(注音編碼對照表[注音符號], MATCH(TRUE, EXACT(表格1_33411[[#This Row],[注音編碼]], 注音編碼對照表[注音編碼]), 0))</f>
        <v>˙</v>
      </c>
      <c r="X53" s="364" t="str" cm="1">
        <f t="array" ref="X53" xml:space="preserve"> INDEX(注音編碼對照表!$J$3:$J$54, MATCH(TRUE, EXACT(表格1_33411[[#This Row],[注音編碼]], 注音編碼對照表!$D$3:$D$49), 0))</f>
        <v>[48]</v>
      </c>
      <c r="Y53" s="24"/>
      <c r="Z53" s="98">
        <f t="shared" si="10"/>
        <v>51</v>
      </c>
      <c r="AA53" s="71"/>
      <c r="AB53" s="352"/>
      <c r="AC53" s="32"/>
      <c r="AD53" s="486"/>
      <c r="AE53" s="379"/>
      <c r="AF53" s="364"/>
      <c r="AG53" s="364" t="str">
        <f t="shared" si="26"/>
        <v xml:space="preserve">"" : </v>
      </c>
      <c r="AH53" s="2"/>
      <c r="AI53" s="370"/>
      <c r="AJ53" s="2"/>
      <c r="AY53" s="11"/>
      <c r="BA53" s="2"/>
      <c r="BB53" s="386"/>
      <c r="BE53" s="2"/>
    </row>
    <row r="54" spans="2:57" ht="32.25">
      <c r="C54" s="2">
        <v>8</v>
      </c>
      <c r="D54" s="21" t="str">
        <f t="shared" si="27"/>
        <v>x</v>
      </c>
      <c r="E54" s="5" t="str">
        <f t="shared" si="28"/>
        <v>ㄌ</v>
      </c>
      <c r="F54" s="5" t="str">
        <f t="shared" si="29"/>
        <v>l</v>
      </c>
      <c r="G54" s="5"/>
      <c r="H54" s="2">
        <f t="shared" si="9"/>
        <v>52</v>
      </c>
      <c r="I54" s="136" t="str">
        <f t="shared" si="20"/>
        <v/>
      </c>
      <c r="J54" s="136" t="str">
        <f t="shared" si="21"/>
        <v/>
      </c>
      <c r="L54" s="2">
        <v>52</v>
      </c>
      <c r="M54" s="21" t="str">
        <f t="shared" si="19"/>
        <v/>
      </c>
      <c r="N54" s="21" t="str">
        <f t="shared" si="22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2"/>
      <c r="AC54" s="32"/>
      <c r="AD54" s="486"/>
      <c r="AE54" s="379"/>
      <c r="AF54" s="364"/>
      <c r="AG54" s="364"/>
      <c r="AH54" s="2"/>
      <c r="AI54" s="364"/>
      <c r="AJ54" s="2"/>
      <c r="AY54" s="11"/>
      <c r="BA54" s="2"/>
      <c r="BB54" s="386"/>
      <c r="BE54" s="2"/>
    </row>
    <row r="55" spans="2:57" ht="32.25">
      <c r="C55" s="2">
        <v>9</v>
      </c>
      <c r="D55" s="21" t="str">
        <f t="shared" si="27"/>
        <v>e</v>
      </c>
      <c r="E55" s="5" t="str">
        <f t="shared" si="28"/>
        <v>ㄍ</v>
      </c>
      <c r="F55" s="5" t="str">
        <f t="shared" si="29"/>
        <v>k</v>
      </c>
      <c r="G55" s="5"/>
      <c r="I55" s="2"/>
      <c r="J55" s="2"/>
      <c r="R55" s="2"/>
      <c r="Z55" s="98">
        <f t="shared" si="10"/>
        <v>53</v>
      </c>
      <c r="AA55" s="71"/>
      <c r="AB55" s="352"/>
      <c r="AC55" s="32"/>
      <c r="AD55" s="486"/>
      <c r="AE55" s="380"/>
      <c r="AF55" s="364"/>
      <c r="AG55" s="364"/>
      <c r="AH55" s="2"/>
      <c r="AI55" s="364"/>
      <c r="AJ55" s="2"/>
      <c r="AY55" s="11"/>
      <c r="BA55" s="2"/>
      <c r="BB55" s="386"/>
      <c r="BE55" s="2"/>
    </row>
    <row r="56" spans="2:57" ht="32.25">
      <c r="C56" s="2">
        <v>10</v>
      </c>
      <c r="D56" s="21" t="str">
        <f t="shared" si="27"/>
        <v>d</v>
      </c>
      <c r="E56" s="5" t="str">
        <f t="shared" si="28"/>
        <v>ㄎ</v>
      </c>
      <c r="F56" s="5" t="str">
        <f t="shared" si="29"/>
        <v>K</v>
      </c>
      <c r="G56" s="5"/>
      <c r="I56" s="2"/>
      <c r="J56" s="2"/>
      <c r="R56" s="2"/>
      <c r="Z56" s="98">
        <f t="shared" si="10"/>
        <v>54</v>
      </c>
      <c r="AA56" s="71"/>
      <c r="AB56" s="352"/>
      <c r="AC56" s="32"/>
      <c r="AD56" s="486"/>
      <c r="AE56" s="379"/>
      <c r="AF56" s="364"/>
      <c r="AG56" s="364"/>
      <c r="AH56" s="2"/>
      <c r="AI56" s="364"/>
      <c r="AJ56" s="2"/>
      <c r="AY56" s="11"/>
      <c r="BA56" s="2"/>
      <c r="BB56" s="386"/>
      <c r="BE56" s="2"/>
    </row>
    <row r="57" spans="2:57" ht="32.25">
      <c r="C57" s="2">
        <v>11</v>
      </c>
      <c r="D57" s="21" t="str">
        <f t="shared" si="27"/>
        <v>c</v>
      </c>
      <c r="E57" s="5" t="str">
        <f t="shared" si="28"/>
        <v>ㄏ</v>
      </c>
      <c r="F57" s="5" t="str">
        <f t="shared" si="29"/>
        <v>h</v>
      </c>
      <c r="G57" s="5"/>
      <c r="I57" s="2"/>
      <c r="J57" s="2"/>
      <c r="R57" s="2"/>
      <c r="U57" s="389" t="s">
        <v>11</v>
      </c>
      <c r="V57" s="390" t="s">
        <v>626</v>
      </c>
      <c r="W57" s="390" t="s">
        <v>625</v>
      </c>
      <c r="X57" s="391" t="s">
        <v>383</v>
      </c>
      <c r="Y57" s="24"/>
      <c r="Z57" s="98">
        <f t="shared" si="10"/>
        <v>55</v>
      </c>
      <c r="AA57" s="71"/>
      <c r="AB57" s="352"/>
      <c r="AC57" s="32"/>
      <c r="AD57" s="486"/>
      <c r="AE57" s="380"/>
      <c r="AF57" s="364"/>
      <c r="AG57" s="364"/>
      <c r="AH57" s="2"/>
      <c r="AI57" s="364"/>
      <c r="AJ57" s="2"/>
      <c r="AY57" s="11"/>
      <c r="BA57" s="2"/>
      <c r="BB57" s="386"/>
      <c r="BE57" s="2"/>
    </row>
    <row r="58" spans="2:57" ht="32.25">
      <c r="C58" s="2">
        <v>12</v>
      </c>
      <c r="D58" s="21" t="str">
        <f t="shared" si="27"/>
        <v>r</v>
      </c>
      <c r="E58" s="5" t="str">
        <f t="shared" si="28"/>
        <v/>
      </c>
      <c r="F58" s="5" t="str">
        <f t="shared" si="29"/>
        <v/>
      </c>
      <c r="G58" s="5"/>
      <c r="I58" s="2"/>
      <c r="J58" s="2"/>
      <c r="R58" s="2"/>
      <c r="U58" s="392" t="s">
        <v>267</v>
      </c>
      <c r="V58" s="363" t="s">
        <v>615</v>
      </c>
      <c r="W58" s="362" t="s">
        <v>125</v>
      </c>
      <c r="X58" s="393" t="s">
        <v>203</v>
      </c>
      <c r="Y58" s="24"/>
      <c r="Z58" s="98">
        <f t="shared" si="10"/>
        <v>56</v>
      </c>
      <c r="AA58" s="71"/>
      <c r="AB58" s="352"/>
      <c r="AC58" s="32"/>
      <c r="AD58" s="486"/>
      <c r="AE58" s="380"/>
      <c r="AF58" s="364"/>
      <c r="AG58" s="364"/>
      <c r="AH58" s="2"/>
      <c r="AI58" s="364"/>
      <c r="AJ58" s="2"/>
      <c r="AY58" s="11"/>
      <c r="BA58" s="2"/>
      <c r="BB58" s="386"/>
      <c r="BE58" s="2"/>
    </row>
    <row r="59" spans="2:57">
      <c r="C59" s="2">
        <v>13</v>
      </c>
      <c r="D59" s="21" t="str">
        <f t="shared" si="27"/>
        <v>f</v>
      </c>
      <c r="E59" s="5" t="str">
        <f t="shared" si="28"/>
        <v/>
      </c>
      <c r="F59" s="5" t="str">
        <f t="shared" si="29"/>
        <v/>
      </c>
      <c r="G59" s="5"/>
      <c r="I59" s="2"/>
      <c r="J59" s="2"/>
      <c r="R59" s="2"/>
      <c r="U59" s="394" t="s">
        <v>611</v>
      </c>
      <c r="V59" s="363" t="s">
        <v>616</v>
      </c>
      <c r="W59" s="362" t="s">
        <v>99</v>
      </c>
      <c r="X59" s="395" t="s">
        <v>207</v>
      </c>
      <c r="Y59" s="24"/>
      <c r="Z59" s="2"/>
      <c r="AA59" s="370"/>
      <c r="AE59" s="359"/>
      <c r="AF59" s="364"/>
      <c r="AG59" s="364"/>
      <c r="AH59" s="2"/>
      <c r="AI59" s="364"/>
      <c r="AJ59" s="2"/>
      <c r="AY59" s="11"/>
      <c r="BA59" s="2"/>
      <c r="BB59" s="386"/>
      <c r="BE59" s="2"/>
    </row>
    <row r="60" spans="2:57">
      <c r="C60" s="2">
        <v>14</v>
      </c>
      <c r="D60" s="21" t="str">
        <f t="shared" si="27"/>
        <v>v</v>
      </c>
      <c r="E60" s="5" t="str">
        <f t="shared" si="28"/>
        <v/>
      </c>
      <c r="F60" s="5" t="str">
        <f t="shared" si="29"/>
        <v/>
      </c>
      <c r="G60" s="5"/>
      <c r="I60" s="2"/>
      <c r="J60" s="2"/>
      <c r="R60" s="2"/>
      <c r="U60" s="392" t="s">
        <v>206</v>
      </c>
      <c r="V60" s="363" t="s">
        <v>614</v>
      </c>
      <c r="W60" s="362" t="s">
        <v>101</v>
      </c>
      <c r="X60" s="393" t="s">
        <v>160</v>
      </c>
      <c r="Y60" s="24"/>
      <c r="Z60" s="2"/>
      <c r="AA60" s="377"/>
      <c r="AC60" s="377"/>
      <c r="AE60" s="378" t="s">
        <v>631</v>
      </c>
      <c r="AF60" s="364"/>
      <c r="AG60" s="364"/>
      <c r="AH60" s="2"/>
      <c r="AI60" s="364"/>
      <c r="AJ60" s="2"/>
      <c r="AY60" s="11"/>
      <c r="BA60" s="2"/>
      <c r="BB60" s="386"/>
      <c r="BE60" s="2"/>
    </row>
    <row r="61" spans="2:57">
      <c r="C61" s="2">
        <v>15</v>
      </c>
      <c r="D61" s="21" t="str">
        <f t="shared" si="27"/>
        <v>t</v>
      </c>
      <c r="E61" s="5" t="str">
        <f t="shared" si="28"/>
        <v/>
      </c>
      <c r="F61" s="5" t="str">
        <f t="shared" si="29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6"/>
      <c r="BE61" s="2"/>
    </row>
    <row r="62" spans="2:57">
      <c r="C62" s="2">
        <v>16</v>
      </c>
      <c r="D62" s="21" t="str">
        <f t="shared" si="27"/>
        <v>g</v>
      </c>
      <c r="E62" s="5" t="str">
        <f t="shared" si="28"/>
        <v/>
      </c>
      <c r="F62" s="5" t="str">
        <f t="shared" si="29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7"/>
        <v>b</v>
      </c>
      <c r="E63" s="5" t="str">
        <f t="shared" si="28"/>
        <v>ㄖ</v>
      </c>
      <c r="F63" s="5" t="str">
        <f t="shared" si="29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7"/>
        <v>y</v>
      </c>
      <c r="E64" s="5" t="str">
        <f t="shared" si="28"/>
        <v>ㄗ</v>
      </c>
      <c r="F64" s="5" t="str">
        <f t="shared" si="29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7"/>
        <v>h</v>
      </c>
      <c r="E65" s="5" t="str">
        <f t="shared" si="28"/>
        <v>ㄘ</v>
      </c>
      <c r="F65" s="5" t="str">
        <f t="shared" si="29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7"/>
        <v>n</v>
      </c>
      <c r="E66" s="5" t="str">
        <f t="shared" si="28"/>
        <v>ㄙ</v>
      </c>
      <c r="F66" s="5" t="str">
        <f t="shared" si="29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7"/>
        <v>u</v>
      </c>
      <c r="E67" s="5" t="str">
        <f t="shared" si="28"/>
        <v>ㄧ</v>
      </c>
      <c r="F67" s="5" t="str">
        <f t="shared" si="29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7"/>
        <v>j</v>
      </c>
      <c r="E68" s="5" t="str">
        <f t="shared" si="28"/>
        <v>ㄨ</v>
      </c>
      <c r="F68" s="5" t="str">
        <f t="shared" si="29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7"/>
        <v>m</v>
      </c>
      <c r="E69" s="5" t="str">
        <f t="shared" si="28"/>
        <v>ㄇ</v>
      </c>
      <c r="F69" s="5" t="str">
        <f t="shared" si="29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7"/>
        <v>8</v>
      </c>
      <c r="E70" s="5" t="str">
        <f t="shared" si="28"/>
        <v>ㄚ</v>
      </c>
      <c r="F70" s="5" t="str">
        <f t="shared" si="29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7"/>
        <v>i</v>
      </c>
      <c r="E71" s="5" t="str">
        <f t="shared" si="28"/>
        <v>ㆦ</v>
      </c>
      <c r="F71" s="5" t="str">
        <f t="shared" si="29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7"/>
        <v>k</v>
      </c>
      <c r="E72" s="5" t="str">
        <f t="shared" si="28"/>
        <v>ㄜ</v>
      </c>
      <c r="F72" s="5" t="str">
        <f t="shared" si="29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7"/>
        <v>,</v>
      </c>
      <c r="E73" s="5" t="str">
        <f t="shared" si="28"/>
        <v>ㄝ</v>
      </c>
      <c r="F73" s="5" t="str">
        <f t="shared" si="29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7"/>
        <v>9</v>
      </c>
      <c r="E74" s="5" t="str">
        <f t="shared" si="28"/>
        <v>ㄞ</v>
      </c>
      <c r="F74" s="5" t="str">
        <f t="shared" si="29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7"/>
        <v>o</v>
      </c>
      <c r="E75" s="5" t="str">
        <f t="shared" si="28"/>
        <v/>
      </c>
      <c r="F75" s="5" t="str">
        <f t="shared" si="29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7"/>
        <v>l</v>
      </c>
      <c r="E76" s="5" t="str">
        <f t="shared" si="28"/>
        <v>ㄠ</v>
      </c>
      <c r="F76" s="5" t="str">
        <f t="shared" si="29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7"/>
        <v>.</v>
      </c>
      <c r="E77" s="5" t="str">
        <f t="shared" si="28"/>
        <v>ｎ</v>
      </c>
      <c r="F77" s="5" t="str">
        <f t="shared" si="29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7"/>
        <v>0</v>
      </c>
      <c r="E78" s="5" t="str">
        <f t="shared" si="28"/>
        <v>ㄢ</v>
      </c>
      <c r="F78" s="5" t="str">
        <f t="shared" si="29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7"/>
        <v>p</v>
      </c>
      <c r="E79" s="5" t="str">
        <f t="shared" si="28"/>
        <v>ㄣ</v>
      </c>
      <c r="F79" s="5" t="str">
        <f t="shared" si="29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7"/>
        <v>;</v>
      </c>
      <c r="E80" s="5" t="str">
        <f t="shared" si="28"/>
        <v>ㄤ</v>
      </c>
      <c r="F80" s="5" t="str">
        <f t="shared" si="29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7"/>
        <v>/</v>
      </c>
      <c r="E81" s="5" t="str">
        <f t="shared" si="28"/>
        <v>ㄥ</v>
      </c>
      <c r="F81" s="5" t="str">
        <f t="shared" si="29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7"/>
        <v>-</v>
      </c>
      <c r="E82" s="5" t="str">
        <f t="shared" si="28"/>
        <v>ㄦ</v>
      </c>
      <c r="F82" s="5" t="str">
        <f t="shared" si="29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7"/>
        <v xml:space="preserve"> </v>
      </c>
      <c r="E83" s="5" t="str">
        <f t="shared" si="28"/>
        <v/>
      </c>
      <c r="F83" s="5" t="str">
        <f t="shared" si="29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7"/>
        <v>4</v>
      </c>
      <c r="E84" s="5" t="str">
        <f t="shared" si="28"/>
        <v/>
      </c>
      <c r="F84" s="5" t="str">
        <f t="shared" si="29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7"/>
        <v>3</v>
      </c>
      <c r="E85" s="5" t="str">
        <f t="shared" si="28"/>
        <v/>
      </c>
      <c r="F85" s="5" t="str">
        <f t="shared" si="29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7"/>
        <v>6</v>
      </c>
      <c r="E86" s="5" t="str">
        <f t="shared" si="28"/>
        <v/>
      </c>
      <c r="F86" s="5" t="str">
        <f t="shared" si="29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7"/>
        <v>5</v>
      </c>
      <c r="E87" s="5" t="str">
        <f t="shared" si="28"/>
        <v/>
      </c>
      <c r="F87" s="5" t="str">
        <f t="shared" si="29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7"/>
        <v>7</v>
      </c>
      <c r="E88" s="5" t="str">
        <f t="shared" si="28"/>
        <v/>
      </c>
      <c r="F88" s="5" t="str">
        <f t="shared" si="29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2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0000"/>
  </sheetPr>
  <dimension ref="B4:L31"/>
  <sheetViews>
    <sheetView topLeftCell="A4" workbookViewId="0">
      <selection activeCell="Q12" sqref="Q12"/>
    </sheetView>
    <sheetView workbookViewId="1"/>
  </sheetViews>
  <sheetFormatPr defaultRowHeight="21"/>
  <sheetData>
    <row r="4" spans="2:12">
      <c r="B4" s="556" t="s">
        <v>727</v>
      </c>
      <c r="C4" s="556" t="s">
        <v>730</v>
      </c>
      <c r="D4" s="556"/>
      <c r="E4" s="541" t="s">
        <v>822</v>
      </c>
      <c r="F4" s="542"/>
      <c r="G4" s="543"/>
      <c r="H4" s="557" t="s">
        <v>823</v>
      </c>
      <c r="I4" s="559"/>
      <c r="J4" s="559"/>
      <c r="K4" s="559"/>
      <c r="L4" s="558"/>
    </row>
    <row r="5" spans="2:12">
      <c r="B5" s="556"/>
      <c r="C5" s="556"/>
      <c r="D5" s="556"/>
      <c r="E5" s="544" t="s">
        <v>398</v>
      </c>
      <c r="F5" s="544" t="s">
        <v>411</v>
      </c>
      <c r="G5" s="544" t="s">
        <v>440</v>
      </c>
      <c r="H5" s="545" t="s">
        <v>824</v>
      </c>
      <c r="I5" s="545" t="s">
        <v>825</v>
      </c>
      <c r="J5" s="545" t="s">
        <v>826</v>
      </c>
      <c r="K5" s="557" t="s">
        <v>827</v>
      </c>
      <c r="L5" s="558"/>
    </row>
    <row r="6" spans="2:12" ht="22.5">
      <c r="B6" s="540" t="s">
        <v>471</v>
      </c>
      <c r="C6" s="540" t="s">
        <v>351</v>
      </c>
      <c r="D6" s="540" t="s">
        <v>276</v>
      </c>
      <c r="E6" s="540" t="s">
        <v>207</v>
      </c>
      <c r="F6" s="540" t="s">
        <v>177</v>
      </c>
      <c r="G6" s="540" t="s">
        <v>163</v>
      </c>
      <c r="H6" s="546" t="s">
        <v>333</v>
      </c>
      <c r="I6" s="546" t="s">
        <v>323</v>
      </c>
      <c r="J6" s="546" t="s">
        <v>828</v>
      </c>
      <c r="K6" s="546" t="s">
        <v>355</v>
      </c>
      <c r="L6" s="546" t="s">
        <v>829</v>
      </c>
    </row>
    <row r="7" spans="2:12" ht="22.5">
      <c r="B7" s="540" t="s">
        <v>830</v>
      </c>
      <c r="C7" s="540" t="s">
        <v>330</v>
      </c>
      <c r="D7" s="540" t="s">
        <v>268</v>
      </c>
      <c r="E7" s="540"/>
      <c r="F7" s="540"/>
      <c r="G7" s="540"/>
      <c r="H7" s="546"/>
      <c r="I7" s="546"/>
      <c r="J7" s="546"/>
      <c r="K7" s="546" t="s">
        <v>831</v>
      </c>
      <c r="L7" s="546" t="s">
        <v>832</v>
      </c>
    </row>
    <row r="8" spans="2:12" ht="22.5">
      <c r="B8" s="540" t="s">
        <v>833</v>
      </c>
      <c r="C8" s="540" t="s">
        <v>326</v>
      </c>
      <c r="D8" s="540"/>
      <c r="E8" s="540"/>
      <c r="F8" s="540"/>
      <c r="G8" s="540"/>
      <c r="H8" s="546"/>
      <c r="I8" s="546"/>
      <c r="J8" s="546"/>
      <c r="K8" s="546" t="s">
        <v>834</v>
      </c>
      <c r="L8" s="546" t="s">
        <v>835</v>
      </c>
    </row>
    <row r="9" spans="2:12" ht="22.5">
      <c r="B9" s="540" t="s">
        <v>836</v>
      </c>
      <c r="C9" s="540" t="s">
        <v>837</v>
      </c>
      <c r="D9" s="540"/>
      <c r="E9" s="540"/>
      <c r="F9" s="540"/>
      <c r="G9" s="540" t="s">
        <v>838</v>
      </c>
      <c r="H9" s="546"/>
      <c r="I9" s="546"/>
      <c r="J9" s="546" t="s">
        <v>839</v>
      </c>
      <c r="K9" s="546" t="s">
        <v>840</v>
      </c>
      <c r="L9" s="546"/>
    </row>
    <row r="10" spans="2:12" ht="22.5">
      <c r="B10" s="540" t="s">
        <v>482</v>
      </c>
      <c r="C10" s="540" t="s">
        <v>329</v>
      </c>
      <c r="D10" s="540" t="s">
        <v>270</v>
      </c>
      <c r="E10" s="540"/>
      <c r="F10" s="540"/>
      <c r="G10" s="540"/>
      <c r="H10" s="546"/>
      <c r="I10" s="546"/>
      <c r="J10" s="546"/>
      <c r="K10" s="546" t="s">
        <v>841</v>
      </c>
      <c r="L10" s="546" t="s">
        <v>842</v>
      </c>
    </row>
    <row r="11" spans="2:12" ht="22.5">
      <c r="B11" s="540" t="s">
        <v>468</v>
      </c>
      <c r="C11" s="540" t="s">
        <v>279</v>
      </c>
      <c r="D11" s="540" t="s">
        <v>513</v>
      </c>
      <c r="E11" s="540" t="s">
        <v>213</v>
      </c>
      <c r="F11" s="540" t="s">
        <v>186</v>
      </c>
      <c r="G11" s="540" t="s">
        <v>155</v>
      </c>
      <c r="H11" s="546" t="s">
        <v>843</v>
      </c>
      <c r="I11" s="546" t="s">
        <v>844</v>
      </c>
      <c r="J11" s="546" t="s">
        <v>845</v>
      </c>
      <c r="K11" s="546" t="s">
        <v>846</v>
      </c>
      <c r="L11" s="546" t="s">
        <v>847</v>
      </c>
    </row>
    <row r="12" spans="2:12" ht="22.5">
      <c r="B12" s="540" t="s">
        <v>848</v>
      </c>
      <c r="C12" s="540" t="s">
        <v>313</v>
      </c>
      <c r="D12" s="540" t="s">
        <v>255</v>
      </c>
      <c r="E12" s="540" t="s">
        <v>199</v>
      </c>
      <c r="F12" s="540" t="s">
        <v>172</v>
      </c>
      <c r="G12" s="540" t="s">
        <v>157</v>
      </c>
      <c r="H12" s="546" t="s">
        <v>849</v>
      </c>
      <c r="I12" s="546" t="s">
        <v>850</v>
      </c>
      <c r="J12" s="546" t="s">
        <v>851</v>
      </c>
      <c r="K12" s="546" t="s">
        <v>852</v>
      </c>
      <c r="L12" s="546" t="s">
        <v>853</v>
      </c>
    </row>
    <row r="13" spans="2:12" ht="22.5">
      <c r="B13" s="540" t="s">
        <v>854</v>
      </c>
      <c r="C13" s="540" t="s">
        <v>301</v>
      </c>
      <c r="D13" s="540" t="s">
        <v>855</v>
      </c>
      <c r="E13" s="540"/>
      <c r="F13" s="540"/>
      <c r="G13" s="540"/>
      <c r="H13" s="546"/>
      <c r="I13" s="546"/>
      <c r="J13" s="546"/>
      <c r="K13" s="546" t="s">
        <v>856</v>
      </c>
      <c r="L13" s="546"/>
    </row>
    <row r="14" spans="2:12" ht="22.5">
      <c r="B14" s="540" t="s">
        <v>857</v>
      </c>
      <c r="C14" s="540" t="s">
        <v>306</v>
      </c>
      <c r="D14" s="540"/>
      <c r="E14" s="540"/>
      <c r="F14" s="540"/>
      <c r="G14" s="540"/>
      <c r="H14" s="546"/>
      <c r="I14" s="546"/>
      <c r="J14" s="546"/>
      <c r="K14" s="546" t="s">
        <v>858</v>
      </c>
      <c r="L14" s="546"/>
    </row>
    <row r="15" spans="2:12" ht="22.5">
      <c r="B15" s="540" t="s">
        <v>859</v>
      </c>
      <c r="C15" s="540" t="s">
        <v>860</v>
      </c>
      <c r="D15" s="540" t="s">
        <v>250</v>
      </c>
      <c r="E15" s="540"/>
      <c r="F15" s="540"/>
      <c r="G15" s="540" t="s">
        <v>152</v>
      </c>
      <c r="H15" s="546"/>
      <c r="I15" s="546"/>
      <c r="J15" s="546" t="s">
        <v>861</v>
      </c>
      <c r="K15" s="546" t="s">
        <v>862</v>
      </c>
      <c r="L15" s="546"/>
    </row>
    <row r="16" spans="2:12" ht="22.5">
      <c r="B16" s="540" t="s">
        <v>863</v>
      </c>
      <c r="C16" s="540" t="s">
        <v>318</v>
      </c>
      <c r="D16" s="540" t="s">
        <v>260</v>
      </c>
      <c r="E16" s="540"/>
      <c r="F16" s="540"/>
      <c r="G16" s="540"/>
      <c r="H16" s="546"/>
      <c r="I16" s="546"/>
      <c r="J16" s="546"/>
      <c r="K16" s="546" t="s">
        <v>864</v>
      </c>
      <c r="L16" s="546" t="s">
        <v>865</v>
      </c>
    </row>
    <row r="17" spans="2:12" ht="22.5">
      <c r="B17" s="540" t="s">
        <v>475</v>
      </c>
      <c r="C17" s="540" t="s">
        <v>866</v>
      </c>
      <c r="D17" s="540"/>
      <c r="E17" s="540"/>
      <c r="F17" s="540"/>
      <c r="G17" s="540"/>
      <c r="H17" s="546"/>
      <c r="I17" s="546"/>
      <c r="J17" s="546"/>
      <c r="K17" s="546" t="s">
        <v>867</v>
      </c>
      <c r="L17" s="546"/>
    </row>
    <row r="18" spans="2:12" ht="22.5">
      <c r="B18" s="540" t="s">
        <v>868</v>
      </c>
      <c r="C18" s="540" t="s">
        <v>65</v>
      </c>
      <c r="D18" s="540"/>
      <c r="E18" s="540"/>
      <c r="F18" s="540"/>
      <c r="G18" s="540"/>
      <c r="H18" s="546"/>
      <c r="I18" s="546"/>
      <c r="J18" s="546"/>
      <c r="K18" s="546" t="s">
        <v>869</v>
      </c>
      <c r="L18" s="546"/>
    </row>
    <row r="19" spans="2:12" ht="22.5">
      <c r="B19" s="540"/>
      <c r="C19" s="540"/>
      <c r="D19" s="540"/>
      <c r="E19" s="540" t="s">
        <v>398</v>
      </c>
      <c r="F19" s="540" t="s">
        <v>411</v>
      </c>
      <c r="G19" s="540" t="s">
        <v>440</v>
      </c>
      <c r="H19" s="546" t="s">
        <v>824</v>
      </c>
      <c r="I19" s="546" t="s">
        <v>825</v>
      </c>
      <c r="J19" s="546" t="s">
        <v>826</v>
      </c>
      <c r="K19" s="546" t="s">
        <v>827</v>
      </c>
      <c r="L19" s="546"/>
    </row>
    <row r="20" spans="2:12" ht="22.5">
      <c r="B20" s="540" t="s">
        <v>474</v>
      </c>
      <c r="C20" s="540" t="s">
        <v>346</v>
      </c>
      <c r="D20" s="540" t="s">
        <v>273</v>
      </c>
      <c r="E20" s="540" t="s">
        <v>203</v>
      </c>
      <c r="F20" s="540"/>
      <c r="G20" s="540" t="s">
        <v>160</v>
      </c>
      <c r="H20" s="546" t="s">
        <v>870</v>
      </c>
      <c r="I20" s="546"/>
      <c r="J20" s="546" t="s">
        <v>871</v>
      </c>
      <c r="K20" s="546" t="s">
        <v>872</v>
      </c>
      <c r="L20" s="546" t="s">
        <v>873</v>
      </c>
    </row>
    <row r="21" spans="2:12" ht="22.5">
      <c r="B21" s="540" t="s">
        <v>874</v>
      </c>
      <c r="C21" s="540" t="s">
        <v>522</v>
      </c>
      <c r="D21" s="540"/>
      <c r="E21" s="540" t="s">
        <v>875</v>
      </c>
      <c r="F21" s="540" t="s">
        <v>876</v>
      </c>
      <c r="G21" s="540" t="s">
        <v>877</v>
      </c>
      <c r="H21" s="546" t="s">
        <v>878</v>
      </c>
      <c r="I21" s="546" t="s">
        <v>879</v>
      </c>
      <c r="J21" s="546" t="s">
        <v>880</v>
      </c>
      <c r="K21" s="546" t="s">
        <v>881</v>
      </c>
      <c r="L21" s="546"/>
    </row>
    <row r="22" spans="2:12" ht="22.5">
      <c r="B22" s="540" t="s">
        <v>469</v>
      </c>
      <c r="C22" s="540" t="s">
        <v>196</v>
      </c>
      <c r="D22" s="540"/>
      <c r="E22" s="540"/>
      <c r="F22" s="540" t="s">
        <v>181</v>
      </c>
      <c r="G22" s="540"/>
      <c r="H22" s="546"/>
      <c r="I22" s="546" t="s">
        <v>882</v>
      </c>
      <c r="J22" s="546"/>
      <c r="K22" s="546" t="s">
        <v>883</v>
      </c>
      <c r="L22" s="546"/>
    </row>
    <row r="23" spans="2:12" ht="22.5">
      <c r="B23" s="540" t="s">
        <v>884</v>
      </c>
      <c r="C23" s="540" t="s">
        <v>295</v>
      </c>
      <c r="D23" s="540" t="s">
        <v>236</v>
      </c>
      <c r="E23" s="540"/>
      <c r="F23" s="540" t="s">
        <v>168</v>
      </c>
      <c r="G23" s="540" t="s">
        <v>149</v>
      </c>
      <c r="H23" s="546"/>
      <c r="I23" s="546" t="s">
        <v>885</v>
      </c>
      <c r="J23" s="546"/>
      <c r="K23" s="546" t="s">
        <v>886</v>
      </c>
      <c r="L23" s="546"/>
    </row>
    <row r="24" spans="2:12" ht="22.5">
      <c r="B24" s="540" t="s">
        <v>887</v>
      </c>
      <c r="C24" s="540" t="s">
        <v>288</v>
      </c>
      <c r="D24" s="540" t="s">
        <v>888</v>
      </c>
      <c r="E24" s="540"/>
      <c r="F24" s="540"/>
      <c r="G24" s="540"/>
      <c r="H24" s="546"/>
      <c r="I24" s="546"/>
      <c r="J24" s="546"/>
      <c r="K24" s="546"/>
      <c r="L24" s="546"/>
    </row>
    <row r="25" spans="2:12" ht="22.5">
      <c r="B25" s="540" t="s">
        <v>889</v>
      </c>
      <c r="C25" s="540" t="s">
        <v>890</v>
      </c>
      <c r="D25" s="540"/>
      <c r="E25" s="540"/>
      <c r="F25" s="540"/>
      <c r="G25" s="540"/>
      <c r="H25" s="546"/>
      <c r="I25" s="546"/>
      <c r="J25" s="546"/>
      <c r="K25" s="546" t="s">
        <v>891</v>
      </c>
      <c r="L25" s="546"/>
    </row>
    <row r="26" spans="2:12" ht="22.5">
      <c r="B26" s="540" t="s">
        <v>892</v>
      </c>
      <c r="C26" s="540" t="s">
        <v>292</v>
      </c>
      <c r="D26" s="540"/>
      <c r="E26" s="540"/>
      <c r="F26" s="540"/>
      <c r="G26" s="540"/>
      <c r="H26" s="546"/>
      <c r="I26" s="546"/>
      <c r="J26" s="546"/>
      <c r="K26" s="546" t="s">
        <v>893</v>
      </c>
      <c r="L26" s="546"/>
    </row>
    <row r="27" spans="2:12" ht="22.5">
      <c r="B27" s="540" t="s">
        <v>894</v>
      </c>
      <c r="C27" s="540" t="s">
        <v>298</v>
      </c>
      <c r="D27" s="540"/>
      <c r="E27" s="540"/>
      <c r="F27" s="540"/>
      <c r="G27" s="540"/>
      <c r="H27" s="546"/>
      <c r="I27" s="546"/>
      <c r="J27" s="546"/>
      <c r="K27" s="546"/>
      <c r="L27" s="546"/>
    </row>
    <row r="28" spans="2:12" ht="22.5">
      <c r="B28" s="540" t="s">
        <v>895</v>
      </c>
      <c r="C28" s="540"/>
      <c r="D28" s="540" t="s">
        <v>896</v>
      </c>
      <c r="E28" s="540"/>
      <c r="F28" s="540"/>
      <c r="G28" s="540"/>
      <c r="H28" s="546"/>
      <c r="I28" s="546"/>
      <c r="J28" s="546"/>
      <c r="K28" s="546"/>
      <c r="L28" s="546"/>
    </row>
    <row r="29" spans="2:12" ht="22.5">
      <c r="B29" s="540" t="s">
        <v>897</v>
      </c>
      <c r="C29" s="540" t="s">
        <v>898</v>
      </c>
      <c r="D29" s="540"/>
      <c r="E29" s="540"/>
      <c r="F29" s="540"/>
      <c r="G29" s="540"/>
      <c r="H29" s="546"/>
      <c r="I29" s="546"/>
      <c r="J29" s="546"/>
      <c r="K29" s="546" t="s">
        <v>899</v>
      </c>
      <c r="L29" s="546"/>
    </row>
    <row r="30" spans="2:12" ht="22.5">
      <c r="B30" s="540" t="s">
        <v>470</v>
      </c>
      <c r="C30" s="540" t="s">
        <v>143</v>
      </c>
      <c r="D30" s="540"/>
      <c r="E30" s="540" t="s">
        <v>900</v>
      </c>
      <c r="F30" s="540"/>
      <c r="G30" s="540"/>
      <c r="H30" s="546"/>
      <c r="I30" s="546"/>
      <c r="J30" s="546"/>
      <c r="K30" s="546" t="s">
        <v>901</v>
      </c>
      <c r="L30" s="546"/>
    </row>
    <row r="31" spans="2:12" ht="22.5">
      <c r="B31" s="540" t="s">
        <v>498</v>
      </c>
      <c r="C31" s="540" t="s">
        <v>140</v>
      </c>
      <c r="D31" s="540"/>
      <c r="E31" s="540" t="s">
        <v>900</v>
      </c>
      <c r="F31" s="540"/>
      <c r="G31" s="540"/>
      <c r="H31" s="546"/>
      <c r="I31" s="546"/>
      <c r="J31" s="546"/>
      <c r="K31" s="546" t="s">
        <v>902</v>
      </c>
      <c r="L31" s="546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2CE0-E9A9-48F4-BCEA-540962F85F28}">
  <sheetPr>
    <tabColor theme="7"/>
  </sheetPr>
  <dimension ref="A1:CK69"/>
  <sheetViews>
    <sheetView showGridLines="0" zoomScale="50" zoomScaleNormal="50" workbookViewId="0">
      <selection activeCell="BC25" sqref="BC25"/>
    </sheetView>
    <sheetView workbookViewId="1"/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563" t="s">
        <v>539</v>
      </c>
      <c r="C2" s="564"/>
      <c r="D2" s="565"/>
      <c r="E2" s="563" t="s">
        <v>540</v>
      </c>
      <c r="F2" s="564"/>
      <c r="G2" s="565"/>
      <c r="H2" s="560" t="s">
        <v>541</v>
      </c>
      <c r="I2" s="561"/>
      <c r="J2" s="562"/>
      <c r="K2" s="560" t="s">
        <v>542</v>
      </c>
      <c r="L2" s="561"/>
      <c r="M2" s="562"/>
      <c r="N2" s="566">
        <v>0.05</v>
      </c>
      <c r="O2" s="567"/>
      <c r="P2" s="568"/>
      <c r="Q2" s="560" t="s">
        <v>543</v>
      </c>
      <c r="R2" s="561"/>
      <c r="S2" s="562"/>
      <c r="T2" s="560" t="s">
        <v>544</v>
      </c>
      <c r="U2" s="561"/>
      <c r="V2" s="562"/>
      <c r="W2" s="569" t="s">
        <v>545</v>
      </c>
      <c r="X2" s="570"/>
      <c r="Y2" s="571"/>
      <c r="Z2" s="569" t="s">
        <v>546</v>
      </c>
      <c r="AA2" s="570"/>
      <c r="AB2" s="571"/>
      <c r="AC2" s="569" t="s">
        <v>547</v>
      </c>
      <c r="AD2" s="570"/>
      <c r="AE2" s="571"/>
      <c r="AF2" s="572" t="s">
        <v>548</v>
      </c>
      <c r="AG2" s="573"/>
      <c r="AH2" s="574"/>
      <c r="AI2" s="572" t="s">
        <v>549</v>
      </c>
      <c r="AJ2" s="573"/>
      <c r="AK2" s="574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579" t="str">
        <f ca="1">F18</f>
        <v>ㆠ</v>
      </c>
      <c r="C3" s="591"/>
      <c r="D3" s="587" t="s">
        <v>551</v>
      </c>
      <c r="E3" s="579"/>
      <c r="F3" s="244"/>
      <c r="G3" s="245"/>
      <c r="H3" s="246"/>
      <c r="I3" s="247"/>
      <c r="J3" s="248"/>
      <c r="K3" s="246"/>
      <c r="L3" s="247"/>
      <c r="M3" s="248"/>
      <c r="N3" s="249"/>
      <c r="O3" s="250"/>
      <c r="P3" s="251"/>
      <c r="Q3" s="246"/>
      <c r="R3" s="247"/>
      <c r="S3" s="248"/>
      <c r="T3" s="246"/>
      <c r="U3" s="247"/>
      <c r="V3" s="248"/>
      <c r="W3" s="585" t="str">
        <f ca="1">AH19</f>
        <v>ㆩ</v>
      </c>
      <c r="X3" s="252"/>
      <c r="Y3" s="589" t="str">
        <f ca="1">AH20</f>
        <v>ann</v>
      </c>
      <c r="Z3" s="585" t="str">
        <f ca="1">AK19</f>
        <v>ㆮ</v>
      </c>
      <c r="AA3" s="252"/>
      <c r="AB3" s="589" t="str">
        <f ca="1">AK20</f>
        <v>ainn</v>
      </c>
      <c r="AC3" s="585"/>
      <c r="AD3" s="252"/>
      <c r="AE3" s="253"/>
      <c r="AF3" s="585"/>
      <c r="AG3" s="252"/>
      <c r="AH3" s="253"/>
      <c r="AI3" s="585"/>
      <c r="AJ3" s="252"/>
      <c r="AK3" s="253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54" t="s">
        <v>342</v>
      </c>
      <c r="BL3" s="255" t="s">
        <v>385</v>
      </c>
      <c r="BM3" s="255" t="s">
        <v>927</v>
      </c>
      <c r="BN3" s="256" t="s">
        <v>362</v>
      </c>
      <c r="BO3" s="257" t="s">
        <v>388</v>
      </c>
      <c r="BP3" s="153"/>
      <c r="BR3" s="236"/>
      <c r="BT3" s="242"/>
      <c r="BU3" s="243"/>
      <c r="BW3" s="243"/>
    </row>
    <row r="4" spans="1:75" ht="45" customHeight="1" thickBot="1">
      <c r="A4" s="258"/>
      <c r="B4" s="580" t="str">
        <f ca="1">D19</f>
        <v>ㄅ</v>
      </c>
      <c r="C4" s="259"/>
      <c r="D4" s="260" t="s">
        <v>21</v>
      </c>
      <c r="E4" s="580" t="str">
        <f ca="1">H19</f>
        <v>ㄉ</v>
      </c>
      <c r="F4" s="259"/>
      <c r="G4" s="260" t="s">
        <v>340</v>
      </c>
      <c r="H4" s="575" t="s">
        <v>105</v>
      </c>
      <c r="I4" s="576"/>
      <c r="J4" s="261" t="s">
        <v>552</v>
      </c>
      <c r="K4" s="577" t="s">
        <v>104</v>
      </c>
      <c r="L4" s="578"/>
      <c r="M4" s="261" t="s">
        <v>553</v>
      </c>
      <c r="N4" s="575" t="s">
        <v>107</v>
      </c>
      <c r="O4" s="576"/>
      <c r="P4" s="261" t="s">
        <v>554</v>
      </c>
      <c r="Q4" s="577" t="s">
        <v>106</v>
      </c>
      <c r="R4" s="578"/>
      <c r="S4" s="261" t="s">
        <v>555</v>
      </c>
      <c r="T4" s="575" t="s">
        <v>556</v>
      </c>
      <c r="U4" s="576"/>
      <c r="V4" s="261" t="s">
        <v>557</v>
      </c>
      <c r="W4" s="586" t="str">
        <f ca="1">W19</f>
        <v>ㄚ</v>
      </c>
      <c r="X4" s="262"/>
      <c r="Y4" s="263" t="str">
        <f ca="1">W20</f>
        <v>a</v>
      </c>
      <c r="Z4" s="586" t="str">
        <f ca="1">AA19</f>
        <v>ㄞ</v>
      </c>
      <c r="AA4" s="262"/>
      <c r="AB4" s="263" t="str">
        <f ca="1">AA20</f>
        <v>ai</v>
      </c>
      <c r="AC4" s="586" t="str">
        <f ca="1">AC19</f>
        <v>ㄢ</v>
      </c>
      <c r="AD4" s="262"/>
      <c r="AE4" s="263" t="str">
        <f ca="1">AC20</f>
        <v>an</v>
      </c>
      <c r="AF4" s="586" t="str">
        <f ca="1">AE19</f>
        <v>ㆨ</v>
      </c>
      <c r="AG4" s="262"/>
      <c r="AH4" s="263" t="str">
        <f ca="1">AE20</f>
        <v>ir</v>
      </c>
      <c r="AI4" s="586"/>
      <c r="AJ4" s="262"/>
      <c r="AK4" s="263"/>
      <c r="AL4" s="258"/>
      <c r="AM4" s="258"/>
      <c r="AN4" s="258"/>
      <c r="AO4" s="258"/>
      <c r="AP4" s="258"/>
      <c r="AQ4" s="258"/>
      <c r="AR4" s="234"/>
      <c r="AS4" s="234"/>
      <c r="AT4" s="258"/>
      <c r="AU4" s="258"/>
      <c r="AV4" s="258"/>
      <c r="BJ4" s="264">
        <f t="shared" ref="BJ4:BJ50" si="0" xml:space="preserve"> ROW() - 3</f>
        <v>1</v>
      </c>
      <c r="BK4" s="71" t="str">
        <f>注音編碼對照表!C3</f>
        <v>1</v>
      </c>
      <c r="BL4" s="583" t="str" cm="1">
        <f t="array" ref="BL4" xml:space="preserve"> INDEX( 注音編碼對照表[方音符號], MATCH(TRUE, EXACT(方音鍵盤!$BK4, 注音編碼對照表[鍵盤按鍵]), 0))</f>
        <v>ㄅ</v>
      </c>
      <c r="BM4" s="584" t="str" cm="1">
        <f t="array" ref="BM4" xml:space="preserve"> INDEX( 注音編碼對照表[方音符號], MATCH(TRUE, EXACT(方音鍵盤!$BK4, 注音編碼對照表[鍵盤按鍵]), 0))</f>
        <v>ㄅ</v>
      </c>
      <c r="BN4" s="581" t="str" cm="1">
        <f t="array" ref="BN4" xml:space="preserve"> INDEX( 注音編碼對照表[國際音標], MATCH(TRUE, EXACT(方音鍵盤!$BK4, 注音編碼對照表[鍵盤按鍵]), 0))</f>
        <v>p</v>
      </c>
      <c r="BO4" s="582" t="str" cm="1">
        <f t="array" ref="BO4" xml:space="preserve"> INDEX( 注音編碼對照表[台語音標], MATCH(TRUE, EXACT(方音鍵盤!$BK4, 注音編碼對照表[鍵盤按鍵]), 0))</f>
        <v>p</v>
      </c>
      <c r="BP4" s="107"/>
      <c r="BR4" s="265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66" t="str">
        <f xml:space="preserve"> "- xform/" &amp; BN4 &amp; "/" &amp; BK4 &amp; "/"</f>
        <v>- xform/p/1/</v>
      </c>
      <c r="BW4" s="266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563" t="s">
        <v>558</v>
      </c>
      <c r="D5" s="564"/>
      <c r="E5" s="565"/>
      <c r="F5" s="563" t="s">
        <v>559</v>
      </c>
      <c r="G5" s="564"/>
      <c r="H5" s="565"/>
      <c r="I5" s="563" t="s">
        <v>322</v>
      </c>
      <c r="J5" s="564"/>
      <c r="K5" s="565"/>
      <c r="L5" s="563" t="s">
        <v>560</v>
      </c>
      <c r="M5" s="564"/>
      <c r="N5" s="565"/>
      <c r="O5" s="563" t="s">
        <v>408</v>
      </c>
      <c r="P5" s="564"/>
      <c r="Q5" s="565"/>
      <c r="R5" s="563" t="s">
        <v>447</v>
      </c>
      <c r="S5" s="564"/>
      <c r="T5" s="565"/>
      <c r="U5" s="569" t="s">
        <v>259</v>
      </c>
      <c r="V5" s="570"/>
      <c r="W5" s="571"/>
      <c r="X5" s="569" t="s">
        <v>275</v>
      </c>
      <c r="Y5" s="570"/>
      <c r="Z5" s="571"/>
      <c r="AA5" s="569" t="s">
        <v>267</v>
      </c>
      <c r="AB5" s="570"/>
      <c r="AC5" s="571"/>
      <c r="AD5" s="569" t="s">
        <v>400</v>
      </c>
      <c r="AE5" s="570"/>
      <c r="AF5" s="571"/>
      <c r="AG5" s="569" t="s">
        <v>561</v>
      </c>
      <c r="AH5" s="570"/>
      <c r="AI5" s="571"/>
      <c r="AJ5" s="569" t="s">
        <v>562</v>
      </c>
      <c r="AK5" s="570"/>
      <c r="AL5" s="571"/>
      <c r="AM5" s="572" t="s">
        <v>563</v>
      </c>
      <c r="AN5" s="573"/>
      <c r="AO5" s="574"/>
      <c r="AP5" s="239"/>
      <c r="AQ5" s="239"/>
      <c r="AR5" s="240"/>
      <c r="AS5" s="240"/>
      <c r="AT5" s="239"/>
      <c r="AU5" s="239"/>
      <c r="AV5" s="239"/>
      <c r="BJ5" s="264">
        <f t="shared" si="0"/>
        <v>2</v>
      </c>
      <c r="BK5" s="71" t="str">
        <f>注音編碼對照表!C4</f>
        <v>q</v>
      </c>
      <c r="BL5" s="583" t="str" cm="1">
        <f t="array" ref="BL5" xml:space="preserve"> INDEX( 注音編碼對照表[方音符號], MATCH(TRUE, EXACT(方音鍵盤!$BK5, 注音編碼對照表[鍵盤按鍵]), 0))</f>
        <v>ㄆ</v>
      </c>
      <c r="BM5" s="584" t="str" cm="1">
        <f t="array" ref="BM5" xml:space="preserve"> INDEX( 注音編碼對照表[方音符號], MATCH(TRUE, EXACT(方音鍵盤!$BK5, 注音編碼對照表[鍵盤按鍵]), 0))</f>
        <v>ㄆ</v>
      </c>
      <c r="BN5" s="581" t="str" cm="1">
        <f t="array" ref="BN5" xml:space="preserve"> INDEX( 注音編碼對照表[國際音標], MATCH(TRUE, EXACT(方音鍵盤!$BK5, 注音編碼對照表[鍵盤按鍵]), 0))</f>
        <v>pʰ</v>
      </c>
      <c r="BO5" s="582" t="str" cm="1">
        <f t="array" ref="BO5" xml:space="preserve"> INDEX( 注音編碼對照表[台語音標], MATCH(TRUE, EXACT(方音鍵盤!$BK5, 注音編碼對照表[鍵盤按鍵]), 0))</f>
        <v>ph</v>
      </c>
      <c r="BP5" s="107"/>
      <c r="BR5" s="265" t="str">
        <f t="shared" si="1"/>
        <v>"q": { commit: "ㄆ" }</v>
      </c>
      <c r="BT5" s="242">
        <f t="shared" si="2"/>
        <v>2</v>
      </c>
      <c r="BU5" s="266" t="str">
        <f t="shared" ref="BU5:BU55" si="3" xml:space="preserve"> "- xform/" &amp; BN5 &amp; "/" &amp; BK5 &amp; "/"</f>
        <v>- xform/pʰ/q/</v>
      </c>
      <c r="BW5" s="266" t="str">
        <f t="shared" ref="BW5:BW55" si="4" xml:space="preserve"> "- xform/" &amp; BK5 &amp; "/" &amp; BL5 &amp; "/"</f>
        <v>- xform/q/ㄆ/</v>
      </c>
    </row>
    <row r="6" spans="1:75" s="147" customFormat="1" ht="45" customHeight="1">
      <c r="A6" s="239"/>
      <c r="B6" s="239"/>
      <c r="C6" s="579"/>
      <c r="D6" s="244"/>
      <c r="E6" s="245"/>
      <c r="F6" s="579"/>
      <c r="G6" s="244"/>
      <c r="H6" s="245"/>
      <c r="I6" s="579" t="str">
        <f ca="1">R19</f>
        <v>ㆣ</v>
      </c>
      <c r="J6" s="244"/>
      <c r="K6" s="587" t="str">
        <f ca="1">R20</f>
        <v>g</v>
      </c>
      <c r="L6" s="579"/>
      <c r="M6" s="244"/>
      <c r="N6" s="245"/>
      <c r="O6" s="579"/>
      <c r="P6" s="244"/>
      <c r="Q6" s="245"/>
      <c r="R6" s="579"/>
      <c r="S6" s="244"/>
      <c r="T6" s="245"/>
      <c r="U6" s="585" t="str">
        <f ca="1">AF19</f>
        <v>ㆪ</v>
      </c>
      <c r="V6" s="252"/>
      <c r="W6" s="589" t="str">
        <f ca="1">AF20</f>
        <v>inn</v>
      </c>
      <c r="X6" s="585" t="str">
        <f ca="1">AI19</f>
        <v>ㆧ</v>
      </c>
      <c r="Y6" s="588"/>
      <c r="Z6" s="589" t="str">
        <f ca="1">AI20</f>
        <v>onn</v>
      </c>
      <c r="AA6" s="585"/>
      <c r="AB6" s="252"/>
      <c r="AC6" s="589"/>
      <c r="AD6" s="585"/>
      <c r="AE6" s="252"/>
      <c r="AF6" s="253"/>
      <c r="AG6" s="585"/>
      <c r="AH6" s="252"/>
      <c r="AI6" s="253"/>
      <c r="AJ6" s="585"/>
      <c r="AK6" s="252"/>
      <c r="AL6" s="253"/>
      <c r="AM6" s="585"/>
      <c r="AN6" s="252"/>
      <c r="AO6" s="253"/>
      <c r="AP6" s="239"/>
      <c r="AQ6" s="239"/>
      <c r="AR6" s="240"/>
      <c r="AS6" s="240"/>
      <c r="AT6" s="239"/>
      <c r="AU6" s="239"/>
      <c r="AV6" s="239"/>
      <c r="BJ6" s="264">
        <f t="shared" si="0"/>
        <v>3</v>
      </c>
      <c r="BK6" s="71" t="str">
        <f>注音編碼對照表!C5</f>
        <v>!</v>
      </c>
      <c r="BL6" s="583" t="str" cm="1">
        <f t="array" ref="BL6" xml:space="preserve"> INDEX( 注音編碼對照表[方音符號], MATCH(TRUE, EXACT(方音鍵盤!$BK6, 注音編碼對照表[鍵盤按鍵]), 0))</f>
        <v>ㆠ</v>
      </c>
      <c r="BM6" s="584" t="str" cm="1">
        <f t="array" ref="BM6" xml:space="preserve"> INDEX( 注音編碼對照表[方音符號], MATCH(TRUE, EXACT(方音鍵盤!$BK6, 注音編碼對照表[鍵盤按鍵]), 0))</f>
        <v>ㆠ</v>
      </c>
      <c r="BN6" s="581" t="str" cm="1">
        <f t="array" ref="BN6" xml:space="preserve"> INDEX( 注音編碼對照表[國際音標], MATCH(TRUE, EXACT(方音鍵盤!$BK6, 注音編碼對照表[鍵盤按鍵]), 0))</f>
        <v>b</v>
      </c>
      <c r="BO6" s="582" t="str" cm="1">
        <f t="array" ref="BO6" xml:space="preserve"> INDEX( 注音編碼對照表[台語音標], MATCH(TRUE, EXACT(方音鍵盤!$BK6, 注音編碼對照表[鍵盤按鍵]), 0))</f>
        <v>b</v>
      </c>
      <c r="BP6" s="107"/>
      <c r="BR6" s="265" t="str">
        <f t="shared" si="1"/>
        <v>"!": { commit: "ㆠ" }</v>
      </c>
      <c r="BT6" s="242">
        <f t="shared" si="2"/>
        <v>3</v>
      </c>
      <c r="BU6" s="266" t="str">
        <f t="shared" si="3"/>
        <v>- xform/b/!/</v>
      </c>
      <c r="BW6" s="266" t="str">
        <f t="shared" si="4"/>
        <v>- xform/!/ㆠ/</v>
      </c>
    </row>
    <row r="7" spans="1:75" ht="45" customHeight="1" thickBot="1">
      <c r="A7" s="258"/>
      <c r="B7" s="258"/>
      <c r="C7" s="580" t="str">
        <f ca="1">E19</f>
        <v>ㄆ</v>
      </c>
      <c r="D7" s="259"/>
      <c r="E7" s="260" t="s">
        <v>24</v>
      </c>
      <c r="F7" s="580" t="str">
        <f ca="1">I19</f>
        <v>ㄊ</v>
      </c>
      <c r="G7" s="259"/>
      <c r="H7" s="260" t="s">
        <v>604</v>
      </c>
      <c r="I7" s="580" t="str">
        <f ca="1">P19</f>
        <v>ㄍ</v>
      </c>
      <c r="J7" s="259"/>
      <c r="K7" s="260" t="str">
        <f ca="1">P20</f>
        <v>k</v>
      </c>
      <c r="L7" s="580"/>
      <c r="M7" s="259"/>
      <c r="N7" s="260"/>
      <c r="O7" s="580"/>
      <c r="P7" s="259"/>
      <c r="Q7" s="260"/>
      <c r="R7" s="580" t="str">
        <f ca="1">L19</f>
        <v>ㄗ</v>
      </c>
      <c r="S7" s="259"/>
      <c r="T7" s="260" t="str">
        <f ca="1">L20</f>
        <v>z</v>
      </c>
      <c r="U7" s="586" t="str">
        <f ca="1">U18</f>
        <v>ㄧ</v>
      </c>
      <c r="V7" s="262"/>
      <c r="W7" s="263" t="str">
        <f ca="1">U20</f>
        <v>i</v>
      </c>
      <c r="X7" s="586" t="str">
        <f ca="1">X19</f>
        <v>ㆦ</v>
      </c>
      <c r="Y7" s="262"/>
      <c r="Z7" s="263" t="str">
        <f ca="1">X20</f>
        <v>oo</v>
      </c>
      <c r="AA7" s="586" t="str">
        <f ca="1">AN19</f>
        <v>ㆲ</v>
      </c>
      <c r="AB7" s="262"/>
      <c r="AC7" s="263" t="str">
        <f ca="1">AN20</f>
        <v>ong</v>
      </c>
      <c r="AD7" s="586" t="str">
        <f ca="1">AP19</f>
        <v>ㄣ</v>
      </c>
      <c r="AE7" s="262"/>
      <c r="AF7" s="263" t="str">
        <f ca="1">AP20</f>
        <v>-n</v>
      </c>
      <c r="AG7" s="586"/>
      <c r="AH7" s="262"/>
      <c r="AI7" s="263"/>
      <c r="AJ7" s="586"/>
      <c r="AK7" s="262"/>
      <c r="AL7" s="263"/>
      <c r="AM7" s="586"/>
      <c r="AN7" s="262"/>
      <c r="AO7" s="263"/>
      <c r="AP7" s="258"/>
      <c r="AQ7" s="258"/>
      <c r="AR7" s="234"/>
      <c r="AS7" s="234"/>
      <c r="AT7" s="258"/>
      <c r="AU7" s="258"/>
      <c r="AV7" s="258"/>
      <c r="BJ7" s="264">
        <f t="shared" si="0"/>
        <v>4</v>
      </c>
      <c r="BK7" s="71" t="str">
        <f>注音編碼對照表!C6</f>
        <v>a</v>
      </c>
      <c r="BL7" s="583" t="str" cm="1">
        <f t="array" ref="BL7" xml:space="preserve"> INDEX( 注音編碼對照表[方音符號], MATCH(TRUE, EXACT(方音鍵盤!$BK7, 注音編碼對照表[鍵盤按鍵]), 0))</f>
        <v>ㄇ</v>
      </c>
      <c r="BM7" s="584" t="str" cm="1">
        <f t="array" ref="BM7" xml:space="preserve"> INDEX( 注音編碼對照表[方音符號], MATCH(TRUE, EXACT(方音鍵盤!$BK7, 注音編碼對照表[鍵盤按鍵]), 0))</f>
        <v>ㄇ</v>
      </c>
      <c r="BN7" s="581" t="str" cm="1">
        <f t="array" ref="BN7" xml:space="preserve"> INDEX( 注音編碼對照表[國際音標], MATCH(TRUE, EXACT(方音鍵盤!$BK7, 注音編碼對照表[鍵盤按鍵]), 0))</f>
        <v>m</v>
      </c>
      <c r="BO7" s="582" t="str" cm="1">
        <f t="array" ref="BO7" xml:space="preserve"> INDEX( 注音編碼對照表[台語音標], MATCH(TRUE, EXACT(方音鍵盤!$BK7, 注音編碼對照表[鍵盤按鍵]), 0))</f>
        <v>m</v>
      </c>
      <c r="BP7" s="111"/>
      <c r="BR7" s="265" t="str">
        <f t="shared" si="1"/>
        <v>"a": { commit: "ㄇ" }</v>
      </c>
      <c r="BT7" s="237">
        <f t="shared" si="2"/>
        <v>4</v>
      </c>
      <c r="BU7" s="266" t="str">
        <f t="shared" si="3"/>
        <v>- xform/m/a/</v>
      </c>
      <c r="BW7" s="266" t="str">
        <f t="shared" si="4"/>
        <v>- xform/a/ㄇ/</v>
      </c>
    </row>
    <row r="8" spans="1:75" s="147" customFormat="1" ht="45" customHeight="1">
      <c r="A8" s="239"/>
      <c r="B8" s="239"/>
      <c r="C8" s="267"/>
      <c r="D8" s="563" t="s">
        <v>401</v>
      </c>
      <c r="E8" s="564"/>
      <c r="F8" s="565"/>
      <c r="G8" s="563" t="s">
        <v>460</v>
      </c>
      <c r="H8" s="564"/>
      <c r="I8" s="565"/>
      <c r="J8" s="563" t="s">
        <v>189</v>
      </c>
      <c r="K8" s="564"/>
      <c r="L8" s="565"/>
      <c r="M8" s="563" t="s">
        <v>565</v>
      </c>
      <c r="N8" s="564"/>
      <c r="O8" s="565"/>
      <c r="P8" s="563" t="s">
        <v>141</v>
      </c>
      <c r="Q8" s="564"/>
      <c r="R8" s="565"/>
      <c r="S8" s="563" t="s">
        <v>454</v>
      </c>
      <c r="T8" s="564"/>
      <c r="U8" s="565"/>
      <c r="V8" s="569" t="s">
        <v>249</v>
      </c>
      <c r="W8" s="570"/>
      <c r="X8" s="571"/>
      <c r="Y8" s="569" t="s">
        <v>425</v>
      </c>
      <c r="Z8" s="570"/>
      <c r="AA8" s="571"/>
      <c r="AB8" s="569" t="s">
        <v>231</v>
      </c>
      <c r="AC8" s="570"/>
      <c r="AD8" s="571"/>
      <c r="AE8" s="569" t="s">
        <v>566</v>
      </c>
      <c r="AF8" s="570"/>
      <c r="AG8" s="571"/>
      <c r="AH8" s="572" t="s">
        <v>567</v>
      </c>
      <c r="AI8" s="573"/>
      <c r="AJ8" s="574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64">
        <f t="shared" si="0"/>
        <v>5</v>
      </c>
      <c r="BK8" s="71" t="str">
        <f>注音編碼對照表!C7</f>
        <v>2</v>
      </c>
      <c r="BL8" s="583" t="str" cm="1">
        <f t="array" ref="BL8" xml:space="preserve"> INDEX( 注音編碼對照表[方音符號], MATCH(TRUE, EXACT(方音鍵盤!$BK8, 注音編碼對照表[鍵盤按鍵]), 0))</f>
        <v>ㄉ</v>
      </c>
      <c r="BM8" s="584" t="str" cm="1">
        <f t="array" ref="BM8" xml:space="preserve"> INDEX( 注音編碼對照表[方音符號], MATCH(TRUE, EXACT(方音鍵盤!$BK8, 注音編碼對照表[鍵盤按鍵]), 0))</f>
        <v>ㄉ</v>
      </c>
      <c r="BN8" s="581" t="str" cm="1">
        <f t="array" ref="BN8" xml:space="preserve"> INDEX( 注音編碼對照表[國際音標], MATCH(TRUE, EXACT(方音鍵盤!$BK8, 注音編碼對照表[鍵盤按鍵]), 0))</f>
        <v>t</v>
      </c>
      <c r="BO8" s="582" t="str" cm="1">
        <f t="array" ref="BO8" xml:space="preserve"> INDEX( 注音編碼對照表[台語音標], MATCH(TRUE, EXACT(方音鍵盤!$BK8, 注音編碼對照表[鍵盤按鍵]), 0))</f>
        <v>t</v>
      </c>
      <c r="BP8" s="107"/>
      <c r="BR8" s="265" t="str">
        <f t="shared" si="1"/>
        <v>"2": { commit: "ㄉ" }</v>
      </c>
      <c r="BT8" s="242">
        <f t="shared" si="2"/>
        <v>5</v>
      </c>
      <c r="BU8" s="266" t="str">
        <f t="shared" si="3"/>
        <v>- xform/t/2/</v>
      </c>
      <c r="BW8" s="266" t="str">
        <f t="shared" si="4"/>
        <v>- xform/2/ㄉ/</v>
      </c>
    </row>
    <row r="9" spans="1:75" s="147" customFormat="1" ht="45" customHeight="1">
      <c r="A9" s="239"/>
      <c r="B9" s="239"/>
      <c r="C9" s="267"/>
      <c r="D9" s="579"/>
      <c r="E9" s="244"/>
      <c r="F9" s="245" t="str">
        <f ca="1">AP20</f>
        <v>-n</v>
      </c>
      <c r="G9" s="579"/>
      <c r="H9" s="244"/>
      <c r="I9" s="245"/>
      <c r="J9" s="579"/>
      <c r="K9" s="244"/>
      <c r="L9" s="245"/>
      <c r="M9" s="579"/>
      <c r="N9" s="244"/>
      <c r="O9" s="245"/>
      <c r="P9" s="579"/>
      <c r="Q9" s="244"/>
      <c r="R9" s="245"/>
      <c r="S9" s="579"/>
      <c r="T9" s="244"/>
      <c r="U9" s="245"/>
      <c r="V9" s="585" t="str">
        <f ca="1">AG19</f>
        <v>ㆫ</v>
      </c>
      <c r="W9" s="588"/>
      <c r="X9" s="589" t="str">
        <f ca="1">AG20</f>
        <v>unn</v>
      </c>
      <c r="Y9" s="585"/>
      <c r="Z9" s="252"/>
      <c r="AA9" s="253"/>
      <c r="AB9" s="585" t="str">
        <f ca="1">AL19</f>
        <v>ㆯ</v>
      </c>
      <c r="AC9" s="252"/>
      <c r="AD9" s="590" t="str">
        <f ca="1">AL20</f>
        <v>aunn</v>
      </c>
      <c r="AE9" s="585"/>
      <c r="AF9" s="588"/>
      <c r="AG9" s="589"/>
      <c r="AH9" s="585"/>
      <c r="AI9" s="252"/>
      <c r="AJ9" s="253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64">
        <f t="shared" si="0"/>
        <v>6</v>
      </c>
      <c r="BK9" s="71" t="str">
        <f>注音編碼對照表!C8</f>
        <v>w</v>
      </c>
      <c r="BL9" s="583" t="str" cm="1">
        <f t="array" ref="BL9" xml:space="preserve"> INDEX( 注音編碼對照表[方音符號], MATCH(TRUE, EXACT(方音鍵盤!$BK9, 注音編碼對照表[鍵盤按鍵]), 0))</f>
        <v>ㄊ</v>
      </c>
      <c r="BM9" s="584" t="str" cm="1">
        <f t="array" ref="BM9" xml:space="preserve"> INDEX( 注音編碼對照表[方音符號], MATCH(TRUE, EXACT(方音鍵盤!$BK9, 注音編碼對照表[鍵盤按鍵]), 0))</f>
        <v>ㄊ</v>
      </c>
      <c r="BN9" s="581" t="str" cm="1">
        <f t="array" ref="BN9" xml:space="preserve"> INDEX( 注音編碼對照表[國際音標], MATCH(TRUE, EXACT(方音鍵盤!$BK9, 注音編碼對照表[鍵盤按鍵]), 0))</f>
        <v>tʰ</v>
      </c>
      <c r="BO9" s="582" t="str" cm="1">
        <f t="array" ref="BO9" xml:space="preserve"> INDEX( 注音編碼對照表[台語音標], MATCH(TRUE, EXACT(方音鍵盤!$BK9, 注音編碼對照表[鍵盤按鍵]), 0))</f>
        <v>th</v>
      </c>
      <c r="BP9" s="107"/>
      <c r="BR9" s="265" t="str">
        <f t="shared" si="1"/>
        <v>"w": { commit: "ㄊ" }</v>
      </c>
      <c r="BT9" s="242">
        <f t="shared" si="2"/>
        <v>6</v>
      </c>
      <c r="BU9" s="266" t="str">
        <f t="shared" si="3"/>
        <v>- xform/tʰ/w/</v>
      </c>
      <c r="BW9" s="266" t="str">
        <f t="shared" si="4"/>
        <v>- xform/w/ㄊ/</v>
      </c>
    </row>
    <row r="10" spans="1:75" ht="45" customHeight="1" thickBot="1">
      <c r="A10" s="258"/>
      <c r="B10" s="258"/>
      <c r="C10" s="258"/>
      <c r="D10" s="580" t="str">
        <f ca="1">G19</f>
        <v>ㄇ</v>
      </c>
      <c r="E10" s="259"/>
      <c r="F10" s="260" t="s">
        <v>84</v>
      </c>
      <c r="G10" s="580" t="str">
        <f ca="1">J19</f>
        <v>ㄋ</v>
      </c>
      <c r="H10" s="259"/>
      <c r="I10" s="260" t="s">
        <v>372</v>
      </c>
      <c r="J10" s="580" t="str">
        <f ca="1">Q19</f>
        <v>ㄎ</v>
      </c>
      <c r="K10" s="259"/>
      <c r="L10" s="260" t="s">
        <v>39</v>
      </c>
      <c r="M10" s="580"/>
      <c r="N10" s="259"/>
      <c r="O10" s="260"/>
      <c r="P10" s="580" t="str">
        <f ca="1">S19</f>
        <v>ㄫ</v>
      </c>
      <c r="Q10" s="259"/>
      <c r="R10" s="260" t="str">
        <f ca="1">S20</f>
        <v>ng-</v>
      </c>
      <c r="S10" s="580" t="str">
        <f ca="1">M19</f>
        <v>ㄘ</v>
      </c>
      <c r="T10" s="259"/>
      <c r="U10" s="260" t="str">
        <f ca="1">M20</f>
        <v>c</v>
      </c>
      <c r="V10" s="586" t="str">
        <f ca="1">V19</f>
        <v>ㄨ</v>
      </c>
      <c r="W10" s="262"/>
      <c r="X10" s="263" t="str">
        <f ca="1">V20</f>
        <v>u</v>
      </c>
      <c r="Y10" s="586" t="str">
        <f ca="1">Y19</f>
        <v>ㄜ</v>
      </c>
      <c r="Z10" s="262"/>
      <c r="AA10" s="263" t="str">
        <f ca="1">Y20</f>
        <v>o</v>
      </c>
      <c r="AB10" s="586" t="str">
        <f ca="1">AB19</f>
        <v>ㄠ</v>
      </c>
      <c r="AC10" s="262"/>
      <c r="AD10" s="263" t="str">
        <f ca="1">AB20</f>
        <v>au</v>
      </c>
      <c r="AE10" s="586" t="str">
        <f ca="1">AD19</f>
        <v>ㄤ</v>
      </c>
      <c r="AF10" s="262"/>
      <c r="AG10" s="263" t="str">
        <f ca="1">AD20</f>
        <v>ang</v>
      </c>
      <c r="AH10" s="586"/>
      <c r="AI10" s="262"/>
      <c r="AJ10" s="263"/>
      <c r="AK10" s="258"/>
      <c r="AL10" s="258"/>
      <c r="AM10" s="258"/>
      <c r="AN10" s="258"/>
      <c r="AO10" s="258"/>
      <c r="AP10" s="258"/>
      <c r="AQ10" s="258"/>
      <c r="AR10" s="234"/>
      <c r="AS10" s="234"/>
      <c r="AT10" s="258"/>
      <c r="AU10" s="258"/>
      <c r="AV10" s="258"/>
      <c r="BJ10" s="264">
        <f t="shared" si="0"/>
        <v>7</v>
      </c>
      <c r="BK10" s="71" t="str">
        <f>注音編碼對照表!C9</f>
        <v>s</v>
      </c>
      <c r="BL10" s="583" t="str" cm="1">
        <f t="array" ref="BL10" xml:space="preserve"> INDEX( 注音編碼對照表[方音符號], MATCH(TRUE, EXACT(方音鍵盤!$BK10, 注音編碼對照表[鍵盤按鍵]), 0))</f>
        <v>ㄋ</v>
      </c>
      <c r="BM10" s="584" t="str" cm="1">
        <f t="array" ref="BM10" xml:space="preserve"> INDEX( 注音編碼對照表[方音符號], MATCH(TRUE, EXACT(方音鍵盤!$BK10, 注音編碼對照表[鍵盤按鍵]), 0))</f>
        <v>ㄋ</v>
      </c>
      <c r="BN10" s="581" t="str" cm="1">
        <f t="array" ref="BN10" xml:space="preserve"> INDEX( 注音編碼對照表[國際音標], MATCH(TRUE, EXACT(方音鍵盤!$BK10, 注音編碼對照表[鍵盤按鍵]), 0))</f>
        <v>n</v>
      </c>
      <c r="BO10" s="582" t="str" cm="1">
        <f t="array" ref="BO10" xml:space="preserve"> INDEX( 注音編碼對照表[台語音標], MATCH(TRUE, EXACT(方音鍵盤!$BK10, 注音編碼對照表[鍵盤按鍵]), 0))</f>
        <v>n</v>
      </c>
      <c r="BP10" s="107"/>
      <c r="BR10" s="265" t="str">
        <f t="shared" si="1"/>
        <v>"s": { commit: "ㄋ" }</v>
      </c>
      <c r="BT10" s="237">
        <f t="shared" si="2"/>
        <v>7</v>
      </c>
      <c r="BU10" s="266" t="str">
        <f t="shared" si="3"/>
        <v>- xform/n/s/</v>
      </c>
      <c r="BW10" s="266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563" t="s">
        <v>449</v>
      </c>
      <c r="F11" s="564"/>
      <c r="G11" s="565"/>
      <c r="H11" s="563" t="s">
        <v>568</v>
      </c>
      <c r="I11" s="564"/>
      <c r="J11" s="565"/>
      <c r="K11" s="563" t="s">
        <v>456</v>
      </c>
      <c r="L11" s="564"/>
      <c r="M11" s="565"/>
      <c r="N11" s="563" t="s">
        <v>569</v>
      </c>
      <c r="O11" s="564"/>
      <c r="P11" s="565"/>
      <c r="Q11" s="563" t="s">
        <v>144</v>
      </c>
      <c r="R11" s="564"/>
      <c r="S11" s="565"/>
      <c r="T11" s="563" t="s">
        <v>570</v>
      </c>
      <c r="U11" s="564"/>
      <c r="V11" s="565"/>
      <c r="W11" s="569" t="s">
        <v>525</v>
      </c>
      <c r="X11" s="570"/>
      <c r="Y11" s="571"/>
      <c r="Z11" s="569" t="s">
        <v>571</v>
      </c>
      <c r="AA11" s="570"/>
      <c r="AB11" s="571"/>
      <c r="AC11" s="569" t="s">
        <v>572</v>
      </c>
      <c r="AD11" s="570"/>
      <c r="AE11" s="571"/>
      <c r="AF11" s="572" t="s">
        <v>573</v>
      </c>
      <c r="AG11" s="573"/>
      <c r="AH11" s="574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64">
        <f t="shared" si="0"/>
        <v>8</v>
      </c>
      <c r="BK11" s="71" t="str">
        <f>注音編碼對照表!C10</f>
        <v>x</v>
      </c>
      <c r="BL11" s="583" t="str" cm="1">
        <f t="array" ref="BL11" xml:space="preserve"> INDEX( 注音編碼對照表[方音符號], MATCH(TRUE, EXACT(方音鍵盤!$BK11, 注音編碼對照表[鍵盤按鍵]), 0))</f>
        <v>ㄌ</v>
      </c>
      <c r="BM11" s="584" t="str" cm="1">
        <f t="array" ref="BM11" xml:space="preserve"> INDEX( 注音編碼對照表[方音符號], MATCH(TRUE, EXACT(方音鍵盤!$BK11, 注音編碼對照表[鍵盤按鍵]), 0))</f>
        <v>ㄌ</v>
      </c>
      <c r="BN11" s="581" t="str" cm="1">
        <f t="array" ref="BN11" xml:space="preserve"> INDEX( 注音編碼對照表[國際音標], MATCH(TRUE, EXACT(方音鍵盤!$BK11, 注音編碼對照表[鍵盤按鍵]), 0))</f>
        <v>l</v>
      </c>
      <c r="BO11" s="582" t="str" cm="1">
        <f t="array" ref="BO11" xml:space="preserve"> INDEX( 注音編碼對照表[台語音標], MATCH(TRUE, EXACT(方音鍵盤!$BK11, 注音編碼對照表[鍵盤按鍵]), 0))</f>
        <v>l</v>
      </c>
      <c r="BP11" s="107"/>
      <c r="BR11" s="265" t="str">
        <f t="shared" si="1"/>
        <v>"x": { commit: "ㄌ" }</v>
      </c>
      <c r="BT11" s="242">
        <f t="shared" si="2"/>
        <v>8</v>
      </c>
      <c r="BU11" s="266" t="str">
        <f t="shared" si="3"/>
        <v>- xform/l/x/</v>
      </c>
      <c r="BW11" s="266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579"/>
      <c r="F12" s="244"/>
      <c r="G12" s="245"/>
      <c r="H12" s="579"/>
      <c r="I12" s="244"/>
      <c r="J12" s="245"/>
      <c r="K12" s="579"/>
      <c r="L12" s="244"/>
      <c r="M12" s="245"/>
      <c r="N12" s="579"/>
      <c r="O12" s="244"/>
      <c r="P12" s="245"/>
      <c r="Q12" s="579"/>
      <c r="R12" s="244"/>
      <c r="S12" s="245"/>
      <c r="T12" s="579"/>
      <c r="U12" s="244"/>
      <c r="V12" s="245"/>
      <c r="W12" s="585" t="str">
        <f ca="1">AM19</f>
        <v>ㆰ</v>
      </c>
      <c r="X12" s="588"/>
      <c r="Y12" s="589" t="str">
        <f ca="1">AM20</f>
        <v>am</v>
      </c>
      <c r="Z12" s="585" t="str">
        <f ca="1">AJ19</f>
        <v>ㆥ</v>
      </c>
      <c r="AA12" s="252"/>
      <c r="AB12" s="589" t="str">
        <f ca="1">AJ20</f>
        <v>enn</v>
      </c>
      <c r="AC12" s="585"/>
      <c r="AD12" s="252"/>
      <c r="AE12" s="253"/>
      <c r="AF12" s="585"/>
      <c r="AG12" s="252"/>
      <c r="AH12" s="253"/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64">
        <f t="shared" si="0"/>
        <v>9</v>
      </c>
      <c r="BK12" s="71" t="str">
        <f>注音編碼對照表!C11</f>
        <v>y</v>
      </c>
      <c r="BL12" s="583" t="str" cm="1">
        <f t="array" ref="BL12" xml:space="preserve"> INDEX( 注音編碼對照表[方音符號], MATCH(TRUE, EXACT(方音鍵盤!$BK12, 注音編碼對照表[鍵盤按鍵]), 0))</f>
        <v>ㄗ</v>
      </c>
      <c r="BM12" s="584" t="str" cm="1">
        <f t="array" ref="BM12" xml:space="preserve"> INDEX( 注音編碼對照表[方音符號], MATCH(TRUE, EXACT(方音鍵盤!$BK12, 注音編碼對照表[鍵盤按鍵]), 0))</f>
        <v>ㄗ</v>
      </c>
      <c r="BN12" s="581" t="str" cm="1">
        <f t="array" ref="BN12" xml:space="preserve"> INDEX( 注音編碼對照表[國際音標], MATCH(TRUE, EXACT(方音鍵盤!$BK12, 注音編碼對照表[鍵盤按鍵]), 0))</f>
        <v>ts</v>
      </c>
      <c r="BO12" s="582" t="str" cm="1">
        <f t="array" ref="BO12" xml:space="preserve"> INDEX( 注音編碼對照表[台語音標], MATCH(TRUE, EXACT(方音鍵盤!$BK12, 注音編碼對照表[鍵盤按鍵]), 0))</f>
        <v>z</v>
      </c>
      <c r="BP12" s="107"/>
      <c r="BR12" s="265" t="str">
        <f t="shared" si="1"/>
        <v>"y": { commit: "ㄗ" }</v>
      </c>
      <c r="BT12" s="242">
        <f t="shared" si="2"/>
        <v>9</v>
      </c>
      <c r="BU12" s="266" t="str">
        <f t="shared" si="3"/>
        <v>- xform/ts/y/</v>
      </c>
      <c r="BW12" s="266" t="str">
        <f t="shared" si="4"/>
        <v>- xform/y/ㄗ/</v>
      </c>
    </row>
    <row r="13" spans="1:75" ht="45" customHeight="1" thickBot="1">
      <c r="A13" s="258"/>
      <c r="B13" s="258"/>
      <c r="C13" s="258"/>
      <c r="D13" s="258"/>
      <c r="E13" s="580"/>
      <c r="F13" s="259"/>
      <c r="G13" s="260"/>
      <c r="H13" s="580" t="str">
        <f ca="1">K19</f>
        <v>ㄌ</v>
      </c>
      <c r="I13" s="259"/>
      <c r="J13" s="260" t="s">
        <v>496</v>
      </c>
      <c r="K13" s="580" t="str">
        <f ca="1">T19</f>
        <v>ㄏ</v>
      </c>
      <c r="L13" s="259"/>
      <c r="M13" s="260" t="str">
        <f ca="1">T20</f>
        <v>h</v>
      </c>
      <c r="N13" s="580"/>
      <c r="O13" s="259"/>
      <c r="P13" s="260"/>
      <c r="Q13" s="580" t="str">
        <f ca="1">N19</f>
        <v>ㆡ</v>
      </c>
      <c r="R13" s="259"/>
      <c r="S13" s="260" t="str">
        <f ca="1">N20</f>
        <v>j</v>
      </c>
      <c r="T13" s="580" t="str">
        <f ca="1">O19</f>
        <v>ㄙ</v>
      </c>
      <c r="U13" s="259"/>
      <c r="V13" s="260" t="str">
        <f ca="1">O20</f>
        <v>s</v>
      </c>
      <c r="W13" s="586" t="str">
        <f ca="1">AQ19</f>
        <v>ㆬ</v>
      </c>
      <c r="X13" s="262"/>
      <c r="Y13" s="263" t="str">
        <f ca="1">AQ20</f>
        <v>-m</v>
      </c>
      <c r="Z13" s="586" t="str">
        <f ca="1">Z19</f>
        <v>ㆤ</v>
      </c>
      <c r="AA13" s="262"/>
      <c r="AB13" s="263" t="str">
        <f ca="1">Z20</f>
        <v>e</v>
      </c>
      <c r="AC13" s="586" t="str">
        <f ca="1">AR19</f>
        <v>ㄬ</v>
      </c>
      <c r="AD13" s="262"/>
      <c r="AE13" s="263" t="str">
        <f ca="1">AR20</f>
        <v>-nn</v>
      </c>
      <c r="AF13" s="586" t="str">
        <f ca="1">AO19</f>
        <v>ㆭ</v>
      </c>
      <c r="AG13" s="262"/>
      <c r="AH13" s="263" t="str">
        <f ca="1">AO20</f>
        <v>-ng</v>
      </c>
      <c r="AI13" s="258"/>
      <c r="AJ13" s="258"/>
      <c r="AK13" s="258"/>
      <c r="AL13" s="258"/>
      <c r="AM13" s="258"/>
      <c r="AN13" s="258"/>
      <c r="AO13" s="258"/>
      <c r="AP13" s="258"/>
      <c r="AQ13" s="258"/>
      <c r="AR13" s="234"/>
      <c r="AS13" s="234"/>
      <c r="AT13" s="258"/>
      <c r="AU13" s="258"/>
      <c r="AV13" s="258"/>
      <c r="BG13" s="147"/>
      <c r="BJ13" s="264">
        <f t="shared" si="0"/>
        <v>10</v>
      </c>
      <c r="BK13" s="71" t="str">
        <f>注音編碼對照表!C12</f>
        <v>h</v>
      </c>
      <c r="BL13" s="583" t="str" cm="1">
        <f t="array" ref="BL13" xml:space="preserve"> INDEX( 注音編碼對照表[方音符號], MATCH(TRUE, EXACT(方音鍵盤!$BK13, 注音編碼對照表[鍵盤按鍵]), 0))</f>
        <v>ㄘ</v>
      </c>
      <c r="BM13" s="584" t="str" cm="1">
        <f t="array" ref="BM13" xml:space="preserve"> INDEX( 注音編碼對照表[方音符號], MATCH(TRUE, EXACT(方音鍵盤!$BK13, 注音編碼對照表[鍵盤按鍵]), 0))</f>
        <v>ㄘ</v>
      </c>
      <c r="BN13" s="581" t="str" cm="1">
        <f t="array" ref="BN13" xml:space="preserve"> INDEX( 注音編碼對照表[國際音標], MATCH(TRUE, EXACT(方音鍵盤!$BK13, 注音編碼對照表[鍵盤按鍵]), 0))</f>
        <v>ʦʰ</v>
      </c>
      <c r="BO13" s="582" t="str" cm="1">
        <f t="array" ref="BO13" xml:space="preserve"> INDEX( 注音編碼對照表[台語音標], MATCH(TRUE, EXACT(方音鍵盤!$BK13, 注音編碼對照表[鍵盤按鍵]), 0))</f>
        <v>c</v>
      </c>
      <c r="BP13" s="107"/>
      <c r="BR13" s="265" t="str">
        <f t="shared" si="1"/>
        <v>"h": { commit: "ㄘ" }</v>
      </c>
      <c r="BT13" s="237">
        <f t="shared" si="2"/>
        <v>10</v>
      </c>
      <c r="BU13" s="266" t="str">
        <f t="shared" si="3"/>
        <v>- xform/ʦʰ/h/</v>
      </c>
      <c r="BW13" s="266" t="str">
        <f t="shared" si="4"/>
        <v>- xform/h/ㄘ/</v>
      </c>
    </row>
    <row r="14" spans="1:75" ht="45" customHeight="1">
      <c r="BG14" s="147"/>
      <c r="BJ14" s="264">
        <f t="shared" si="0"/>
        <v>11</v>
      </c>
      <c r="BK14" s="71" t="str">
        <f>注音編碼對照表!C13</f>
        <v>b</v>
      </c>
      <c r="BL14" s="583" t="str" cm="1">
        <f t="array" ref="BL14" xml:space="preserve"> INDEX( 注音編碼對照表[方音符號], MATCH(TRUE, EXACT(方音鍵盤!$BK14, 注音編碼對照表[鍵盤按鍵]), 0))</f>
        <v>ㆡ</v>
      </c>
      <c r="BM14" s="584" t="str" cm="1">
        <f t="array" ref="BM14" xml:space="preserve"> INDEX( 注音編碼對照表[方音符號], MATCH(TRUE, EXACT(方音鍵盤!$BK14, 注音編碼對照表[鍵盤按鍵]), 0))</f>
        <v>ㆡ</v>
      </c>
      <c r="BN14" s="581" t="str" cm="1">
        <f t="array" ref="BN14" xml:space="preserve"> INDEX( 注音編碼對照表[國際音標], MATCH(TRUE, EXACT(方音鍵盤!$BK14, 注音編碼對照表[鍵盤按鍵]), 0))</f>
        <v>ʣ</v>
      </c>
      <c r="BO14" s="582" t="str" cm="1">
        <f t="array" ref="BO14" xml:space="preserve"> INDEX( 注音編碼對照表[台語音標], MATCH(TRUE, EXACT(方音鍵盤!$BK14, 注音編碼對照表[鍵盤按鍵]), 0))</f>
        <v>j</v>
      </c>
      <c r="BP14" s="107"/>
      <c r="BR14" s="265" t="str">
        <f t="shared" si="1"/>
        <v>"b": { commit: "ㆡ" }</v>
      </c>
      <c r="BT14" s="237">
        <f t="shared" si="2"/>
        <v>11</v>
      </c>
      <c r="BU14" s="266" t="str">
        <f t="shared" si="3"/>
        <v>- xform/ʣ/b/</v>
      </c>
      <c r="BW14" s="266" t="str">
        <f t="shared" si="4"/>
        <v>- xform/b/ㆡ/</v>
      </c>
    </row>
    <row r="15" spans="1:75" s="190" customFormat="1" ht="45" customHeight="1">
      <c r="A15" s="258"/>
      <c r="B15" s="258"/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8"/>
      <c r="AP15" s="258"/>
      <c r="AQ15" s="258"/>
      <c r="AR15" s="234"/>
      <c r="AS15" s="234"/>
      <c r="AT15" s="258"/>
      <c r="AU15" s="258"/>
      <c r="AV15" s="258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64">
        <f t="shared" si="0"/>
        <v>12</v>
      </c>
      <c r="BK15" s="71" t="str">
        <f>注音編碼對照表!C14</f>
        <v>n</v>
      </c>
      <c r="BL15" s="583" t="str" cm="1">
        <f t="array" ref="BL15" xml:space="preserve"> INDEX( 注音編碼對照表[方音符號], MATCH(TRUE, EXACT(方音鍵盤!$BK15, 注音編碼對照表[鍵盤按鍵]), 0))</f>
        <v>ㄙ</v>
      </c>
      <c r="BM15" s="584" t="str" cm="1">
        <f t="array" ref="BM15" xml:space="preserve"> INDEX( 注音編碼對照表[方音符號], MATCH(TRUE, EXACT(方音鍵盤!$BK15, 注音編碼對照表[鍵盤按鍵]), 0))</f>
        <v>ㄙ</v>
      </c>
      <c r="BN15" s="581" t="str" cm="1">
        <f t="array" ref="BN15" xml:space="preserve"> INDEX( 注音編碼對照表[國際音標], MATCH(TRUE, EXACT(方音鍵盤!$BK15, 注音編碼對照表[鍵盤按鍵]), 0))</f>
        <v>s</v>
      </c>
      <c r="BO15" s="582" t="str" cm="1">
        <f t="array" ref="BO15" xml:space="preserve"> INDEX( 注音編碼對照表[台語音標], MATCH(TRUE, EXACT(方音鍵盤!$BK15, 注音編碼對照表[鍵盤按鍵]), 0))</f>
        <v>s</v>
      </c>
      <c r="BP15" s="107"/>
      <c r="BR15" s="265" t="str">
        <f t="shared" si="1"/>
        <v>"n": { commit: "ㄙ" }</v>
      </c>
      <c r="BT15" s="268">
        <f t="shared" si="2"/>
        <v>12</v>
      </c>
      <c r="BU15" s="266" t="str">
        <f t="shared" si="3"/>
        <v>- xform/s/n/</v>
      </c>
      <c r="BW15" s="266" t="str">
        <f t="shared" si="4"/>
        <v>- xform/n/ㄙ/</v>
      </c>
    </row>
    <row r="16" spans="1:75" s="193" customFormat="1" ht="45" customHeight="1">
      <c r="A16" s="269"/>
      <c r="B16" s="270" t="s">
        <v>14</v>
      </c>
      <c r="C16" s="271"/>
      <c r="D16" s="272" cm="1">
        <f t="array" ref="D16" xml:space="preserve"> COLUMN() - COLUMN($C:$C)</f>
        <v>1</v>
      </c>
      <c r="E16" s="272" cm="1">
        <f t="array" ref="E16" xml:space="preserve"> COLUMN() - COLUMN($C:$C)</f>
        <v>2</v>
      </c>
      <c r="F16" s="272" cm="1">
        <f t="array" ref="F16" xml:space="preserve"> COLUMN() - COLUMN($C:$C)</f>
        <v>3</v>
      </c>
      <c r="G16" s="272" cm="1">
        <f t="array" ref="G16" xml:space="preserve"> COLUMN() - COLUMN($C:$C)</f>
        <v>4</v>
      </c>
      <c r="H16" s="272" cm="1">
        <f t="array" ref="H16" xml:space="preserve"> COLUMN() - COLUMN($C:$C)</f>
        <v>5</v>
      </c>
      <c r="I16" s="272" cm="1">
        <f t="array" ref="I16" xml:space="preserve"> COLUMN() - COLUMN($C:$C)</f>
        <v>6</v>
      </c>
      <c r="J16" s="272" cm="1">
        <f t="array" ref="J16" xml:space="preserve"> COLUMN() - COLUMN($C:$C)</f>
        <v>7</v>
      </c>
      <c r="K16" s="272" cm="1">
        <f t="array" ref="K16" xml:space="preserve"> COLUMN() - COLUMN($C:$C)</f>
        <v>8</v>
      </c>
      <c r="L16" s="272" cm="1">
        <f t="array" ref="L16" xml:space="preserve"> COLUMN() - COLUMN($C:$C)</f>
        <v>9</v>
      </c>
      <c r="M16" s="272" cm="1">
        <f t="array" ref="M16" xml:space="preserve"> COLUMN() - COLUMN($C:$C)</f>
        <v>10</v>
      </c>
      <c r="N16" s="272" cm="1">
        <f t="array" ref="N16" xml:space="preserve"> COLUMN() - COLUMN($C:$C)</f>
        <v>11</v>
      </c>
      <c r="O16" s="272" cm="1">
        <f t="array" ref="O16" xml:space="preserve"> COLUMN() - COLUMN($C:$C)</f>
        <v>12</v>
      </c>
      <c r="P16" s="272" cm="1">
        <f t="array" ref="P16" xml:space="preserve"> COLUMN() - COLUMN($C:$C)</f>
        <v>13</v>
      </c>
      <c r="Q16" s="272" cm="1">
        <f t="array" ref="Q16" xml:space="preserve"> COLUMN() - COLUMN($C:$C)</f>
        <v>14</v>
      </c>
      <c r="R16" s="272" cm="1">
        <f t="array" ref="R16" xml:space="preserve"> COLUMN() - COLUMN($C:$C)</f>
        <v>15</v>
      </c>
      <c r="S16" s="272" cm="1">
        <f t="array" ref="S16" xml:space="preserve"> COLUMN() - COLUMN($C:$C)</f>
        <v>16</v>
      </c>
      <c r="T16" s="272" cm="1">
        <f t="array" ref="T16" xml:space="preserve"> COLUMN() - COLUMN($C:$C)</f>
        <v>17</v>
      </c>
      <c r="U16" s="272" cm="1">
        <f t="array" ref="U16" xml:space="preserve"> COLUMN() - COLUMN($C:$C)</f>
        <v>18</v>
      </c>
      <c r="V16" s="272" cm="1">
        <f t="array" ref="V16" xml:space="preserve"> COLUMN() - COLUMN($C:$C)</f>
        <v>19</v>
      </c>
      <c r="W16" s="272" cm="1">
        <f t="array" ref="W16" xml:space="preserve"> COLUMN() - COLUMN($C:$C)</f>
        <v>20</v>
      </c>
      <c r="X16" s="272" cm="1">
        <f t="array" ref="X16" xml:space="preserve"> COLUMN() - COLUMN($C:$C)</f>
        <v>21</v>
      </c>
      <c r="Y16" s="273" cm="1">
        <f t="array" ref="Y16" xml:space="preserve"> COLUMN() - COLUMN($C:$C)</f>
        <v>22</v>
      </c>
      <c r="Z16" s="273" cm="1">
        <f t="array" ref="Z16" xml:space="preserve"> COLUMN() - COLUMN($C:$C)</f>
        <v>23</v>
      </c>
      <c r="AA16" s="273" cm="1">
        <f t="array" ref="AA16" xml:space="preserve"> COLUMN() - COLUMN($C:$C)</f>
        <v>24</v>
      </c>
      <c r="AB16" s="273" cm="1">
        <f t="array" ref="AB16" xml:space="preserve"> COLUMN() - COLUMN($C:$C)</f>
        <v>25</v>
      </c>
      <c r="AC16" s="273" cm="1">
        <f t="array" ref="AC16" xml:space="preserve"> COLUMN() - COLUMN($C:$C)</f>
        <v>26</v>
      </c>
      <c r="AD16" s="273" cm="1">
        <f t="array" ref="AD16" xml:space="preserve"> COLUMN() - COLUMN($C:$C)</f>
        <v>27</v>
      </c>
      <c r="AE16" s="273" cm="1">
        <f t="array" ref="AE16" xml:space="preserve"> COLUMN() - COLUMN($C:$C)</f>
        <v>28</v>
      </c>
      <c r="AF16" s="273" cm="1">
        <f t="array" ref="AF16" xml:space="preserve"> COLUMN() - COLUMN($C:$C)</f>
        <v>29</v>
      </c>
      <c r="AG16" s="273" cm="1">
        <f t="array" ref="AG16" xml:space="preserve"> COLUMN() - COLUMN($C:$C)</f>
        <v>30</v>
      </c>
      <c r="AH16" s="273" cm="1">
        <f t="array" ref="AH16" xml:space="preserve"> COLUMN() - COLUMN($C:$C)</f>
        <v>31</v>
      </c>
      <c r="AI16" s="273" cm="1">
        <f t="array" ref="AI16" xml:space="preserve"> COLUMN() - COLUMN($C:$C)</f>
        <v>32</v>
      </c>
      <c r="AJ16" s="273" cm="1">
        <f t="array" ref="AJ16" xml:space="preserve"> COLUMN() - COLUMN($C:$C)</f>
        <v>33</v>
      </c>
      <c r="AK16" s="273" cm="1">
        <f t="array" ref="AK16" xml:space="preserve"> COLUMN() - COLUMN($C:$C)</f>
        <v>34</v>
      </c>
      <c r="AL16" s="273" cm="1">
        <f t="array" ref="AL16" xml:space="preserve"> COLUMN() - COLUMN($C:$C)</f>
        <v>35</v>
      </c>
      <c r="AM16" s="273" cm="1">
        <f t="array" ref="AM16" xml:space="preserve"> COLUMN() - COLUMN($C:$C)</f>
        <v>36</v>
      </c>
      <c r="AN16" s="273" cm="1">
        <f t="array" ref="AN16" xml:space="preserve"> COLUMN() - COLUMN($C:$C)</f>
        <v>37</v>
      </c>
      <c r="AO16" s="273" cm="1">
        <f t="array" ref="AO16" xml:space="preserve"> COLUMN() - COLUMN($C:$C)</f>
        <v>38</v>
      </c>
      <c r="AP16" s="273" cm="1">
        <f t="array" ref="AP16" xml:space="preserve"> COLUMN() - COLUMN($C:$C)</f>
        <v>39</v>
      </c>
      <c r="AQ16" s="273" cm="1">
        <f t="array" ref="AQ16" xml:space="preserve"> COLUMN() - COLUMN($C:$C)</f>
        <v>40</v>
      </c>
      <c r="AR16" s="273" cm="1">
        <f t="array" ref="AR16" xml:space="preserve"> COLUMN() - COLUMN($C:$C)</f>
        <v>41</v>
      </c>
      <c r="AS16" s="273" cm="1">
        <f t="array" ref="AS16" xml:space="preserve"> COLUMN() - COLUMN($C:$C)</f>
        <v>42</v>
      </c>
      <c r="AT16" s="273" cm="1">
        <f t="array" ref="AT16" xml:space="preserve"> COLUMN() - COLUMN($C:$C)</f>
        <v>43</v>
      </c>
      <c r="AU16" s="273" cm="1">
        <f t="array" ref="AU16" xml:space="preserve"> COLUMN() - COLUMN($C:$C)</f>
        <v>44</v>
      </c>
      <c r="AV16" s="273" cm="1">
        <f t="array" ref="AV16" xml:space="preserve"> COLUMN() - COLUMN($C:$C)</f>
        <v>45</v>
      </c>
      <c r="AW16" s="273" cm="1">
        <f t="array" ref="AW16" xml:space="preserve"> COLUMN() - COLUMN($C:$C)</f>
        <v>46</v>
      </c>
      <c r="AX16" s="274" cm="1">
        <f t="array" ref="AX16" xml:space="preserve"> COLUMN() - COLUMN($C:$C)</f>
        <v>47</v>
      </c>
      <c r="AY16" s="147"/>
      <c r="AZ16" s="147"/>
      <c r="BA16" s="147"/>
      <c r="BB16" s="147"/>
      <c r="BC16" s="147"/>
      <c r="BD16" s="147"/>
      <c r="BE16" s="147"/>
      <c r="BF16" s="147"/>
      <c r="BG16" s="147"/>
      <c r="BJ16" s="264">
        <f t="shared" si="0"/>
        <v>13</v>
      </c>
      <c r="BK16" s="71" t="str">
        <f>注音編碼對照表!C15</f>
        <v>e</v>
      </c>
      <c r="BL16" s="583" t="str" cm="1">
        <f t="array" ref="BL16" xml:space="preserve"> INDEX( 注音編碼對照表[方音符號], MATCH(TRUE, EXACT(方音鍵盤!$BK16, 注音編碼對照表[鍵盤按鍵]), 0))</f>
        <v>ㄍ</v>
      </c>
      <c r="BM16" s="584" t="str" cm="1">
        <f t="array" ref="BM16" xml:space="preserve"> INDEX( 注音編碼對照表[方音符號], MATCH(TRUE, EXACT(方音鍵盤!$BK16, 注音編碼對照表[鍵盤按鍵]), 0))</f>
        <v>ㄍ</v>
      </c>
      <c r="BN16" s="581" t="str" cm="1">
        <f t="array" ref="BN16" xml:space="preserve"> INDEX( 注音編碼對照表[國際音標], MATCH(TRUE, EXACT(方音鍵盤!$BK16, 注音編碼對照表[鍵盤按鍵]), 0))</f>
        <v>k</v>
      </c>
      <c r="BO16" s="582" t="str" cm="1">
        <f t="array" ref="BO16" xml:space="preserve"> INDEX( 注音編碼對照表[台語音標], MATCH(TRUE, EXACT(方音鍵盤!$BK16, 注音編碼對照表[鍵盤按鍵]), 0))</f>
        <v>k</v>
      </c>
      <c r="BP16" s="107"/>
      <c r="BR16" s="265" t="str">
        <f t="shared" si="1"/>
        <v>"e": { commit: "ㄍ" }</v>
      </c>
      <c r="BT16" s="195">
        <f t="shared" si="2"/>
        <v>13</v>
      </c>
      <c r="BU16" s="266" t="str">
        <f t="shared" si="3"/>
        <v>- xform/k/e/</v>
      </c>
      <c r="BW16" s="266" t="str">
        <f t="shared" si="4"/>
        <v>- xform/e/ㄍ/</v>
      </c>
    </row>
    <row r="17" spans="1:89" s="193" customFormat="1" ht="45" customHeight="1">
      <c r="A17" s="275"/>
      <c r="B17" s="276" t="s">
        <v>19</v>
      </c>
      <c r="C17" s="277"/>
      <c r="D17" s="278" t="str" cm="1">
        <f t="array" aca="1" ref="D17" ca="1">INDIRECT(ADDRESS(ROW($BK$4)+D$16-1, COLUMN($BK$4)))</f>
        <v>1</v>
      </c>
      <c r="E17" s="278" t="str" cm="1">
        <f t="array" aca="1" ref="E17" ca="1">INDIRECT(ADDRESS(ROW($BK$4)+E$16-1, COLUMN($BK$4)))</f>
        <v>q</v>
      </c>
      <c r="F17" s="278" t="str" cm="1">
        <f t="array" aca="1" ref="F17" ca="1">INDIRECT(ADDRESS(ROW($BK$4)+F$16-1, COLUMN($BK$4)))</f>
        <v>!</v>
      </c>
      <c r="G17" s="278" t="str" cm="1">
        <f t="array" aca="1" ref="G17" ca="1">INDIRECT(ADDRESS(ROW($BK$4)+G$16-1, COLUMN($BK$4)))</f>
        <v>a</v>
      </c>
      <c r="H17" s="278" t="str" cm="1">
        <f t="array" aca="1" ref="H17" ca="1">INDIRECT(ADDRESS(ROW($BK$4)+H$16-1, COLUMN($BK$4)))</f>
        <v>2</v>
      </c>
      <c r="I17" s="278" t="str" cm="1">
        <f t="array" aca="1" ref="I17" ca="1">INDIRECT(ADDRESS(ROW($BK$4)+I$16-1, COLUMN($BK$4)))</f>
        <v>w</v>
      </c>
      <c r="J17" s="278" t="str" cm="1">
        <f t="array" aca="1" ref="J17" ca="1">INDIRECT(ADDRESS(ROW($BK$4)+J$16-1, COLUMN($BK$4)))</f>
        <v>s</v>
      </c>
      <c r="K17" s="278" t="str" cm="1">
        <f t="array" aca="1" ref="K17" ca="1">INDIRECT(ADDRESS(ROW($BK$4)+K$16-1, COLUMN($BK$4)))</f>
        <v>x</v>
      </c>
      <c r="L17" s="278" t="str" cm="1">
        <f t="array" aca="1" ref="L17" ca="1">INDIRECT(ADDRESS(ROW($BK$4)+L$16-1, COLUMN($BK$4)))</f>
        <v>y</v>
      </c>
      <c r="M17" s="278" t="str" cm="1">
        <f t="array" aca="1" ref="M17" ca="1">INDIRECT(ADDRESS(ROW($BK$4)+M$16-1, COLUMN($BK$4)))</f>
        <v>h</v>
      </c>
      <c r="N17" s="278" t="str" cm="1">
        <f t="array" aca="1" ref="N17" ca="1">INDIRECT(ADDRESS(ROW($BK$4)+N$16-1, COLUMN($BK$4)))</f>
        <v>b</v>
      </c>
      <c r="O17" s="278" t="str" cm="1">
        <f t="array" aca="1" ref="O17" ca="1">INDIRECT(ADDRESS(ROW($BK$4)+O$16-1, COLUMN($BK$4)))</f>
        <v>n</v>
      </c>
      <c r="P17" s="278" t="str" cm="1">
        <f t="array" aca="1" ref="P17" ca="1">INDIRECT(ADDRESS(ROW($BK$4)+P$16-1, COLUMN($BK$4)))</f>
        <v>e</v>
      </c>
      <c r="Q17" s="278" t="str" cm="1">
        <f t="array" aca="1" ref="Q17" ca="1">INDIRECT(ADDRESS(ROW($BK$4)+Q$16-1, COLUMN($BK$4)))</f>
        <v>d</v>
      </c>
      <c r="R17" s="278" t="str" cm="1">
        <f t="array" aca="1" ref="R17" ca="1">INDIRECT(ADDRESS(ROW($BK$4)+R$16-1, COLUMN($BK$4)))</f>
        <v>E</v>
      </c>
      <c r="S17" s="278" t="str" cm="1">
        <f t="array" aca="1" ref="S17" ca="1">INDIRECT(ADDRESS(ROW($BK$4)+S$16-1, COLUMN($BK$4)))</f>
        <v>g</v>
      </c>
      <c r="T17" s="278" t="str" cm="1">
        <f t="array" aca="1" ref="T17" ca="1">INDIRECT(ADDRESS(ROW($BK$4)+T$16-1, COLUMN($BK$4)))</f>
        <v>c</v>
      </c>
      <c r="U17" s="278" t="str" cm="1">
        <f t="array" aca="1" ref="U17" ca="1">INDIRECT(ADDRESS(ROW($BK$4)+U$16-1, COLUMN($BK$4)))</f>
        <v>u</v>
      </c>
      <c r="V17" s="278" t="str" cm="1">
        <f t="array" aca="1" ref="V17" ca="1">INDIRECT(ADDRESS(ROW($BK$4)+V$16-1, COLUMN($BK$4)))</f>
        <v>j</v>
      </c>
      <c r="W17" s="278" t="str" cm="1">
        <f t="array" aca="1" ref="W17" ca="1">INDIRECT(ADDRESS(ROW($BK$4)+W$16-1, COLUMN($BK$4)))</f>
        <v>8</v>
      </c>
      <c r="X17" s="278" t="str" cm="1">
        <f t="array" aca="1" ref="X17" ca="1">INDIRECT(ADDRESS(ROW($BK$4)+X$16-1, COLUMN($BK$4)))</f>
        <v>i</v>
      </c>
      <c r="Y17" s="278" t="str" cm="1">
        <f t="array" aca="1" ref="Y17" ca="1">INDIRECT(ADDRESS(ROW($BK$4)+Y$16-1, COLUMN($BK$4)))</f>
        <v>k</v>
      </c>
      <c r="Z17" s="278" t="str" cm="1">
        <f t="array" aca="1" ref="Z17" ca="1">INDIRECT(ADDRESS(ROW($BK$4)+Z$16-1, COLUMN($BK$4)))</f>
        <v>,</v>
      </c>
      <c r="AA17" s="278" t="str" cm="1">
        <f t="array" aca="1" ref="AA17" ca="1">INDIRECT(ADDRESS(ROW($BK$4)+AA$16-1, COLUMN($BK$4)))</f>
        <v>9</v>
      </c>
      <c r="AB17" s="278" t="str" cm="1">
        <f t="array" aca="1" ref="AB17" ca="1">INDIRECT(ADDRESS(ROW($BK$4)+AB$16-1, COLUMN($BK$4)))</f>
        <v>l</v>
      </c>
      <c r="AC17" s="278" t="str" cm="1">
        <f t="array" aca="1" ref="AC17" ca="1">INDIRECT(ADDRESS(ROW($BK$4)+AC$16-1, COLUMN($BK$4)))</f>
        <v>0</v>
      </c>
      <c r="AD17" s="278" t="str" cm="1">
        <f t="array" aca="1" ref="AD17" ca="1">INDIRECT(ADDRESS(ROW($BK$4)+AD$16-1, COLUMN($BK$4)))</f>
        <v>;</v>
      </c>
      <c r="AE17" s="278" t="str" cm="1">
        <f t="array" aca="1" ref="AE17" ca="1">INDIRECT(ADDRESS(ROW($BK$4)+AE$16-1, COLUMN($BK$4)))</f>
        <v>-</v>
      </c>
      <c r="AF17" s="278" t="str" cm="1">
        <f t="array" aca="1" ref="AF17" ca="1">INDIRECT(ADDRESS(ROW($BK$4)+AF$16-1, COLUMN($BK$4)))</f>
        <v>U</v>
      </c>
      <c r="AG17" s="278" t="str" cm="1">
        <f t="array" aca="1" ref="AG17" ca="1">INDIRECT(ADDRESS(ROW($BK$4)+AG$16-1, COLUMN($BK$4)))</f>
        <v>J</v>
      </c>
      <c r="AH17" s="278" t="str" cm="1">
        <f t="array" aca="1" ref="AH17" ca="1">INDIRECT(ADDRESS(ROW($BK$4)+AH$16-1, COLUMN($BK$4)))</f>
        <v>*</v>
      </c>
      <c r="AI17" s="278" t="str" cm="1">
        <f t="array" aca="1" ref="AI17" ca="1">INDIRECT(ADDRESS(ROW($BK$4)+AI$16-1, COLUMN($BK$4)))</f>
        <v>I</v>
      </c>
      <c r="AJ17" s="278" t="str" cm="1">
        <f t="array" aca="1" ref="AJ17" ca="1">INDIRECT(ADDRESS(ROW($BK$4)+AJ$16-1, COLUMN($BK$4)))</f>
        <v>&lt;</v>
      </c>
      <c r="AK17" s="278" t="str" cm="1">
        <f t="array" aca="1" ref="AK17" ca="1">INDIRECT(ADDRESS(ROW($BK$4)+AK$16-1, COLUMN($BK$4)))</f>
        <v>(</v>
      </c>
      <c r="AL17" s="278" t="str" cm="1">
        <f t="array" aca="1" ref="AL17" ca="1">INDIRECT(ADDRESS(ROW($BK$4)+AL$16-1, COLUMN($BK$4)))</f>
        <v>L</v>
      </c>
      <c r="AM17" s="278" t="str" cm="1">
        <f t="array" aca="1" ref="AM17" ca="1">INDIRECT(ADDRESS(ROW($BK$4)+AM$16-1, COLUMN($BK$4)))</f>
        <v>M</v>
      </c>
      <c r="AN17" s="278" t="str" cm="1">
        <f t="array" aca="1" ref="AN17" ca="1">INDIRECT(ADDRESS(ROW($BK$4)+AN$16-1, COLUMN($BK$4)))</f>
        <v>o</v>
      </c>
      <c r="AO17" s="278" t="str" cm="1">
        <f t="array" aca="1" ref="AO17" ca="1">INDIRECT(ADDRESS(ROW($BK$4)+AO$16-1, COLUMN($BK$4)))</f>
        <v>/</v>
      </c>
      <c r="AP17" s="278" t="str" cm="1">
        <f t="array" aca="1" ref="AP17" ca="1">INDIRECT(ADDRESS(ROW($BK$4)+AP$16-1, COLUMN($BK$4)))</f>
        <v>p</v>
      </c>
      <c r="AQ17" s="278" t="str" cm="1">
        <f t="array" aca="1" ref="AQ17" ca="1">INDIRECT(ADDRESS(ROW($BK$4)+AQ$16-1, COLUMN($BK$4)))</f>
        <v>m</v>
      </c>
      <c r="AR17" s="278" t="str" cm="1">
        <f t="array" aca="1" ref="AR17" ca="1">INDIRECT(ADDRESS(ROW($BK$4)+AR$16-1, COLUMN($BK$4)))</f>
        <v>.</v>
      </c>
      <c r="AS17" s="278" t="str" cm="1">
        <f t="array" aca="1" ref="AS17" ca="1">INDIRECT(ADDRESS(ROW($BK$4)+AS$16-1, COLUMN($BK$4)))</f>
        <v xml:space="preserve"> </v>
      </c>
      <c r="AT17" s="278" t="str" cm="1">
        <f t="array" aca="1" ref="AT17" ca="1">INDIRECT(ADDRESS(ROW($BK$4)+AT$16-1, COLUMN($BK$4)))</f>
        <v>4</v>
      </c>
      <c r="AU17" s="278" t="str" cm="1">
        <f t="array" aca="1" ref="AU17" ca="1">INDIRECT(ADDRESS(ROW($BK$4)+AU$16-1, COLUMN($BK$4)))</f>
        <v>3</v>
      </c>
      <c r="AV17" s="278" t="str" cm="1">
        <f t="array" aca="1" ref="AV17" ca="1">INDIRECT(ADDRESS(ROW($BK$4)+AV$16-1, COLUMN($BK$4)))</f>
        <v>6</v>
      </c>
      <c r="AW17" s="278" t="str" cm="1">
        <f t="array" aca="1" ref="AW17" ca="1">INDIRECT(ADDRESS(ROW($BK$4)+AW$16-1, COLUMN($BK$4)))</f>
        <v>5</v>
      </c>
      <c r="AX17" s="278" t="str" cm="1">
        <f t="array" aca="1" ref="AX17" ca="1">INDIRECT(ADDRESS(ROW($BK$4)+AX$16-1, COLUMN($BK$4)))</f>
        <v>7</v>
      </c>
      <c r="AY17" s="147"/>
      <c r="AZ17" s="147"/>
      <c r="BA17" s="147"/>
      <c r="BB17" s="147"/>
      <c r="BC17" s="147"/>
      <c r="BD17" s="147"/>
      <c r="BE17" s="147"/>
      <c r="BF17" s="147"/>
      <c r="BG17" s="147"/>
      <c r="BJ17" s="264">
        <f t="shared" si="0"/>
        <v>14</v>
      </c>
      <c r="BK17" s="71" t="str">
        <f>注音編碼對照表!C16</f>
        <v>d</v>
      </c>
      <c r="BL17" s="583" t="str" cm="1">
        <f t="array" ref="BL17" xml:space="preserve"> INDEX( 注音編碼對照表[方音符號], MATCH(TRUE, EXACT(方音鍵盤!$BK17, 注音編碼對照表[鍵盤按鍵]), 0))</f>
        <v>ㄎ</v>
      </c>
      <c r="BM17" s="584" t="str" cm="1">
        <f t="array" ref="BM17" xml:space="preserve"> INDEX( 注音編碼對照表[方音符號], MATCH(TRUE, EXACT(方音鍵盤!$BK17, 注音編碼對照表[鍵盤按鍵]), 0))</f>
        <v>ㄎ</v>
      </c>
      <c r="BN17" s="581" t="str" cm="1">
        <f t="array" ref="BN17" xml:space="preserve"> INDEX( 注音編碼對照表[國際音標], MATCH(TRUE, EXACT(方音鍵盤!$BK17, 注音編碼對照表[鍵盤按鍵]), 0))</f>
        <v>kʰ</v>
      </c>
      <c r="BO17" s="582" t="str" cm="1">
        <f t="array" ref="BO17" xml:space="preserve"> INDEX( 注音編碼對照表[台語音標], MATCH(TRUE, EXACT(方音鍵盤!$BK17, 注音編碼對照表[鍵盤按鍵]), 0))</f>
        <v>kh</v>
      </c>
      <c r="BP17" s="107"/>
      <c r="BR17" s="265" t="str">
        <f t="shared" si="1"/>
        <v>"d": { commit: "ㄎ" }</v>
      </c>
      <c r="BT17" s="195">
        <f t="shared" si="2"/>
        <v>14</v>
      </c>
      <c r="BU17" s="266" t="str">
        <f t="shared" si="3"/>
        <v>- xform/kʰ/d/</v>
      </c>
      <c r="BW17" s="266" t="str">
        <f t="shared" si="4"/>
        <v>- xform/d/ㄎ/</v>
      </c>
    </row>
    <row r="18" spans="1:89" s="193" customFormat="1" ht="45" customHeight="1">
      <c r="A18" s="275"/>
      <c r="B18" s="312" t="s">
        <v>15</v>
      </c>
      <c r="C18" s="313"/>
      <c r="D18" s="314" t="str" cm="1">
        <f t="array" aca="1" ref="D18" ca="1" xml:space="preserve"> INDEX($BL$4:$BL$55, MATCH(TRUE, EXACT(D$17, $BK$4:$BK$55), 0))</f>
        <v>ㄅ</v>
      </c>
      <c r="E18" s="314" t="str" cm="1">
        <f t="array" aca="1" ref="E18" ca="1" xml:space="preserve"> INDEX($BL$4:$BL$55, MATCH(TRUE, EXACT(E$17, $BK$4:$BK$55), 0))</f>
        <v>ㄆ</v>
      </c>
      <c r="F18" s="314" t="str" cm="1">
        <f t="array" aca="1" ref="F18" ca="1" xml:space="preserve"> INDEX($BL$4:$BL$55, MATCH(TRUE, EXACT(F$17, $BK$4:$BK$55), 0))</f>
        <v>ㆠ</v>
      </c>
      <c r="G18" s="314" t="str" cm="1">
        <f t="array" aca="1" ref="G18" ca="1" xml:space="preserve"> INDEX($BL$4:$BL$55, MATCH(TRUE, EXACT(G$17, $BK$4:$BK$55), 0))</f>
        <v>ㄇ</v>
      </c>
      <c r="H18" s="314" t="str" cm="1">
        <f t="array" aca="1" ref="H18" ca="1" xml:space="preserve"> INDEX($BL$4:$BL$55, MATCH(TRUE, EXACT(H$17, $BK$4:$BK$55), 0))</f>
        <v>ㄉ</v>
      </c>
      <c r="I18" s="314" t="str" cm="1">
        <f t="array" aca="1" ref="I18" ca="1" xml:space="preserve"> INDEX($BL$4:$BL$55, MATCH(TRUE, EXACT(I$17, $BK$4:$BK$55), 0))</f>
        <v>ㄊ</v>
      </c>
      <c r="J18" s="314" t="str" cm="1">
        <f t="array" aca="1" ref="J18" ca="1" xml:space="preserve"> INDEX($BL$4:$BL$55, MATCH(TRUE, EXACT(J$17, $BK$4:$BK$55), 0))</f>
        <v>ㄋ</v>
      </c>
      <c r="K18" s="314" t="str" cm="1">
        <f t="array" aca="1" ref="K18" ca="1" xml:space="preserve"> INDEX($BL$4:$BL$55, MATCH(TRUE, EXACT(K$17, $BK$4:$BK$55), 0))</f>
        <v>ㄌ</v>
      </c>
      <c r="L18" s="314" t="str" cm="1">
        <f t="array" aca="1" ref="L18" ca="1" xml:space="preserve"> INDEX($BL$4:$BL$55, MATCH(TRUE, EXACT(L$17, $BK$4:$BK$55), 0))</f>
        <v>ㄗ</v>
      </c>
      <c r="M18" s="314" t="str" cm="1">
        <f t="array" aca="1" ref="M18" ca="1" xml:space="preserve"> INDEX($BL$4:$BL$55, MATCH(TRUE, EXACT(M$17, $BK$4:$BK$55), 0))</f>
        <v>ㄘ</v>
      </c>
      <c r="N18" s="314" t="str" cm="1">
        <f t="array" aca="1" ref="N18" ca="1" xml:space="preserve"> INDEX($BL$4:$BL$55, MATCH(TRUE, EXACT(N$17, $BK$4:$BK$55), 0))</f>
        <v>ㆡ</v>
      </c>
      <c r="O18" s="314" t="str" cm="1">
        <f t="array" aca="1" ref="O18" ca="1" xml:space="preserve"> INDEX($BL$4:$BL$55, MATCH(TRUE, EXACT(O$17, $BK$4:$BK$55), 0))</f>
        <v>ㄙ</v>
      </c>
      <c r="P18" s="314" t="str" cm="1">
        <f t="array" aca="1" ref="P18" ca="1" xml:space="preserve"> INDEX($BL$4:$BL$55, MATCH(TRUE, EXACT(P$17, $BK$4:$BK$55), 0))</f>
        <v>ㄍ</v>
      </c>
      <c r="Q18" s="314" t="str" cm="1">
        <f t="array" aca="1" ref="Q18" ca="1" xml:space="preserve"> INDEX($BL$4:$BL$55, MATCH(TRUE, EXACT(Q$17, $BK$4:$BK$55), 0))</f>
        <v>ㄎ</v>
      </c>
      <c r="R18" s="314" t="str" cm="1">
        <f t="array" aca="1" ref="R18" ca="1" xml:space="preserve"> INDEX($BL$4:$BL$55, MATCH(TRUE, EXACT(R$17, $BK$4:$BK$55), 0))</f>
        <v>ㆣ</v>
      </c>
      <c r="S18" s="314" t="str" cm="1">
        <f t="array" aca="1" ref="S18" ca="1" xml:space="preserve"> INDEX($BL$4:$BL$55, MATCH(TRUE, EXACT(S$17, $BK$4:$BK$55), 0))</f>
        <v>ㄫ</v>
      </c>
      <c r="T18" s="314" t="str" cm="1">
        <f t="array" aca="1" ref="T18" ca="1" xml:space="preserve"> INDEX($BL$4:$BL$55, MATCH(TRUE, EXACT(T$17, $BK$4:$BK$55), 0))</f>
        <v>ㄏ</v>
      </c>
      <c r="U18" s="314" t="str" cm="1">
        <f t="array" aca="1" ref="U18" ca="1" xml:space="preserve"> INDEX($BL$4:$BL$55, MATCH(TRUE, EXACT(U$17, $BK$4:$BK$55), 0))</f>
        <v>ㄧ</v>
      </c>
      <c r="V18" s="314" t="str" cm="1">
        <f t="array" aca="1" ref="V18" ca="1" xml:space="preserve"> INDEX($BL$4:$BL$55, MATCH(TRUE, EXACT(V$17, $BK$4:$BK$55), 0))</f>
        <v>ㄨ</v>
      </c>
      <c r="W18" s="314" t="str" cm="1">
        <f t="array" aca="1" ref="W18" ca="1" xml:space="preserve"> INDEX($BL$4:$BL$55, MATCH(TRUE, EXACT(W$17, $BK$4:$BK$55), 0))</f>
        <v>ㄚ</v>
      </c>
      <c r="X18" s="314" t="str" cm="1">
        <f t="array" aca="1" ref="X18" ca="1" xml:space="preserve"> INDEX($BL$4:$BL$55, MATCH(TRUE, EXACT(X$17, $BK$4:$BK$55), 0))</f>
        <v>ㆦ</v>
      </c>
      <c r="Y18" s="314" t="str" cm="1">
        <f t="array" aca="1" ref="Y18" ca="1" xml:space="preserve"> INDEX($BL$4:$BL$55, MATCH(TRUE, EXACT(Y$17, $BK$4:$BK$55), 0))</f>
        <v>ㄜ</v>
      </c>
      <c r="Z18" s="314" t="str" cm="1">
        <f t="array" aca="1" ref="Z18" ca="1" xml:space="preserve"> INDEX($BL$4:$BL$55, MATCH(TRUE, EXACT(Z$17, $BK$4:$BK$55), 0))</f>
        <v>ㆤ</v>
      </c>
      <c r="AA18" s="314" t="str" cm="1">
        <f t="array" aca="1" ref="AA18" ca="1" xml:space="preserve"> INDEX($BL$4:$BL$55, MATCH(TRUE, EXACT(AA$17, $BK$4:$BK$55), 0))</f>
        <v>ㄞ</v>
      </c>
      <c r="AB18" s="314" t="str" cm="1">
        <f t="array" aca="1" ref="AB18" ca="1" xml:space="preserve"> INDEX($BL$4:$BL$55, MATCH(TRUE, EXACT(AB$17, $BK$4:$BK$55), 0))</f>
        <v>ㄠ</v>
      </c>
      <c r="AC18" s="314" t="str" cm="1">
        <f t="array" aca="1" ref="AC18" ca="1" xml:space="preserve"> INDEX($BL$4:$BL$55, MATCH(TRUE, EXACT(AC$17, $BK$4:$BK$55), 0))</f>
        <v>ㄢ</v>
      </c>
      <c r="AD18" s="314" t="str" cm="1">
        <f t="array" aca="1" ref="AD18" ca="1" xml:space="preserve"> INDEX($BL$4:$BL$55, MATCH(TRUE, EXACT(AD$17, $BK$4:$BK$55), 0))</f>
        <v>ㄤ</v>
      </c>
      <c r="AE18" s="314" t="str" cm="1">
        <f t="array" aca="1" ref="AE18" ca="1" xml:space="preserve"> INDEX($BL$4:$BL$55, MATCH(TRUE, EXACT(AE$17, $BK$4:$BK$55), 0))</f>
        <v>ㆨ</v>
      </c>
      <c r="AF18" s="314" t="str" cm="1">
        <f t="array" aca="1" ref="AF18" ca="1" xml:space="preserve"> INDEX($BL$4:$BL$55, MATCH(TRUE, EXACT(AF$17, $BK$4:$BK$55), 0))</f>
        <v>ㆪ</v>
      </c>
      <c r="AG18" s="314" t="str" cm="1">
        <f t="array" aca="1" ref="AG18" ca="1" xml:space="preserve"> INDEX($BL$4:$BL$55, MATCH(TRUE, EXACT(AG$17, $BK$4:$BK$55), 0))</f>
        <v>ㆫ</v>
      </c>
      <c r="AH18" s="314" t="str" cm="1">
        <f t="array" aca="1" ref="AH18" ca="1" xml:space="preserve"> INDEX($BL$4:$BL$55, MATCH(TRUE, EXACT(AH$17, $BK$4:$BK$55), 0))</f>
        <v>ㆩ</v>
      </c>
      <c r="AI18" s="314" t="str" cm="1">
        <f t="array" aca="1" ref="AI18" ca="1" xml:space="preserve"> INDEX($BL$4:$BL$55, MATCH(TRUE, EXACT(AI$17, $BK$4:$BK$55), 0))</f>
        <v>ㆧ</v>
      </c>
      <c r="AJ18" s="314" t="str" cm="1">
        <f t="array" aca="1" ref="AJ18" ca="1" xml:space="preserve"> INDEX($BL$4:$BL$55, MATCH(TRUE, EXACT(AJ$17, $BK$4:$BK$55), 0))</f>
        <v>ㆥ</v>
      </c>
      <c r="AK18" s="314" t="str" cm="1">
        <f t="array" aca="1" ref="AK18" ca="1" xml:space="preserve"> INDEX($BL$4:$BL$55, MATCH(TRUE, EXACT(AK$17, $BK$4:$BK$55), 0))</f>
        <v>ㆮ</v>
      </c>
      <c r="AL18" s="314" t="str" cm="1">
        <f t="array" aca="1" ref="AL18" ca="1" xml:space="preserve"> INDEX($BL$4:$BL$55, MATCH(TRUE, EXACT(AL$17, $BK$4:$BK$55), 0))</f>
        <v>ㆯ</v>
      </c>
      <c r="AM18" s="314" t="str" cm="1">
        <f t="array" aca="1" ref="AM18" ca="1" xml:space="preserve"> INDEX($BL$4:$BL$55, MATCH(TRUE, EXACT(AM$17, $BK$4:$BK$55), 0))</f>
        <v>ㆰ</v>
      </c>
      <c r="AN18" s="314" t="str" cm="1">
        <f t="array" aca="1" ref="AN18" ca="1" xml:space="preserve"> INDEX($BL$4:$BL$55, MATCH(TRUE, EXACT(AN$17, $BK$4:$BK$55), 0))</f>
        <v>ㆲ</v>
      </c>
      <c r="AO18" s="314" t="str" cm="1">
        <f t="array" aca="1" ref="AO18" ca="1" xml:space="preserve"> INDEX($BL$4:$BL$55, MATCH(TRUE, EXACT(AO$17, $BK$4:$BK$55), 0))</f>
        <v>ㆭ</v>
      </c>
      <c r="AP18" s="314" t="str" cm="1">
        <f t="array" aca="1" ref="AP18" ca="1" xml:space="preserve"> INDEX($BL$4:$BL$55, MATCH(TRUE, EXACT(AP$17, $BK$4:$BK$55), 0))</f>
        <v>ㄣ</v>
      </c>
      <c r="AQ18" s="314" t="str" cm="1">
        <f t="array" aca="1" ref="AQ18" ca="1" xml:space="preserve"> INDEX($BL$4:$BL$55, MATCH(TRUE, EXACT(AQ$17, $BK$4:$BK$55), 0))</f>
        <v>ㆬ</v>
      </c>
      <c r="AR18" s="314" t="str" cm="1">
        <f t="array" aca="1" ref="AR18" ca="1" xml:space="preserve"> INDEX($BL$4:$BL$55, MATCH(TRUE, EXACT(AR$17, $BK$4:$BK$55), 0))</f>
        <v>ㄬ</v>
      </c>
      <c r="AS18" s="314" t="str" cm="1">
        <f t="array" aca="1" ref="AS18" ca="1" xml:space="preserve"> INDEX($BL$4:$BL$55, MATCH(TRUE, EXACT(AS$17, $BK$4:$BK$55), 0))</f>
        <v>ˉ</v>
      </c>
      <c r="AT18" s="314" t="str" cm="1">
        <f t="array" aca="1" ref="AT18" ca="1" xml:space="preserve"> INDEX($BL$4:$BL$55, MATCH(TRUE, EXACT(AT$17, $BK$4:$BK$55), 0))</f>
        <v>ˋ</v>
      </c>
      <c r="AU18" s="314" t="str" cm="1">
        <f t="array" aca="1" ref="AU18" ca="1" xml:space="preserve"> INDEX($BL$4:$BL$55, MATCH(TRUE, EXACT(AU$17, $BK$4:$BK$55), 0))</f>
        <v>˪</v>
      </c>
      <c r="AV18" s="314" t="str" cm="1">
        <f t="array" aca="1" ref="AV18" ca="1" xml:space="preserve"> INDEX($BL$4:$BL$55, MATCH(TRUE, EXACT(AV$17, $BK$4:$BK$55), 0))</f>
        <v>ˊ</v>
      </c>
      <c r="AW18" s="314" t="str" cm="1">
        <f t="array" aca="1" ref="AW18" ca="1" xml:space="preserve"> INDEX($BL$4:$BL$55, MATCH(TRUE, EXACT(AW$17, $BK$4:$BK$55), 0))</f>
        <v>˫</v>
      </c>
      <c r="AX18" s="314" t="str" cm="1">
        <f t="array" aca="1" ref="AX18" ca="1" xml:space="preserve"> INDEX($BL$4:$BL$55, MATCH(TRUE, EXACT(AX$17, $BK$4:$BK$55), 0))</f>
        <v>˙</v>
      </c>
      <c r="AY18" s="147"/>
      <c r="AZ18" s="147"/>
      <c r="BA18" s="147"/>
      <c r="BB18" s="147"/>
      <c r="BC18" s="147"/>
      <c r="BD18" s="147"/>
      <c r="BE18" s="147"/>
      <c r="BF18" s="147"/>
      <c r="BG18" s="147"/>
      <c r="BJ18" s="264">
        <f t="shared" si="0"/>
        <v>15</v>
      </c>
      <c r="BK18" s="71" t="str">
        <f>注音編碼對照表!C17</f>
        <v>E</v>
      </c>
      <c r="BL18" s="583" t="str" cm="1">
        <f t="array" ref="BL18" xml:space="preserve"> INDEX( 注音編碼對照表[方音符號], MATCH(TRUE, EXACT(方音鍵盤!$BK18, 注音編碼對照表[鍵盤按鍵]), 0))</f>
        <v>ㆣ</v>
      </c>
      <c r="BM18" s="584" t="str" cm="1">
        <f t="array" ref="BM18" xml:space="preserve"> INDEX( 注音編碼對照表[方音符號], MATCH(TRUE, EXACT(方音鍵盤!$BK18, 注音編碼對照表[鍵盤按鍵]), 0))</f>
        <v>ㆣ</v>
      </c>
      <c r="BN18" s="581" t="str" cm="1">
        <f t="array" ref="BN18" xml:space="preserve"> INDEX( 注音編碼對照表[國際音標], MATCH(TRUE, EXACT(方音鍵盤!$BK18, 注音編碼對照表[鍵盤按鍵]), 0))</f>
        <v>g</v>
      </c>
      <c r="BO18" s="582" t="str" cm="1">
        <f t="array" ref="BO18" xml:space="preserve"> INDEX( 注音編碼對照表[台語音標], MATCH(TRUE, EXACT(方音鍵盤!$BK18, 注音編碼對照表[鍵盤按鍵]), 0))</f>
        <v>g</v>
      </c>
      <c r="BP18" s="107"/>
      <c r="BR18" s="265" t="str">
        <f t="shared" si="1"/>
        <v>"E": { commit: "ㆣ" }</v>
      </c>
      <c r="BT18" s="195">
        <f t="shared" si="2"/>
        <v>15</v>
      </c>
      <c r="BU18" s="266" t="str">
        <f t="shared" si="3"/>
        <v>- xform/g/E/</v>
      </c>
      <c r="BW18" s="266" t="str">
        <f t="shared" si="4"/>
        <v>- xform/E/ㆣ/</v>
      </c>
    </row>
    <row r="19" spans="1:89" s="193" customFormat="1" ht="45" customHeight="1">
      <c r="A19" s="275"/>
      <c r="B19" s="315" t="s">
        <v>927</v>
      </c>
      <c r="C19" s="316"/>
      <c r="D19" s="317" t="str" cm="1">
        <f t="array" aca="1" ref="D19" ca="1" xml:space="preserve"> INDEX($BM$4:$BM$55, MATCH(TRUE, EXACT(D$17, $BK$4:$BK$55), 0))</f>
        <v>ㄅ</v>
      </c>
      <c r="E19" s="317" t="str" cm="1">
        <f t="array" aca="1" ref="E19" ca="1" xml:space="preserve"> INDEX($BM$4:$BM$55, MATCH(TRUE, EXACT(E$17, $BK$4:$BK$55), 0))</f>
        <v>ㄆ</v>
      </c>
      <c r="F19" s="317" t="str" cm="1">
        <f t="array" aca="1" ref="F19" ca="1" xml:space="preserve"> INDEX($BM$4:$BM$55, MATCH(TRUE, EXACT(F$17, $BK$4:$BK$55), 0))</f>
        <v>ㆠ</v>
      </c>
      <c r="G19" s="317" t="str" cm="1">
        <f t="array" aca="1" ref="G19" ca="1" xml:space="preserve"> INDEX($BM$4:$BM$55, MATCH(TRUE, EXACT(G$17, $BK$4:$BK$55), 0))</f>
        <v>ㄇ</v>
      </c>
      <c r="H19" s="317" t="str" cm="1">
        <f t="array" aca="1" ref="H19" ca="1" xml:space="preserve"> INDEX($BM$4:$BM$55, MATCH(TRUE, EXACT(H$17, $BK$4:$BK$55), 0))</f>
        <v>ㄉ</v>
      </c>
      <c r="I19" s="317" t="str" cm="1">
        <f t="array" aca="1" ref="I19" ca="1" xml:space="preserve"> INDEX($BM$4:$BM$55, MATCH(TRUE, EXACT(I$17, $BK$4:$BK$55), 0))</f>
        <v>ㄊ</v>
      </c>
      <c r="J19" s="317" t="str" cm="1">
        <f t="array" aca="1" ref="J19" ca="1" xml:space="preserve"> INDEX($BM$4:$BM$55, MATCH(TRUE, EXACT(J$17, $BK$4:$BK$55), 0))</f>
        <v>ㄋ</v>
      </c>
      <c r="K19" s="317" t="str" cm="1">
        <f t="array" aca="1" ref="K19" ca="1" xml:space="preserve"> INDEX($BM$4:$BM$55, MATCH(TRUE, EXACT(K$17, $BK$4:$BK$55), 0))</f>
        <v>ㄌ</v>
      </c>
      <c r="L19" s="317" t="str" cm="1">
        <f t="array" aca="1" ref="L19" ca="1" xml:space="preserve"> INDEX($BM$4:$BM$55, MATCH(TRUE, EXACT(L$17, $BK$4:$BK$55), 0))</f>
        <v>ㄗ</v>
      </c>
      <c r="M19" s="317" t="str" cm="1">
        <f t="array" aca="1" ref="M19" ca="1" xml:space="preserve"> INDEX($BM$4:$BM$55, MATCH(TRUE, EXACT(M$17, $BK$4:$BK$55), 0))</f>
        <v>ㄘ</v>
      </c>
      <c r="N19" s="317" t="str" cm="1">
        <f t="array" aca="1" ref="N19" ca="1" xml:space="preserve"> INDEX($BM$4:$BM$55, MATCH(TRUE, EXACT(N$17, $BK$4:$BK$55), 0))</f>
        <v>ㆡ</v>
      </c>
      <c r="O19" s="317" t="str" cm="1">
        <f t="array" aca="1" ref="O19" ca="1" xml:space="preserve"> INDEX($BM$4:$BM$55, MATCH(TRUE, EXACT(O$17, $BK$4:$BK$55), 0))</f>
        <v>ㄙ</v>
      </c>
      <c r="P19" s="317" t="str" cm="1">
        <f t="array" aca="1" ref="P19" ca="1" xml:space="preserve"> INDEX($BM$4:$BM$55, MATCH(TRUE, EXACT(P$17, $BK$4:$BK$55), 0))</f>
        <v>ㄍ</v>
      </c>
      <c r="Q19" s="317" t="str" cm="1">
        <f t="array" aca="1" ref="Q19" ca="1" xml:space="preserve"> INDEX($BM$4:$BM$55, MATCH(TRUE, EXACT(Q$17, $BK$4:$BK$55), 0))</f>
        <v>ㄎ</v>
      </c>
      <c r="R19" s="317" t="str" cm="1">
        <f t="array" aca="1" ref="R19" ca="1" xml:space="preserve"> INDEX($BM$4:$BM$55, MATCH(TRUE, EXACT(R$17, $BK$4:$BK$55), 0))</f>
        <v>ㆣ</v>
      </c>
      <c r="S19" s="317" t="str" cm="1">
        <f t="array" aca="1" ref="S19" ca="1" xml:space="preserve"> INDEX($BM$4:$BM$55, MATCH(TRUE, EXACT(S$17, $BK$4:$BK$55), 0))</f>
        <v>ㄫ</v>
      </c>
      <c r="T19" s="317" t="str" cm="1">
        <f t="array" aca="1" ref="T19" ca="1" xml:space="preserve"> INDEX($BM$4:$BM$55, MATCH(TRUE, EXACT(T$17, $BK$4:$BK$55), 0))</f>
        <v>ㄏ</v>
      </c>
      <c r="U19" s="317" t="str" cm="1">
        <f t="array" aca="1" ref="U19" ca="1" xml:space="preserve"> INDEX($BM$4:$BM$55, MATCH(TRUE, EXACT(U$17, $BK$4:$BK$55), 0))</f>
        <v>ㄧ</v>
      </c>
      <c r="V19" s="317" t="str" cm="1">
        <f t="array" aca="1" ref="V19" ca="1" xml:space="preserve"> INDEX($BM$4:$BM$55, MATCH(TRUE, EXACT(V$17, $BK$4:$BK$55), 0))</f>
        <v>ㄨ</v>
      </c>
      <c r="W19" s="317" t="str" cm="1">
        <f t="array" aca="1" ref="W19" ca="1" xml:space="preserve"> INDEX($BM$4:$BM$55, MATCH(TRUE, EXACT(W$17, $BK$4:$BK$55), 0))</f>
        <v>ㄚ</v>
      </c>
      <c r="X19" s="317" t="str" cm="1">
        <f t="array" aca="1" ref="X19" ca="1" xml:space="preserve"> INDEX($BM$4:$BM$55, MATCH(TRUE, EXACT(X$17, $BK$4:$BK$55), 0))</f>
        <v>ㆦ</v>
      </c>
      <c r="Y19" s="317" t="str" cm="1">
        <f t="array" aca="1" ref="Y19" ca="1" xml:space="preserve"> INDEX($BM$4:$BM$55, MATCH(TRUE, EXACT(Y$17, $BK$4:$BK$55), 0))</f>
        <v>ㄜ</v>
      </c>
      <c r="Z19" s="317" t="str" cm="1">
        <f t="array" aca="1" ref="Z19" ca="1" xml:space="preserve"> INDEX($BM$4:$BM$55, MATCH(TRUE, EXACT(Z$17, $BK$4:$BK$55), 0))</f>
        <v>ㆤ</v>
      </c>
      <c r="AA19" s="317" t="str" cm="1">
        <f t="array" aca="1" ref="AA19" ca="1" xml:space="preserve"> INDEX($BM$4:$BM$55, MATCH(TRUE, EXACT(AA$17, $BK$4:$BK$55), 0))</f>
        <v>ㄞ</v>
      </c>
      <c r="AB19" s="317" t="str" cm="1">
        <f t="array" aca="1" ref="AB19" ca="1" xml:space="preserve"> INDEX($BM$4:$BM$55, MATCH(TRUE, EXACT(AB$17, $BK$4:$BK$55), 0))</f>
        <v>ㄠ</v>
      </c>
      <c r="AC19" s="317" t="str" cm="1">
        <f t="array" aca="1" ref="AC19" ca="1" xml:space="preserve"> INDEX($BM$4:$BM$55, MATCH(TRUE, EXACT(AC$17, $BK$4:$BK$55), 0))</f>
        <v>ㄢ</v>
      </c>
      <c r="AD19" s="317" t="str" cm="1">
        <f t="array" aca="1" ref="AD19" ca="1" xml:space="preserve"> INDEX($BM$4:$BM$55, MATCH(TRUE, EXACT(AD$17, $BK$4:$BK$55), 0))</f>
        <v>ㄤ</v>
      </c>
      <c r="AE19" s="317" t="str" cm="1">
        <f t="array" aca="1" ref="AE19" ca="1" xml:space="preserve"> INDEX($BM$4:$BM$55, MATCH(TRUE, EXACT(AE$17, $BK$4:$BK$55), 0))</f>
        <v>ㆨ</v>
      </c>
      <c r="AF19" s="317" t="str" cm="1">
        <f t="array" aca="1" ref="AF19" ca="1" xml:space="preserve"> INDEX($BM$4:$BM$55, MATCH(TRUE, EXACT(AF$17, $BK$4:$BK$55), 0))</f>
        <v>ㆪ</v>
      </c>
      <c r="AG19" s="317" t="str" cm="1">
        <f t="array" aca="1" ref="AG19" ca="1" xml:space="preserve"> INDEX($BM$4:$BM$55, MATCH(TRUE, EXACT(AG$17, $BK$4:$BK$55), 0))</f>
        <v>ㆫ</v>
      </c>
      <c r="AH19" s="317" t="str" cm="1">
        <f t="array" aca="1" ref="AH19" ca="1" xml:space="preserve"> INDEX($BM$4:$BM$55, MATCH(TRUE, EXACT(AH$17, $BK$4:$BK$55), 0))</f>
        <v>ㆩ</v>
      </c>
      <c r="AI19" s="317" t="str" cm="1">
        <f t="array" aca="1" ref="AI19" ca="1" xml:space="preserve"> INDEX($BM$4:$BM$55, MATCH(TRUE, EXACT(AI$17, $BK$4:$BK$55), 0))</f>
        <v>ㆧ</v>
      </c>
      <c r="AJ19" s="317" t="str" cm="1">
        <f t="array" aca="1" ref="AJ19" ca="1" xml:space="preserve"> INDEX($BM$4:$BM$55, MATCH(TRUE, EXACT(AJ$17, $BK$4:$BK$55), 0))</f>
        <v>ㆥ</v>
      </c>
      <c r="AK19" s="317" t="str" cm="1">
        <f t="array" aca="1" ref="AK19" ca="1" xml:space="preserve"> INDEX($BM$4:$BM$55, MATCH(TRUE, EXACT(AK$17, $BK$4:$BK$55), 0))</f>
        <v>ㆮ</v>
      </c>
      <c r="AL19" s="317" t="str" cm="1">
        <f t="array" aca="1" ref="AL19" ca="1" xml:space="preserve"> INDEX($BM$4:$BM$55, MATCH(TRUE, EXACT(AL$17, $BK$4:$BK$55), 0))</f>
        <v>ㆯ</v>
      </c>
      <c r="AM19" s="317" t="str" cm="1">
        <f t="array" aca="1" ref="AM19" ca="1" xml:space="preserve"> INDEX($BM$4:$BM$55, MATCH(TRUE, EXACT(AM$17, $BK$4:$BK$55), 0))</f>
        <v>ㆰ</v>
      </c>
      <c r="AN19" s="317" t="str" cm="1">
        <f t="array" aca="1" ref="AN19" ca="1" xml:space="preserve"> INDEX($BM$4:$BM$55, MATCH(TRUE, EXACT(AN$17, $BK$4:$BK$55), 0))</f>
        <v>ㆲ</v>
      </c>
      <c r="AO19" s="317" t="str" cm="1">
        <f t="array" aca="1" ref="AO19" ca="1" xml:space="preserve"> INDEX($BM$4:$BM$55, MATCH(TRUE, EXACT(AO$17, $BK$4:$BK$55), 0))</f>
        <v>ㆭ</v>
      </c>
      <c r="AP19" s="317" t="str" cm="1">
        <f t="array" aca="1" ref="AP19" ca="1" xml:space="preserve"> INDEX($BM$4:$BM$55, MATCH(TRUE, EXACT(AP$17, $BK$4:$BK$55), 0))</f>
        <v>ㄣ</v>
      </c>
      <c r="AQ19" s="317" t="str" cm="1">
        <f t="array" aca="1" ref="AQ19" ca="1" xml:space="preserve"> INDEX($BM$4:$BM$55, MATCH(TRUE, EXACT(AQ$17, $BK$4:$BK$55), 0))</f>
        <v>ㆬ</v>
      </c>
      <c r="AR19" s="317" t="str" cm="1">
        <f t="array" aca="1" ref="AR19" ca="1" xml:space="preserve"> INDEX($BM$4:$BM$55, MATCH(TRUE, EXACT(AR$17, $BK$4:$BK$55), 0))</f>
        <v>ㄬ</v>
      </c>
      <c r="AS19" s="317" t="str" cm="1">
        <f t="array" aca="1" ref="AS19" ca="1" xml:space="preserve"> INDEX($BM$4:$BM$55, MATCH(TRUE, EXACT(AS$17, $BK$4:$BK$55), 0))</f>
        <v>ˉ</v>
      </c>
      <c r="AT19" s="317" t="str" cm="1">
        <f t="array" aca="1" ref="AT19" ca="1" xml:space="preserve"> INDEX($BM$4:$BM$55, MATCH(TRUE, EXACT(AT$17, $BK$4:$BK$55), 0))</f>
        <v>ˋ</v>
      </c>
      <c r="AU19" s="317" t="str" cm="1">
        <f t="array" aca="1" ref="AU19" ca="1" xml:space="preserve"> INDEX($BM$4:$BM$55, MATCH(TRUE, EXACT(AU$17, $BK$4:$BK$55), 0))</f>
        <v>˪</v>
      </c>
      <c r="AV19" s="317" t="str" cm="1">
        <f t="array" aca="1" ref="AV19" ca="1" xml:space="preserve"> INDEX($BM$4:$BM$55, MATCH(TRUE, EXACT(AV$17, $BK$4:$BK$55), 0))</f>
        <v>ˊ</v>
      </c>
      <c r="AW19" s="317" t="str" cm="1">
        <f t="array" aca="1" ref="AW19" ca="1" xml:space="preserve"> INDEX($BM$4:$BM$55, MATCH(TRUE, EXACT(AW$17, $BK$4:$BK$55), 0))</f>
        <v>˫</v>
      </c>
      <c r="AX19" s="317" t="str" cm="1">
        <f t="array" aca="1" ref="AX19" ca="1" xml:space="preserve"> INDEX($BM$4:$BM$55, MATCH(TRUE, EXACT(AX$17, $BK$4:$BK$55), 0))</f>
        <v>˙</v>
      </c>
      <c r="AY19" s="147"/>
      <c r="AZ19" s="147"/>
      <c r="BA19" s="147"/>
      <c r="BB19" s="147"/>
      <c r="BC19" s="147"/>
      <c r="BD19" s="147"/>
      <c r="BE19" s="147"/>
      <c r="BF19" s="147"/>
      <c r="BG19" s="147"/>
      <c r="BJ19" s="264">
        <f t="shared" si="0"/>
        <v>16</v>
      </c>
      <c r="BK19" s="71" t="str">
        <f>注音編碼對照表!C18</f>
        <v>g</v>
      </c>
      <c r="BL19" s="583" t="str" cm="1">
        <f t="array" ref="BL19" xml:space="preserve"> INDEX( 注音編碼對照表[方音符號], MATCH(TRUE, EXACT(方音鍵盤!$BK19, 注音編碼對照表[鍵盤按鍵]), 0))</f>
        <v>ㄫ</v>
      </c>
      <c r="BM19" s="584" t="str" cm="1">
        <f t="array" ref="BM19" xml:space="preserve"> INDEX( 注音編碼對照表[方音符號], MATCH(TRUE, EXACT(方音鍵盤!$BK19, 注音編碼對照表[鍵盤按鍵]), 0))</f>
        <v>ㄫ</v>
      </c>
      <c r="BN19" s="581" t="str" cm="1">
        <f t="array" ref="BN19" xml:space="preserve"> INDEX( 注音編碼對照表[國際音標], MATCH(TRUE, EXACT(方音鍵盤!$BK19, 注音編碼對照表[鍵盤按鍵]), 0))</f>
        <v>ŋ</v>
      </c>
      <c r="BO19" s="582" t="str" cm="1">
        <f t="array" ref="BO19" xml:space="preserve"> INDEX( 注音編碼對照表[台語音標], MATCH(TRUE, EXACT(方音鍵盤!$BK19, 注音編碼對照表[鍵盤按鍵]), 0))</f>
        <v>ng-</v>
      </c>
      <c r="BP19" s="107"/>
      <c r="BR19" s="265" t="str">
        <f t="shared" si="1"/>
        <v>"g": { commit: "ㄫ" }</v>
      </c>
      <c r="BT19" s="195">
        <f t="shared" si="2"/>
        <v>16</v>
      </c>
      <c r="BU19" s="266" t="str">
        <f t="shared" si="3"/>
        <v>- xform/ŋ/g/</v>
      </c>
      <c r="BW19" s="266" t="str">
        <f t="shared" si="4"/>
        <v>- xform/g/ㄫ/</v>
      </c>
    </row>
    <row r="20" spans="1:89" ht="45" customHeight="1">
      <c r="A20" s="275"/>
      <c r="B20" s="279" t="s">
        <v>388</v>
      </c>
      <c r="C20" s="280"/>
      <c r="D20" s="281" t="str" cm="1">
        <f t="array" aca="1" ref="D20" ca="1" xml:space="preserve"> INDEX($BO$4:$BO$55, MATCH(TRUE, EXACT(D$17, $BK$4:$BK$55), 0))</f>
        <v>p</v>
      </c>
      <c r="E20" s="281" t="str" cm="1">
        <f t="array" aca="1" ref="E20" ca="1" xml:space="preserve"> INDEX($BO$4:$BO$55, MATCH(TRUE, EXACT(E$17, $BK$4:$BK$55), 0))</f>
        <v>ph</v>
      </c>
      <c r="F20" s="281" t="str" cm="1">
        <f t="array" aca="1" ref="F20" ca="1" xml:space="preserve"> INDEX($BO$4:$BO$55, MATCH(TRUE, EXACT(F$17, $BK$4:$BK$55), 0))</f>
        <v>b</v>
      </c>
      <c r="G20" s="281" t="str" cm="1">
        <f t="array" aca="1" ref="G20" ca="1" xml:space="preserve"> INDEX($BO$4:$BO$55, MATCH(TRUE, EXACT(G$17, $BK$4:$BK$55), 0))</f>
        <v>m</v>
      </c>
      <c r="H20" s="281" t="str" cm="1">
        <f t="array" aca="1" ref="H20" ca="1" xml:space="preserve"> INDEX($BO$4:$BO$55, MATCH(TRUE, EXACT(H$17, $BK$4:$BK$55), 0))</f>
        <v>t</v>
      </c>
      <c r="I20" s="281" t="str" cm="1">
        <f t="array" aca="1" ref="I20" ca="1" xml:space="preserve"> INDEX($BO$4:$BO$55, MATCH(TRUE, EXACT(I$17, $BK$4:$BK$55), 0))</f>
        <v>th</v>
      </c>
      <c r="J20" s="281" t="str" cm="1">
        <f t="array" aca="1" ref="J20" ca="1" xml:space="preserve"> INDEX($BO$4:$BO$55, MATCH(TRUE, EXACT(J$17, $BK$4:$BK$55), 0))</f>
        <v>n</v>
      </c>
      <c r="K20" s="281" t="str" cm="1">
        <f t="array" aca="1" ref="K20" ca="1" xml:space="preserve"> INDEX($BO$4:$BO$55, MATCH(TRUE, EXACT(K$17, $BK$4:$BK$55), 0))</f>
        <v>l</v>
      </c>
      <c r="L20" s="281" t="str" cm="1">
        <f t="array" aca="1" ref="L20" ca="1" xml:space="preserve"> INDEX($BO$4:$BO$55, MATCH(TRUE, EXACT(L$17, $BK$4:$BK$55), 0))</f>
        <v>z</v>
      </c>
      <c r="M20" s="281" t="str" cm="1">
        <f t="array" aca="1" ref="M20" ca="1" xml:space="preserve"> INDEX($BO$4:$BO$55, MATCH(TRUE, EXACT(M$17, $BK$4:$BK$55), 0))</f>
        <v>c</v>
      </c>
      <c r="N20" s="281" t="str" cm="1">
        <f t="array" aca="1" ref="N20" ca="1" xml:space="preserve"> INDEX($BO$4:$BO$55, MATCH(TRUE, EXACT(N$17, $BK$4:$BK$55), 0))</f>
        <v>j</v>
      </c>
      <c r="O20" s="281" t="str" cm="1">
        <f t="array" aca="1" ref="O20" ca="1" xml:space="preserve"> INDEX($BO$4:$BO$55, MATCH(TRUE, EXACT(O$17, $BK$4:$BK$55), 0))</f>
        <v>s</v>
      </c>
      <c r="P20" s="281" t="str" cm="1">
        <f t="array" aca="1" ref="P20" ca="1" xml:space="preserve"> INDEX($BO$4:$BO$55, MATCH(TRUE, EXACT(P$17, $BK$4:$BK$55), 0))</f>
        <v>k</v>
      </c>
      <c r="Q20" s="281" t="str" cm="1">
        <f t="array" aca="1" ref="Q20" ca="1" xml:space="preserve"> INDEX($BO$4:$BO$55, MATCH(TRUE, EXACT(Q$17, $BK$4:$BK$55), 0))</f>
        <v>kh</v>
      </c>
      <c r="R20" s="281" t="str" cm="1">
        <f t="array" aca="1" ref="R20" ca="1" xml:space="preserve"> INDEX($BO$4:$BO$55, MATCH(TRUE, EXACT(R$17, $BK$4:$BK$55), 0))</f>
        <v>g</v>
      </c>
      <c r="S20" s="281" t="str" cm="1">
        <f t="array" aca="1" ref="S20" ca="1" xml:space="preserve"> INDEX($BO$4:$BO$55, MATCH(TRUE, EXACT(S$17, $BK$4:$BK$55), 0))</f>
        <v>ng-</v>
      </c>
      <c r="T20" s="281" t="str" cm="1">
        <f t="array" aca="1" ref="T20" ca="1" xml:space="preserve"> INDEX($BO$4:$BO$55, MATCH(TRUE, EXACT(T$17, $BK$4:$BK$55), 0))</f>
        <v>h</v>
      </c>
      <c r="U20" s="281" t="str" cm="1">
        <f t="array" aca="1" ref="U20" ca="1" xml:space="preserve"> INDEX($BO$4:$BO$55, MATCH(TRUE, EXACT(U$17, $BK$4:$BK$55), 0))</f>
        <v>i</v>
      </c>
      <c r="V20" s="281" t="str" cm="1">
        <f t="array" aca="1" ref="V20" ca="1" xml:space="preserve"> INDEX($BO$4:$BO$55, MATCH(TRUE, EXACT(V$17, $BK$4:$BK$55), 0))</f>
        <v>u</v>
      </c>
      <c r="W20" s="281" t="str" cm="1">
        <f t="array" aca="1" ref="W20" ca="1" xml:space="preserve"> INDEX($BO$4:$BO$55, MATCH(TRUE, EXACT(W$17, $BK$4:$BK$55), 0))</f>
        <v>a</v>
      </c>
      <c r="X20" s="281" t="str" cm="1">
        <f t="array" aca="1" ref="X20" ca="1" xml:space="preserve"> INDEX($BO$4:$BO$55, MATCH(TRUE, EXACT(X$17, $BK$4:$BK$55), 0))</f>
        <v>oo</v>
      </c>
      <c r="Y20" s="281" t="str" cm="1">
        <f t="array" aca="1" ref="Y20" ca="1" xml:space="preserve"> INDEX($BO$4:$BO$55, MATCH(TRUE, EXACT(Y$17, $BK$4:$BK$55), 0))</f>
        <v>o</v>
      </c>
      <c r="Z20" s="281" t="str" cm="1">
        <f t="array" aca="1" ref="Z20" ca="1" xml:space="preserve"> INDEX($BO$4:$BO$55, MATCH(TRUE, EXACT(Z$17, $BK$4:$BK$55), 0))</f>
        <v>e</v>
      </c>
      <c r="AA20" s="281" t="str" cm="1">
        <f t="array" aca="1" ref="AA20" ca="1" xml:space="preserve"> INDEX($BO$4:$BO$55, MATCH(TRUE, EXACT(AA$17, $BK$4:$BK$55), 0))</f>
        <v>ai</v>
      </c>
      <c r="AB20" s="281" t="str" cm="1">
        <f t="array" aca="1" ref="AB20" ca="1" xml:space="preserve"> INDEX($BO$4:$BO$55, MATCH(TRUE, EXACT(AB$17, $BK$4:$BK$55), 0))</f>
        <v>au</v>
      </c>
      <c r="AC20" s="281" t="str" cm="1">
        <f t="array" aca="1" ref="AC20" ca="1" xml:space="preserve"> INDEX($BO$4:$BO$55, MATCH(TRUE, EXACT(AC$17, $BK$4:$BK$55), 0))</f>
        <v>an</v>
      </c>
      <c r="AD20" s="281" t="str" cm="1">
        <f t="array" aca="1" ref="AD20" ca="1" xml:space="preserve"> INDEX($BO$4:$BO$55, MATCH(TRUE, EXACT(AD$17, $BK$4:$BK$55), 0))</f>
        <v>ang</v>
      </c>
      <c r="AE20" s="281" t="str" cm="1">
        <f t="array" aca="1" ref="AE20" ca="1" xml:space="preserve"> INDEX($BO$4:$BO$55, MATCH(TRUE, EXACT(AE$17, $BK$4:$BK$55), 0))</f>
        <v>ir</v>
      </c>
      <c r="AF20" s="281" t="str" cm="1">
        <f t="array" aca="1" ref="AF20" ca="1" xml:space="preserve"> INDEX($BO$4:$BO$55, MATCH(TRUE, EXACT(AF$17, $BK$4:$BK$55), 0))</f>
        <v>inn</v>
      </c>
      <c r="AG20" s="281" t="str" cm="1">
        <f t="array" aca="1" ref="AG20" ca="1" xml:space="preserve"> INDEX($BO$4:$BO$55, MATCH(TRUE, EXACT(AG$17, $BK$4:$BK$55), 0))</f>
        <v>unn</v>
      </c>
      <c r="AH20" s="281" t="str" cm="1">
        <f t="array" aca="1" ref="AH20" ca="1" xml:space="preserve"> INDEX($BO$4:$BO$55, MATCH(TRUE, EXACT(AH$17, $BK$4:$BK$55), 0))</f>
        <v>ann</v>
      </c>
      <c r="AI20" s="281" t="str" cm="1">
        <f t="array" aca="1" ref="AI20" ca="1" xml:space="preserve"> INDEX($BO$4:$BO$55, MATCH(TRUE, EXACT(AI$17, $BK$4:$BK$55), 0))</f>
        <v>onn</v>
      </c>
      <c r="AJ20" s="281" t="str" cm="1">
        <f t="array" aca="1" ref="AJ20" ca="1" xml:space="preserve"> INDEX($BO$4:$BO$55, MATCH(TRUE, EXACT(AJ$17, $BK$4:$BK$55), 0))</f>
        <v>enn</v>
      </c>
      <c r="AK20" s="281" t="str" cm="1">
        <f t="array" aca="1" ref="AK20" ca="1" xml:space="preserve"> INDEX($BO$4:$BO$55, MATCH(TRUE, EXACT(AK$17, $BK$4:$BK$55), 0))</f>
        <v>ainn</v>
      </c>
      <c r="AL20" s="281" t="str" cm="1">
        <f t="array" aca="1" ref="AL20" ca="1" xml:space="preserve"> INDEX($BO$4:$BO$55, MATCH(TRUE, EXACT(AL$17, $BK$4:$BK$55), 0))</f>
        <v>aunn</v>
      </c>
      <c r="AM20" s="281" t="str" cm="1">
        <f t="array" aca="1" ref="AM20" ca="1" xml:space="preserve"> INDEX($BO$4:$BO$55, MATCH(TRUE, EXACT(AM$17, $BK$4:$BK$55), 0))</f>
        <v>am</v>
      </c>
      <c r="AN20" s="281" t="str" cm="1">
        <f t="array" aca="1" ref="AN20" ca="1" xml:space="preserve"> INDEX($BO$4:$BO$55, MATCH(TRUE, EXACT(AN$17, $BK$4:$BK$55), 0))</f>
        <v>ong</v>
      </c>
      <c r="AO20" s="281" t="str" cm="1">
        <f t="array" aca="1" ref="AO20" ca="1" xml:space="preserve"> INDEX($BO$4:$BO$55, MATCH(TRUE, EXACT(AO$17, $BK$4:$BK$55), 0))</f>
        <v>-ng</v>
      </c>
      <c r="AP20" s="281" t="str" cm="1">
        <f t="array" aca="1" ref="AP20" ca="1" xml:space="preserve"> INDEX($BO$4:$BO$55, MATCH(TRUE, EXACT(AP$17, $BK$4:$BK$55), 0))</f>
        <v>-n</v>
      </c>
      <c r="AQ20" s="281" t="str" cm="1">
        <f t="array" aca="1" ref="AQ20" ca="1" xml:space="preserve"> INDEX($BO$4:$BO$55, MATCH(TRUE, EXACT(AQ$17, $BK$4:$BK$55), 0))</f>
        <v>-m</v>
      </c>
      <c r="AR20" s="281" t="str" cm="1">
        <f t="array" aca="1" ref="AR20" ca="1" xml:space="preserve"> INDEX($BO$4:$BO$55, MATCH(TRUE, EXACT(AR$17, $BK$4:$BK$55), 0))</f>
        <v>-nn</v>
      </c>
      <c r="AS20" s="281" cm="1">
        <f t="array" aca="1" ref="AS20" ca="1" xml:space="preserve"> INDEX($BO$4:$BO$55, MATCH(TRUE, EXACT(AS$17, $BK$4:$BK$55), 0))</f>
        <v>1</v>
      </c>
      <c r="AT20" s="281" cm="1">
        <f t="array" aca="1" ref="AT20" ca="1" xml:space="preserve"> INDEX($BO$4:$BO$55, MATCH(TRUE, EXACT(AT$17, $BK$4:$BK$55), 0))</f>
        <v>2</v>
      </c>
      <c r="AU20" s="281" cm="1">
        <f t="array" aca="1" ref="AU20" ca="1" xml:space="preserve"> INDEX($BO$4:$BO$55, MATCH(TRUE, EXACT(AU$17, $BK$4:$BK$55), 0))</f>
        <v>3</v>
      </c>
      <c r="AV20" s="281" cm="1">
        <f t="array" aca="1" ref="AV20" ca="1" xml:space="preserve"> INDEX($BO$4:$BO$55, MATCH(TRUE, EXACT(AV$17, $BK$4:$BK$55), 0))</f>
        <v>5</v>
      </c>
      <c r="AW20" s="281" cm="1">
        <f t="array" aca="1" ref="AW20" ca="1" xml:space="preserve"> INDEX($BO$4:$BO$55, MATCH(TRUE, EXACT(AW$17, $BK$4:$BK$55), 0))</f>
        <v>7</v>
      </c>
      <c r="AX20" s="281" t="str" cm="1">
        <f t="array" aca="1" ref="AX20" ca="1" xml:space="preserve"> INDEX($BO$4:$BO$55, MATCH(TRUE, EXACT(AX$17, $BK$4:$BK$55), 0))</f>
        <v>[48]</v>
      </c>
      <c r="BJ20" s="264">
        <f t="shared" si="0"/>
        <v>17</v>
      </c>
      <c r="BK20" s="71" t="str">
        <f>注音編碼對照表!C19</f>
        <v>c</v>
      </c>
      <c r="BL20" s="583" t="str" cm="1">
        <f t="array" ref="BL20" xml:space="preserve"> INDEX( 注音編碼對照表[方音符號], MATCH(TRUE, EXACT(方音鍵盤!$BK20, 注音編碼對照表[鍵盤按鍵]), 0))</f>
        <v>ㄏ</v>
      </c>
      <c r="BM20" s="584" t="str" cm="1">
        <f t="array" ref="BM20" xml:space="preserve"> INDEX( 注音編碼對照表[方音符號], MATCH(TRUE, EXACT(方音鍵盤!$BK20, 注音編碼對照表[鍵盤按鍵]), 0))</f>
        <v>ㄏ</v>
      </c>
      <c r="BN20" s="581" t="str" cm="1">
        <f t="array" ref="BN20" xml:space="preserve"> INDEX( 注音編碼對照表[國際音標], MATCH(TRUE, EXACT(方音鍵盤!$BK20, 注音編碼對照表[鍵盤按鍵]), 0))</f>
        <v>h</v>
      </c>
      <c r="BO20" s="582" t="str" cm="1">
        <f t="array" ref="BO20" xml:space="preserve"> INDEX( 注音編碼對照表[台語音標], MATCH(TRUE, EXACT(方音鍵盤!$BK20, 注音編碼對照表[鍵盤按鍵]), 0))</f>
        <v>h</v>
      </c>
      <c r="BP20" s="107"/>
      <c r="BR20" s="265" t="str">
        <f t="shared" si="1"/>
        <v>"c": { commit: "ㄏ" }</v>
      </c>
      <c r="BT20" s="237">
        <f t="shared" si="2"/>
        <v>17</v>
      </c>
      <c r="BU20" s="266" t="str">
        <f t="shared" si="3"/>
        <v>- xform/h/c/</v>
      </c>
      <c r="BW20" s="266" t="str">
        <f t="shared" si="4"/>
        <v>- xform/c/ㄏ/</v>
      </c>
    </row>
    <row r="21" spans="1:89" s="195" customFormat="1" ht="45" customHeight="1">
      <c r="A21" s="258"/>
      <c r="B21" s="282" t="s">
        <v>362</v>
      </c>
      <c r="C21" s="283"/>
      <c r="D21" s="284" t="str" cm="1">
        <f t="array" aca="1" ref="D21" ca="1" xml:space="preserve"> INDEX($BN$4:$BN$55, MATCH(TRUE, EXACT(D$17, $BK$4:$BK$55), 0))</f>
        <v>p</v>
      </c>
      <c r="E21" s="284" t="str" cm="1">
        <f t="array" aca="1" ref="E21" ca="1" xml:space="preserve"> INDEX($BN$4:$BN$55, MATCH(TRUE, EXACT(E$17, $BK$4:$BK$55), 0))</f>
        <v>pʰ</v>
      </c>
      <c r="F21" s="284" t="str" cm="1">
        <f t="array" aca="1" ref="F21" ca="1" xml:space="preserve"> INDEX($BN$4:$BN$55, MATCH(TRUE, EXACT(F$17, $BK$4:$BK$55), 0))</f>
        <v>b</v>
      </c>
      <c r="G21" s="284" t="str" cm="1">
        <f t="array" aca="1" ref="G21" ca="1" xml:space="preserve"> INDEX($BN$4:$BN$55, MATCH(TRUE, EXACT(G$17, $BK$4:$BK$55), 0))</f>
        <v>m</v>
      </c>
      <c r="H21" s="284" t="str" cm="1">
        <f t="array" aca="1" ref="H21" ca="1" xml:space="preserve"> INDEX($BN$4:$BN$55, MATCH(TRUE, EXACT(H$17, $BK$4:$BK$55), 0))</f>
        <v>t</v>
      </c>
      <c r="I21" s="284" t="str" cm="1">
        <f t="array" aca="1" ref="I21" ca="1" xml:space="preserve"> INDEX($BN$4:$BN$55, MATCH(TRUE, EXACT(I$17, $BK$4:$BK$55), 0))</f>
        <v>tʰ</v>
      </c>
      <c r="J21" s="284" t="str" cm="1">
        <f t="array" aca="1" ref="J21" ca="1" xml:space="preserve"> INDEX($BN$4:$BN$55, MATCH(TRUE, EXACT(J$17, $BK$4:$BK$55), 0))</f>
        <v>n</v>
      </c>
      <c r="K21" s="284" t="str" cm="1">
        <f t="array" aca="1" ref="K21" ca="1" xml:space="preserve"> INDEX($BN$4:$BN$55, MATCH(TRUE, EXACT(K$17, $BK$4:$BK$55), 0))</f>
        <v>l</v>
      </c>
      <c r="L21" s="284" t="str" cm="1">
        <f t="array" aca="1" ref="L21" ca="1" xml:space="preserve"> INDEX($BN$4:$BN$55, MATCH(TRUE, EXACT(L$17, $BK$4:$BK$55), 0))</f>
        <v>ts</v>
      </c>
      <c r="M21" s="284" t="str" cm="1">
        <f t="array" aca="1" ref="M21" ca="1" xml:space="preserve"> INDEX($BN$4:$BN$55, MATCH(TRUE, EXACT(M$17, $BK$4:$BK$55), 0))</f>
        <v>ʦʰ</v>
      </c>
      <c r="N21" s="284" t="str" cm="1">
        <f t="array" aca="1" ref="N21" ca="1" xml:space="preserve"> INDEX($BN$4:$BN$55, MATCH(TRUE, EXACT(N$17, $BK$4:$BK$55), 0))</f>
        <v>ʣ</v>
      </c>
      <c r="O21" s="284" t="str" cm="1">
        <f t="array" aca="1" ref="O21" ca="1" xml:space="preserve"> INDEX($BN$4:$BN$55, MATCH(TRUE, EXACT(O$17, $BK$4:$BK$55), 0))</f>
        <v>s</v>
      </c>
      <c r="P21" s="284" t="str" cm="1">
        <f t="array" aca="1" ref="P21" ca="1" xml:space="preserve"> INDEX($BN$4:$BN$55, MATCH(TRUE, EXACT(P$17, $BK$4:$BK$55), 0))</f>
        <v>k</v>
      </c>
      <c r="Q21" s="284" t="str" cm="1">
        <f t="array" aca="1" ref="Q21" ca="1" xml:space="preserve"> INDEX($BN$4:$BN$55, MATCH(TRUE, EXACT(Q$17, $BK$4:$BK$55), 0))</f>
        <v>kʰ</v>
      </c>
      <c r="R21" s="284" t="str" cm="1">
        <f t="array" aca="1" ref="R21" ca="1" xml:space="preserve"> INDEX($BN$4:$BN$55, MATCH(TRUE, EXACT(R$17, $BK$4:$BK$55), 0))</f>
        <v>g</v>
      </c>
      <c r="S21" s="284" t="str" cm="1">
        <f t="array" aca="1" ref="S21" ca="1" xml:space="preserve"> INDEX($BN$4:$BN$55, MATCH(TRUE, EXACT(S$17, $BK$4:$BK$55), 0))</f>
        <v>ŋ</v>
      </c>
      <c r="T21" s="284" t="str" cm="1">
        <f t="array" aca="1" ref="T21" ca="1" xml:space="preserve"> INDEX($BN$4:$BN$55, MATCH(TRUE, EXACT(T$17, $BK$4:$BK$55), 0))</f>
        <v>h</v>
      </c>
      <c r="U21" s="284" t="str" cm="1">
        <f t="array" aca="1" ref="U21" ca="1" xml:space="preserve"> INDEX($BN$4:$BN$55, MATCH(TRUE, EXACT(U$17, $BK$4:$BK$55), 0))</f>
        <v>i</v>
      </c>
      <c r="V21" s="284" t="str" cm="1">
        <f t="array" aca="1" ref="V21" ca="1" xml:space="preserve"> INDEX($BN$4:$BN$55, MATCH(TRUE, EXACT(V$17, $BK$4:$BK$55), 0))</f>
        <v>u</v>
      </c>
      <c r="W21" s="284" t="str" cm="1">
        <f t="array" aca="1" ref="W21" ca="1" xml:space="preserve"> INDEX($BN$4:$BN$55, MATCH(TRUE, EXACT(W$17, $BK$4:$BK$55), 0))</f>
        <v>a</v>
      </c>
      <c r="X21" s="284" t="str" cm="1">
        <f t="array" aca="1" ref="X21" ca="1" xml:space="preserve"> INDEX($BN$4:$BN$55, MATCH(TRUE, EXACT(X$17, $BK$4:$BK$55), 0))</f>
        <v>ɔ</v>
      </c>
      <c r="Y21" s="284" t="str" cm="1">
        <f t="array" aca="1" ref="Y21" ca="1" xml:space="preserve"> INDEX($BN$4:$BN$55, MATCH(TRUE, EXACT(Y$17, $BK$4:$BK$55), 0))</f>
        <v>ə</v>
      </c>
      <c r="Z21" s="284" t="str" cm="1">
        <f t="array" aca="1" ref="Z21" ca="1" xml:space="preserve"> INDEX($BN$4:$BN$55, MATCH(TRUE, EXACT(Z$17, $BK$4:$BK$55), 0))</f>
        <v>e</v>
      </c>
      <c r="AA21" s="284" t="str" cm="1">
        <f t="array" aca="1" ref="AA21" ca="1" xml:space="preserve"> INDEX($BN$4:$BN$55, MATCH(TRUE, EXACT(AA$17, $BK$4:$BK$55), 0))</f>
        <v>ai̯</v>
      </c>
      <c r="AB21" s="284" t="str" cm="1">
        <f t="array" aca="1" ref="AB21" ca="1" xml:space="preserve"> INDEX($BN$4:$BN$55, MATCH(TRUE, EXACT(AB$17, $BK$4:$BK$55), 0))</f>
        <v>ɑu̯</v>
      </c>
      <c r="AC21" s="284" t="str" cm="1">
        <f t="array" aca="1" ref="AC21" ca="1" xml:space="preserve"> INDEX($BN$4:$BN$55, MATCH(TRUE, EXACT(AC$17, $BK$4:$BK$55), 0))</f>
        <v>an</v>
      </c>
      <c r="AD21" s="284" t="str" cm="1">
        <f t="array" aca="1" ref="AD21" ca="1" xml:space="preserve"> INDEX($BN$4:$BN$55, MATCH(TRUE, EXACT(AD$17, $BK$4:$BK$55), 0))</f>
        <v>ɑŋ</v>
      </c>
      <c r="AE21" s="284" t="str" cm="1">
        <f t="array" aca="1" ref="AE21" ca="1" xml:space="preserve"> INDEX($BN$4:$BN$55, MATCH(TRUE, EXACT(AE$17, $BK$4:$BK$55), 0))</f>
        <v>ɨ</v>
      </c>
      <c r="AF21" s="284" t="str" cm="1">
        <f t="array" aca="1" ref="AF21" ca="1" xml:space="preserve"> INDEX($BN$4:$BN$55, MATCH(TRUE, EXACT(AF$17, $BK$4:$BK$55), 0))</f>
        <v>ĩ</v>
      </c>
      <c r="AG21" s="284" t="str" cm="1">
        <f t="array" aca="1" ref="AG21" ca="1" xml:space="preserve"> INDEX($BN$4:$BN$55, MATCH(TRUE, EXACT(AG$17, $BK$4:$BK$55), 0))</f>
        <v>ũ</v>
      </c>
      <c r="AH21" s="284" t="str" cm="1">
        <f t="array" aca="1" ref="AH21" ca="1" xml:space="preserve"> INDEX($BN$4:$BN$55, MATCH(TRUE, EXACT(AH$17, $BK$4:$BK$55), 0))</f>
        <v>ã</v>
      </c>
      <c r="AI21" s="284" t="str" cm="1">
        <f t="array" aca="1" ref="AI21" ca="1" xml:space="preserve"> INDEX($BN$4:$BN$55, MATCH(TRUE, EXACT(AI$17, $BK$4:$BK$55), 0))</f>
        <v>ɔ̃</v>
      </c>
      <c r="AJ21" s="284" t="str" cm="1">
        <f t="array" aca="1" ref="AJ21" ca="1" xml:space="preserve"> INDEX($BN$4:$BN$55, MATCH(TRUE, EXACT(AJ$17, $BK$4:$BK$55), 0))</f>
        <v>ẽ</v>
      </c>
      <c r="AK21" s="284" t="str" cm="1">
        <f t="array" aca="1" ref="AK21" ca="1" xml:space="preserve"> INDEX($BN$4:$BN$55, MATCH(TRUE, EXACT(AK$17, $BK$4:$BK$55), 0))</f>
        <v>ãĩ</v>
      </c>
      <c r="AL21" s="284" t="str" cm="1">
        <f t="array" aca="1" ref="AL21" ca="1" xml:space="preserve"> INDEX($BN$4:$BN$55, MATCH(TRUE, EXACT(AL$17, $BK$4:$BK$55), 0))</f>
        <v>ãũ</v>
      </c>
      <c r="AM21" s="284" t="str" cm="1">
        <f t="array" aca="1" ref="AM21" ca="1" xml:space="preserve"> INDEX($BN$4:$BN$55, MATCH(TRUE, EXACT(AM$17, $BK$4:$BK$55), 0))</f>
        <v>am</v>
      </c>
      <c r="AN21" s="284" t="str" cm="1">
        <f t="array" aca="1" ref="AN21" ca="1" xml:space="preserve"> INDEX($BN$4:$BN$55, MATCH(TRUE, EXACT(AN$17, $BK$4:$BK$55), 0))</f>
        <v>ɔŋ</v>
      </c>
      <c r="AO21" s="284" t="str" cm="1">
        <f t="array" aca="1" ref="AO21" ca="1" xml:space="preserve"> INDEX($BN$4:$BN$55, MATCH(TRUE, EXACT(AO$17, $BK$4:$BK$55), 0))</f>
        <v>ŋ̍</v>
      </c>
      <c r="AP21" s="284" t="str" cm="1">
        <f t="array" aca="1" ref="AP21" ca="1" xml:space="preserve"> INDEX($BN$4:$BN$55, MATCH(TRUE, EXACT(AP$17, $BK$4:$BK$55), 0))</f>
        <v>n</v>
      </c>
      <c r="AQ21" s="284" t="str" cm="1">
        <f t="array" aca="1" ref="AQ21" ca="1" xml:space="preserve"> INDEX($BN$4:$BN$55, MATCH(TRUE, EXACT(AQ$17, $BK$4:$BK$55), 0))</f>
        <v>m̩</v>
      </c>
      <c r="AR21" s="284" t="str" cm="1">
        <f t="array" aca="1" ref="AR21" ca="1" xml:space="preserve"> INDEX($BN$4:$BN$55, MATCH(TRUE, EXACT(AR$17, $BK$4:$BK$55), 0))</f>
        <v>ɲ</v>
      </c>
      <c r="AS21" s="284" cm="1">
        <f t="array" aca="1" ref="AS21" ca="1" xml:space="preserve"> INDEX($BN$4:$BN$55, MATCH(TRUE, EXACT(AS$17, $BK$4:$BK$55), 0))</f>
        <v>0</v>
      </c>
      <c r="AT21" s="284" cm="1">
        <f t="array" aca="1" ref="AT21" ca="1" xml:space="preserve"> INDEX($BN$4:$BN$55, MATCH(TRUE, EXACT(AT$17, $BK$4:$BK$55), 0))</f>
        <v>0</v>
      </c>
      <c r="AU21" s="284" cm="1">
        <f t="array" aca="1" ref="AU21" ca="1" xml:space="preserve"> INDEX($BN$4:$BN$55, MATCH(TRUE, EXACT(AU$17, $BK$4:$BK$55), 0))</f>
        <v>0</v>
      </c>
      <c r="AV21" s="284" cm="1">
        <f t="array" aca="1" ref="AV21" ca="1" xml:space="preserve"> INDEX($BN$4:$BN$55, MATCH(TRUE, EXACT(AV$17, $BK$4:$BK$55), 0))</f>
        <v>0</v>
      </c>
      <c r="AW21" s="284" cm="1">
        <f t="array" aca="1" ref="AW21" ca="1" xml:space="preserve"> INDEX($BN$4:$BN$55, MATCH(TRUE, EXACT(AW$17, $BK$4:$BK$55), 0))</f>
        <v>0</v>
      </c>
      <c r="AX21" s="284" cm="1">
        <f t="array" aca="1" ref="AX21" ca="1" xml:space="preserve"> INDEX($BN$4:$BN$55, MATCH(TRUE, EXACT(AX$17, $BK$4:$BK$55), 0))</f>
        <v>0</v>
      </c>
      <c r="AY21" s="145"/>
      <c r="AZ21" s="145"/>
      <c r="BA21" s="145"/>
      <c r="BB21" s="145"/>
      <c r="BC21" s="145"/>
      <c r="BD21" s="145"/>
      <c r="BE21" s="145"/>
      <c r="BF21" s="145"/>
      <c r="BJ21" s="264">
        <f t="shared" si="0"/>
        <v>18</v>
      </c>
      <c r="BK21" s="71" t="str">
        <f>注音編碼對照表!C20</f>
        <v>u</v>
      </c>
      <c r="BL21" s="583" t="str" cm="1">
        <f t="array" ref="BL21" xml:space="preserve"> INDEX( 注音編碼對照表[方音符號], MATCH(TRUE, EXACT(方音鍵盤!$BK21, 注音編碼對照表[鍵盤按鍵]), 0))</f>
        <v>ㄧ</v>
      </c>
      <c r="BM21" s="584" t="str" cm="1">
        <f t="array" ref="BM21" xml:space="preserve"> INDEX( 注音編碼對照表[方音符號], MATCH(TRUE, EXACT(方音鍵盤!$BK21, 注音編碼對照表[鍵盤按鍵]), 0))</f>
        <v>ㄧ</v>
      </c>
      <c r="BN21" s="581" t="str" cm="1">
        <f t="array" ref="BN21" xml:space="preserve"> INDEX( 注音編碼對照表[國際音標], MATCH(TRUE, EXACT(方音鍵盤!$BK21, 注音編碼對照表[鍵盤按鍵]), 0))</f>
        <v>i</v>
      </c>
      <c r="BO21" s="582" t="str" cm="1">
        <f t="array" ref="BO21" xml:space="preserve"> INDEX( 注音編碼對照表[台語音標], MATCH(TRUE, EXACT(方音鍵盤!$BK21, 注音編碼對照表[鍵盤按鍵]), 0))</f>
        <v>i</v>
      </c>
      <c r="BP21" s="107"/>
      <c r="BR21" s="265" t="str">
        <f t="shared" si="1"/>
        <v>"u": { commit: "ㄧ" }</v>
      </c>
      <c r="BT21" s="195">
        <f t="shared" si="2"/>
        <v>18</v>
      </c>
      <c r="BU21" s="266" t="str">
        <f t="shared" si="3"/>
        <v>- xform/i/u/</v>
      </c>
      <c r="BW21" s="266" t="str">
        <f t="shared" si="4"/>
        <v>- xform/u/ㄧ/</v>
      </c>
    </row>
    <row r="22" spans="1:89" s="195" customFormat="1" ht="45" customHeight="1">
      <c r="B22" s="258"/>
      <c r="C22" s="258"/>
      <c r="D22" s="258"/>
      <c r="E22" s="258"/>
      <c r="F22" s="258"/>
      <c r="G22" s="258"/>
      <c r="H22" s="258"/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  <c r="AA22" s="258"/>
      <c r="AB22" s="258"/>
      <c r="AC22" s="258"/>
      <c r="AD22" s="258"/>
      <c r="AE22" s="258"/>
      <c r="AF22" s="258"/>
      <c r="AG22" s="258"/>
      <c r="AH22" s="258"/>
      <c r="AI22" s="258"/>
      <c r="AJ22" s="258"/>
      <c r="AK22" s="258"/>
      <c r="AL22" s="258"/>
      <c r="AM22" s="258"/>
      <c r="AN22" s="258"/>
      <c r="AO22" s="258"/>
      <c r="AP22" s="258"/>
      <c r="AQ22" s="258"/>
      <c r="AR22" s="234"/>
      <c r="AS22" s="234"/>
      <c r="AT22" s="258"/>
      <c r="AU22" s="258"/>
      <c r="AV22" s="258"/>
      <c r="AW22" s="145"/>
      <c r="AX22" s="145"/>
      <c r="AY22" s="145"/>
      <c r="AZ22" s="145"/>
      <c r="BA22" s="145"/>
      <c r="BB22" s="145"/>
      <c r="BG22" s="285"/>
      <c r="BH22" s="285"/>
      <c r="BJ22" s="264">
        <f t="shared" si="0"/>
        <v>19</v>
      </c>
      <c r="BK22" s="71" t="str">
        <f>注音編碼對照表!C21</f>
        <v>j</v>
      </c>
      <c r="BL22" s="583" t="str" cm="1">
        <f t="array" ref="BL22" xml:space="preserve"> INDEX( 注音編碼對照表[方音符號], MATCH(TRUE, EXACT(方音鍵盤!$BK22, 注音編碼對照表[鍵盤按鍵]), 0))</f>
        <v>ㄨ</v>
      </c>
      <c r="BM22" s="584" t="str" cm="1">
        <f t="array" ref="BM22" xml:space="preserve"> INDEX( 注音編碼對照表[方音符號], MATCH(TRUE, EXACT(方音鍵盤!$BK22, 注音編碼對照表[鍵盤按鍵]), 0))</f>
        <v>ㄨ</v>
      </c>
      <c r="BN22" s="581" t="str" cm="1">
        <f t="array" ref="BN22" xml:space="preserve"> INDEX( 注音編碼對照表[國際音標], MATCH(TRUE, EXACT(方音鍵盤!$BK22, 注音編碼對照表[鍵盤按鍵]), 0))</f>
        <v>u</v>
      </c>
      <c r="BO22" s="582" t="str" cm="1">
        <f t="array" ref="BO22" xml:space="preserve"> INDEX( 注音編碼對照表[台語音標], MATCH(TRUE, EXACT(方音鍵盤!$BK22, 注音編碼對照表[鍵盤按鍵]), 0))</f>
        <v>u</v>
      </c>
      <c r="BP22" s="107"/>
      <c r="BR22" s="265" t="str">
        <f t="shared" si="1"/>
        <v>"j": { commit: "ㄨ" }</v>
      </c>
      <c r="BT22" s="195">
        <f t="shared" si="2"/>
        <v>19</v>
      </c>
      <c r="BU22" s="266" t="str">
        <f t="shared" si="3"/>
        <v>- xform/u/j/</v>
      </c>
      <c r="BW22" s="266" t="str">
        <f t="shared" si="4"/>
        <v>- xform/j/ㄨ/</v>
      </c>
    </row>
    <row r="23" spans="1:89" s="195" customFormat="1" ht="45" customHeight="1">
      <c r="B23" s="286" t="s">
        <v>574</v>
      </c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1" t="str">
        <f ca="1" xml:space="preserve"> _xlfn.CONCAT(D21:Y21)</f>
        <v>ppʰbmttʰnltsʦʰʣskkʰgŋhiuaɔə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BC23" s="285"/>
      <c r="BD23" s="285"/>
      <c r="BE23" s="285"/>
      <c r="BF23" s="285"/>
      <c r="BG23" s="285"/>
      <c r="BH23" s="285"/>
      <c r="BJ23" s="264">
        <f t="shared" si="0"/>
        <v>20</v>
      </c>
      <c r="BK23" s="71" t="str">
        <f>注音編碼對照表!C22</f>
        <v>8</v>
      </c>
      <c r="BL23" s="583" t="str" cm="1">
        <f t="array" ref="BL23" xml:space="preserve"> INDEX( 注音編碼對照表[方音符號], MATCH(TRUE, EXACT(方音鍵盤!$BK23, 注音編碼對照表[鍵盤按鍵]), 0))</f>
        <v>ㄚ</v>
      </c>
      <c r="BM23" s="584" t="str" cm="1">
        <f t="array" ref="BM23" xml:space="preserve"> INDEX( 注音編碼對照表[方音符號], MATCH(TRUE, EXACT(方音鍵盤!$BK23, 注音編碼對照表[鍵盤按鍵]), 0))</f>
        <v>ㄚ</v>
      </c>
      <c r="BN23" s="581" t="str" cm="1">
        <f t="array" ref="BN23" xml:space="preserve"> INDEX( 注音編碼對照表[國際音標], MATCH(TRUE, EXACT(方音鍵盤!$BK23, 注音編碼對照表[鍵盤按鍵]), 0))</f>
        <v>a</v>
      </c>
      <c r="BO23" s="582" t="str" cm="1">
        <f t="array" ref="BO23" xml:space="preserve"> INDEX( 注音編碼對照表[台語音標], MATCH(TRUE, EXACT(方音鍵盤!$BK23, 注音編碼對照表[鍵盤按鍵]), 0))</f>
        <v>a</v>
      </c>
      <c r="BP23" s="107"/>
      <c r="BR23" s="265" t="str">
        <f xml:space="preserve"> """" &amp; BK23 &amp; """: { commit: """ &amp; BL23 &amp; """ }"</f>
        <v>"8": { commit: "ㄚ" }</v>
      </c>
      <c r="BT23" s="195">
        <f>BJ23</f>
        <v>20</v>
      </c>
      <c r="BU23" s="266" t="str">
        <f xml:space="preserve"> "- xform/" &amp; BN23 &amp; "/" &amp; BK23 &amp; "/"</f>
        <v>- xform/a/8/</v>
      </c>
      <c r="BW23" s="266" t="str">
        <f xml:space="preserve"> "- xform/" &amp; BK23 &amp; "/" &amp; BL23 &amp; "/"</f>
        <v>- xform/8/ㄚ/</v>
      </c>
    </row>
    <row r="24" spans="1:89" s="195" customFormat="1" ht="45" customHeight="1">
      <c r="B24" s="288" t="s">
        <v>575</v>
      </c>
      <c r="C24" s="288"/>
      <c r="D24" s="288"/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288"/>
      <c r="P24" s="288"/>
      <c r="Q24" s="288"/>
      <c r="R24" s="288"/>
      <c r="S24" s="288"/>
      <c r="T24" s="289"/>
      <c r="U24" s="288"/>
      <c r="V24" s="288"/>
      <c r="W24" s="288"/>
      <c r="X24" s="288"/>
      <c r="Y24" s="288"/>
      <c r="Z24" s="288"/>
      <c r="AA24" s="288" t="s">
        <v>509</v>
      </c>
      <c r="AB24" s="288"/>
      <c r="AC24" s="288"/>
      <c r="AD24" s="288"/>
      <c r="AE24" s="288"/>
      <c r="AF24" s="288"/>
      <c r="AG24" s="288"/>
      <c r="AH24" s="288"/>
      <c r="AI24" s="285"/>
      <c r="AJ24" s="285"/>
      <c r="AK24" s="285"/>
      <c r="AL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J24" s="264">
        <f t="shared" si="0"/>
        <v>21</v>
      </c>
      <c r="BK24" s="71" t="str">
        <f>注音編碼對照表!C23</f>
        <v>i</v>
      </c>
      <c r="BL24" s="583" t="str" cm="1">
        <f t="array" ref="BL24" xml:space="preserve"> INDEX( 注音編碼對照表[方音符號], MATCH(TRUE, EXACT(方音鍵盤!$BK24, 注音編碼對照表[鍵盤按鍵]), 0))</f>
        <v>ㆦ</v>
      </c>
      <c r="BM24" s="584" t="str" cm="1">
        <f t="array" ref="BM24" xml:space="preserve"> INDEX( 注音編碼對照表[方音符號], MATCH(TRUE, EXACT(方音鍵盤!$BK24, 注音編碼對照表[鍵盤按鍵]), 0))</f>
        <v>ㆦ</v>
      </c>
      <c r="BN24" s="581" t="str" cm="1">
        <f t="array" ref="BN24" xml:space="preserve"> INDEX( 注音編碼對照表[國際音標], MATCH(TRUE, EXACT(方音鍵盤!$BK24, 注音編碼對照表[鍵盤按鍵]), 0))</f>
        <v>ɔ</v>
      </c>
      <c r="BO24" s="582" t="str" cm="1">
        <f t="array" ref="BO24" xml:space="preserve"> INDEX( 注音編碼對照表[台語音標], MATCH(TRUE, EXACT(方音鍵盤!$BK24, 注音編碼對照表[鍵盤按鍵]), 0))</f>
        <v>oo</v>
      </c>
      <c r="BP24" s="111"/>
      <c r="BR24" s="265" t="str">
        <f t="shared" ref="BR24:BR75" si="5" xml:space="preserve"> """" &amp; BK24 &amp; """: { commit: """ &amp; BL24 &amp; """ }"</f>
        <v>"i": { commit: "ㆦ" }</v>
      </c>
      <c r="BT24" s="195">
        <f t="shared" ref="BT24:BT63" si="6">BJ23</f>
        <v>20</v>
      </c>
      <c r="BU24" s="266" t="str">
        <f t="shared" ref="BU24:BU74" si="7" xml:space="preserve"> "- xform/" &amp; BN24 &amp; "/" &amp; BK24 &amp; "/"</f>
        <v>- xform/ɔ/i/</v>
      </c>
      <c r="BW24" s="266" t="str">
        <f t="shared" ref="BW24:BW74" si="8" xml:space="preserve"> "- xform/" &amp; BK24 &amp; "/" &amp; BL24 &amp; "/"</f>
        <v>- xform/i/ㆦ/</v>
      </c>
    </row>
    <row r="25" spans="1:89" s="195" customFormat="1" ht="45" customHeight="1">
      <c r="B25" s="290" t="s">
        <v>387</v>
      </c>
      <c r="C25" s="291"/>
      <c r="D25" s="292">
        <f ca="1" xml:space="preserve"> LEN(E25)</f>
        <v>65</v>
      </c>
      <c r="E25" s="292" t="str">
        <f ca="1" xml:space="preserve"> _xlfn.CONCAT(D21:BC21)</f>
        <v>ppʰbmttʰnltsʦʰʣskkʰgŋhiuaɔəeai̯ɑu̯anɑŋɨĩũãɔ̃ẽãĩãũamɔŋŋ̍nm̩ɲ000000</v>
      </c>
      <c r="F25" s="291"/>
      <c r="G25" s="291"/>
      <c r="H25" s="291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J25" s="264">
        <f t="shared" si="0"/>
        <v>22</v>
      </c>
      <c r="BK25" s="71" t="str">
        <f>注音編碼對照表!C24</f>
        <v>k</v>
      </c>
      <c r="BL25" s="583" t="str" cm="1">
        <f t="array" ref="BL25" xml:space="preserve"> INDEX( 注音編碼對照表[方音符號], MATCH(TRUE, EXACT(方音鍵盤!$BK25, 注音編碼對照表[鍵盤按鍵]), 0))</f>
        <v>ㄜ</v>
      </c>
      <c r="BM25" s="584" t="str" cm="1">
        <f t="array" ref="BM25" xml:space="preserve"> INDEX( 注音編碼對照表[方音符號], MATCH(TRUE, EXACT(方音鍵盤!$BK25, 注音編碼對照表[鍵盤按鍵]), 0))</f>
        <v>ㄜ</v>
      </c>
      <c r="BN25" s="581" t="str" cm="1">
        <f t="array" ref="BN25" xml:space="preserve"> INDEX( 注音編碼對照表[國際音標], MATCH(TRUE, EXACT(方音鍵盤!$BK25, 注音編碼對照表[鍵盤按鍵]), 0))</f>
        <v>ə</v>
      </c>
      <c r="BO25" s="582" t="str" cm="1">
        <f t="array" ref="BO25" xml:space="preserve"> INDEX( 注音編碼對照表[台語音標], MATCH(TRUE, EXACT(方音鍵盤!$BK25, 注音編碼對照表[鍵盤按鍵]), 0))</f>
        <v>o</v>
      </c>
      <c r="BP25" s="107"/>
      <c r="BR25" s="265" t="str">
        <f t="shared" si="5"/>
        <v>"k": { commit: "ㄜ" }</v>
      </c>
      <c r="BT25" s="195">
        <f t="shared" si="6"/>
        <v>21</v>
      </c>
      <c r="BU25" s="266" t="str">
        <f t="shared" si="7"/>
        <v>- xform/ə/k/</v>
      </c>
      <c r="BW25" s="266" t="str">
        <f t="shared" si="8"/>
        <v>- xform/k/ㄜ/</v>
      </c>
    </row>
    <row r="26" spans="1:89" s="297" customFormat="1" ht="45" customHeight="1">
      <c r="A26" s="195"/>
      <c r="B26" s="293" t="s">
        <v>576</v>
      </c>
      <c r="C26" s="294"/>
      <c r="D26" s="295">
        <f ca="1" xml:space="preserve"> LEN(E26)</f>
        <v>47</v>
      </c>
      <c r="E26" s="295" t="str">
        <f ca="1" xml:space="preserve"> _xlfn.CONCAT(D17:BC17)</f>
        <v>1q!a2wsxyhbnedEgcuj8ik,9l0;-UJ*I&lt;(LMo/pm. 43657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195"/>
      <c r="AL26" s="195"/>
      <c r="AM26" s="19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96"/>
      <c r="BH26" s="296"/>
      <c r="BJ26" s="264">
        <f t="shared" si="0"/>
        <v>23</v>
      </c>
      <c r="BK26" s="71" t="str">
        <f>注音編碼對照表!C25</f>
        <v>,</v>
      </c>
      <c r="BL26" s="583" t="str" cm="1">
        <f t="array" ref="BL26" xml:space="preserve"> INDEX( 注音編碼對照表[方音符號], MATCH(TRUE, EXACT(方音鍵盤!$BK26, 注音編碼對照表[鍵盤按鍵]), 0))</f>
        <v>ㆤ</v>
      </c>
      <c r="BM26" s="584" t="str" cm="1">
        <f t="array" ref="BM26" xml:space="preserve"> INDEX( 注音編碼對照表[方音符號], MATCH(TRUE, EXACT(方音鍵盤!$BK26, 注音編碼對照表[鍵盤按鍵]), 0))</f>
        <v>ㆤ</v>
      </c>
      <c r="BN26" s="581" t="str" cm="1">
        <f t="array" ref="BN26" xml:space="preserve"> INDEX( 注音編碼對照表[國際音標], MATCH(TRUE, EXACT(方音鍵盤!$BK26, 注音編碼對照表[鍵盤按鍵]), 0))</f>
        <v>e</v>
      </c>
      <c r="BO26" s="582" t="str" cm="1">
        <f t="array" ref="BO26" xml:space="preserve"> INDEX( 注音編碼對照表[台語音標], MATCH(TRUE, EXACT(方音鍵盤!$BK26, 注音編碼對照表[鍵盤按鍵]), 0))</f>
        <v>e</v>
      </c>
      <c r="BP26" s="107"/>
      <c r="BQ26" s="195"/>
      <c r="BR26" s="265" t="str">
        <f t="shared" si="5"/>
        <v>",": { commit: "ㆤ" }</v>
      </c>
      <c r="BS26" s="195"/>
      <c r="BT26" s="195">
        <f t="shared" si="6"/>
        <v>22</v>
      </c>
      <c r="BU26" s="266" t="str">
        <f t="shared" si="7"/>
        <v>- xform/e/,/</v>
      </c>
      <c r="BV26" s="195"/>
      <c r="BW26" s="266" t="str">
        <f t="shared" si="8"/>
        <v>- xform/,/ㆤ/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297"/>
      <c r="B27" s="298" t="str">
        <f ca="1" xml:space="preserve"> "- xlit|" &amp; E25 &amp; "|" &amp; E26 &amp; "|"</f>
        <v>- xlit|ppʰbmttʰnltsʦʰʣskkʰgŋhiuaɔəeai̯ɑu̯anɑŋɨĩũãɔ̃ẽãĩãũamɔŋŋ̍nm̩ɲ000000|1q!a2wsxyhbnedEgcuj8ik,9l0;-UJ*I&lt;(LMo/pm. 43657|</v>
      </c>
      <c r="C27" s="299"/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299"/>
      <c r="AH27" s="299"/>
      <c r="AI27" s="299"/>
      <c r="AJ27" s="299"/>
      <c r="AK27" s="285"/>
      <c r="AL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96"/>
      <c r="BD27" s="296"/>
      <c r="BE27" s="296"/>
      <c r="BF27" s="296"/>
      <c r="BG27" s="285"/>
      <c r="BH27" s="285"/>
      <c r="BJ27" s="264">
        <f t="shared" si="0"/>
        <v>24</v>
      </c>
      <c r="BK27" s="71" t="str">
        <f>注音編碼對照表!C26</f>
        <v>9</v>
      </c>
      <c r="BL27" s="583" t="str" cm="1">
        <f t="array" ref="BL27" xml:space="preserve"> INDEX( 注音編碼對照表[方音符號], MATCH(TRUE, EXACT(方音鍵盤!$BK27, 注音編碼對照表[鍵盤按鍵]), 0))</f>
        <v>ㄞ</v>
      </c>
      <c r="BM27" s="584" t="str" cm="1">
        <f t="array" ref="BM27" xml:space="preserve"> INDEX( 注音編碼對照表[方音符號], MATCH(TRUE, EXACT(方音鍵盤!$BK27, 注音編碼對照表[鍵盤按鍵]), 0))</f>
        <v>ㄞ</v>
      </c>
      <c r="BN27" s="581" t="str" cm="1">
        <f t="array" ref="BN27" xml:space="preserve"> INDEX( 注音編碼對照表[國際音標], MATCH(TRUE, EXACT(方音鍵盤!$BK27, 注音編碼對照表[鍵盤按鍵]), 0))</f>
        <v>ai̯</v>
      </c>
      <c r="BO27" s="582" t="str" cm="1">
        <f t="array" ref="BO27" xml:space="preserve"> INDEX( 注音編碼對照表[台語音標], MATCH(TRUE, EXACT(方音鍵盤!$BK27, 注音編碼對照表[鍵盤按鍵]), 0))</f>
        <v>ai</v>
      </c>
      <c r="BP27" s="107"/>
      <c r="BQ27" s="297"/>
      <c r="BR27" s="265" t="str">
        <f t="shared" si="5"/>
        <v>"9": { commit: "ㄞ" }</v>
      </c>
      <c r="BS27" s="297"/>
      <c r="BT27" s="297">
        <f t="shared" si="6"/>
        <v>23</v>
      </c>
      <c r="BU27" s="266" t="str">
        <f t="shared" si="7"/>
        <v>- xform/ai̯/9/</v>
      </c>
      <c r="BV27" s="297"/>
      <c r="BW27" s="266" t="str">
        <f t="shared" si="8"/>
        <v>- xform/9/ㄞ/</v>
      </c>
      <c r="BX27" s="297"/>
      <c r="BY27" s="297"/>
      <c r="BZ27" s="297"/>
      <c r="CA27" s="297"/>
      <c r="CB27" s="297"/>
      <c r="CC27" s="297"/>
      <c r="CD27" s="297"/>
      <c r="CE27" s="297"/>
      <c r="CF27" s="297"/>
      <c r="CG27" s="297"/>
      <c r="CH27" s="297"/>
      <c r="CI27" s="297"/>
      <c r="CJ27" s="297"/>
      <c r="CK27" s="297"/>
    </row>
    <row r="28" spans="1:89" s="195" customFormat="1" ht="45" customHeight="1">
      <c r="B28" s="300"/>
      <c r="C28" s="301"/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1"/>
      <c r="Y28" s="301"/>
      <c r="Z28" s="301"/>
      <c r="AA28" s="301"/>
      <c r="AB28" s="301"/>
      <c r="AC28" s="301"/>
      <c r="AD28" s="301"/>
      <c r="AE28" s="301"/>
      <c r="AF28" s="301"/>
      <c r="AG28" s="301"/>
      <c r="AH28" s="301"/>
      <c r="AI28" s="301"/>
      <c r="AJ28" s="301"/>
      <c r="AK28" s="296"/>
      <c r="AL28" s="296"/>
      <c r="AN28" s="285"/>
      <c r="AO28" s="285"/>
      <c r="AP28" s="285"/>
      <c r="AQ28" s="285"/>
      <c r="AR28" s="285"/>
      <c r="AS28" s="285"/>
      <c r="AT28" s="296"/>
      <c r="AU28" s="296"/>
      <c r="AV28" s="296"/>
      <c r="AW28" s="296"/>
      <c r="AX28" s="296"/>
      <c r="AY28" s="296"/>
      <c r="AZ28" s="296"/>
      <c r="BA28" s="296"/>
      <c r="BB28" s="296"/>
      <c r="BC28" s="285"/>
      <c r="BD28" s="285"/>
      <c r="BE28" s="285"/>
      <c r="BF28" s="285"/>
      <c r="BG28" s="285"/>
      <c r="BH28" s="285"/>
      <c r="BJ28" s="264">
        <f t="shared" si="0"/>
        <v>25</v>
      </c>
      <c r="BK28" s="71" t="str">
        <f>注音編碼對照表!C27</f>
        <v>l</v>
      </c>
      <c r="BL28" s="583" t="str" cm="1">
        <f t="array" ref="BL28" xml:space="preserve"> INDEX( 注音編碼對照表[方音符號], MATCH(TRUE, EXACT(方音鍵盤!$BK28, 注音編碼對照表[鍵盤按鍵]), 0))</f>
        <v>ㄠ</v>
      </c>
      <c r="BM28" s="584" t="str" cm="1">
        <f t="array" ref="BM28" xml:space="preserve"> INDEX( 注音編碼對照表[方音符號], MATCH(TRUE, EXACT(方音鍵盤!$BK28, 注音編碼對照表[鍵盤按鍵]), 0))</f>
        <v>ㄠ</v>
      </c>
      <c r="BN28" s="581" t="str" cm="1">
        <f t="array" ref="BN28" xml:space="preserve"> INDEX( 注音編碼對照表[國際音標], MATCH(TRUE, EXACT(方音鍵盤!$BK28, 注音編碼對照表[鍵盤按鍵]), 0))</f>
        <v>ɑu̯</v>
      </c>
      <c r="BO28" s="582" t="str" cm="1">
        <f t="array" ref="BO28" xml:space="preserve"> INDEX( 注音編碼對照表[台語音標], MATCH(TRUE, EXACT(方音鍵盤!$BK28, 注音編碼對照表[鍵盤按鍵]), 0))</f>
        <v>au</v>
      </c>
      <c r="BP28" s="107"/>
      <c r="BR28" s="265" t="str">
        <f t="shared" si="5"/>
        <v>"l": { commit: "ㄠ" }</v>
      </c>
      <c r="BT28" s="195">
        <f t="shared" si="6"/>
        <v>24</v>
      </c>
      <c r="BU28" s="266" t="str">
        <f t="shared" si="7"/>
        <v>- xform/ɑu̯/l/</v>
      </c>
      <c r="BW28" s="266" t="str">
        <f t="shared" si="8"/>
        <v>- xform/l/ㄠ/</v>
      </c>
    </row>
    <row r="29" spans="1:89" s="195" customFormat="1" ht="45" customHeight="1">
      <c r="B29" s="290"/>
      <c r="C29" s="291"/>
      <c r="D29" s="292">
        <f ca="1" xml:space="preserve"> LEN(E29)</f>
        <v>63</v>
      </c>
      <c r="E29" s="292" t="str">
        <f ca="1">SUBSTITUTE(SUBSTITUTE(E25, "b", ""), "g", "")</f>
        <v>ppʰmttʰnltsʦʰʣskkʰŋhiuaɔəeai̯ɑu̯anɑŋɨĩũãɔ̃ẽãĩãũamɔŋŋ̍nm̩ɲ000000</v>
      </c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85"/>
      <c r="AL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J29" s="264">
        <f t="shared" si="0"/>
        <v>26</v>
      </c>
      <c r="BK29" s="71" t="str">
        <f>注音編碼對照表!C28</f>
        <v>0</v>
      </c>
      <c r="BL29" s="583" t="str" cm="1">
        <f t="array" ref="BL29" xml:space="preserve"> INDEX( 注音編碼對照表[方音符號], MATCH(TRUE, EXACT(方音鍵盤!$BK29, 注音編碼對照表[鍵盤按鍵]), 0))</f>
        <v>ㄢ</v>
      </c>
      <c r="BM29" s="584" t="str" cm="1">
        <f t="array" ref="BM29" xml:space="preserve"> INDEX( 注音編碼對照表[方音符號], MATCH(TRUE, EXACT(方音鍵盤!$BK29, 注音編碼對照表[鍵盤按鍵]), 0))</f>
        <v>ㄢ</v>
      </c>
      <c r="BN29" s="581" t="str" cm="1">
        <f t="array" ref="BN29" xml:space="preserve"> INDEX( 注音編碼對照表[國際音標], MATCH(TRUE, EXACT(方音鍵盤!$BK29, 注音編碼對照表[鍵盤按鍵]), 0))</f>
        <v>an</v>
      </c>
      <c r="BO29" s="582" t="str" cm="1">
        <f t="array" ref="BO29" xml:space="preserve"> INDEX( 注音編碼對照表[台語音標], MATCH(TRUE, EXACT(方音鍵盤!$BK29, 注音編碼對照表[鍵盤按鍵]), 0))</f>
        <v>an</v>
      </c>
      <c r="BP29" s="107"/>
      <c r="BR29" s="265" t="str">
        <f t="shared" si="5"/>
        <v>"0": { commit: "ㄢ" }</v>
      </c>
      <c r="BT29" s="195">
        <f t="shared" si="6"/>
        <v>25</v>
      </c>
      <c r="BU29" s="266" t="str">
        <f t="shared" si="7"/>
        <v>- xform/an/0/</v>
      </c>
      <c r="BW29" s="266" t="str">
        <f t="shared" si="8"/>
        <v>- xform/0/ㄢ/</v>
      </c>
    </row>
    <row r="30" spans="1:89" s="195" customFormat="1" ht="45" customHeight="1">
      <c r="B30" s="293"/>
      <c r="C30" s="294"/>
      <c r="D30" s="295">
        <f ca="1" xml:space="preserve"> LEN(E30)</f>
        <v>45</v>
      </c>
      <c r="E30" s="295" t="str">
        <f ca="1">SUBSTITUTE(SUBSTITUTE(E26, "!", ""), "E", "")</f>
        <v>1qa2wsxyhbnedgcuj8ik,9l0;-UJ*I&lt;(LMo/pm. 43657</v>
      </c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  <c r="AE30" s="294"/>
      <c r="AF30" s="294"/>
      <c r="AG30" s="294"/>
      <c r="AH30" s="294"/>
      <c r="AI30" s="294"/>
      <c r="AJ30" s="294"/>
      <c r="AK30" s="285"/>
      <c r="AL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J30" s="264">
        <f t="shared" si="0"/>
        <v>27</v>
      </c>
      <c r="BK30" s="71" t="str">
        <f>注音編碼對照表!C29</f>
        <v>;</v>
      </c>
      <c r="BL30" s="583" t="str" cm="1">
        <f t="array" ref="BL30" xml:space="preserve"> INDEX( 注音編碼對照表[方音符號], MATCH(TRUE, EXACT(方音鍵盤!$BK30, 注音編碼對照表[鍵盤按鍵]), 0))</f>
        <v>ㄤ</v>
      </c>
      <c r="BM30" s="584" t="str" cm="1">
        <f t="array" ref="BM30" xml:space="preserve"> INDEX( 注音編碼對照表[方音符號], MATCH(TRUE, EXACT(方音鍵盤!$BK30, 注音編碼對照表[鍵盤按鍵]), 0))</f>
        <v>ㄤ</v>
      </c>
      <c r="BN30" s="581" t="str" cm="1">
        <f t="array" ref="BN30" xml:space="preserve"> INDEX( 注音編碼對照表[國際音標], MATCH(TRUE, EXACT(方音鍵盤!$BK30, 注音編碼對照表[鍵盤按鍵]), 0))</f>
        <v>ɑŋ</v>
      </c>
      <c r="BO30" s="582" t="str" cm="1">
        <f t="array" ref="BO30" xml:space="preserve"> INDEX( 注音編碼對照表[台語音標], MATCH(TRUE, EXACT(方音鍵盤!$BK30, 注音編碼對照表[鍵盤按鍵]), 0))</f>
        <v>ang</v>
      </c>
      <c r="BP30" s="107"/>
      <c r="BR30" s="265" t="str">
        <f t="shared" si="5"/>
        <v>";": { commit: "ㄤ" }</v>
      </c>
      <c r="BT30" s="195">
        <f t="shared" si="6"/>
        <v>26</v>
      </c>
      <c r="BU30" s="266" t="str">
        <f t="shared" si="7"/>
        <v>- xform/ɑŋ/;/</v>
      </c>
      <c r="BW30" s="266" t="str">
        <f t="shared" si="8"/>
        <v>- xform/;/ㄤ/</v>
      </c>
    </row>
    <row r="31" spans="1:89" s="195" customFormat="1" ht="45" customHeight="1">
      <c r="B31" s="298" t="str">
        <f ca="1" xml:space="preserve"> "- xlit|" &amp; E29 &amp; "|" &amp; E30 &amp; "|"</f>
        <v>- xlit|ppʰmttʰnltsʦʰʣskkʰŋhiuaɔəeai̯ɑu̯anɑŋɨĩũãɔ̃ẽãĩãũamɔŋŋ̍nm̩ɲ000000|1qa2wsxyhbnedgcuj8ik,9l0;-UJ*I&lt;(LMo/pm. 43657|</v>
      </c>
      <c r="C31" s="299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299"/>
      <c r="O31" s="299"/>
      <c r="P31" s="299"/>
      <c r="Q31" s="299"/>
      <c r="R31" s="299"/>
      <c r="S31" s="299"/>
      <c r="T31" s="299"/>
      <c r="U31" s="299"/>
      <c r="V31" s="299"/>
      <c r="W31" s="299"/>
      <c r="X31" s="299"/>
      <c r="Y31" s="299"/>
      <c r="Z31" s="299"/>
      <c r="AA31" s="299"/>
      <c r="AB31" s="299"/>
      <c r="AC31" s="299"/>
      <c r="AD31" s="299"/>
      <c r="AE31" s="299"/>
      <c r="AF31" s="299"/>
      <c r="AG31" s="299"/>
      <c r="AH31" s="299"/>
      <c r="AI31" s="299"/>
      <c r="AJ31" s="299"/>
      <c r="AK31" s="285"/>
      <c r="AL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J31" s="264">
        <f t="shared" si="0"/>
        <v>28</v>
      </c>
      <c r="BK31" s="71" t="str">
        <f>注音編碼對照表!C30</f>
        <v>-</v>
      </c>
      <c r="BL31" s="583" t="str" cm="1">
        <f t="array" ref="BL31" xml:space="preserve"> INDEX( 注音編碼對照表[方音符號], MATCH(TRUE, EXACT(方音鍵盤!$BK31, 注音編碼對照表[鍵盤按鍵]), 0))</f>
        <v>ㆨ</v>
      </c>
      <c r="BM31" s="584" t="str" cm="1">
        <f t="array" ref="BM31" xml:space="preserve"> INDEX( 注音編碼對照表[方音符號], MATCH(TRUE, EXACT(方音鍵盤!$BK31, 注音編碼對照表[鍵盤按鍵]), 0))</f>
        <v>ㆨ</v>
      </c>
      <c r="BN31" s="581" t="str" cm="1">
        <f t="array" ref="BN31" xml:space="preserve"> INDEX( 注音編碼對照表[國際音標], MATCH(TRUE, EXACT(方音鍵盤!$BK31, 注音編碼對照表[鍵盤按鍵]), 0))</f>
        <v>ɨ</v>
      </c>
      <c r="BO31" s="582" t="str" cm="1">
        <f t="array" ref="BO31" xml:space="preserve"> INDEX( 注音編碼對照表[台語音標], MATCH(TRUE, EXACT(方音鍵盤!$BK31, 注音編碼對照表[鍵盤按鍵]), 0))</f>
        <v>ir</v>
      </c>
      <c r="BP31" s="107"/>
      <c r="BR31" s="265" t="str">
        <f t="shared" si="5"/>
        <v>"-": { commit: "ㆨ" }</v>
      </c>
      <c r="BT31" s="195">
        <f t="shared" si="6"/>
        <v>27</v>
      </c>
      <c r="BU31" s="266" t="str">
        <f t="shared" si="7"/>
        <v>- xform/ɨ/-/</v>
      </c>
      <c r="BW31" s="266" t="str">
        <f t="shared" si="8"/>
        <v>- xform/-/ㆨ/</v>
      </c>
    </row>
    <row r="32" spans="1:89" s="195" customFormat="1" ht="45" customHeight="1">
      <c r="AH32" s="285"/>
      <c r="AI32" s="285"/>
      <c r="AJ32" s="285"/>
      <c r="AK32" s="285"/>
      <c r="AL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J32" s="264">
        <f t="shared" si="0"/>
        <v>29</v>
      </c>
      <c r="BK32" s="71" t="str">
        <f>注音編碼對照表!C31</f>
        <v>U</v>
      </c>
      <c r="BL32" s="583" t="str" cm="1">
        <f t="array" ref="BL32" xml:space="preserve"> INDEX( 注音編碼對照表[方音符號], MATCH(TRUE, EXACT(方音鍵盤!$BK32, 注音編碼對照表[鍵盤按鍵]), 0))</f>
        <v>ㆪ</v>
      </c>
      <c r="BM32" s="584" t="str" cm="1">
        <f t="array" ref="BM32" xml:space="preserve"> INDEX( 注音編碼對照表[方音符號], MATCH(TRUE, EXACT(方音鍵盤!$BK32, 注音編碼對照表[鍵盤按鍵]), 0))</f>
        <v>ㆪ</v>
      </c>
      <c r="BN32" s="581" t="str" cm="1">
        <f t="array" ref="BN32" xml:space="preserve"> INDEX( 注音編碼對照表[國際音標], MATCH(TRUE, EXACT(方音鍵盤!$BK32, 注音編碼對照表[鍵盤按鍵]), 0))</f>
        <v>ĩ</v>
      </c>
      <c r="BO32" s="582" t="str" cm="1">
        <f t="array" ref="BO32" xml:space="preserve"> INDEX( 注音編碼對照表[台語音標], MATCH(TRUE, EXACT(方音鍵盤!$BK32, 注音編碼對照表[鍵盤按鍵]), 0))</f>
        <v>inn</v>
      </c>
      <c r="BP32" s="107"/>
      <c r="BR32" s="265" t="str">
        <f t="shared" si="5"/>
        <v>"U": { commit: "ㆪ" }</v>
      </c>
      <c r="BT32" s="195">
        <f t="shared" si="6"/>
        <v>28</v>
      </c>
      <c r="BU32" s="266" t="str">
        <f t="shared" si="7"/>
        <v>- xform/ĩ/U/</v>
      </c>
      <c r="BW32" s="266" t="str">
        <f t="shared" si="8"/>
        <v>- xform/U/ㆪ/</v>
      </c>
    </row>
    <row r="33" spans="1:89" s="195" customFormat="1" ht="45" customHeight="1">
      <c r="B33" s="302" t="s">
        <v>577</v>
      </c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  <c r="AB33" s="288"/>
      <c r="AC33" s="288"/>
      <c r="AD33" s="288"/>
      <c r="AE33" s="288"/>
      <c r="AF33" s="288"/>
      <c r="AG33" s="288"/>
      <c r="AH33" s="285"/>
      <c r="AI33" s="285"/>
      <c r="AJ33" s="285"/>
      <c r="AK33" s="285"/>
      <c r="AL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J33" s="264">
        <f t="shared" si="0"/>
        <v>30</v>
      </c>
      <c r="BK33" s="71" t="str">
        <f>注音編碼對照表!C32</f>
        <v>J</v>
      </c>
      <c r="BL33" s="583" t="str" cm="1">
        <f t="array" ref="BL33" xml:space="preserve"> INDEX( 注音編碼對照表[方音符號], MATCH(TRUE, EXACT(方音鍵盤!$BK33, 注音編碼對照表[鍵盤按鍵]), 0))</f>
        <v>ㆫ</v>
      </c>
      <c r="BM33" s="584" t="str" cm="1">
        <f t="array" ref="BM33" xml:space="preserve"> INDEX( 注音編碼對照表[方音符號], MATCH(TRUE, EXACT(方音鍵盤!$BK33, 注音編碼對照表[鍵盤按鍵]), 0))</f>
        <v>ㆫ</v>
      </c>
      <c r="BN33" s="581" t="str" cm="1">
        <f t="array" ref="BN33" xml:space="preserve"> INDEX( 注音編碼對照表[國際音標], MATCH(TRUE, EXACT(方音鍵盤!$BK33, 注音編碼對照表[鍵盤按鍵]), 0))</f>
        <v>ũ</v>
      </c>
      <c r="BO33" s="582" t="str" cm="1">
        <f t="array" ref="BO33" xml:space="preserve"> INDEX( 注音編碼對照表[台語音標], MATCH(TRUE, EXACT(方音鍵盤!$BK33, 注音編碼對照表[鍵盤按鍵]), 0))</f>
        <v>unn</v>
      </c>
      <c r="BP33" s="107"/>
      <c r="BR33" s="265" t="str">
        <f t="shared" si="5"/>
        <v>"J": { commit: "ㆫ" }</v>
      </c>
      <c r="BT33" s="195">
        <f t="shared" si="6"/>
        <v>29</v>
      </c>
      <c r="BU33" s="266" t="str">
        <f t="shared" si="7"/>
        <v>- xform/ũ/J/</v>
      </c>
      <c r="BW33" s="266" t="str">
        <f t="shared" si="8"/>
        <v>- xform/J/ㆫ/</v>
      </c>
    </row>
    <row r="34" spans="1:89" s="195" customFormat="1" ht="45" customHeight="1">
      <c r="B34" s="288" t="s">
        <v>578</v>
      </c>
      <c r="C34" s="288"/>
      <c r="D34" s="288"/>
      <c r="E34" s="288"/>
      <c r="F34" s="288"/>
      <c r="G34" s="288"/>
      <c r="H34" s="288"/>
      <c r="I34" s="288"/>
      <c r="J34" s="288"/>
      <c r="K34" s="288"/>
      <c r="L34" s="288"/>
      <c r="M34" s="288"/>
      <c r="N34" s="288"/>
      <c r="O34" s="288"/>
      <c r="P34" s="288"/>
      <c r="Q34" s="288"/>
      <c r="R34" s="288"/>
      <c r="S34" s="289"/>
      <c r="T34" s="288"/>
      <c r="U34" s="288"/>
      <c r="V34" s="288"/>
      <c r="W34" s="288"/>
      <c r="X34" s="288"/>
      <c r="Y34" s="288"/>
      <c r="Z34" s="288"/>
      <c r="AA34" s="288"/>
      <c r="AB34" s="288"/>
      <c r="AC34" s="288"/>
      <c r="AD34" s="288"/>
      <c r="AE34" s="288"/>
      <c r="AF34" s="288"/>
      <c r="AG34" s="288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J34" s="264">
        <f t="shared" si="0"/>
        <v>31</v>
      </c>
      <c r="BK34" s="71" t="str">
        <f>注音編碼對照表!C33</f>
        <v>*</v>
      </c>
      <c r="BL34" s="583" t="str" cm="1">
        <f t="array" ref="BL34" xml:space="preserve"> INDEX( 注音編碼對照表[方音符號], MATCH(TRUE, EXACT(方音鍵盤!$BK34, 注音編碼對照表[鍵盤按鍵]), 0))</f>
        <v>ㆩ</v>
      </c>
      <c r="BM34" s="584" t="str" cm="1">
        <f t="array" ref="BM34" xml:space="preserve"> INDEX( 注音編碼對照表[方音符號], MATCH(TRUE, EXACT(方音鍵盤!$BK34, 注音編碼對照表[鍵盤按鍵]), 0))</f>
        <v>ㆩ</v>
      </c>
      <c r="BN34" s="581" t="str" cm="1">
        <f t="array" ref="BN34" xml:space="preserve"> INDEX( 注音編碼對照表[國際音標], MATCH(TRUE, EXACT(方音鍵盤!$BK34, 注音編碼對照表[鍵盤按鍵]), 0))</f>
        <v>ã</v>
      </c>
      <c r="BO34" s="582" t="str" cm="1">
        <f t="array" ref="BO34" xml:space="preserve"> INDEX( 注音編碼對照表[台語音標], MATCH(TRUE, EXACT(方音鍵盤!$BK34, 注音編碼對照表[鍵盤按鍵]), 0))</f>
        <v>ann</v>
      </c>
      <c r="BP34" s="107"/>
      <c r="BR34" s="265" t="str">
        <f t="shared" si="5"/>
        <v>"*": { commit: "ㆩ" }</v>
      </c>
      <c r="BT34" s="195">
        <f t="shared" si="6"/>
        <v>30</v>
      </c>
      <c r="BU34" s="266" t="str">
        <f t="shared" si="7"/>
        <v>- xform/ã/*/</v>
      </c>
      <c r="BW34" s="266" t="str">
        <f t="shared" si="8"/>
        <v>- xform/*/ㆩ/</v>
      </c>
    </row>
    <row r="35" spans="1:89" s="195" customFormat="1" ht="45" customHeight="1">
      <c r="B35" s="303" t="s">
        <v>342</v>
      </c>
      <c r="C35" s="304"/>
      <c r="D35" s="304">
        <f ca="1" xml:space="preserve"> LEN(E35)</f>
        <v>47</v>
      </c>
      <c r="E35" s="305" t="str">
        <f ca="1" xml:space="preserve"> _xlfn.CONCAT(D17:BC17)</f>
        <v>1q!a2wsxyhbnedEgcuj8ik,9l0;-UJ*I&lt;(LMo/pm. 43657</v>
      </c>
      <c r="F35" s="305"/>
      <c r="G35" s="305"/>
      <c r="H35" s="305"/>
      <c r="I35" s="305"/>
      <c r="J35" s="305"/>
      <c r="K35" s="305"/>
      <c r="L35" s="305"/>
      <c r="M35" s="305"/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305"/>
      <c r="AA35" s="305"/>
      <c r="AB35" s="305"/>
      <c r="AC35" s="305"/>
      <c r="AD35" s="305"/>
      <c r="AE35" s="305"/>
      <c r="AF35" s="305"/>
      <c r="AG35" s="305"/>
      <c r="AH35" s="305"/>
      <c r="AI35" s="305"/>
      <c r="AJ35" s="30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J35" s="264">
        <f t="shared" si="0"/>
        <v>32</v>
      </c>
      <c r="BK35" s="71" t="str">
        <f>注音編碼對照表!C34</f>
        <v>I</v>
      </c>
      <c r="BL35" s="583" t="str" cm="1">
        <f t="array" ref="BL35" xml:space="preserve"> INDEX( 注音編碼對照表[方音符號], MATCH(TRUE, EXACT(方音鍵盤!$BK35, 注音編碼對照表[鍵盤按鍵]), 0))</f>
        <v>ㆧ</v>
      </c>
      <c r="BM35" s="584" t="str" cm="1">
        <f t="array" ref="BM35" xml:space="preserve"> INDEX( 注音編碼對照表[方音符號], MATCH(TRUE, EXACT(方音鍵盤!$BK35, 注音編碼對照表[鍵盤按鍵]), 0))</f>
        <v>ㆧ</v>
      </c>
      <c r="BN35" s="581" t="str" cm="1">
        <f t="array" ref="BN35" xml:space="preserve"> INDEX( 注音編碼對照表[國際音標], MATCH(TRUE, EXACT(方音鍵盤!$BK35, 注音編碼對照表[鍵盤按鍵]), 0))</f>
        <v>ɔ̃</v>
      </c>
      <c r="BO35" s="582" t="str" cm="1">
        <f t="array" ref="BO35" xml:space="preserve"> INDEX( 注音編碼對照表[台語音標], MATCH(TRUE, EXACT(方音鍵盤!$BK35, 注音編碼對照表[鍵盤按鍵]), 0))</f>
        <v>onn</v>
      </c>
      <c r="BP35" s="107"/>
      <c r="BR35" s="265" t="str">
        <f t="shared" si="5"/>
        <v>"I": { commit: "ㆧ" }</v>
      </c>
      <c r="BT35" s="195">
        <f t="shared" si="6"/>
        <v>31</v>
      </c>
      <c r="BU35" s="266" t="str">
        <f t="shared" si="7"/>
        <v>- xform/ɔ̃/I/</v>
      </c>
      <c r="BW35" s="266" t="str">
        <f t="shared" si="8"/>
        <v>- xform/I/ㆧ/</v>
      </c>
    </row>
    <row r="36" spans="1:89" s="195" customFormat="1" ht="45" customHeight="1">
      <c r="B36" s="306" t="s">
        <v>15</v>
      </c>
      <c r="C36" s="307"/>
      <c r="D36" s="307">
        <f ca="1">LEN(E36)</f>
        <v>47</v>
      </c>
      <c r="E36" s="306" t="str">
        <f ca="1" xml:space="preserve"> _xlfn.CONCAT(D19:BC19)</f>
        <v>ㄅㄆㆠㄇㄉㄊㄋㄌㄗㄘㆡㄙㄍㄎㆣㄫㄏㄧㄨㄚㆦㄜㆤㄞㄠㄢㄤㆨㆪㆫㆩㆧㆥㆮㆯㆰㆲㆭㄣㆬㄬˉˋ˪ˊ˫˙</v>
      </c>
      <c r="F36" s="306"/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  <c r="AC36" s="306"/>
      <c r="AD36" s="306"/>
      <c r="AE36" s="306"/>
      <c r="AF36" s="306"/>
      <c r="AG36" s="306"/>
      <c r="AH36" s="306"/>
      <c r="AI36" s="306"/>
      <c r="AJ36" s="306"/>
      <c r="AK36" s="285"/>
      <c r="AL36" s="285"/>
      <c r="AM36" s="308" t="s">
        <v>390</v>
      </c>
      <c r="AN36" s="308" t="s">
        <v>421</v>
      </c>
      <c r="AO36" s="308" t="s">
        <v>509</v>
      </c>
      <c r="AP36" s="308" t="s">
        <v>401</v>
      </c>
      <c r="AQ36" s="308" t="s">
        <v>69</v>
      </c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J36" s="264">
        <f t="shared" si="0"/>
        <v>33</v>
      </c>
      <c r="BK36" s="71" t="str">
        <f>注音編碼對照表!C35</f>
        <v>&lt;</v>
      </c>
      <c r="BL36" s="583" t="str" cm="1">
        <f t="array" ref="BL36" xml:space="preserve"> INDEX( 注音編碼對照表[方音符號], MATCH(TRUE, EXACT(方音鍵盤!$BK36, 注音編碼對照表[鍵盤按鍵]), 0))</f>
        <v>ㆥ</v>
      </c>
      <c r="BM36" s="584" t="str" cm="1">
        <f t="array" ref="BM36" xml:space="preserve"> INDEX( 注音編碼對照表[方音符號], MATCH(TRUE, EXACT(方音鍵盤!$BK36, 注音編碼對照表[鍵盤按鍵]), 0))</f>
        <v>ㆥ</v>
      </c>
      <c r="BN36" s="581" t="str" cm="1">
        <f t="array" ref="BN36" xml:space="preserve"> INDEX( 注音編碼對照表[國際音標], MATCH(TRUE, EXACT(方音鍵盤!$BK36, 注音編碼對照表[鍵盤按鍵]), 0))</f>
        <v>ẽ</v>
      </c>
      <c r="BO36" s="582" t="str" cm="1">
        <f t="array" ref="BO36" xml:space="preserve"> INDEX( 注音編碼對照表[台語音標], MATCH(TRUE, EXACT(方音鍵盤!$BK36, 注音編碼對照表[鍵盤按鍵]), 0))</f>
        <v>enn</v>
      </c>
      <c r="BP36" s="107"/>
      <c r="BR36" s="265" t="str">
        <f t="shared" si="5"/>
        <v>"&lt;": { commit: "ㆥ" }</v>
      </c>
      <c r="BT36" s="195">
        <f t="shared" si="6"/>
        <v>32</v>
      </c>
      <c r="BU36" s="266" t="str">
        <f t="shared" si="7"/>
        <v>- xform/ẽ/&lt;/</v>
      </c>
      <c r="BW36" s="266" t="str">
        <f t="shared" si="8"/>
        <v>- xform/&lt;/ㆥ/</v>
      </c>
    </row>
    <row r="37" spans="1:89" s="195" customFormat="1" ht="45" customHeight="1">
      <c r="B37" s="298" t="str">
        <f ca="1" xml:space="preserve"> "- xlit|" &amp; E35 &amp; "|" &amp; E36 &amp; "|"</f>
        <v>- xlit|1q!a2wsxyhbnedEgcuj8ik,9l0;-UJ*I&lt;(LMo/pm. 43657|ㄅㄆㆠㄇㄉㄊㄋㄌㄗㄘㆡㄙㄍㄎㆣㄫㄏㄧㄨㄚㆦㄜㆤㄞㄠㄢㄤㆨㆪㆫㆩㆧㆥㆮㆯㆰㆲㆭㄣㆬㄬˉˋ˪ˊ˫˙|</v>
      </c>
      <c r="C37" s="309"/>
      <c r="D37" s="309"/>
      <c r="E37" s="309"/>
      <c r="F37" s="309"/>
      <c r="G37" s="309"/>
      <c r="H37" s="309"/>
      <c r="I37" s="309"/>
      <c r="J37" s="309"/>
      <c r="K37" s="309"/>
      <c r="L37" s="309"/>
      <c r="M37" s="309"/>
      <c r="N37" s="309"/>
      <c r="O37" s="309"/>
      <c r="P37" s="309"/>
      <c r="Q37" s="309"/>
      <c r="R37" s="309"/>
      <c r="S37" s="309"/>
      <c r="T37" s="309"/>
      <c r="U37" s="309"/>
      <c r="V37" s="309"/>
      <c r="W37" s="309"/>
      <c r="X37" s="309"/>
      <c r="Y37" s="309"/>
      <c r="Z37" s="309"/>
      <c r="AA37" s="309"/>
      <c r="AB37" s="309"/>
      <c r="AC37" s="309"/>
      <c r="AD37" s="309"/>
      <c r="AE37" s="309"/>
      <c r="AF37" s="309"/>
      <c r="AG37" s="299"/>
      <c r="AH37" s="299"/>
      <c r="AI37" s="299"/>
      <c r="AJ37" s="299"/>
      <c r="AK37" s="285"/>
      <c r="AL37" s="285"/>
      <c r="AM37" s="308">
        <f ca="1" xml:space="preserve"> FIND(AM36, $E$35)</f>
        <v>3</v>
      </c>
      <c r="AN37" s="308">
        <f ca="1" xml:space="preserve"> FIND(AN36, $E$35)</f>
        <v>15</v>
      </c>
      <c r="AO37" s="308" t="e">
        <f ca="1" xml:space="preserve"> FIND(AO36, $E$35)</f>
        <v>#VALUE!</v>
      </c>
      <c r="AP37" s="308" t="e">
        <f ca="1" xml:space="preserve"> FIND(AP36, $E$35)</f>
        <v>#VALUE!</v>
      </c>
      <c r="AQ37" s="308" t="e">
        <f ca="1" xml:space="preserve"> FIND(AQ36, $E$35)</f>
        <v>#VALUE!</v>
      </c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J37" s="264">
        <f t="shared" si="0"/>
        <v>34</v>
      </c>
      <c r="BK37" s="71" t="str">
        <f>注音編碼對照表!C36</f>
        <v>(</v>
      </c>
      <c r="BL37" s="583" t="str" cm="1">
        <f t="array" ref="BL37" xml:space="preserve"> INDEX( 注音編碼對照表[方音符號], MATCH(TRUE, EXACT(方音鍵盤!$BK37, 注音編碼對照表[鍵盤按鍵]), 0))</f>
        <v>ㆮ</v>
      </c>
      <c r="BM37" s="584" t="str" cm="1">
        <f t="array" ref="BM37" xml:space="preserve"> INDEX( 注音編碼對照表[方音符號], MATCH(TRUE, EXACT(方音鍵盤!$BK37, 注音編碼對照表[鍵盤按鍵]), 0))</f>
        <v>ㆮ</v>
      </c>
      <c r="BN37" s="581" t="str" cm="1">
        <f t="array" ref="BN37" xml:space="preserve"> INDEX( 注音編碼對照表[國際音標], MATCH(TRUE, EXACT(方音鍵盤!$BK37, 注音編碼對照表[鍵盤按鍵]), 0))</f>
        <v>ãĩ</v>
      </c>
      <c r="BO37" s="582" t="str" cm="1">
        <f t="array" ref="BO37" xml:space="preserve"> INDEX( 注音編碼對照表[台語音標], MATCH(TRUE, EXACT(方音鍵盤!$BK37, 注音編碼對照表[鍵盤按鍵]), 0))</f>
        <v>ainn</v>
      </c>
      <c r="BP37" s="107"/>
      <c r="BR37" s="265" t="str">
        <f t="shared" si="5"/>
        <v>"(": { commit: "ㆮ" }</v>
      </c>
      <c r="BT37" s="195">
        <f t="shared" si="6"/>
        <v>33</v>
      </c>
      <c r="BU37" s="266" t="str">
        <f t="shared" si="7"/>
        <v>- xform/ãĩ/(/</v>
      </c>
      <c r="BW37" s="266" t="str">
        <f t="shared" si="8"/>
        <v>- xform/(/ㆮ/</v>
      </c>
    </row>
    <row r="38" spans="1:89" s="195" customFormat="1" ht="45" customHeight="1">
      <c r="B38" s="300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301"/>
      <c r="AG38" s="301"/>
      <c r="AH38" s="301"/>
      <c r="AI38" s="301"/>
      <c r="AJ38" s="301"/>
      <c r="AK38" s="285"/>
      <c r="AL38" s="285"/>
      <c r="AM38" s="308" t="str">
        <f ca="1" xml:space="preserve"> MID($E$36,AM37,1)</f>
        <v>ㆠ</v>
      </c>
      <c r="AN38" s="308" t="str">
        <f ca="1" xml:space="preserve"> MID($E$36,AN37,1)</f>
        <v>ㆣ</v>
      </c>
      <c r="AO38" s="308" t="e">
        <f ca="1" xml:space="preserve"> MID($E$36,AO37,1)</f>
        <v>#VALUE!</v>
      </c>
      <c r="AP38" s="308" t="e">
        <f ca="1" xml:space="preserve"> MID($E$36,AP37,1)</f>
        <v>#VALUE!</v>
      </c>
      <c r="AQ38" s="308" t="e">
        <f ca="1" xml:space="preserve"> MID($E$36,AQ37,1)</f>
        <v>#VALUE!</v>
      </c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J38" s="264">
        <f t="shared" si="0"/>
        <v>35</v>
      </c>
      <c r="BK38" s="71" t="str">
        <f>注音編碼對照表!C37</f>
        <v>L</v>
      </c>
      <c r="BL38" s="583" t="str" cm="1">
        <f t="array" ref="BL38" xml:space="preserve"> INDEX( 注音編碼對照表[方音符號], MATCH(TRUE, EXACT(方音鍵盤!$BK38, 注音編碼對照表[鍵盤按鍵]), 0))</f>
        <v>ㆯ</v>
      </c>
      <c r="BM38" s="584" t="str" cm="1">
        <f t="array" ref="BM38" xml:space="preserve"> INDEX( 注音編碼對照表[方音符號], MATCH(TRUE, EXACT(方音鍵盤!$BK38, 注音編碼對照表[鍵盤按鍵]), 0))</f>
        <v>ㆯ</v>
      </c>
      <c r="BN38" s="581" t="str" cm="1">
        <f t="array" ref="BN38" xml:space="preserve"> INDEX( 注音編碼對照表[國際音標], MATCH(TRUE, EXACT(方音鍵盤!$BK38, 注音編碼對照表[鍵盤按鍵]), 0))</f>
        <v>ãũ</v>
      </c>
      <c r="BO38" s="582" t="str" cm="1">
        <f t="array" ref="BO38" xml:space="preserve"> INDEX( 注音編碼對照表[台語音標], MATCH(TRUE, EXACT(方音鍵盤!$BK38, 注音編碼對照表[鍵盤按鍵]), 0))</f>
        <v>aunn</v>
      </c>
      <c r="BP38" s="107"/>
      <c r="BR38" s="265" t="str">
        <f t="shared" si="5"/>
        <v>"L": { commit: "ㆯ" }</v>
      </c>
      <c r="BT38" s="195">
        <f t="shared" si="6"/>
        <v>34</v>
      </c>
      <c r="BU38" s="266" t="str">
        <f t="shared" si="7"/>
        <v>- xform/ãũ/L/</v>
      </c>
      <c r="BW38" s="266" t="str">
        <f t="shared" si="8"/>
        <v>- xform/L/ㆯ/</v>
      </c>
    </row>
    <row r="39" spans="1:89" s="195" customFormat="1" ht="45" customHeight="1">
      <c r="B39" s="290"/>
      <c r="C39" s="291"/>
      <c r="D39" s="292">
        <f ca="1" xml:space="preserve"> LEN(E39)</f>
        <v>47</v>
      </c>
      <c r="E39" s="292" t="str">
        <f ca="1" xml:space="preserve"> SUBSTITUTE(E35, _xlfn.CONCAT(AM36:AQ36), "")</f>
        <v>1q!a2wsxyhbnedEgcuj8ik,9l0;-UJ*I&lt;(LMo/pm. 43657</v>
      </c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J39" s="291"/>
      <c r="AK39" s="285"/>
      <c r="AL39" s="285" t="str">
        <f ca="1">$E$35</f>
        <v>1q!a2wsxyhbnedEgcuj8ik,9l0;-UJ*I&lt;(LMo/pm. 43657</v>
      </c>
      <c r="AM39" s="195" t="str">
        <f ca="1" xml:space="preserve"> SUBSTITUTE(AL39, MID(AL39, FIND(AM36,AL39), 1), "")</f>
        <v>1qa2wsxyhbnedEgcuj8ik,9l0;-UJ*I&lt;(LMo/pm. 43657</v>
      </c>
      <c r="AN39" s="195" t="str">
        <f ca="1" xml:space="preserve"> SUBSTITUTE(AM39, MID(AM39, FIND(AN36,AM39), 1), "")</f>
        <v>1qa2wsxyhbnedgcuj8ik,9l0;-UJ*I&lt;(LMo/pm. 43657</v>
      </c>
      <c r="AO39" s="195" t="e">
        <f ca="1" xml:space="preserve"> SUBSTITUTE(AN39, MID(AN39, FIND(AO36,AN39), 1), "")</f>
        <v>#VALUE!</v>
      </c>
      <c r="AP39" s="195" t="e">
        <f ca="1" xml:space="preserve"> SUBSTITUTE(AO39, MID(AO39, FIND(AP36,AO39), 1), "")</f>
        <v>#VALUE!</v>
      </c>
      <c r="AQ39" s="310" t="e">
        <f ca="1" xml:space="preserve"> SUBSTITUTE(AP39, MID(AP39, FIND(AQ36,AP39), 1), "")</f>
        <v>#VALUE!</v>
      </c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J39" s="264">
        <f t="shared" si="0"/>
        <v>36</v>
      </c>
      <c r="BK39" s="71" t="str">
        <f>注音編碼對照表!C38</f>
        <v>M</v>
      </c>
      <c r="BL39" s="583" t="str" cm="1">
        <f t="array" ref="BL39" xml:space="preserve"> INDEX( 注音編碼對照表[方音符號], MATCH(TRUE, EXACT(方音鍵盤!$BK39, 注音編碼對照表[鍵盤按鍵]), 0))</f>
        <v>ㆰ</v>
      </c>
      <c r="BM39" s="584" t="str" cm="1">
        <f t="array" ref="BM39" xml:space="preserve"> INDEX( 注音編碼對照表[方音符號], MATCH(TRUE, EXACT(方音鍵盤!$BK39, 注音編碼對照表[鍵盤按鍵]), 0))</f>
        <v>ㆰ</v>
      </c>
      <c r="BN39" s="581" t="str" cm="1">
        <f t="array" ref="BN39" xml:space="preserve"> INDEX( 注音編碼對照表[國際音標], MATCH(TRUE, EXACT(方音鍵盤!$BK39, 注音編碼對照表[鍵盤按鍵]), 0))</f>
        <v>am</v>
      </c>
      <c r="BO39" s="582" t="str" cm="1">
        <f t="array" ref="BO39" xml:space="preserve"> INDEX( 注音編碼對照表[台語音標], MATCH(TRUE, EXACT(方音鍵盤!$BK39, 注音編碼對照表[鍵盤按鍵]), 0))</f>
        <v>am</v>
      </c>
      <c r="BP39" s="107"/>
      <c r="BR39" s="265" t="str">
        <f t="shared" si="5"/>
        <v>"M": { commit: "ㆰ" }</v>
      </c>
      <c r="BT39" s="195">
        <f t="shared" si="6"/>
        <v>35</v>
      </c>
      <c r="BU39" s="266" t="str">
        <f t="shared" si="7"/>
        <v>- xform/am/M/</v>
      </c>
      <c r="BW39" s="266" t="str">
        <f t="shared" si="8"/>
        <v>- xform/M/ㆰ/</v>
      </c>
    </row>
    <row r="40" spans="1:89" s="195" customFormat="1" ht="45" customHeight="1">
      <c r="B40" s="293"/>
      <c r="C40" s="294"/>
      <c r="D40" s="295" t="e">
        <f ca="1" xml:space="preserve"> LEN(E40)</f>
        <v>#VALUE!</v>
      </c>
      <c r="E40" s="295" t="e">
        <f ca="1">SUBSTITUTE( SUBSTITUTE(SUBSTITUTE(E36, AM40, ""), AN40, ""), AO40, "")</f>
        <v>#VALUE!</v>
      </c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85"/>
      <c r="AL40" s="285" t="str">
        <f ca="1">$E$36</f>
        <v>ㄅㄆㆠㄇㄉㄊㄋㄌㄗㄘㆡㄙㄍㄎㆣㄫㄏㄧㄨㄚㆦㄜㆤㄞㄠㄢㄤㆨㆪㆫㆩㆧㆥㆮㆯㆰㆲㆭㄣㆬㄬˉˋ˪ˊ˫˙</v>
      </c>
      <c r="AM40" s="195" t="str">
        <f ca="1" xml:space="preserve"> SUBSTITUTE(AL40, MID(AL40, FIND(AM38,AL40), 1), "")</f>
        <v>ㄅㄆㄇㄉㄊㄋㄌㄗㄘㆡㄙㄍㄎㆣㄫㄏㄧㄨㄚㆦㄜㆤㄞㄠㄢㄤㆨㆪㆫㆩㆧㆥㆮㆯㆰㆲㆭㄣㆬㄬˉˋ˪ˊ˫˙</v>
      </c>
      <c r="AN40" s="195" t="str">
        <f ca="1" xml:space="preserve"> SUBSTITUTE(AM40, MID(AM40, FIND(AN38,AM40), 1), "")</f>
        <v>ㄅㄆㄇㄉㄊㄋㄌㄗㄘㆡㄙㄍㄎㄫㄏㄧㄨㄚㆦㄜㆤㄞㄠㄢㄤㆨㆪㆫㆩㆧㆥㆮㆯㆰㆲㆭㄣㆬㄬˉˋ˪ˊ˫˙</v>
      </c>
      <c r="AO40" s="195" t="e">
        <f ca="1" xml:space="preserve"> SUBSTITUTE(AN40, MID(AN40, FIND(AO38,AN40), 1), "")</f>
        <v>#VALUE!</v>
      </c>
      <c r="AP40" s="195" t="e">
        <f ca="1" xml:space="preserve"> SUBSTITUTE(AO40, MID(AO40, FIND(AP38,AO40), 1), "")</f>
        <v>#VALUE!</v>
      </c>
      <c r="AQ40" s="310" t="e">
        <f ca="1" xml:space="preserve"> SUBSTITUTE(AP40, MID(AP40, FIND(AQ38,AP40), 1), "")</f>
        <v>#VALUE!</v>
      </c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311"/>
      <c r="BD40" s="285"/>
      <c r="BE40" s="285"/>
      <c r="BF40" s="285"/>
      <c r="BG40" s="285"/>
      <c r="BH40" s="285"/>
      <c r="BJ40" s="264">
        <f t="shared" si="0"/>
        <v>37</v>
      </c>
      <c r="BK40" s="71" t="str">
        <f>注音編碼對照表!C39</f>
        <v>o</v>
      </c>
      <c r="BL40" s="583" t="str" cm="1">
        <f t="array" ref="BL40" xml:space="preserve"> INDEX( 注音編碼對照表[方音符號], MATCH(TRUE, EXACT(方音鍵盤!$BK40, 注音編碼對照表[鍵盤按鍵]), 0))</f>
        <v>ㆲ</v>
      </c>
      <c r="BM40" s="584" t="str" cm="1">
        <f t="array" ref="BM40" xml:space="preserve"> INDEX( 注音編碼對照表[方音符號], MATCH(TRUE, EXACT(方音鍵盤!$BK40, 注音編碼對照表[鍵盤按鍵]), 0))</f>
        <v>ㆲ</v>
      </c>
      <c r="BN40" s="581" t="str" cm="1">
        <f t="array" ref="BN40" xml:space="preserve"> INDEX( 注音編碼對照表[國際音標], MATCH(TRUE, EXACT(方音鍵盤!$BK40, 注音編碼對照表[鍵盤按鍵]), 0))</f>
        <v>ɔŋ</v>
      </c>
      <c r="BO40" s="582" t="str" cm="1">
        <f t="array" ref="BO40" xml:space="preserve"> INDEX( 注音編碼對照表[台語音標], MATCH(TRUE, EXACT(方音鍵盤!$BK40, 注音編碼對照表[鍵盤按鍵]), 0))</f>
        <v>ong</v>
      </c>
      <c r="BP40" s="107"/>
      <c r="BR40" s="265" t="str">
        <f t="shared" si="5"/>
        <v>"o": { commit: "ㆲ" }</v>
      </c>
      <c r="BT40" s="195">
        <f t="shared" si="6"/>
        <v>36</v>
      </c>
      <c r="BU40" s="266" t="str">
        <f t="shared" si="7"/>
        <v>- xform/ɔŋ/o/</v>
      </c>
      <c r="BW40" s="266" t="str">
        <f t="shared" si="8"/>
        <v>- xform/o/ㆲ/</v>
      </c>
    </row>
    <row r="41" spans="1:89" s="195" customFormat="1" ht="45" customHeight="1">
      <c r="B41" s="298" t="e">
        <f ca="1" xml:space="preserve"> "- xlit|" &amp; E39 &amp; "|" &amp; E40 &amp; "|"</f>
        <v>#VALUE!</v>
      </c>
      <c r="C41" s="299"/>
      <c r="D41" s="299"/>
      <c r="E41" s="299"/>
      <c r="F41" s="299"/>
      <c r="G41" s="299"/>
      <c r="H41" s="299"/>
      <c r="I41" s="299"/>
      <c r="J41" s="299"/>
      <c r="K41" s="299"/>
      <c r="L41" s="299"/>
      <c r="M41" s="299"/>
      <c r="N41" s="299"/>
      <c r="O41" s="299"/>
      <c r="P41" s="299"/>
      <c r="Q41" s="299"/>
      <c r="R41" s="299"/>
      <c r="S41" s="299"/>
      <c r="T41" s="299"/>
      <c r="U41" s="299"/>
      <c r="V41" s="299"/>
      <c r="W41" s="299"/>
      <c r="X41" s="299"/>
      <c r="Y41" s="299"/>
      <c r="Z41" s="299"/>
      <c r="AA41" s="299"/>
      <c r="AB41" s="299"/>
      <c r="AC41" s="299"/>
      <c r="AD41" s="299"/>
      <c r="AE41" s="299"/>
      <c r="AF41" s="299"/>
      <c r="AG41" s="299"/>
      <c r="AH41" s="299"/>
      <c r="AI41" s="299"/>
      <c r="AJ41" s="299"/>
      <c r="AK41" s="311"/>
      <c r="AL41" s="311"/>
      <c r="AM41" s="311"/>
      <c r="AN41" s="311"/>
      <c r="AO41" s="311"/>
      <c r="AP41" s="311"/>
      <c r="AQ41" s="311"/>
      <c r="AR41" s="311"/>
      <c r="AS41" s="311"/>
      <c r="AT41" s="311"/>
      <c r="AU41" s="311"/>
      <c r="AV41" s="311"/>
      <c r="AW41" s="311"/>
      <c r="AX41" s="311"/>
      <c r="AY41" s="311"/>
      <c r="AZ41" s="311"/>
      <c r="BA41" s="311"/>
      <c r="BB41" s="311"/>
      <c r="BC41" s="311"/>
      <c r="BD41" s="285"/>
      <c r="BE41" s="285"/>
      <c r="BF41" s="285"/>
      <c r="BG41" s="285"/>
      <c r="BH41" s="285"/>
      <c r="BJ41" s="264">
        <f t="shared" si="0"/>
        <v>38</v>
      </c>
      <c r="BK41" s="71" t="str">
        <f>注音編碼對照表!C40</f>
        <v>/</v>
      </c>
      <c r="BL41" s="583" t="str" cm="1">
        <f t="array" ref="BL41" xml:space="preserve"> INDEX( 注音編碼對照表[方音符號], MATCH(TRUE, EXACT(方音鍵盤!$BK41, 注音編碼對照表[鍵盤按鍵]), 0))</f>
        <v>ㆭ</v>
      </c>
      <c r="BM41" s="584" t="str" cm="1">
        <f t="array" ref="BM41" xml:space="preserve"> INDEX( 注音編碼對照表[方音符號], MATCH(TRUE, EXACT(方音鍵盤!$BK41, 注音編碼對照表[鍵盤按鍵]), 0))</f>
        <v>ㆭ</v>
      </c>
      <c r="BN41" s="581" t="str" cm="1">
        <f t="array" ref="BN41" xml:space="preserve"> INDEX( 注音編碼對照表[國際音標], MATCH(TRUE, EXACT(方音鍵盤!$BK41, 注音編碼對照表[鍵盤按鍵]), 0))</f>
        <v>ŋ̍</v>
      </c>
      <c r="BO41" s="582" t="str" cm="1">
        <f t="array" ref="BO41" xml:space="preserve"> INDEX( 注音編碼對照表[台語音標], MATCH(TRUE, EXACT(方音鍵盤!$BK41, 注音編碼對照表[鍵盤按鍵]), 0))</f>
        <v>-ng</v>
      </c>
      <c r="BP41" s="107"/>
      <c r="BR41" s="265" t="str">
        <f t="shared" si="5"/>
        <v>"/": { commit: "ㆭ" }</v>
      </c>
      <c r="BT41" s="195">
        <f t="shared" si="6"/>
        <v>37</v>
      </c>
      <c r="BU41" s="266" t="str">
        <f t="shared" si="7"/>
        <v>- xform/ŋ̍///</v>
      </c>
      <c r="BW41" s="266" t="str">
        <f t="shared" si="8"/>
        <v>- xform///ㆭ/</v>
      </c>
    </row>
    <row r="42" spans="1:89" s="195" customFormat="1" ht="45" customHeight="1">
      <c r="AH42" s="285"/>
      <c r="AI42" s="285"/>
      <c r="AJ42" s="285"/>
      <c r="AK42" s="311"/>
      <c r="AL42" s="311"/>
      <c r="AM42" s="285" t="e">
        <f ca="1">AQ39</f>
        <v>#VALUE!</v>
      </c>
      <c r="AN42" s="311"/>
      <c r="AO42" s="311"/>
      <c r="AP42" s="311"/>
      <c r="AQ42" s="311"/>
      <c r="AR42" s="311"/>
      <c r="AS42" s="311"/>
      <c r="AT42" s="311"/>
      <c r="AU42" s="311"/>
      <c r="AV42" s="311"/>
      <c r="AW42" s="311"/>
      <c r="AX42" s="311"/>
      <c r="AY42" s="311"/>
      <c r="AZ42" s="311"/>
      <c r="BA42" s="311"/>
      <c r="BB42" s="311"/>
      <c r="BC42" s="311"/>
      <c r="BD42" s="285"/>
      <c r="BE42" s="285"/>
      <c r="BF42" s="285"/>
      <c r="BG42" s="285"/>
      <c r="BH42" s="285"/>
      <c r="BJ42" s="264">
        <f t="shared" si="0"/>
        <v>39</v>
      </c>
      <c r="BK42" s="71" t="str">
        <f>注音編碼對照表!C41</f>
        <v>p</v>
      </c>
      <c r="BL42" s="583" t="str" cm="1">
        <f t="array" ref="BL42" xml:space="preserve"> INDEX( 注音編碼對照表[方音符號], MATCH(TRUE, EXACT(方音鍵盤!$BK42, 注音編碼對照表[鍵盤按鍵]), 0))</f>
        <v>ㄣ</v>
      </c>
      <c r="BM42" s="584" t="str" cm="1">
        <f t="array" ref="BM42" xml:space="preserve"> INDEX( 注音編碼對照表[方音符號], MATCH(TRUE, EXACT(方音鍵盤!$BK42, 注音編碼對照表[鍵盤按鍵]), 0))</f>
        <v>ㄣ</v>
      </c>
      <c r="BN42" s="581" t="str" cm="1">
        <f t="array" ref="BN42" xml:space="preserve"> INDEX( 注音編碼對照表[國際音標], MATCH(TRUE, EXACT(方音鍵盤!$BK42, 注音編碼對照表[鍵盤按鍵]), 0))</f>
        <v>n</v>
      </c>
      <c r="BO42" s="582" t="str" cm="1">
        <f t="array" ref="BO42" xml:space="preserve"> INDEX( 注音編碼對照表[台語音標], MATCH(TRUE, EXACT(方音鍵盤!$BK42, 注音編碼對照表[鍵盤按鍵]), 0))</f>
        <v>-n</v>
      </c>
      <c r="BP42" s="107"/>
      <c r="BR42" s="265" t="str">
        <f t="shared" si="5"/>
        <v>"p": { commit: "ㄣ" }</v>
      </c>
      <c r="BT42" s="195">
        <f t="shared" si="6"/>
        <v>38</v>
      </c>
      <c r="BU42" s="266" t="str">
        <f t="shared" si="7"/>
        <v>- xform/n/p/</v>
      </c>
      <c r="BW42" s="266" t="str">
        <f t="shared" si="8"/>
        <v>- xform/p/ㄣ/</v>
      </c>
    </row>
    <row r="43" spans="1:89" ht="45" customHeight="1">
      <c r="A43" s="195"/>
      <c r="B43" s="302" t="s">
        <v>579</v>
      </c>
      <c r="C43" s="288"/>
      <c r="D43" s="288"/>
      <c r="E43" s="288"/>
      <c r="F43" s="288"/>
      <c r="G43" s="288"/>
      <c r="H43" s="288"/>
      <c r="I43" s="288"/>
      <c r="J43" s="288"/>
      <c r="K43" s="288"/>
      <c r="L43" s="288"/>
      <c r="M43" s="288"/>
      <c r="N43" s="288"/>
      <c r="O43" s="288"/>
      <c r="P43" s="288"/>
      <c r="Q43" s="288"/>
      <c r="R43" s="288"/>
      <c r="S43" s="288"/>
      <c r="T43" s="288"/>
      <c r="U43" s="288"/>
      <c r="V43" s="288"/>
      <c r="W43" s="288"/>
      <c r="X43" s="288"/>
      <c r="Y43" s="288"/>
      <c r="Z43" s="288"/>
      <c r="AA43" s="288"/>
      <c r="AB43" s="288"/>
      <c r="AC43" s="288"/>
      <c r="AD43" s="288"/>
      <c r="AE43" s="288"/>
      <c r="AF43" s="288"/>
      <c r="AG43" s="288"/>
      <c r="AH43" s="285"/>
      <c r="AI43" s="285"/>
      <c r="AJ43" s="285"/>
      <c r="AK43" s="311"/>
      <c r="AL43" s="311"/>
      <c r="AM43" s="285" t="e">
        <f ca="1">AQ40</f>
        <v>#VALUE!</v>
      </c>
      <c r="AN43" s="311"/>
      <c r="AO43" s="311"/>
      <c r="AP43" s="311"/>
      <c r="AQ43" s="311"/>
      <c r="AR43" s="311"/>
      <c r="AS43" s="311"/>
      <c r="AT43" s="311"/>
      <c r="AU43" s="311"/>
      <c r="AV43" s="311"/>
      <c r="AW43" s="311"/>
      <c r="AX43" s="311"/>
      <c r="AY43" s="311"/>
      <c r="AZ43" s="311"/>
      <c r="BA43" s="311"/>
      <c r="BB43" s="311"/>
      <c r="BC43" s="311"/>
      <c r="BD43" s="285"/>
      <c r="BE43" s="285"/>
      <c r="BF43" s="285"/>
      <c r="BG43" s="311"/>
      <c r="BH43" s="311"/>
      <c r="BJ43" s="264">
        <f t="shared" si="0"/>
        <v>40</v>
      </c>
      <c r="BK43" s="71" t="str">
        <f>注音編碼對照表!C42</f>
        <v>m</v>
      </c>
      <c r="BL43" s="583" t="str" cm="1">
        <f t="array" ref="BL43" xml:space="preserve"> INDEX( 注音編碼對照表[方音符號], MATCH(TRUE, EXACT(方音鍵盤!$BK43, 注音編碼對照表[鍵盤按鍵]), 0))</f>
        <v>ㆬ</v>
      </c>
      <c r="BM43" s="584" t="str" cm="1">
        <f t="array" ref="BM43" xml:space="preserve"> INDEX( 注音編碼對照表[方音符號], MATCH(TRUE, EXACT(方音鍵盤!$BK43, 注音編碼對照表[鍵盤按鍵]), 0))</f>
        <v>ㆬ</v>
      </c>
      <c r="BN43" s="581" t="str" cm="1">
        <f t="array" ref="BN43" xml:space="preserve"> INDEX( 注音編碼對照表[國際音標], MATCH(TRUE, EXACT(方音鍵盤!$BK43, 注音編碼對照表[鍵盤按鍵]), 0))</f>
        <v>m̩</v>
      </c>
      <c r="BO43" s="582" t="str" cm="1">
        <f t="array" ref="BO43" xml:space="preserve"> INDEX( 注音編碼對照表[台語音標], MATCH(TRUE, EXACT(方音鍵盤!$BK43, 注音編碼對照表[鍵盤按鍵]), 0))</f>
        <v>-m</v>
      </c>
      <c r="BP43" s="107"/>
      <c r="BQ43" s="195"/>
      <c r="BR43" s="265" t="str">
        <f t="shared" si="5"/>
        <v>"m": { commit: "ㆬ" }</v>
      </c>
      <c r="BS43" s="195"/>
      <c r="BT43" s="195">
        <f t="shared" si="6"/>
        <v>39</v>
      </c>
      <c r="BU43" s="266" t="str">
        <f t="shared" si="7"/>
        <v>- xform/m̩/m/</v>
      </c>
      <c r="BV43" s="195"/>
      <c r="BW43" s="266" t="str">
        <f t="shared" si="8"/>
        <v>- xform/m/ㆬ/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288" t="s">
        <v>580</v>
      </c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9"/>
      <c r="T44" s="288"/>
      <c r="U44" s="288"/>
      <c r="V44" s="288"/>
      <c r="W44" s="288"/>
      <c r="X44" s="288"/>
      <c r="Y44" s="288"/>
      <c r="Z44" s="288"/>
      <c r="AA44" s="288"/>
      <c r="AB44" s="288"/>
      <c r="AC44" s="288"/>
      <c r="AD44" s="288"/>
      <c r="AE44" s="288"/>
      <c r="AF44" s="288"/>
      <c r="AG44" s="288"/>
      <c r="AH44" s="285"/>
      <c r="AI44" s="285"/>
      <c r="AJ44" s="285"/>
      <c r="AK44" s="311"/>
      <c r="AL44" s="311"/>
      <c r="AM44" s="311"/>
      <c r="AN44" s="311"/>
      <c r="AO44" s="311"/>
      <c r="AP44" s="311"/>
      <c r="AQ44" s="311"/>
      <c r="AR44" s="311"/>
      <c r="AS44" s="311"/>
      <c r="AT44" s="311"/>
      <c r="AU44" s="311"/>
      <c r="AV44" s="311"/>
      <c r="AW44" s="311"/>
      <c r="AX44" s="311"/>
      <c r="AY44" s="311"/>
      <c r="AZ44" s="311"/>
      <c r="BA44" s="311"/>
      <c r="BB44" s="311"/>
      <c r="BC44" s="311"/>
      <c r="BD44" s="311"/>
      <c r="BE44" s="311"/>
      <c r="BF44" s="311"/>
      <c r="BG44" s="311"/>
      <c r="BH44" s="311"/>
      <c r="BJ44" s="264">
        <f t="shared" si="0"/>
        <v>41</v>
      </c>
      <c r="BK44" s="71" t="str">
        <f>注音編碼對照表!C43</f>
        <v>.</v>
      </c>
      <c r="BL44" s="583" t="str" cm="1">
        <f t="array" ref="BL44" xml:space="preserve"> INDEX( 注音編碼對照表[方音符號], MATCH(TRUE, EXACT(方音鍵盤!$BK44, 注音編碼對照表[鍵盤按鍵]), 0))</f>
        <v>ㄬ</v>
      </c>
      <c r="BM44" s="584" t="str" cm="1">
        <f t="array" ref="BM44" xml:space="preserve"> INDEX( 注音編碼對照表[方音符號], MATCH(TRUE, EXACT(方音鍵盤!$BK44, 注音編碼對照表[鍵盤按鍵]), 0))</f>
        <v>ㄬ</v>
      </c>
      <c r="BN44" s="581" t="str" cm="1">
        <f t="array" ref="BN44" xml:space="preserve"> INDEX( 注音編碼對照表[國際音標], MATCH(TRUE, EXACT(方音鍵盤!$BK44, 注音編碼對照表[鍵盤按鍵]), 0))</f>
        <v>ɲ</v>
      </c>
      <c r="BO44" s="582" t="str" cm="1">
        <f t="array" ref="BO44" xml:space="preserve"> INDEX( 注音編碼對照表[台語音標], MATCH(TRUE, EXACT(方音鍵盤!$BK44, 注音編碼對照表[鍵盤按鍵]), 0))</f>
        <v>-nn</v>
      </c>
      <c r="BP44" s="107"/>
      <c r="BR44" s="265" t="str">
        <f t="shared" si="5"/>
        <v>".": { commit: "ㄬ" }</v>
      </c>
      <c r="BT44" s="237">
        <f t="shared" si="6"/>
        <v>40</v>
      </c>
      <c r="BU44" s="266" t="str">
        <f t="shared" si="7"/>
        <v>- xform/ɲ/./</v>
      </c>
      <c r="BW44" s="266" t="str">
        <f t="shared" si="8"/>
        <v>- xform/./ㄬ/</v>
      </c>
    </row>
    <row r="45" spans="1:89" ht="45" customHeight="1">
      <c r="B45" s="303" t="s">
        <v>581</v>
      </c>
      <c r="C45" s="304"/>
      <c r="D45" s="304">
        <f ca="1" xml:space="preserve"> LEN(E45)</f>
        <v>65</v>
      </c>
      <c r="E45" s="305" t="str">
        <f ca="1" xml:space="preserve"> _xlfn.CONCAT(D21:BC21)</f>
        <v>ppʰbmttʰnltsʦʰʣskkʰgŋhiuaɔəeai̯ɑu̯anɑŋɨĩũãɔ̃ẽãĩãũamɔŋŋ̍nm̩ɲ000000</v>
      </c>
      <c r="F45" s="305"/>
      <c r="G45" s="305"/>
      <c r="H45" s="305"/>
      <c r="I45" s="305"/>
      <c r="J45" s="305"/>
      <c r="K45" s="305"/>
      <c r="L45" s="305"/>
      <c r="M45" s="305"/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  <c r="Y45" s="305"/>
      <c r="Z45" s="305"/>
      <c r="AA45" s="305"/>
      <c r="AB45" s="305"/>
      <c r="AC45" s="305"/>
      <c r="AD45" s="305"/>
      <c r="AE45" s="305"/>
      <c r="AF45" s="305"/>
      <c r="AG45" s="305"/>
      <c r="AH45" s="305"/>
      <c r="AI45" s="305"/>
      <c r="AJ45" s="305"/>
      <c r="AK45" s="311"/>
      <c r="AL45" s="311"/>
      <c r="AM45" s="311"/>
      <c r="AN45" s="311"/>
      <c r="AO45" s="311"/>
      <c r="AP45" s="311"/>
      <c r="AQ45" s="311"/>
      <c r="AR45" s="311"/>
      <c r="AS45" s="311"/>
      <c r="AT45" s="311"/>
      <c r="AU45" s="311"/>
      <c r="AV45" s="311"/>
      <c r="AW45" s="311"/>
      <c r="AX45" s="311"/>
      <c r="AY45" s="311"/>
      <c r="AZ45" s="311"/>
      <c r="BA45" s="311"/>
      <c r="BB45" s="311"/>
      <c r="BG45" s="311"/>
      <c r="BH45" s="311"/>
      <c r="BJ45" s="264">
        <f t="shared" si="0"/>
        <v>42</v>
      </c>
      <c r="BK45" s="71" t="str">
        <f>注音編碼對照表!C44</f>
        <v xml:space="preserve"> </v>
      </c>
      <c r="BL45" s="583" t="str" cm="1">
        <f t="array" ref="BL45" xml:space="preserve"> INDEX( 注音編碼對照表[方音符號], MATCH(TRUE, EXACT(方音鍵盤!$BK45, 注音編碼對照表[鍵盤按鍵]), 0))</f>
        <v>ˉ</v>
      </c>
      <c r="BM45" s="584" t="str" cm="1">
        <f t="array" ref="BM45" xml:space="preserve"> INDEX( 注音編碼對照表[方音符號], MATCH(TRUE, EXACT(方音鍵盤!$BK45, 注音編碼對照表[鍵盤按鍵]), 0))</f>
        <v>ˉ</v>
      </c>
      <c r="BN45" s="581" cm="1">
        <f t="array" ref="BN45" xml:space="preserve"> INDEX( 注音編碼對照表[國際音標], MATCH(TRUE, EXACT(方音鍵盤!$BK45, 注音編碼對照表[鍵盤按鍵]), 0))</f>
        <v>0</v>
      </c>
      <c r="BO45" s="582" cm="1">
        <f t="array" ref="BO45" xml:space="preserve"> INDEX( 注音編碼對照表[台語音標], MATCH(TRUE, EXACT(方音鍵盤!$BK45, 注音編碼對照表[鍵盤按鍵]), 0))</f>
        <v>1</v>
      </c>
      <c r="BP45" s="107"/>
      <c r="BR45" s="265" t="str">
        <f t="shared" si="5"/>
        <v>" ": { commit: "ˉ" }</v>
      </c>
      <c r="BT45" s="237">
        <f t="shared" si="6"/>
        <v>41</v>
      </c>
      <c r="BU45" s="266" t="str">
        <f t="shared" si="7"/>
        <v>- xform/0/ /</v>
      </c>
      <c r="BW45" s="266" t="str">
        <f t="shared" si="8"/>
        <v>- xform/ /ˉ/</v>
      </c>
    </row>
    <row r="46" spans="1:89" ht="45" customHeight="1">
      <c r="B46" s="306" t="s">
        <v>15</v>
      </c>
      <c r="C46" s="307"/>
      <c r="D46" s="307">
        <f ca="1">LEN(E46)</f>
        <v>47</v>
      </c>
      <c r="E46" s="306" t="str">
        <f ca="1" xml:space="preserve"> _xlfn.CONCAT(D19:BC19)</f>
        <v>ㄅㄆㆠㄇㄉㄊㄋㄌㄗㄘㆡㄙㄍㄎㆣㄫㄏㄧㄨㄚㆦㄜㆤㄞㄠㄢㄤㆨㆪㆫㆩㆧㆥㆮㆯㆰㆲㆭㄣㆬㄬˉˋ˪ˊ˫˙</v>
      </c>
      <c r="F46" s="306"/>
      <c r="G46" s="306"/>
      <c r="H46" s="306"/>
      <c r="I46" s="306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  <c r="AC46" s="306"/>
      <c r="AD46" s="306"/>
      <c r="AE46" s="306"/>
      <c r="AF46" s="306"/>
      <c r="AG46" s="306"/>
      <c r="AH46" s="306"/>
      <c r="AI46" s="306"/>
      <c r="AJ46" s="306"/>
      <c r="BG46" s="311"/>
      <c r="BH46" s="311"/>
      <c r="BJ46" s="264">
        <f t="shared" si="0"/>
        <v>43</v>
      </c>
      <c r="BK46" s="71" t="str">
        <f>注音編碼對照表!C45</f>
        <v>4</v>
      </c>
      <c r="BL46" s="583" t="str" cm="1">
        <f t="array" ref="BL46" xml:space="preserve"> INDEX( 注音編碼對照表[方音符號], MATCH(TRUE, EXACT(方音鍵盤!$BK46, 注音編碼對照表[鍵盤按鍵]), 0))</f>
        <v>ˋ</v>
      </c>
      <c r="BM46" s="584" t="str" cm="1">
        <f t="array" ref="BM46" xml:space="preserve"> INDEX( 注音編碼對照表[方音符號], MATCH(TRUE, EXACT(方音鍵盤!$BK46, 注音編碼對照表[鍵盤按鍵]), 0))</f>
        <v>ˋ</v>
      </c>
      <c r="BN46" s="581" cm="1">
        <f t="array" ref="BN46" xml:space="preserve"> INDEX( 注音編碼對照表[國際音標], MATCH(TRUE, EXACT(方音鍵盤!$BK46, 注音編碼對照表[鍵盤按鍵]), 0))</f>
        <v>0</v>
      </c>
      <c r="BO46" s="582" cm="1">
        <f t="array" ref="BO46" xml:space="preserve"> INDEX( 注音編碼對照表[台語音標], MATCH(TRUE, EXACT(方音鍵盤!$BK46, 注音編碼對照表[鍵盤按鍵]), 0))</f>
        <v>2</v>
      </c>
      <c r="BP46" s="107"/>
      <c r="BR46" s="265" t="str">
        <f t="shared" si="5"/>
        <v>"4": { commit: "ˋ" }</v>
      </c>
      <c r="BT46" s="237">
        <f t="shared" si="6"/>
        <v>42</v>
      </c>
      <c r="BU46" s="266" t="str">
        <f t="shared" si="7"/>
        <v>- xform/0/4/</v>
      </c>
      <c r="BW46" s="266" t="str">
        <f t="shared" si="8"/>
        <v>- xform/4/ˋ/</v>
      </c>
    </row>
    <row r="47" spans="1:89" ht="45" customHeight="1">
      <c r="B47" s="298" t="str">
        <f ca="1" xml:space="preserve"> "- xlit|" &amp; E45 &amp; "|" &amp; E46 &amp; "|"</f>
        <v>- xlit|ppʰbmttʰnltsʦʰʣskkʰgŋhiuaɔəeai̯ɑu̯anɑŋɨĩũãɔ̃ẽãĩãũamɔŋŋ̍nm̩ɲ000000|ㄅㄆㆠㄇㄉㄊㄋㄌㄗㄘㆡㄙㄍㄎㆣㄫㄏㄧㄨㄚㆦㄜㆤㄞㄠㄢㄤㆨㆪㆫㆩㆧㆥㆮㆯㆰㆲㆭㄣㆬㄬˉˋ˪ˊ˫˙|</v>
      </c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  <c r="AA47" s="309"/>
      <c r="AB47" s="309"/>
      <c r="AC47" s="309"/>
      <c r="AD47" s="309"/>
      <c r="AE47" s="309"/>
      <c r="AF47" s="309"/>
      <c r="AG47" s="299"/>
      <c r="AH47" s="299"/>
      <c r="AI47" s="299"/>
      <c r="AJ47" s="299"/>
      <c r="BG47" s="311"/>
      <c r="BH47" s="311"/>
      <c r="BJ47" s="264">
        <f t="shared" si="0"/>
        <v>44</v>
      </c>
      <c r="BK47" s="71" t="str">
        <f>注音編碼對照表!C46</f>
        <v>3</v>
      </c>
      <c r="BL47" s="583" t="str" cm="1">
        <f t="array" ref="BL47" xml:space="preserve"> INDEX( 注音編碼對照表[方音符號], MATCH(TRUE, EXACT(方音鍵盤!$BK47, 注音編碼對照表[鍵盤按鍵]), 0))</f>
        <v>˪</v>
      </c>
      <c r="BM47" s="584" t="str" cm="1">
        <f t="array" ref="BM47" xml:space="preserve"> INDEX( 注音編碼對照表[方音符號], MATCH(TRUE, EXACT(方音鍵盤!$BK47, 注音編碼對照表[鍵盤按鍵]), 0))</f>
        <v>˪</v>
      </c>
      <c r="BN47" s="581" cm="1">
        <f t="array" ref="BN47" xml:space="preserve"> INDEX( 注音編碼對照表[國際音標], MATCH(TRUE, EXACT(方音鍵盤!$BK47, 注音編碼對照表[鍵盤按鍵]), 0))</f>
        <v>0</v>
      </c>
      <c r="BO47" s="582" cm="1">
        <f t="array" ref="BO47" xml:space="preserve"> INDEX( 注音編碼對照表[台語音標], MATCH(TRUE, EXACT(方音鍵盤!$BK47, 注音編碼對照表[鍵盤按鍵]), 0))</f>
        <v>3</v>
      </c>
      <c r="BP47" s="107"/>
      <c r="BR47" s="265" t="str">
        <f t="shared" si="5"/>
        <v>"3": { commit: "˪" }</v>
      </c>
      <c r="BT47" s="237">
        <f t="shared" si="6"/>
        <v>43</v>
      </c>
      <c r="BU47" s="266" t="str">
        <f t="shared" si="7"/>
        <v>- xform/0/3/</v>
      </c>
      <c r="BW47" s="266" t="str">
        <f t="shared" si="8"/>
        <v>- xform/3/˪/</v>
      </c>
    </row>
    <row r="48" spans="1:89" ht="45" customHeight="1">
      <c r="B48" s="311"/>
      <c r="C48" s="311"/>
      <c r="D48" s="311"/>
      <c r="E48" s="311"/>
      <c r="F48" s="311"/>
      <c r="G48" s="311"/>
      <c r="H48" s="311"/>
      <c r="I48" s="311"/>
      <c r="J48" s="311"/>
      <c r="K48" s="311"/>
      <c r="L48" s="311"/>
      <c r="M48" s="311"/>
      <c r="N48" s="311"/>
      <c r="O48" s="311"/>
      <c r="P48" s="311"/>
      <c r="Q48" s="311"/>
      <c r="R48" s="311"/>
      <c r="S48" s="311"/>
      <c r="T48" s="311"/>
      <c r="U48" s="311"/>
      <c r="V48" s="311"/>
      <c r="W48" s="311"/>
      <c r="X48" s="311"/>
      <c r="Y48" s="311"/>
      <c r="Z48" s="311"/>
      <c r="AA48" s="311"/>
      <c r="AB48" s="311"/>
      <c r="AC48" s="311"/>
      <c r="AD48" s="311"/>
      <c r="AE48" s="311"/>
      <c r="AF48" s="311"/>
      <c r="AG48" s="311"/>
      <c r="AH48" s="311"/>
      <c r="AI48" s="311"/>
      <c r="AJ48" s="311"/>
      <c r="BG48" s="311"/>
      <c r="BH48" s="311"/>
      <c r="BJ48" s="264">
        <f t="shared" si="0"/>
        <v>45</v>
      </c>
      <c r="BK48" s="71" t="str">
        <f>注音編碼對照表!C47</f>
        <v>6</v>
      </c>
      <c r="BL48" s="583" t="str" cm="1">
        <f t="array" ref="BL48" xml:space="preserve"> INDEX( 注音編碼對照表[方音符號], MATCH(TRUE, EXACT(方音鍵盤!$BK48, 注音編碼對照表[鍵盤按鍵]), 0))</f>
        <v>ˊ</v>
      </c>
      <c r="BM48" s="584" t="str" cm="1">
        <f t="array" ref="BM48" xml:space="preserve"> INDEX( 注音編碼對照表[方音符號], MATCH(TRUE, EXACT(方音鍵盤!$BK48, 注音編碼對照表[鍵盤按鍵]), 0))</f>
        <v>ˊ</v>
      </c>
      <c r="BN48" s="581" cm="1">
        <f t="array" ref="BN48" xml:space="preserve"> INDEX( 注音編碼對照表[國際音標], MATCH(TRUE, EXACT(方音鍵盤!$BK48, 注音編碼對照表[鍵盤按鍵]), 0))</f>
        <v>0</v>
      </c>
      <c r="BO48" s="582" cm="1">
        <f t="array" ref="BO48" xml:space="preserve"> INDEX( 注音編碼對照表[台語音標], MATCH(TRUE, EXACT(方音鍵盤!$BK48, 注音編碼對照表[鍵盤按鍵]), 0))</f>
        <v>5</v>
      </c>
      <c r="BP48" s="107"/>
      <c r="BR48" s="265" t="str">
        <f t="shared" si="5"/>
        <v>"6": { commit: "ˊ" }</v>
      </c>
      <c r="BT48" s="237">
        <f t="shared" si="6"/>
        <v>44</v>
      </c>
      <c r="BU48" s="266" t="str">
        <f t="shared" si="7"/>
        <v>- xform/0/6/</v>
      </c>
      <c r="BW48" s="266" t="str">
        <f t="shared" si="8"/>
        <v>- xform/6/ˊ/</v>
      </c>
    </row>
    <row r="49" spans="2:75" ht="45" customHeight="1">
      <c r="B49" s="311"/>
      <c r="C49" s="311"/>
      <c r="D49" s="311"/>
      <c r="E49" s="311"/>
      <c r="F49" s="311"/>
      <c r="G49" s="311"/>
      <c r="H49" s="311"/>
      <c r="I49" s="311"/>
      <c r="J49" s="311"/>
      <c r="K49" s="311"/>
      <c r="L49" s="311"/>
      <c r="M49" s="311"/>
      <c r="N49" s="311"/>
      <c r="O49" s="311"/>
      <c r="P49" s="311"/>
      <c r="Q49" s="311"/>
      <c r="R49" s="311"/>
      <c r="S49" s="311"/>
      <c r="T49" s="311"/>
      <c r="U49" s="311"/>
      <c r="V49" s="311"/>
      <c r="W49" s="311"/>
      <c r="X49" s="311"/>
      <c r="Y49" s="311"/>
      <c r="Z49" s="311"/>
      <c r="AA49" s="311"/>
      <c r="AB49" s="311"/>
      <c r="AC49" s="311"/>
      <c r="AD49" s="311"/>
      <c r="AE49" s="311"/>
      <c r="AF49" s="311"/>
      <c r="AG49" s="311"/>
      <c r="AH49" s="311"/>
      <c r="AI49" s="311"/>
      <c r="AJ49" s="311"/>
      <c r="BG49" s="311"/>
      <c r="BH49" s="311"/>
      <c r="BJ49" s="264">
        <f t="shared" si="0"/>
        <v>46</v>
      </c>
      <c r="BK49" s="71" t="str">
        <f>注音編碼對照表!C48</f>
        <v>5</v>
      </c>
      <c r="BL49" s="583" t="str" cm="1">
        <f t="array" ref="BL49" xml:space="preserve"> INDEX( 注音編碼對照表[方音符號], MATCH(TRUE, EXACT(方音鍵盤!$BK49, 注音編碼對照表[鍵盤按鍵]), 0))</f>
        <v>˫</v>
      </c>
      <c r="BM49" s="584" t="str" cm="1">
        <f t="array" ref="BM49" xml:space="preserve"> INDEX( 注音編碼對照表[方音符號], MATCH(TRUE, EXACT(方音鍵盤!$BK49, 注音編碼對照表[鍵盤按鍵]), 0))</f>
        <v>˫</v>
      </c>
      <c r="BN49" s="581" cm="1">
        <f t="array" ref="BN49" xml:space="preserve"> INDEX( 注音編碼對照表[國際音標], MATCH(TRUE, EXACT(方音鍵盤!$BK49, 注音編碼對照表[鍵盤按鍵]), 0))</f>
        <v>0</v>
      </c>
      <c r="BO49" s="582" cm="1">
        <f t="array" ref="BO49" xml:space="preserve"> INDEX( 注音編碼對照表[台語音標], MATCH(TRUE, EXACT(方音鍵盤!$BK49, 注音編碼對照表[鍵盤按鍵]), 0))</f>
        <v>7</v>
      </c>
      <c r="BP49" s="107"/>
      <c r="BR49" s="265" t="str">
        <f t="shared" si="5"/>
        <v>"5": { commit: "˫" }</v>
      </c>
      <c r="BT49" s="237">
        <f t="shared" si="6"/>
        <v>45</v>
      </c>
      <c r="BU49" s="238" t="str">
        <f t="shared" si="7"/>
        <v>- xform/0/5/</v>
      </c>
      <c r="BW49" s="238" t="str">
        <f t="shared" si="8"/>
        <v>- xform/5/˫/</v>
      </c>
    </row>
    <row r="50" spans="2:75" ht="45" customHeight="1">
      <c r="B50" s="311"/>
      <c r="C50" s="311"/>
      <c r="D50" s="311"/>
      <c r="BC50" s="311"/>
      <c r="BD50" s="311"/>
      <c r="BE50" s="311"/>
      <c r="BF50" s="311"/>
      <c r="BG50" s="311"/>
      <c r="BH50" s="311"/>
      <c r="BJ50" s="264">
        <f t="shared" si="0"/>
        <v>47</v>
      </c>
      <c r="BK50" s="71" t="str">
        <f>注音編碼對照表!C49</f>
        <v>7</v>
      </c>
      <c r="BL50" s="583" t="str" cm="1">
        <f t="array" ref="BL50" xml:space="preserve"> INDEX( 注音編碼對照表[方音符號], MATCH(TRUE, EXACT(方音鍵盤!$BK50, 注音編碼對照表[鍵盤按鍵]), 0))</f>
        <v>˙</v>
      </c>
      <c r="BM50" s="584" t="str" cm="1">
        <f t="array" ref="BM50" xml:space="preserve"> INDEX( 注音編碼對照表[方音符號], MATCH(TRUE, EXACT(方音鍵盤!$BK50, 注音編碼對照表[鍵盤按鍵]), 0))</f>
        <v>˙</v>
      </c>
      <c r="BN50" s="581" cm="1">
        <f t="array" ref="BN50" xml:space="preserve"> INDEX( 注音編碼對照表[國際音標], MATCH(TRUE, EXACT(方音鍵盤!$BK50, 注音編碼對照表[鍵盤按鍵]), 0))</f>
        <v>0</v>
      </c>
      <c r="BO50" s="582" t="str" cm="1">
        <f t="array" ref="BO50" xml:space="preserve"> INDEX( 注音編碼對照表[台語音標], MATCH(TRUE, EXACT(方音鍵盤!$BK50, 注音編碼對照表[鍵盤按鍵]), 0))</f>
        <v>[48]</v>
      </c>
      <c r="BP50" s="111"/>
      <c r="BR50" s="265" t="str">
        <f t="shared" si="5"/>
        <v>"7": { commit: "˙" }</v>
      </c>
      <c r="BT50" s="237">
        <f t="shared" si="6"/>
        <v>46</v>
      </c>
      <c r="BU50" s="238" t="str">
        <f t="shared" si="7"/>
        <v>- xform/0/7/</v>
      </c>
      <c r="BW50" s="238" t="str">
        <f t="shared" si="8"/>
        <v>- xform/7/˙/</v>
      </c>
    </row>
    <row r="51" spans="2:75" ht="45" customHeight="1">
      <c r="AK51" s="311"/>
      <c r="AL51" s="311"/>
      <c r="AM51" s="311"/>
      <c r="AN51" s="311"/>
      <c r="AO51" s="311"/>
      <c r="AP51" s="311"/>
      <c r="AQ51" s="311"/>
      <c r="AR51" s="311"/>
      <c r="AS51" s="311"/>
      <c r="AT51" s="311"/>
      <c r="AU51" s="311"/>
      <c r="AV51" s="311"/>
      <c r="AW51" s="311"/>
      <c r="AX51" s="311"/>
      <c r="AY51" s="311"/>
      <c r="AZ51" s="311"/>
      <c r="BA51" s="311"/>
      <c r="BB51" s="311"/>
      <c r="BC51" s="311"/>
      <c r="BD51" s="311"/>
      <c r="BE51" s="311"/>
      <c r="BF51" s="311"/>
      <c r="BG51" s="311"/>
      <c r="BH51" s="311"/>
      <c r="BR51" s="265" t="str">
        <f t="shared" si="5"/>
        <v>"": { commit: "" }</v>
      </c>
      <c r="BT51" s="237">
        <f t="shared" si="6"/>
        <v>47</v>
      </c>
      <c r="BU51" s="238" t="str">
        <f t="shared" si="7"/>
        <v>- xform///</v>
      </c>
      <c r="BW51" s="238" t="str">
        <f t="shared" si="8"/>
        <v>- xform///</v>
      </c>
    </row>
    <row r="52" spans="2:75" ht="45" customHeight="1">
      <c r="AK52" s="311"/>
      <c r="AL52" s="311"/>
      <c r="AM52" s="311"/>
      <c r="AN52" s="311"/>
      <c r="AO52" s="311"/>
      <c r="AP52" s="311"/>
      <c r="AQ52" s="311"/>
      <c r="AR52" s="311"/>
      <c r="AS52" s="311"/>
      <c r="AT52" s="311"/>
      <c r="AU52" s="311"/>
      <c r="AV52" s="311"/>
      <c r="AW52" s="311"/>
      <c r="AX52" s="311"/>
      <c r="AY52" s="311"/>
      <c r="AZ52" s="311"/>
      <c r="BA52" s="311"/>
      <c r="BB52" s="311"/>
      <c r="BC52" s="311"/>
      <c r="BD52" s="311"/>
      <c r="BE52" s="311"/>
      <c r="BF52" s="311"/>
      <c r="BG52" s="311"/>
      <c r="BH52" s="311"/>
      <c r="BR52" s="265" t="str">
        <f t="shared" si="5"/>
        <v>"": { commit: "" }</v>
      </c>
      <c r="BT52" s="237">
        <f t="shared" si="6"/>
        <v>0</v>
      </c>
      <c r="BU52" s="238" t="str">
        <f t="shared" si="7"/>
        <v>- xform///</v>
      </c>
      <c r="BW52" s="238" t="str">
        <f t="shared" si="8"/>
        <v>- xform///</v>
      </c>
    </row>
    <row r="53" spans="2:75" ht="45" customHeight="1">
      <c r="AK53" s="311"/>
      <c r="AL53" s="311"/>
      <c r="AM53" s="311"/>
      <c r="AN53" s="311"/>
      <c r="AO53" s="311"/>
      <c r="AP53" s="311"/>
      <c r="AQ53" s="311"/>
      <c r="AR53" s="311"/>
      <c r="AS53" s="311"/>
      <c r="AT53" s="311"/>
      <c r="AU53" s="311"/>
      <c r="AV53" s="311"/>
      <c r="AW53" s="311"/>
      <c r="AX53" s="311"/>
      <c r="AY53" s="311"/>
      <c r="AZ53" s="311"/>
      <c r="BA53" s="311"/>
      <c r="BB53" s="311"/>
      <c r="BC53" s="311"/>
      <c r="BD53" s="311"/>
      <c r="BE53" s="311"/>
      <c r="BF53" s="311"/>
      <c r="BG53" s="311"/>
      <c r="BH53" s="311"/>
      <c r="BR53" s="265" t="str">
        <f t="shared" si="5"/>
        <v>"": { commit: "" }</v>
      </c>
      <c r="BT53" s="237">
        <f t="shared" si="6"/>
        <v>0</v>
      </c>
      <c r="BU53" s="238" t="str">
        <f t="shared" si="7"/>
        <v>- xform///</v>
      </c>
      <c r="BW53" s="238" t="str">
        <f t="shared" si="8"/>
        <v>- xform///</v>
      </c>
    </row>
    <row r="54" spans="2:75" ht="45" customHeight="1">
      <c r="AK54" s="311"/>
      <c r="AL54" s="311"/>
      <c r="AM54" s="311"/>
      <c r="AN54" s="311"/>
      <c r="AO54" s="311"/>
      <c r="AP54" s="311"/>
      <c r="AQ54" s="311"/>
      <c r="AR54" s="311"/>
      <c r="AS54" s="311"/>
      <c r="AT54" s="311"/>
      <c r="AU54" s="311"/>
      <c r="AV54" s="311"/>
      <c r="AW54" s="311"/>
      <c r="AX54" s="311"/>
      <c r="AY54" s="311"/>
      <c r="AZ54" s="311"/>
      <c r="BA54" s="311"/>
      <c r="BB54" s="311"/>
      <c r="BC54" s="311"/>
      <c r="BD54" s="311"/>
      <c r="BE54" s="311"/>
      <c r="BF54" s="311"/>
      <c r="BG54" s="311"/>
      <c r="BH54" s="311"/>
      <c r="BR54" s="265" t="str">
        <f t="shared" si="5"/>
        <v>"": { commit: "" }</v>
      </c>
      <c r="BT54" s="237">
        <f t="shared" si="6"/>
        <v>0</v>
      </c>
      <c r="BU54" s="238" t="str">
        <f t="shared" si="7"/>
        <v>- xform///</v>
      </c>
      <c r="BW54" s="238" t="str">
        <f t="shared" si="8"/>
        <v>- xform///</v>
      </c>
    </row>
    <row r="55" spans="2:75" ht="45" customHeight="1">
      <c r="B55" s="311"/>
      <c r="C55" s="311"/>
      <c r="D55" s="311"/>
      <c r="E55" s="311"/>
      <c r="F55" s="311"/>
      <c r="G55" s="311"/>
      <c r="H55" s="311"/>
      <c r="I55" s="311"/>
      <c r="J55" s="311"/>
      <c r="K55" s="311"/>
      <c r="L55" s="311"/>
      <c r="M55" s="311"/>
      <c r="N55" s="311"/>
      <c r="O55" s="311"/>
      <c r="P55" s="311"/>
      <c r="Q55" s="311"/>
      <c r="R55" s="311"/>
      <c r="S55" s="311"/>
      <c r="T55" s="311"/>
      <c r="U55" s="311"/>
      <c r="V55" s="311"/>
      <c r="W55" s="311"/>
      <c r="X55" s="311"/>
      <c r="Y55" s="311"/>
      <c r="Z55" s="311"/>
      <c r="AA55" s="311"/>
      <c r="AB55" s="311"/>
      <c r="AC55" s="311"/>
      <c r="AD55" s="311"/>
      <c r="AE55" s="311"/>
      <c r="AF55" s="311"/>
      <c r="AG55" s="311"/>
      <c r="AH55" s="311"/>
      <c r="AI55" s="311"/>
      <c r="AJ55" s="311"/>
      <c r="AK55" s="311"/>
      <c r="AL55" s="311"/>
      <c r="AM55" s="311"/>
      <c r="AN55" s="311"/>
      <c r="AO55" s="311"/>
      <c r="AP55" s="311"/>
      <c r="AQ55" s="311"/>
      <c r="AR55" s="311"/>
      <c r="AS55" s="311"/>
      <c r="AT55" s="311"/>
      <c r="AU55" s="311"/>
      <c r="AV55" s="311"/>
      <c r="AW55" s="311"/>
      <c r="AX55" s="311"/>
      <c r="AY55" s="311"/>
      <c r="AZ55" s="311"/>
      <c r="BA55" s="311"/>
      <c r="BB55" s="311"/>
      <c r="BC55" s="311"/>
      <c r="BD55" s="311"/>
      <c r="BE55" s="311"/>
      <c r="BF55" s="311"/>
      <c r="BG55" s="311"/>
      <c r="BH55" s="311"/>
      <c r="BR55" s="265" t="str">
        <f t="shared" si="5"/>
        <v>"": { commit: "" }</v>
      </c>
      <c r="BT55" s="237">
        <f t="shared" si="6"/>
        <v>0</v>
      </c>
      <c r="BU55" s="238" t="str">
        <f t="shared" si="7"/>
        <v>- xform///</v>
      </c>
      <c r="BW55" s="238" t="str">
        <f t="shared" si="8"/>
        <v>- xform///</v>
      </c>
    </row>
    <row r="56" spans="2:75" ht="45" customHeight="1">
      <c r="B56" s="311"/>
      <c r="C56" s="311"/>
      <c r="D56" s="311"/>
      <c r="E56" s="311"/>
      <c r="F56" s="311"/>
      <c r="G56" s="311"/>
      <c r="H56" s="311"/>
      <c r="I56" s="311"/>
      <c r="J56" s="311"/>
      <c r="K56" s="311"/>
      <c r="L56" s="311"/>
      <c r="M56" s="311"/>
      <c r="N56" s="311"/>
      <c r="O56" s="311"/>
      <c r="P56" s="311"/>
      <c r="Q56" s="311"/>
      <c r="R56" s="311"/>
      <c r="S56" s="311"/>
      <c r="T56" s="311"/>
      <c r="U56" s="311"/>
      <c r="V56" s="311"/>
      <c r="W56" s="311"/>
      <c r="X56" s="311"/>
      <c r="Y56" s="311"/>
      <c r="Z56" s="311"/>
      <c r="AA56" s="311"/>
      <c r="AB56" s="311"/>
      <c r="AC56" s="311"/>
      <c r="AD56" s="311"/>
      <c r="AE56" s="311"/>
      <c r="AF56" s="311"/>
      <c r="AG56" s="311"/>
      <c r="AH56" s="311"/>
      <c r="AI56" s="311"/>
      <c r="AJ56" s="311"/>
      <c r="AK56" s="311"/>
      <c r="AL56" s="311"/>
      <c r="AM56" s="311"/>
      <c r="AN56" s="311"/>
      <c r="AO56" s="311"/>
      <c r="AP56" s="311"/>
      <c r="AQ56" s="311"/>
      <c r="AR56" s="311"/>
      <c r="AS56" s="311"/>
      <c r="AT56" s="311"/>
      <c r="AU56" s="311"/>
      <c r="AV56" s="311"/>
      <c r="AW56" s="311"/>
      <c r="AX56" s="311"/>
      <c r="AY56" s="311"/>
      <c r="AZ56" s="311"/>
      <c r="BA56" s="311"/>
      <c r="BB56" s="311"/>
      <c r="BC56" s="311"/>
      <c r="BD56" s="311"/>
      <c r="BE56" s="311"/>
      <c r="BF56" s="311"/>
      <c r="BG56" s="311"/>
      <c r="BH56" s="311"/>
      <c r="BT56" s="237">
        <f t="shared" si="6"/>
        <v>0</v>
      </c>
    </row>
    <row r="57" spans="2:75" ht="45" customHeight="1">
      <c r="B57" s="311"/>
      <c r="C57" s="311"/>
      <c r="D57" s="311"/>
      <c r="E57" s="311"/>
      <c r="F57" s="311"/>
      <c r="G57" s="311"/>
      <c r="H57" s="311"/>
      <c r="I57" s="311"/>
      <c r="J57" s="311"/>
      <c r="K57" s="311"/>
      <c r="L57" s="311"/>
      <c r="M57" s="311"/>
      <c r="N57" s="311"/>
      <c r="O57" s="311"/>
      <c r="P57" s="311"/>
      <c r="Q57" s="311"/>
      <c r="R57" s="311"/>
      <c r="S57" s="311"/>
      <c r="T57" s="311"/>
      <c r="U57" s="311"/>
      <c r="V57" s="311"/>
      <c r="W57" s="311"/>
      <c r="X57" s="311"/>
      <c r="Y57" s="311"/>
      <c r="Z57" s="311"/>
      <c r="AA57" s="311"/>
      <c r="AB57" s="311"/>
      <c r="AC57" s="311"/>
      <c r="AD57" s="311"/>
      <c r="AE57" s="311"/>
      <c r="AF57" s="311"/>
      <c r="AG57" s="311"/>
      <c r="AH57" s="311"/>
      <c r="AI57" s="311"/>
      <c r="AJ57" s="311"/>
      <c r="AK57" s="311"/>
      <c r="AL57" s="311"/>
      <c r="AM57" s="311"/>
      <c r="AN57" s="311"/>
      <c r="AO57" s="311"/>
      <c r="AP57" s="311"/>
      <c r="AQ57" s="311"/>
      <c r="AR57" s="311"/>
      <c r="AS57" s="311"/>
      <c r="AT57" s="311"/>
      <c r="AU57" s="311"/>
      <c r="AV57" s="311"/>
      <c r="AW57" s="311"/>
      <c r="AX57" s="311"/>
      <c r="AY57" s="311"/>
      <c r="AZ57" s="311"/>
      <c r="BA57" s="311"/>
      <c r="BB57" s="311"/>
      <c r="BC57" s="311"/>
      <c r="BD57" s="311"/>
      <c r="BE57" s="311"/>
      <c r="BF57" s="311"/>
      <c r="BG57" s="311"/>
      <c r="BH57" s="311"/>
      <c r="BT57" s="237">
        <f t="shared" si="6"/>
        <v>0</v>
      </c>
    </row>
    <row r="58" spans="2:75" ht="45" customHeight="1">
      <c r="B58" s="311"/>
      <c r="C58" s="311"/>
      <c r="D58" s="311"/>
      <c r="E58" s="311"/>
      <c r="F58" s="311"/>
      <c r="G58" s="311"/>
      <c r="H58" s="311"/>
      <c r="I58" s="311"/>
      <c r="J58" s="311"/>
      <c r="K58" s="311"/>
      <c r="L58" s="311"/>
      <c r="M58" s="311"/>
      <c r="N58" s="311"/>
      <c r="O58" s="311"/>
      <c r="P58" s="311"/>
      <c r="Q58" s="311"/>
      <c r="R58" s="311"/>
      <c r="S58" s="311"/>
      <c r="T58" s="311"/>
      <c r="U58" s="311"/>
      <c r="V58" s="311"/>
      <c r="W58" s="311"/>
      <c r="X58" s="311"/>
      <c r="Y58" s="311"/>
      <c r="Z58" s="311"/>
      <c r="AA58" s="311"/>
      <c r="AB58" s="311"/>
      <c r="AC58" s="311"/>
      <c r="AD58" s="311"/>
      <c r="AE58" s="311"/>
      <c r="AF58" s="311"/>
      <c r="AG58" s="311"/>
      <c r="AH58" s="311"/>
      <c r="AI58" s="311"/>
      <c r="AJ58" s="311"/>
      <c r="AK58" s="311"/>
      <c r="AL58" s="311"/>
      <c r="AM58" s="311"/>
      <c r="AN58" s="311"/>
      <c r="AO58" s="311"/>
      <c r="AP58" s="311"/>
      <c r="AQ58" s="311"/>
      <c r="AR58" s="311"/>
      <c r="AS58" s="311"/>
      <c r="AT58" s="311"/>
      <c r="AU58" s="311"/>
      <c r="AV58" s="311"/>
      <c r="AW58" s="311"/>
      <c r="AX58" s="311"/>
      <c r="AY58" s="311"/>
      <c r="AZ58" s="311"/>
      <c r="BA58" s="311"/>
      <c r="BB58" s="311"/>
      <c r="BC58" s="311"/>
      <c r="BD58" s="311"/>
      <c r="BE58" s="311"/>
      <c r="BF58" s="311"/>
      <c r="BG58" s="311"/>
      <c r="BH58" s="311"/>
      <c r="BT58" s="237">
        <f t="shared" si="6"/>
        <v>0</v>
      </c>
    </row>
    <row r="59" spans="2:75" ht="45" customHeight="1">
      <c r="B59" s="311"/>
      <c r="C59" s="311"/>
      <c r="D59" s="311"/>
      <c r="E59" s="311"/>
      <c r="F59" s="311"/>
      <c r="G59" s="311"/>
      <c r="H59" s="311"/>
      <c r="I59" s="311"/>
      <c r="J59" s="311"/>
      <c r="K59" s="311"/>
      <c r="L59" s="311"/>
      <c r="M59" s="311"/>
      <c r="N59" s="311"/>
      <c r="O59" s="311"/>
      <c r="P59" s="311"/>
      <c r="Q59" s="311"/>
      <c r="R59" s="311"/>
      <c r="S59" s="311"/>
      <c r="T59" s="311"/>
      <c r="U59" s="311"/>
      <c r="V59" s="311"/>
      <c r="W59" s="311"/>
      <c r="X59" s="311"/>
      <c r="Y59" s="311"/>
      <c r="Z59" s="311"/>
      <c r="AA59" s="311"/>
      <c r="AB59" s="311"/>
      <c r="AC59" s="311"/>
      <c r="AD59" s="311"/>
      <c r="AE59" s="311"/>
      <c r="AF59" s="311"/>
      <c r="AG59" s="311"/>
      <c r="AH59" s="311"/>
      <c r="AI59" s="311"/>
      <c r="AJ59" s="311"/>
      <c r="AK59" s="311"/>
      <c r="AL59" s="311"/>
      <c r="AM59" s="311"/>
      <c r="AN59" s="311"/>
      <c r="AO59" s="311"/>
      <c r="AP59" s="311"/>
      <c r="AQ59" s="311"/>
      <c r="AR59" s="311"/>
      <c r="AS59" s="311"/>
      <c r="AT59" s="311"/>
      <c r="AU59" s="311"/>
      <c r="AV59" s="311"/>
      <c r="AW59" s="311"/>
      <c r="AX59" s="311"/>
      <c r="AY59" s="311"/>
      <c r="AZ59" s="311"/>
      <c r="BA59" s="311"/>
      <c r="BB59" s="311"/>
      <c r="BC59" s="311"/>
      <c r="BD59" s="311"/>
      <c r="BE59" s="311"/>
      <c r="BF59" s="311"/>
      <c r="BG59" s="311"/>
      <c r="BH59" s="311"/>
      <c r="BT59" s="237">
        <f t="shared" si="6"/>
        <v>0</v>
      </c>
    </row>
    <row r="60" spans="2:75" ht="45" customHeight="1">
      <c r="B60" s="311"/>
      <c r="C60" s="311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  <c r="Z60" s="311"/>
      <c r="AA60" s="311"/>
      <c r="AB60" s="311"/>
      <c r="AC60" s="311"/>
      <c r="AD60" s="311"/>
      <c r="AE60" s="311"/>
      <c r="AF60" s="311"/>
      <c r="AG60" s="311"/>
      <c r="AH60" s="311"/>
      <c r="AI60" s="311"/>
      <c r="AJ60" s="311"/>
      <c r="AK60" s="311"/>
      <c r="AL60" s="311"/>
      <c r="AM60" s="311"/>
      <c r="AN60" s="311"/>
      <c r="AO60" s="311"/>
      <c r="AP60" s="311"/>
      <c r="AQ60" s="311"/>
      <c r="AR60" s="311"/>
      <c r="AS60" s="311"/>
      <c r="AT60" s="311"/>
      <c r="AU60" s="311"/>
      <c r="AV60" s="311"/>
      <c r="AW60" s="311"/>
      <c r="AX60" s="311"/>
      <c r="AY60" s="311"/>
      <c r="AZ60" s="311"/>
      <c r="BA60" s="311"/>
      <c r="BB60" s="311"/>
      <c r="BC60" s="311"/>
      <c r="BD60" s="311"/>
      <c r="BE60" s="311"/>
      <c r="BF60" s="311"/>
      <c r="BG60" s="311"/>
      <c r="BH60" s="311"/>
      <c r="BT60" s="237">
        <f t="shared" si="6"/>
        <v>0</v>
      </c>
    </row>
    <row r="61" spans="2:75" ht="45" customHeight="1">
      <c r="B61" s="311"/>
      <c r="C61" s="311"/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  <c r="Z61" s="311"/>
      <c r="AA61" s="311"/>
      <c r="AB61" s="311"/>
      <c r="AC61" s="311"/>
      <c r="AD61" s="311"/>
      <c r="AE61" s="311"/>
      <c r="AF61" s="311"/>
      <c r="AG61" s="311"/>
      <c r="AH61" s="311"/>
      <c r="AI61" s="311"/>
      <c r="AJ61" s="311"/>
      <c r="AK61" s="311"/>
      <c r="AL61" s="311"/>
      <c r="AM61" s="311"/>
      <c r="AN61" s="311"/>
      <c r="AO61" s="311"/>
      <c r="AP61" s="311"/>
      <c r="AQ61" s="311"/>
      <c r="AR61" s="311"/>
      <c r="AS61" s="311"/>
      <c r="AT61" s="311"/>
      <c r="AU61" s="311"/>
      <c r="AV61" s="311"/>
      <c r="AW61" s="311"/>
      <c r="AX61" s="311"/>
      <c r="AY61" s="311"/>
      <c r="AZ61" s="311"/>
      <c r="BA61" s="311"/>
      <c r="BB61" s="311"/>
      <c r="BC61" s="311"/>
      <c r="BD61" s="311"/>
      <c r="BE61" s="311"/>
      <c r="BF61" s="311"/>
      <c r="BG61" s="311"/>
      <c r="BH61" s="311"/>
      <c r="BT61" s="237">
        <f t="shared" si="6"/>
        <v>0</v>
      </c>
    </row>
    <row r="62" spans="2:75" ht="45" customHeight="1">
      <c r="B62" s="311"/>
      <c r="C62" s="311"/>
      <c r="D62" s="311"/>
      <c r="E62" s="311"/>
      <c r="F62" s="311"/>
      <c r="G62" s="311"/>
      <c r="H62" s="311"/>
      <c r="I62" s="311"/>
      <c r="J62" s="311"/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  <c r="Z62" s="311"/>
      <c r="AA62" s="311"/>
      <c r="AB62" s="311"/>
      <c r="AC62" s="311"/>
      <c r="AD62" s="311"/>
      <c r="AE62" s="311"/>
      <c r="AF62" s="311"/>
      <c r="AG62" s="311"/>
      <c r="AH62" s="311"/>
      <c r="AI62" s="311"/>
      <c r="AJ62" s="311"/>
      <c r="AK62" s="311"/>
      <c r="AL62" s="311"/>
      <c r="AM62" s="311"/>
      <c r="AN62" s="311"/>
      <c r="AO62" s="311"/>
      <c r="AP62" s="311"/>
      <c r="AQ62" s="311"/>
      <c r="AR62" s="311"/>
      <c r="AS62" s="311"/>
      <c r="AT62" s="311"/>
      <c r="AU62" s="311"/>
      <c r="AV62" s="311"/>
      <c r="AW62" s="311"/>
      <c r="AX62" s="311"/>
      <c r="AY62" s="311"/>
      <c r="AZ62" s="311"/>
      <c r="BA62" s="311"/>
      <c r="BB62" s="311"/>
      <c r="BC62" s="311"/>
      <c r="BD62" s="311"/>
      <c r="BE62" s="311"/>
      <c r="BF62" s="311"/>
      <c r="BG62" s="311"/>
      <c r="BH62" s="311"/>
      <c r="BT62" s="237">
        <f t="shared" si="6"/>
        <v>0</v>
      </c>
    </row>
    <row r="63" spans="2:75" ht="38.1" customHeight="1">
      <c r="B63" s="311"/>
      <c r="C63" s="311"/>
      <c r="D63" s="311"/>
      <c r="E63" s="311"/>
      <c r="F63" s="311"/>
      <c r="G63" s="311"/>
      <c r="H63" s="311"/>
      <c r="I63" s="311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1"/>
      <c r="X63" s="311"/>
      <c r="Y63" s="311"/>
      <c r="Z63" s="311"/>
      <c r="AA63" s="311"/>
      <c r="AB63" s="311"/>
      <c r="AC63" s="311"/>
      <c r="AD63" s="311"/>
      <c r="AE63" s="311"/>
      <c r="AF63" s="311"/>
      <c r="AG63" s="311"/>
      <c r="AH63" s="311"/>
      <c r="AI63" s="311"/>
      <c r="AJ63" s="311"/>
      <c r="AK63" s="311"/>
      <c r="AL63" s="311"/>
      <c r="AM63" s="311"/>
      <c r="AN63" s="311"/>
      <c r="AO63" s="311"/>
      <c r="AP63" s="311"/>
      <c r="AQ63" s="311"/>
      <c r="AR63" s="311"/>
      <c r="AS63" s="311"/>
      <c r="AT63" s="311"/>
      <c r="AU63" s="311"/>
      <c r="AV63" s="311"/>
      <c r="AW63" s="311"/>
      <c r="AX63" s="311"/>
      <c r="AY63" s="311"/>
      <c r="AZ63" s="311"/>
      <c r="BA63" s="311"/>
      <c r="BB63" s="311"/>
      <c r="BC63" s="311"/>
      <c r="BD63" s="311"/>
      <c r="BE63" s="311"/>
      <c r="BF63" s="311"/>
      <c r="BG63" s="311"/>
      <c r="BH63" s="311"/>
      <c r="BT63" s="237">
        <f t="shared" si="6"/>
        <v>0</v>
      </c>
    </row>
    <row r="64" spans="2:75" ht="38.1" customHeight="1">
      <c r="B64" s="311"/>
      <c r="C64" s="311"/>
      <c r="D64" s="311"/>
      <c r="E64" s="311"/>
      <c r="F64" s="311"/>
      <c r="G64" s="311"/>
      <c r="H64" s="311"/>
      <c r="I64" s="311"/>
      <c r="J64" s="311"/>
      <c r="K64" s="311"/>
      <c r="L64" s="311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  <c r="Z64" s="311"/>
      <c r="AA64" s="311"/>
      <c r="AB64" s="311"/>
      <c r="AC64" s="311"/>
      <c r="AD64" s="311"/>
      <c r="AE64" s="311"/>
      <c r="AF64" s="311"/>
      <c r="AG64" s="311"/>
      <c r="AH64" s="311"/>
      <c r="AI64" s="311"/>
      <c r="AJ64" s="311"/>
      <c r="AK64" s="311"/>
      <c r="AL64" s="311"/>
      <c r="AM64" s="311"/>
      <c r="AN64" s="311"/>
      <c r="AO64" s="311"/>
      <c r="AP64" s="311"/>
      <c r="AQ64" s="311"/>
      <c r="AR64" s="311"/>
      <c r="AS64" s="311"/>
      <c r="AT64" s="311"/>
      <c r="AU64" s="311"/>
      <c r="AV64" s="311"/>
      <c r="AW64" s="311"/>
      <c r="AX64" s="311"/>
      <c r="AY64" s="311"/>
      <c r="AZ64" s="311"/>
      <c r="BA64" s="311"/>
      <c r="BB64" s="311"/>
      <c r="BC64" s="311"/>
      <c r="BD64" s="311"/>
      <c r="BE64" s="311"/>
      <c r="BF64" s="311"/>
      <c r="BG64" s="311"/>
      <c r="BH64" s="311"/>
    </row>
    <row r="65" spans="2:60">
      <c r="B65" s="311"/>
      <c r="C65" s="311"/>
      <c r="D65" s="311"/>
      <c r="E65" s="311"/>
      <c r="F65" s="311"/>
      <c r="G65" s="311"/>
      <c r="H65" s="311"/>
      <c r="I65" s="311"/>
      <c r="J65" s="311"/>
      <c r="K65" s="311"/>
      <c r="L65" s="311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  <c r="Z65" s="311"/>
      <c r="AA65" s="311"/>
      <c r="AB65" s="311"/>
      <c r="AC65" s="311"/>
      <c r="AD65" s="311"/>
      <c r="AE65" s="311"/>
      <c r="AF65" s="311"/>
      <c r="AG65" s="311"/>
      <c r="AH65" s="311"/>
      <c r="AI65" s="311"/>
      <c r="AJ65" s="311"/>
      <c r="AK65" s="311"/>
      <c r="AL65" s="311"/>
      <c r="AM65" s="311"/>
      <c r="AN65" s="311"/>
      <c r="AO65" s="311"/>
      <c r="AP65" s="311"/>
      <c r="AQ65" s="311"/>
      <c r="AR65" s="311"/>
      <c r="AS65" s="311"/>
      <c r="AT65" s="311"/>
      <c r="AU65" s="311"/>
      <c r="AV65" s="311"/>
      <c r="AW65" s="311"/>
      <c r="AX65" s="311"/>
      <c r="AY65" s="311"/>
      <c r="AZ65" s="311"/>
      <c r="BA65" s="311"/>
      <c r="BB65" s="311"/>
      <c r="BD65" s="311"/>
      <c r="BE65" s="311"/>
      <c r="BF65" s="311"/>
      <c r="BG65" s="311"/>
      <c r="BH65" s="311"/>
    </row>
    <row r="66" spans="2:60">
      <c r="AH66" s="311"/>
      <c r="AI66" s="311"/>
      <c r="AJ66" s="311"/>
      <c r="BD66" s="311"/>
      <c r="BE66" s="311"/>
      <c r="BF66" s="311"/>
      <c r="BG66" s="311"/>
      <c r="BH66" s="311"/>
    </row>
    <row r="67" spans="2:60">
      <c r="AH67" s="311"/>
      <c r="AI67" s="311"/>
      <c r="AJ67" s="311"/>
      <c r="BD67" s="311"/>
      <c r="BE67" s="311"/>
      <c r="BF67" s="311"/>
      <c r="BG67" s="311"/>
      <c r="BH67" s="311"/>
    </row>
    <row r="68" spans="2:60">
      <c r="AH68" s="311"/>
      <c r="AI68" s="311"/>
      <c r="AJ68" s="311"/>
      <c r="BD68" s="311"/>
      <c r="BE68" s="311"/>
      <c r="BF68" s="311"/>
    </row>
    <row r="69" spans="2:60">
      <c r="AH69" s="311"/>
      <c r="AI69" s="311"/>
      <c r="AJ69" s="311"/>
    </row>
  </sheetData>
  <mergeCells count="51">
    <mergeCell ref="Z11:AB11"/>
    <mergeCell ref="AC11:AE11"/>
    <mergeCell ref="AF11:AH11"/>
    <mergeCell ref="AB8:AD8"/>
    <mergeCell ref="AE8:AG8"/>
    <mergeCell ref="AH8:AJ8"/>
    <mergeCell ref="E11:G11"/>
    <mergeCell ref="H11:J11"/>
    <mergeCell ref="K11:M11"/>
    <mergeCell ref="N11:P11"/>
    <mergeCell ref="Q11:S11"/>
    <mergeCell ref="T11:V11"/>
    <mergeCell ref="W11:Y11"/>
    <mergeCell ref="AJ5:AL5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R5:T5"/>
    <mergeCell ref="U5:W5"/>
    <mergeCell ref="X5:Z5"/>
    <mergeCell ref="AA5:AC5"/>
    <mergeCell ref="AD5:AF5"/>
    <mergeCell ref="AG5:AI5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D622-73D0-4696-B7D8-593A21A99851}">
  <sheetPr>
    <tabColor theme="7"/>
  </sheetPr>
  <dimension ref="A1:CK69"/>
  <sheetViews>
    <sheetView showGridLines="0" zoomScale="50" zoomScaleNormal="50" workbookViewId="0">
      <selection activeCell="AZ18" sqref="AZ18"/>
    </sheetView>
    <sheetView workbookViewId="1"/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563" t="s">
        <v>539</v>
      </c>
      <c r="C2" s="564"/>
      <c r="D2" s="565"/>
      <c r="E2" s="563" t="s">
        <v>540</v>
      </c>
      <c r="F2" s="564"/>
      <c r="G2" s="565"/>
      <c r="H2" s="560" t="s">
        <v>541</v>
      </c>
      <c r="I2" s="561"/>
      <c r="J2" s="562"/>
      <c r="K2" s="560" t="s">
        <v>542</v>
      </c>
      <c r="L2" s="561"/>
      <c r="M2" s="562"/>
      <c r="N2" s="566">
        <v>0.05</v>
      </c>
      <c r="O2" s="567"/>
      <c r="P2" s="568"/>
      <c r="Q2" s="560" t="s">
        <v>543</v>
      </c>
      <c r="R2" s="561"/>
      <c r="S2" s="562"/>
      <c r="T2" s="560" t="s">
        <v>544</v>
      </c>
      <c r="U2" s="561"/>
      <c r="V2" s="562"/>
      <c r="W2" s="569" t="s">
        <v>545</v>
      </c>
      <c r="X2" s="570"/>
      <c r="Y2" s="571"/>
      <c r="Z2" s="569" t="s">
        <v>546</v>
      </c>
      <c r="AA2" s="570"/>
      <c r="AB2" s="571"/>
      <c r="AC2" s="569" t="s">
        <v>547</v>
      </c>
      <c r="AD2" s="570"/>
      <c r="AE2" s="571"/>
      <c r="AF2" s="572" t="s">
        <v>548</v>
      </c>
      <c r="AG2" s="573"/>
      <c r="AH2" s="574"/>
      <c r="AI2" s="572" t="s">
        <v>549</v>
      </c>
      <c r="AJ2" s="573"/>
      <c r="AK2" s="574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579" t="str">
        <f ca="1">F18</f>
        <v>ㆠ</v>
      </c>
      <c r="C3" s="591"/>
      <c r="D3" s="587" t="s">
        <v>551</v>
      </c>
      <c r="E3" s="579"/>
      <c r="F3" s="244"/>
      <c r="G3" s="245"/>
      <c r="H3" s="246"/>
      <c r="I3" s="247"/>
      <c r="J3" s="248"/>
      <c r="K3" s="246"/>
      <c r="L3" s="247"/>
      <c r="M3" s="248"/>
      <c r="N3" s="249"/>
      <c r="O3" s="250"/>
      <c r="P3" s="251"/>
      <c r="Q3" s="246"/>
      <c r="R3" s="247"/>
      <c r="S3" s="248"/>
      <c r="T3" s="246"/>
      <c r="U3" s="247"/>
      <c r="V3" s="248"/>
      <c r="W3" s="585" t="str">
        <f ca="1">AH19</f>
        <v>⁰ㄚ</v>
      </c>
      <c r="X3" s="252"/>
      <c r="Y3" s="589" t="str">
        <f ca="1">AH20</f>
        <v>ann</v>
      </c>
      <c r="Z3" s="585" t="str">
        <f ca="1">AK19</f>
        <v>⁰ㄞ</v>
      </c>
      <c r="AA3" s="252"/>
      <c r="AB3" s="589" t="str">
        <f ca="1">AK20</f>
        <v>ainn</v>
      </c>
      <c r="AC3" s="585"/>
      <c r="AD3" s="252"/>
      <c r="AE3" s="253"/>
      <c r="AF3" s="585"/>
      <c r="AG3" s="252"/>
      <c r="AH3" s="253"/>
      <c r="AI3" s="585"/>
      <c r="AJ3" s="252"/>
      <c r="AK3" s="253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54" t="s">
        <v>342</v>
      </c>
      <c r="BL3" s="255" t="s">
        <v>385</v>
      </c>
      <c r="BM3" s="255" t="s">
        <v>927</v>
      </c>
      <c r="BN3" s="256" t="s">
        <v>362</v>
      </c>
      <c r="BO3" s="257" t="s">
        <v>388</v>
      </c>
      <c r="BP3" s="153"/>
      <c r="BR3" s="236"/>
      <c r="BT3" s="242"/>
      <c r="BU3" s="243"/>
      <c r="BW3" s="243"/>
    </row>
    <row r="4" spans="1:75" ht="45" customHeight="1" thickBot="1">
      <c r="A4" s="258"/>
      <c r="B4" s="580" t="str">
        <f ca="1">D19</f>
        <v>ㄅ</v>
      </c>
      <c r="C4" s="259"/>
      <c r="D4" s="260" t="s">
        <v>21</v>
      </c>
      <c r="E4" s="580" t="str">
        <f ca="1">H19</f>
        <v>ㄉ</v>
      </c>
      <c r="F4" s="259"/>
      <c r="G4" s="260" t="s">
        <v>340</v>
      </c>
      <c r="H4" s="575" t="s">
        <v>105</v>
      </c>
      <c r="I4" s="576"/>
      <c r="J4" s="261" t="s">
        <v>552</v>
      </c>
      <c r="K4" s="577" t="s">
        <v>104</v>
      </c>
      <c r="L4" s="578"/>
      <c r="M4" s="261" t="s">
        <v>553</v>
      </c>
      <c r="N4" s="575" t="s">
        <v>107</v>
      </c>
      <c r="O4" s="576"/>
      <c r="P4" s="261" t="s">
        <v>554</v>
      </c>
      <c r="Q4" s="577" t="s">
        <v>106</v>
      </c>
      <c r="R4" s="578"/>
      <c r="S4" s="261" t="s">
        <v>555</v>
      </c>
      <c r="T4" s="575" t="s">
        <v>556</v>
      </c>
      <c r="U4" s="576"/>
      <c r="V4" s="261" t="s">
        <v>557</v>
      </c>
      <c r="W4" s="586" t="str">
        <f ca="1">W19</f>
        <v>ㄚ</v>
      </c>
      <c r="X4" s="262"/>
      <c r="Y4" s="263" t="str">
        <f ca="1">W20</f>
        <v>a</v>
      </c>
      <c r="Z4" s="586" t="str">
        <f ca="1">AA19</f>
        <v>ㄞ</v>
      </c>
      <c r="AA4" s="262"/>
      <c r="AB4" s="263" t="str">
        <f ca="1">AA20</f>
        <v>ai</v>
      </c>
      <c r="AC4" s="586" t="str">
        <f ca="1">AC19</f>
        <v>ㄢ</v>
      </c>
      <c r="AD4" s="262"/>
      <c r="AE4" s="263" t="str">
        <f ca="1">AC20</f>
        <v>an</v>
      </c>
      <c r="AF4" s="586" t="str">
        <f ca="1">AE19</f>
        <v>ㄭ</v>
      </c>
      <c r="AG4" s="262"/>
      <c r="AH4" s="263" t="str">
        <f ca="1">AE20</f>
        <v>ir</v>
      </c>
      <c r="AI4" s="586"/>
      <c r="AJ4" s="262"/>
      <c r="AK4" s="263"/>
      <c r="AL4" s="258"/>
      <c r="AM4" s="258"/>
      <c r="AN4" s="258"/>
      <c r="AO4" s="258"/>
      <c r="AP4" s="258"/>
      <c r="AQ4" s="258"/>
      <c r="AR4" s="234"/>
      <c r="AS4" s="234"/>
      <c r="AT4" s="258"/>
      <c r="AU4" s="258"/>
      <c r="AV4" s="258"/>
      <c r="BJ4" s="264">
        <f t="shared" ref="BJ4:BJ50" si="0" xml:space="preserve"> ROW() - 3</f>
        <v>1</v>
      </c>
      <c r="BK4" s="71" t="str">
        <f>注音編碼對照表!C3</f>
        <v>1</v>
      </c>
      <c r="BL4" s="583" t="str" cm="1">
        <f t="array" ref="BL4" xml:space="preserve"> INDEX( 注音編碼對照表[方音符號], MATCH(TRUE, EXACT(台語音標注音鍵盤!$BK4, 注音編碼對照表[鍵盤按鍵]), 0))</f>
        <v>ㄅ</v>
      </c>
      <c r="BM4" s="584" t="str" cm="1">
        <f t="array" ref="BM4" xml:space="preserve"> INDEX( 注音編碼對照表[台語音標注音], MATCH(TRUE, EXACT(台語音標注音鍵盤!$BK4, 注音編碼對照表[鍵盤按鍵]), 0))</f>
        <v>ㄅ</v>
      </c>
      <c r="BN4" s="581" t="str" cm="1">
        <f t="array" ref="BN4" xml:space="preserve"> INDEX( 注音編碼對照表[國際音標], MATCH(TRUE, EXACT(台語音標注音鍵盤!$BK4, 注音編碼對照表[鍵盤按鍵]), 0))</f>
        <v>p</v>
      </c>
      <c r="BO4" s="582" t="str" cm="1">
        <f t="array" ref="BO4" xml:space="preserve"> INDEX( 注音編碼對照表[台語音標], MATCH(TRUE, EXACT(台語音標注音鍵盤!$BK4, 注音編碼對照表[鍵盤按鍵]), 0))</f>
        <v>p</v>
      </c>
      <c r="BP4" s="107"/>
      <c r="BR4" s="265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66" t="str">
        <f xml:space="preserve"> "- xform/" &amp; BN4 &amp; "/" &amp; BK4 &amp; "/"</f>
        <v>- xform/p/1/</v>
      </c>
      <c r="BW4" s="266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563" t="s">
        <v>558</v>
      </c>
      <c r="D5" s="564"/>
      <c r="E5" s="565"/>
      <c r="F5" s="563" t="s">
        <v>559</v>
      </c>
      <c r="G5" s="564"/>
      <c r="H5" s="565"/>
      <c r="I5" s="563" t="s">
        <v>322</v>
      </c>
      <c r="J5" s="564"/>
      <c r="K5" s="565"/>
      <c r="L5" s="563" t="s">
        <v>560</v>
      </c>
      <c r="M5" s="564"/>
      <c r="N5" s="565"/>
      <c r="O5" s="563" t="s">
        <v>408</v>
      </c>
      <c r="P5" s="564"/>
      <c r="Q5" s="565"/>
      <c r="R5" s="563" t="s">
        <v>447</v>
      </c>
      <c r="S5" s="564"/>
      <c r="T5" s="565"/>
      <c r="U5" s="569" t="s">
        <v>259</v>
      </c>
      <c r="V5" s="570"/>
      <c r="W5" s="571"/>
      <c r="X5" s="569" t="s">
        <v>275</v>
      </c>
      <c r="Y5" s="570"/>
      <c r="Z5" s="571"/>
      <c r="AA5" s="569" t="s">
        <v>267</v>
      </c>
      <c r="AB5" s="570"/>
      <c r="AC5" s="571"/>
      <c r="AD5" s="569" t="s">
        <v>400</v>
      </c>
      <c r="AE5" s="570"/>
      <c r="AF5" s="571"/>
      <c r="AG5" s="569" t="s">
        <v>561</v>
      </c>
      <c r="AH5" s="570"/>
      <c r="AI5" s="571"/>
      <c r="AJ5" s="569" t="s">
        <v>562</v>
      </c>
      <c r="AK5" s="570"/>
      <c r="AL5" s="571"/>
      <c r="AM5" s="572" t="s">
        <v>563</v>
      </c>
      <c r="AN5" s="573"/>
      <c r="AO5" s="574"/>
      <c r="AP5" s="239"/>
      <c r="AQ5" s="239"/>
      <c r="AR5" s="240"/>
      <c r="AS5" s="240"/>
      <c r="AT5" s="239"/>
      <c r="AU5" s="239"/>
      <c r="AV5" s="239"/>
      <c r="BJ5" s="264">
        <f t="shared" si="0"/>
        <v>2</v>
      </c>
      <c r="BK5" s="71" t="str">
        <f>注音編碼對照表!C4</f>
        <v>q</v>
      </c>
      <c r="BL5" s="583" t="str" cm="1">
        <f t="array" ref="BL5" xml:space="preserve"> INDEX( 注音編碼對照表[方音符號], MATCH(TRUE, EXACT(台語音標注音鍵盤!$BK5, 注音編碼對照表[鍵盤按鍵]), 0))</f>
        <v>ㄆ</v>
      </c>
      <c r="BM5" s="584" t="str" cm="1">
        <f t="array" ref="BM5" xml:space="preserve"> INDEX( 注音編碼對照表[台語音標注音], MATCH(TRUE, EXACT(台語音標注音鍵盤!$BK5, 注音編碼對照表[鍵盤按鍵]), 0))</f>
        <v>ㄆ</v>
      </c>
      <c r="BN5" s="581" t="str" cm="1">
        <f t="array" ref="BN5" xml:space="preserve"> INDEX( 注音編碼對照表[國際音標], MATCH(TRUE, EXACT(台語音標注音鍵盤!$BK5, 注音編碼對照表[鍵盤按鍵]), 0))</f>
        <v>pʰ</v>
      </c>
      <c r="BO5" s="582" t="str" cm="1">
        <f t="array" ref="BO5" xml:space="preserve"> INDEX( 注音編碼對照表[台語音標], MATCH(TRUE, EXACT(台語音標注音鍵盤!$BK5, 注音編碼對照表[鍵盤按鍵]), 0))</f>
        <v>ph</v>
      </c>
      <c r="BP5" s="107"/>
      <c r="BR5" s="265" t="str">
        <f t="shared" si="1"/>
        <v>"q": { commit: "ㄆ" }</v>
      </c>
      <c r="BT5" s="242">
        <f t="shared" si="2"/>
        <v>2</v>
      </c>
      <c r="BU5" s="266" t="str">
        <f t="shared" ref="BU5:BU55" si="3" xml:space="preserve"> "- xform/" &amp; BN5 &amp; "/" &amp; BK5 &amp; "/"</f>
        <v>- xform/pʰ/q/</v>
      </c>
      <c r="BW5" s="266" t="str">
        <f t="shared" ref="BW5:BW55" si="4" xml:space="preserve"> "- xform/" &amp; BK5 &amp; "/" &amp; BL5 &amp; "/"</f>
        <v>- xform/q/ㄆ/</v>
      </c>
    </row>
    <row r="6" spans="1:75" s="147" customFormat="1" ht="45" customHeight="1">
      <c r="A6" s="239"/>
      <c r="B6" s="239"/>
      <c r="C6" s="579"/>
      <c r="D6" s="244"/>
      <c r="E6" s="245"/>
      <c r="F6" s="579"/>
      <c r="G6" s="244"/>
      <c r="H6" s="245"/>
      <c r="I6" s="579" t="str">
        <f ca="1">R19</f>
        <v>兀</v>
      </c>
      <c r="J6" s="244"/>
      <c r="K6" s="587" t="str">
        <f ca="1">R20</f>
        <v>g</v>
      </c>
      <c r="L6" s="579"/>
      <c r="M6" s="244"/>
      <c r="N6" s="245"/>
      <c r="O6" s="579"/>
      <c r="P6" s="244"/>
      <c r="Q6" s="245"/>
      <c r="R6" s="579"/>
      <c r="S6" s="244"/>
      <c r="T6" s="245"/>
      <c r="U6" s="585" t="str">
        <f ca="1">AF19</f>
        <v>⁰ㄧ</v>
      </c>
      <c r="V6" s="252"/>
      <c r="W6" s="589" t="str">
        <f ca="1">AF20</f>
        <v>inn</v>
      </c>
      <c r="X6" s="585" t="str">
        <f ca="1">AI19</f>
        <v>⁰ㆦ</v>
      </c>
      <c r="Y6" s="588"/>
      <c r="Z6" s="589" t="str">
        <f ca="1">AI20</f>
        <v>onn</v>
      </c>
      <c r="AA6" s="585"/>
      <c r="AB6" s="252"/>
      <c r="AC6" s="589"/>
      <c r="AD6" s="585"/>
      <c r="AE6" s="252"/>
      <c r="AF6" s="253"/>
      <c r="AG6" s="585"/>
      <c r="AH6" s="252"/>
      <c r="AI6" s="253"/>
      <c r="AJ6" s="585"/>
      <c r="AK6" s="252"/>
      <c r="AL6" s="253"/>
      <c r="AM6" s="585"/>
      <c r="AN6" s="252"/>
      <c r="AO6" s="253"/>
      <c r="AP6" s="239"/>
      <c r="AQ6" s="239"/>
      <c r="AR6" s="240"/>
      <c r="AS6" s="240"/>
      <c r="AT6" s="239"/>
      <c r="AU6" s="239"/>
      <c r="AV6" s="239"/>
      <c r="BJ6" s="264">
        <f t="shared" si="0"/>
        <v>3</v>
      </c>
      <c r="BK6" s="71" t="str">
        <f>注音編碼對照表!C5</f>
        <v>!</v>
      </c>
      <c r="BL6" s="583" t="str" cm="1">
        <f t="array" ref="BL6" xml:space="preserve"> INDEX( 注音編碼對照表[方音符號], MATCH(TRUE, EXACT(台語音標注音鍵盤!$BK6, 注音編碼對照表[鍵盤按鍵]), 0))</f>
        <v>ㆠ</v>
      </c>
      <c r="BM6" s="584" t="str" cm="1">
        <f t="array" ref="BM6" xml:space="preserve"> INDEX( 注音編碼對照表[台語音標注音], MATCH(TRUE, EXACT(台語音標注音鍵盤!$BK6, 注音編碼對照表[鍵盤按鍵]), 0))</f>
        <v>万</v>
      </c>
      <c r="BN6" s="581" t="str" cm="1">
        <f t="array" ref="BN6" xml:space="preserve"> INDEX( 注音編碼對照表[國際音標], MATCH(TRUE, EXACT(台語音標注音鍵盤!$BK6, 注音編碼對照表[鍵盤按鍵]), 0))</f>
        <v>b</v>
      </c>
      <c r="BO6" s="582" t="str" cm="1">
        <f t="array" ref="BO6" xml:space="preserve"> INDEX( 注音編碼對照表[台語音標], MATCH(TRUE, EXACT(台語音標注音鍵盤!$BK6, 注音編碼對照表[鍵盤按鍵]), 0))</f>
        <v>b</v>
      </c>
      <c r="BP6" s="107"/>
      <c r="BR6" s="265" t="str">
        <f t="shared" si="1"/>
        <v>"!": { commit: "ㆠ" }</v>
      </c>
      <c r="BT6" s="242">
        <f t="shared" si="2"/>
        <v>3</v>
      </c>
      <c r="BU6" s="266" t="str">
        <f t="shared" si="3"/>
        <v>- xform/b/!/</v>
      </c>
      <c r="BW6" s="266" t="str">
        <f t="shared" si="4"/>
        <v>- xform/!/ㆠ/</v>
      </c>
    </row>
    <row r="7" spans="1:75" ht="45" customHeight="1" thickBot="1">
      <c r="A7" s="258"/>
      <c r="B7" s="258"/>
      <c r="C7" s="580" t="str">
        <f ca="1">E19</f>
        <v>ㄆ</v>
      </c>
      <c r="D7" s="259"/>
      <c r="E7" s="260" t="s">
        <v>24</v>
      </c>
      <c r="F7" s="580" t="str">
        <f ca="1">I19</f>
        <v>ㄊ</v>
      </c>
      <c r="G7" s="259"/>
      <c r="H7" s="260" t="s">
        <v>604</v>
      </c>
      <c r="I7" s="580" t="str">
        <f ca="1">P19</f>
        <v>ㄍ</v>
      </c>
      <c r="J7" s="259"/>
      <c r="K7" s="260" t="str">
        <f ca="1">P20</f>
        <v>k</v>
      </c>
      <c r="L7" s="580"/>
      <c r="M7" s="259"/>
      <c r="N7" s="260"/>
      <c r="O7" s="580"/>
      <c r="P7" s="259"/>
      <c r="Q7" s="260"/>
      <c r="R7" s="580" t="str">
        <f ca="1">L19</f>
        <v>ㄗ</v>
      </c>
      <c r="S7" s="259"/>
      <c r="T7" s="260" t="str">
        <f ca="1">L20</f>
        <v>z</v>
      </c>
      <c r="U7" s="586" t="str">
        <f ca="1">U18</f>
        <v>ㄧ</v>
      </c>
      <c r="V7" s="262"/>
      <c r="W7" s="263" t="str">
        <f ca="1">U20</f>
        <v>i</v>
      </c>
      <c r="X7" s="586" t="str">
        <f ca="1">X19</f>
        <v>ㄛ</v>
      </c>
      <c r="Y7" s="262"/>
      <c r="Z7" s="263" t="str">
        <f ca="1">X20</f>
        <v>oo</v>
      </c>
      <c r="AA7" s="586" t="str">
        <f ca="1">AN19</f>
        <v>ㄛㄥ</v>
      </c>
      <c r="AB7" s="262"/>
      <c r="AC7" s="263" t="str">
        <f ca="1">AN20</f>
        <v>ong</v>
      </c>
      <c r="AD7" s="586" t="str">
        <f ca="1">AP19</f>
        <v>ㄣ</v>
      </c>
      <c r="AE7" s="262"/>
      <c r="AF7" s="263" t="str">
        <f ca="1">AP20</f>
        <v>-n</v>
      </c>
      <c r="AG7" s="586"/>
      <c r="AH7" s="262"/>
      <c r="AI7" s="263"/>
      <c r="AJ7" s="586"/>
      <c r="AK7" s="262"/>
      <c r="AL7" s="263"/>
      <c r="AM7" s="586"/>
      <c r="AN7" s="262"/>
      <c r="AO7" s="263"/>
      <c r="AP7" s="258"/>
      <c r="AQ7" s="258"/>
      <c r="AR7" s="234"/>
      <c r="AS7" s="234"/>
      <c r="AT7" s="258"/>
      <c r="AU7" s="258"/>
      <c r="AV7" s="258"/>
      <c r="BJ7" s="264">
        <f t="shared" si="0"/>
        <v>4</v>
      </c>
      <c r="BK7" s="71" t="str">
        <f>注音編碼對照表!C6</f>
        <v>a</v>
      </c>
      <c r="BL7" s="583" t="str" cm="1">
        <f t="array" ref="BL7" xml:space="preserve"> INDEX( 注音編碼對照表[方音符號], MATCH(TRUE, EXACT(台語音標注音鍵盤!$BK7, 注音編碼對照表[鍵盤按鍵]), 0))</f>
        <v>ㄇ</v>
      </c>
      <c r="BM7" s="584" t="str" cm="1">
        <f t="array" ref="BM7" xml:space="preserve"> INDEX( 注音編碼對照表[台語音標注音], MATCH(TRUE, EXACT(台語音標注音鍵盤!$BK7, 注音編碼對照表[鍵盤按鍵]), 0))</f>
        <v>ㄇ</v>
      </c>
      <c r="BN7" s="581" t="str" cm="1">
        <f t="array" ref="BN7" xml:space="preserve"> INDEX( 注音編碼對照表[國際音標], MATCH(TRUE, EXACT(台語音標注音鍵盤!$BK7, 注音編碼對照表[鍵盤按鍵]), 0))</f>
        <v>m</v>
      </c>
      <c r="BO7" s="582" t="str" cm="1">
        <f t="array" ref="BO7" xml:space="preserve"> INDEX( 注音編碼對照表[台語音標], MATCH(TRUE, EXACT(台語音標注音鍵盤!$BK7, 注音編碼對照表[鍵盤按鍵]), 0))</f>
        <v>m</v>
      </c>
      <c r="BP7" s="111"/>
      <c r="BR7" s="265" t="str">
        <f t="shared" si="1"/>
        <v>"a": { commit: "ㄇ" }</v>
      </c>
      <c r="BT7" s="237">
        <f t="shared" si="2"/>
        <v>4</v>
      </c>
      <c r="BU7" s="266" t="str">
        <f t="shared" si="3"/>
        <v>- xform/m/a/</v>
      </c>
      <c r="BW7" s="266" t="str">
        <f t="shared" si="4"/>
        <v>- xform/a/ㄇ/</v>
      </c>
    </row>
    <row r="8" spans="1:75" s="147" customFormat="1" ht="45" customHeight="1">
      <c r="A8" s="239"/>
      <c r="B8" s="239"/>
      <c r="C8" s="267"/>
      <c r="D8" s="563" t="s">
        <v>401</v>
      </c>
      <c r="E8" s="564"/>
      <c r="F8" s="565"/>
      <c r="G8" s="563" t="s">
        <v>460</v>
      </c>
      <c r="H8" s="564"/>
      <c r="I8" s="565"/>
      <c r="J8" s="563" t="s">
        <v>189</v>
      </c>
      <c r="K8" s="564"/>
      <c r="L8" s="565"/>
      <c r="M8" s="563" t="s">
        <v>565</v>
      </c>
      <c r="N8" s="564"/>
      <c r="O8" s="565"/>
      <c r="P8" s="563" t="s">
        <v>141</v>
      </c>
      <c r="Q8" s="564"/>
      <c r="R8" s="565"/>
      <c r="S8" s="563" t="s">
        <v>454</v>
      </c>
      <c r="T8" s="564"/>
      <c r="U8" s="565"/>
      <c r="V8" s="569" t="s">
        <v>249</v>
      </c>
      <c r="W8" s="570"/>
      <c r="X8" s="571"/>
      <c r="Y8" s="569" t="s">
        <v>425</v>
      </c>
      <c r="Z8" s="570"/>
      <c r="AA8" s="571"/>
      <c r="AB8" s="569" t="s">
        <v>231</v>
      </c>
      <c r="AC8" s="570"/>
      <c r="AD8" s="571"/>
      <c r="AE8" s="569" t="s">
        <v>566</v>
      </c>
      <c r="AF8" s="570"/>
      <c r="AG8" s="571"/>
      <c r="AH8" s="572" t="s">
        <v>567</v>
      </c>
      <c r="AI8" s="573"/>
      <c r="AJ8" s="574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64">
        <f t="shared" si="0"/>
        <v>5</v>
      </c>
      <c r="BK8" s="71" t="str">
        <f>注音編碼對照表!C7</f>
        <v>2</v>
      </c>
      <c r="BL8" s="583" t="str" cm="1">
        <f t="array" ref="BL8" xml:space="preserve"> INDEX( 注音編碼對照表[方音符號], MATCH(TRUE, EXACT(台語音標注音鍵盤!$BK8, 注音編碼對照表[鍵盤按鍵]), 0))</f>
        <v>ㄉ</v>
      </c>
      <c r="BM8" s="584" t="str" cm="1">
        <f t="array" ref="BM8" xml:space="preserve"> INDEX( 注音編碼對照表[台語音標注音], MATCH(TRUE, EXACT(台語音標注音鍵盤!$BK8, 注音編碼對照表[鍵盤按鍵]), 0))</f>
        <v>ㄉ</v>
      </c>
      <c r="BN8" s="581" t="str" cm="1">
        <f t="array" ref="BN8" xml:space="preserve"> INDEX( 注音編碼對照表[國際音標], MATCH(TRUE, EXACT(台語音標注音鍵盤!$BK8, 注音編碼對照表[鍵盤按鍵]), 0))</f>
        <v>t</v>
      </c>
      <c r="BO8" s="582" t="str" cm="1">
        <f t="array" ref="BO8" xml:space="preserve"> INDEX( 注音編碼對照表[台語音標], MATCH(TRUE, EXACT(台語音標注音鍵盤!$BK8, 注音編碼對照表[鍵盤按鍵]), 0))</f>
        <v>t</v>
      </c>
      <c r="BP8" s="107"/>
      <c r="BR8" s="265" t="str">
        <f t="shared" si="1"/>
        <v>"2": { commit: "ㄉ" }</v>
      </c>
      <c r="BT8" s="242">
        <f t="shared" si="2"/>
        <v>5</v>
      </c>
      <c r="BU8" s="266" t="str">
        <f t="shared" si="3"/>
        <v>- xform/t/2/</v>
      </c>
      <c r="BW8" s="266" t="str">
        <f t="shared" si="4"/>
        <v>- xform/2/ㄉ/</v>
      </c>
    </row>
    <row r="9" spans="1:75" s="147" customFormat="1" ht="45" customHeight="1">
      <c r="A9" s="239"/>
      <c r="B9" s="239"/>
      <c r="C9" s="267"/>
      <c r="D9" s="579"/>
      <c r="E9" s="244"/>
      <c r="F9" s="245" t="str">
        <f ca="1">AP20</f>
        <v>-n</v>
      </c>
      <c r="G9" s="579"/>
      <c r="H9" s="244"/>
      <c r="I9" s="245"/>
      <c r="J9" s="579"/>
      <c r="K9" s="244"/>
      <c r="L9" s="245"/>
      <c r="M9" s="579"/>
      <c r="N9" s="244"/>
      <c r="O9" s="245"/>
      <c r="P9" s="579"/>
      <c r="Q9" s="244"/>
      <c r="R9" s="245"/>
      <c r="S9" s="579"/>
      <c r="T9" s="244"/>
      <c r="U9" s="245"/>
      <c r="V9" s="585" t="str">
        <f ca="1">AG19</f>
        <v>⁰ㄨ</v>
      </c>
      <c r="W9" s="588"/>
      <c r="X9" s="589" t="str">
        <f ca="1">AG20</f>
        <v>unn</v>
      </c>
      <c r="Y9" s="585"/>
      <c r="Z9" s="252"/>
      <c r="AA9" s="253"/>
      <c r="AB9" s="585" t="str">
        <f ca="1">AL19</f>
        <v>⁰ㄠ</v>
      </c>
      <c r="AC9" s="252"/>
      <c r="AD9" s="590" t="str">
        <f ca="1">AL20</f>
        <v>aunn</v>
      </c>
      <c r="AE9" s="585"/>
      <c r="AF9" s="588"/>
      <c r="AG9" s="589"/>
      <c r="AH9" s="585"/>
      <c r="AI9" s="252"/>
      <c r="AJ9" s="253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64">
        <f t="shared" si="0"/>
        <v>6</v>
      </c>
      <c r="BK9" s="71" t="str">
        <f>注音編碼對照表!C8</f>
        <v>w</v>
      </c>
      <c r="BL9" s="583" t="str" cm="1">
        <f t="array" ref="BL9" xml:space="preserve"> INDEX( 注音編碼對照表[方音符號], MATCH(TRUE, EXACT(台語音標注音鍵盤!$BK9, 注音編碼對照表[鍵盤按鍵]), 0))</f>
        <v>ㄊ</v>
      </c>
      <c r="BM9" s="584" t="str" cm="1">
        <f t="array" ref="BM9" xml:space="preserve"> INDEX( 注音編碼對照表[台語音標注音], MATCH(TRUE, EXACT(台語音標注音鍵盤!$BK9, 注音編碼對照表[鍵盤按鍵]), 0))</f>
        <v>ㄊ</v>
      </c>
      <c r="BN9" s="581" t="str" cm="1">
        <f t="array" ref="BN9" xml:space="preserve"> INDEX( 注音編碼對照表[國際音標], MATCH(TRUE, EXACT(台語音標注音鍵盤!$BK9, 注音編碼對照表[鍵盤按鍵]), 0))</f>
        <v>tʰ</v>
      </c>
      <c r="BO9" s="582" t="str" cm="1">
        <f t="array" ref="BO9" xml:space="preserve"> INDEX( 注音編碼對照表[台語音標], MATCH(TRUE, EXACT(台語音標注音鍵盤!$BK9, 注音編碼對照表[鍵盤按鍵]), 0))</f>
        <v>th</v>
      </c>
      <c r="BP9" s="107"/>
      <c r="BR9" s="265" t="str">
        <f t="shared" si="1"/>
        <v>"w": { commit: "ㄊ" }</v>
      </c>
      <c r="BT9" s="242">
        <f t="shared" si="2"/>
        <v>6</v>
      </c>
      <c r="BU9" s="266" t="str">
        <f t="shared" si="3"/>
        <v>- xform/tʰ/w/</v>
      </c>
      <c r="BW9" s="266" t="str">
        <f t="shared" si="4"/>
        <v>- xform/w/ㄊ/</v>
      </c>
    </row>
    <row r="10" spans="1:75" ht="45" customHeight="1" thickBot="1">
      <c r="A10" s="258"/>
      <c r="B10" s="258"/>
      <c r="C10" s="258"/>
      <c r="D10" s="580" t="str">
        <f ca="1">G19</f>
        <v>ㄇ</v>
      </c>
      <c r="E10" s="259"/>
      <c r="F10" s="260" t="s">
        <v>84</v>
      </c>
      <c r="G10" s="580" t="str">
        <f ca="1">J19</f>
        <v>ㄋ</v>
      </c>
      <c r="H10" s="259"/>
      <c r="I10" s="260" t="s">
        <v>372</v>
      </c>
      <c r="J10" s="580" t="str">
        <f ca="1">Q19</f>
        <v>ㄎ</v>
      </c>
      <c r="K10" s="259"/>
      <c r="L10" s="260" t="s">
        <v>39</v>
      </c>
      <c r="M10" s="580"/>
      <c r="N10" s="259"/>
      <c r="O10" s="260"/>
      <c r="P10" s="580" t="str">
        <f ca="1">S19</f>
        <v>⁰兀</v>
      </c>
      <c r="Q10" s="259"/>
      <c r="R10" s="260" t="str">
        <f ca="1">S20</f>
        <v>ng-</v>
      </c>
      <c r="S10" s="580" t="str">
        <f ca="1">M19</f>
        <v>ㄘ</v>
      </c>
      <c r="T10" s="259"/>
      <c r="U10" s="260" t="str">
        <f ca="1">M20</f>
        <v>c</v>
      </c>
      <c r="V10" s="586" t="str">
        <f ca="1">V19</f>
        <v>ㄨ</v>
      </c>
      <c r="W10" s="262"/>
      <c r="X10" s="263" t="str">
        <f ca="1">V20</f>
        <v>u</v>
      </c>
      <c r="Y10" s="586" t="str">
        <f ca="1">Y19</f>
        <v>ㄜ</v>
      </c>
      <c r="Z10" s="262"/>
      <c r="AA10" s="263" t="str">
        <f ca="1">Y20</f>
        <v>o</v>
      </c>
      <c r="AB10" s="586" t="str">
        <f ca="1">AB19</f>
        <v>ㄠ</v>
      </c>
      <c r="AC10" s="262"/>
      <c r="AD10" s="263" t="str">
        <f ca="1">AB20</f>
        <v>au</v>
      </c>
      <c r="AE10" s="586" t="str">
        <f ca="1">AD19</f>
        <v>ㄤ</v>
      </c>
      <c r="AF10" s="262"/>
      <c r="AG10" s="263" t="str">
        <f ca="1">AD20</f>
        <v>ang</v>
      </c>
      <c r="AH10" s="586"/>
      <c r="AI10" s="262"/>
      <c r="AJ10" s="263"/>
      <c r="AK10" s="258"/>
      <c r="AL10" s="258"/>
      <c r="AM10" s="258"/>
      <c r="AN10" s="258"/>
      <c r="AO10" s="258"/>
      <c r="AP10" s="258"/>
      <c r="AQ10" s="258"/>
      <c r="AR10" s="234"/>
      <c r="AS10" s="234"/>
      <c r="AT10" s="258"/>
      <c r="AU10" s="258"/>
      <c r="AV10" s="258"/>
      <c r="BJ10" s="264">
        <f t="shared" si="0"/>
        <v>7</v>
      </c>
      <c r="BK10" s="71" t="str">
        <f>注音編碼對照表!C9</f>
        <v>s</v>
      </c>
      <c r="BL10" s="583" t="str" cm="1">
        <f t="array" ref="BL10" xml:space="preserve"> INDEX( 注音編碼對照表[方音符號], MATCH(TRUE, EXACT(台語音標注音鍵盤!$BK10, 注音編碼對照表[鍵盤按鍵]), 0))</f>
        <v>ㄋ</v>
      </c>
      <c r="BM10" s="584" t="str" cm="1">
        <f t="array" ref="BM10" xml:space="preserve"> INDEX( 注音編碼對照表[台語音標注音], MATCH(TRUE, EXACT(台語音標注音鍵盤!$BK10, 注音編碼對照表[鍵盤按鍵]), 0))</f>
        <v>ㄋ</v>
      </c>
      <c r="BN10" s="581" t="str" cm="1">
        <f t="array" ref="BN10" xml:space="preserve"> INDEX( 注音編碼對照表[國際音標], MATCH(TRUE, EXACT(台語音標注音鍵盤!$BK10, 注音編碼對照表[鍵盤按鍵]), 0))</f>
        <v>n</v>
      </c>
      <c r="BO10" s="582" t="str" cm="1">
        <f t="array" ref="BO10" xml:space="preserve"> INDEX( 注音編碼對照表[台語音標], MATCH(TRUE, EXACT(台語音標注音鍵盤!$BK10, 注音編碼對照表[鍵盤按鍵]), 0))</f>
        <v>n</v>
      </c>
      <c r="BP10" s="107"/>
      <c r="BR10" s="265" t="str">
        <f t="shared" si="1"/>
        <v>"s": { commit: "ㄋ" }</v>
      </c>
      <c r="BT10" s="237">
        <f t="shared" si="2"/>
        <v>7</v>
      </c>
      <c r="BU10" s="266" t="str">
        <f t="shared" si="3"/>
        <v>- xform/n/s/</v>
      </c>
      <c r="BW10" s="266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563" t="s">
        <v>449</v>
      </c>
      <c r="F11" s="564"/>
      <c r="G11" s="565"/>
      <c r="H11" s="563" t="s">
        <v>568</v>
      </c>
      <c r="I11" s="564"/>
      <c r="J11" s="565"/>
      <c r="K11" s="563" t="s">
        <v>456</v>
      </c>
      <c r="L11" s="564"/>
      <c r="M11" s="565"/>
      <c r="N11" s="563" t="s">
        <v>569</v>
      </c>
      <c r="O11" s="564"/>
      <c r="P11" s="565"/>
      <c r="Q11" s="563" t="s">
        <v>144</v>
      </c>
      <c r="R11" s="564"/>
      <c r="S11" s="565"/>
      <c r="T11" s="563" t="s">
        <v>570</v>
      </c>
      <c r="U11" s="564"/>
      <c r="V11" s="565"/>
      <c r="W11" s="569" t="s">
        <v>525</v>
      </c>
      <c r="X11" s="570"/>
      <c r="Y11" s="571"/>
      <c r="Z11" s="569" t="s">
        <v>571</v>
      </c>
      <c r="AA11" s="570"/>
      <c r="AB11" s="571"/>
      <c r="AC11" s="569" t="s">
        <v>572</v>
      </c>
      <c r="AD11" s="570"/>
      <c r="AE11" s="571"/>
      <c r="AF11" s="572" t="s">
        <v>573</v>
      </c>
      <c r="AG11" s="573"/>
      <c r="AH11" s="574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64">
        <f t="shared" si="0"/>
        <v>8</v>
      </c>
      <c r="BK11" s="71" t="str">
        <f>注音編碼對照表!C10</f>
        <v>x</v>
      </c>
      <c r="BL11" s="583" t="str" cm="1">
        <f t="array" ref="BL11" xml:space="preserve"> INDEX( 注音編碼對照表[方音符號], MATCH(TRUE, EXACT(台語音標注音鍵盤!$BK11, 注音編碼對照表[鍵盤按鍵]), 0))</f>
        <v>ㄌ</v>
      </c>
      <c r="BM11" s="584" t="str" cm="1">
        <f t="array" ref="BM11" xml:space="preserve"> INDEX( 注音編碼對照表[台語音標注音], MATCH(TRUE, EXACT(台語音標注音鍵盤!$BK11, 注音編碼對照表[鍵盤按鍵]), 0))</f>
        <v>ㄌ</v>
      </c>
      <c r="BN11" s="581" t="str" cm="1">
        <f t="array" ref="BN11" xml:space="preserve"> INDEX( 注音編碼對照表[國際音標], MATCH(TRUE, EXACT(台語音標注音鍵盤!$BK11, 注音編碼對照表[鍵盤按鍵]), 0))</f>
        <v>l</v>
      </c>
      <c r="BO11" s="582" t="str" cm="1">
        <f t="array" ref="BO11" xml:space="preserve"> INDEX( 注音編碼對照表[台語音標], MATCH(TRUE, EXACT(台語音標注音鍵盤!$BK11, 注音編碼對照表[鍵盤按鍵]), 0))</f>
        <v>l</v>
      </c>
      <c r="BP11" s="107"/>
      <c r="BR11" s="265" t="str">
        <f t="shared" si="1"/>
        <v>"x": { commit: "ㄌ" }</v>
      </c>
      <c r="BT11" s="242">
        <f t="shared" si="2"/>
        <v>8</v>
      </c>
      <c r="BU11" s="266" t="str">
        <f t="shared" si="3"/>
        <v>- xform/l/x/</v>
      </c>
      <c r="BW11" s="266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579"/>
      <c r="F12" s="244"/>
      <c r="G12" s="245"/>
      <c r="H12" s="579"/>
      <c r="I12" s="244"/>
      <c r="J12" s="245"/>
      <c r="K12" s="579"/>
      <c r="L12" s="244"/>
      <c r="M12" s="245"/>
      <c r="N12" s="579"/>
      <c r="O12" s="244"/>
      <c r="P12" s="245"/>
      <c r="Q12" s="579"/>
      <c r="R12" s="244"/>
      <c r="S12" s="245"/>
      <c r="T12" s="579"/>
      <c r="U12" s="244"/>
      <c r="V12" s="245"/>
      <c r="W12" s="585" t="str">
        <f ca="1">AM19</f>
        <v>ㄚㄇ</v>
      </c>
      <c r="X12" s="588"/>
      <c r="Y12" s="589" t="str">
        <f ca="1">AM20</f>
        <v>am</v>
      </c>
      <c r="Z12" s="585" t="str">
        <f ca="1">AJ19</f>
        <v>⁰ㄝ</v>
      </c>
      <c r="AA12" s="252"/>
      <c r="AB12" s="589" t="str">
        <f ca="1">AJ20</f>
        <v>enn</v>
      </c>
      <c r="AC12" s="585"/>
      <c r="AD12" s="252"/>
      <c r="AE12" s="253"/>
      <c r="AF12" s="585"/>
      <c r="AG12" s="252"/>
      <c r="AH12" s="253"/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64">
        <f t="shared" si="0"/>
        <v>9</v>
      </c>
      <c r="BK12" s="71" t="str">
        <f>注音編碼對照表!C11</f>
        <v>y</v>
      </c>
      <c r="BL12" s="583" t="str" cm="1">
        <f t="array" ref="BL12" xml:space="preserve"> INDEX( 注音編碼對照表[方音符號], MATCH(TRUE, EXACT(台語音標注音鍵盤!$BK12, 注音編碼對照表[鍵盤按鍵]), 0))</f>
        <v>ㄗ</v>
      </c>
      <c r="BM12" s="584" t="str" cm="1">
        <f t="array" ref="BM12" xml:space="preserve"> INDEX( 注音編碼對照表[台語音標注音], MATCH(TRUE, EXACT(台語音標注音鍵盤!$BK12, 注音編碼對照表[鍵盤按鍵]), 0))</f>
        <v>ㄗ</v>
      </c>
      <c r="BN12" s="581" t="str" cm="1">
        <f t="array" ref="BN12" xml:space="preserve"> INDEX( 注音編碼對照表[國際音標], MATCH(TRUE, EXACT(台語音標注音鍵盤!$BK12, 注音編碼對照表[鍵盤按鍵]), 0))</f>
        <v>ts</v>
      </c>
      <c r="BO12" s="582" t="str" cm="1">
        <f t="array" ref="BO12" xml:space="preserve"> INDEX( 注音編碼對照表[台語音標], MATCH(TRUE, EXACT(台語音標注音鍵盤!$BK12, 注音編碼對照表[鍵盤按鍵]), 0))</f>
        <v>z</v>
      </c>
      <c r="BP12" s="107"/>
      <c r="BR12" s="265" t="str">
        <f t="shared" si="1"/>
        <v>"y": { commit: "ㄗ" }</v>
      </c>
      <c r="BT12" s="242">
        <f t="shared" si="2"/>
        <v>9</v>
      </c>
      <c r="BU12" s="266" t="str">
        <f t="shared" si="3"/>
        <v>- xform/ts/y/</v>
      </c>
      <c r="BW12" s="266" t="str">
        <f t="shared" si="4"/>
        <v>- xform/y/ㄗ/</v>
      </c>
    </row>
    <row r="13" spans="1:75" ht="45" customHeight="1" thickBot="1">
      <c r="A13" s="258"/>
      <c r="B13" s="258"/>
      <c r="C13" s="258"/>
      <c r="D13" s="258"/>
      <c r="E13" s="580"/>
      <c r="F13" s="259"/>
      <c r="G13" s="260"/>
      <c r="H13" s="580" t="str">
        <f ca="1">K19</f>
        <v>ㄌ</v>
      </c>
      <c r="I13" s="259"/>
      <c r="J13" s="260" t="s">
        <v>496</v>
      </c>
      <c r="K13" s="580" t="str">
        <f ca="1">T19</f>
        <v>ㄏ</v>
      </c>
      <c r="L13" s="259"/>
      <c r="M13" s="260" t="str">
        <f ca="1">T20</f>
        <v>h</v>
      </c>
      <c r="N13" s="580"/>
      <c r="O13" s="259"/>
      <c r="P13" s="260"/>
      <c r="Q13" s="580" t="str">
        <f ca="1">N19</f>
        <v>ㄖ</v>
      </c>
      <c r="R13" s="259"/>
      <c r="S13" s="260" t="str">
        <f ca="1">N20</f>
        <v>j</v>
      </c>
      <c r="T13" s="580" t="str">
        <f ca="1">O19</f>
        <v>ㄙ</v>
      </c>
      <c r="U13" s="259"/>
      <c r="V13" s="260" t="str">
        <f ca="1">O20</f>
        <v>s</v>
      </c>
      <c r="W13" s="586" t="str">
        <f ca="1">AQ19</f>
        <v>ㄇ</v>
      </c>
      <c r="X13" s="262"/>
      <c r="Y13" s="263" t="str">
        <f ca="1">AQ20</f>
        <v>-m</v>
      </c>
      <c r="Z13" s="586" t="str">
        <f ca="1">Z19</f>
        <v>ㄝ</v>
      </c>
      <c r="AA13" s="262"/>
      <c r="AB13" s="263" t="str">
        <f ca="1">Z20</f>
        <v>e</v>
      </c>
      <c r="AC13" s="586" t="str">
        <f ca="1">AR19</f>
        <v>ㄬ</v>
      </c>
      <c r="AD13" s="262"/>
      <c r="AE13" s="263" t="str">
        <f ca="1">AR20</f>
        <v>-nn</v>
      </c>
      <c r="AF13" s="586" t="str">
        <f ca="1">AO19</f>
        <v>ㄥ</v>
      </c>
      <c r="AG13" s="262"/>
      <c r="AH13" s="263" t="str">
        <f ca="1">AO20</f>
        <v>-ng</v>
      </c>
      <c r="AI13" s="258"/>
      <c r="AJ13" s="258"/>
      <c r="AK13" s="258"/>
      <c r="AL13" s="258"/>
      <c r="AM13" s="258"/>
      <c r="AN13" s="258"/>
      <c r="AO13" s="258"/>
      <c r="AP13" s="258"/>
      <c r="AQ13" s="258"/>
      <c r="AR13" s="234"/>
      <c r="AS13" s="234"/>
      <c r="AT13" s="258"/>
      <c r="AU13" s="258"/>
      <c r="AV13" s="258"/>
      <c r="BG13" s="147"/>
      <c r="BJ13" s="264">
        <f t="shared" si="0"/>
        <v>10</v>
      </c>
      <c r="BK13" s="71" t="str">
        <f>注音編碼對照表!C12</f>
        <v>h</v>
      </c>
      <c r="BL13" s="583" t="str" cm="1">
        <f t="array" ref="BL13" xml:space="preserve"> INDEX( 注音編碼對照表[方音符號], MATCH(TRUE, EXACT(台語音標注音鍵盤!$BK13, 注音編碼對照表[鍵盤按鍵]), 0))</f>
        <v>ㄘ</v>
      </c>
      <c r="BM13" s="584" t="str" cm="1">
        <f t="array" ref="BM13" xml:space="preserve"> INDEX( 注音編碼對照表[台語音標注音], MATCH(TRUE, EXACT(台語音標注音鍵盤!$BK13, 注音編碼對照表[鍵盤按鍵]), 0))</f>
        <v>ㄘ</v>
      </c>
      <c r="BN13" s="581" t="str" cm="1">
        <f t="array" ref="BN13" xml:space="preserve"> INDEX( 注音編碼對照表[國際音標], MATCH(TRUE, EXACT(台語音標注音鍵盤!$BK13, 注音編碼對照表[鍵盤按鍵]), 0))</f>
        <v>ʦʰ</v>
      </c>
      <c r="BO13" s="582" t="str" cm="1">
        <f t="array" ref="BO13" xml:space="preserve"> INDEX( 注音編碼對照表[台語音標], MATCH(TRUE, EXACT(台語音標注音鍵盤!$BK13, 注音編碼對照表[鍵盤按鍵]), 0))</f>
        <v>c</v>
      </c>
      <c r="BP13" s="107"/>
      <c r="BR13" s="265" t="str">
        <f t="shared" si="1"/>
        <v>"h": { commit: "ㄘ" }</v>
      </c>
      <c r="BT13" s="237">
        <f t="shared" si="2"/>
        <v>10</v>
      </c>
      <c r="BU13" s="266" t="str">
        <f t="shared" si="3"/>
        <v>- xform/ʦʰ/h/</v>
      </c>
      <c r="BW13" s="266" t="str">
        <f t="shared" si="4"/>
        <v>- xform/h/ㄘ/</v>
      </c>
    </row>
    <row r="14" spans="1:75" ht="45" customHeight="1">
      <c r="BG14" s="147"/>
      <c r="BJ14" s="264">
        <f t="shared" si="0"/>
        <v>11</v>
      </c>
      <c r="BK14" s="71" t="str">
        <f>注音編碼對照表!C13</f>
        <v>b</v>
      </c>
      <c r="BL14" s="583" t="str" cm="1">
        <f t="array" ref="BL14" xml:space="preserve"> INDEX( 注音編碼對照表[方音符號], MATCH(TRUE, EXACT(台語音標注音鍵盤!$BK14, 注音編碼對照表[鍵盤按鍵]), 0))</f>
        <v>ㆡ</v>
      </c>
      <c r="BM14" s="584" t="str" cm="1">
        <f t="array" ref="BM14" xml:space="preserve"> INDEX( 注音編碼對照表[台語音標注音], MATCH(TRUE, EXACT(台語音標注音鍵盤!$BK14, 注音編碼對照表[鍵盤按鍵]), 0))</f>
        <v>ㄖ</v>
      </c>
      <c r="BN14" s="581" t="str" cm="1">
        <f t="array" ref="BN14" xml:space="preserve"> INDEX( 注音編碼對照表[國際音標], MATCH(TRUE, EXACT(台語音標注音鍵盤!$BK14, 注音編碼對照表[鍵盤按鍵]), 0))</f>
        <v>ʣ</v>
      </c>
      <c r="BO14" s="582" t="str" cm="1">
        <f t="array" ref="BO14" xml:space="preserve"> INDEX( 注音編碼對照表[台語音標], MATCH(TRUE, EXACT(台語音標注音鍵盤!$BK14, 注音編碼對照表[鍵盤按鍵]), 0))</f>
        <v>j</v>
      </c>
      <c r="BP14" s="107"/>
      <c r="BR14" s="265" t="str">
        <f t="shared" si="1"/>
        <v>"b": { commit: "ㆡ" }</v>
      </c>
      <c r="BT14" s="237">
        <f t="shared" si="2"/>
        <v>11</v>
      </c>
      <c r="BU14" s="266" t="str">
        <f t="shared" si="3"/>
        <v>- xform/ʣ/b/</v>
      </c>
      <c r="BW14" s="266" t="str">
        <f t="shared" si="4"/>
        <v>- xform/b/ㆡ/</v>
      </c>
    </row>
    <row r="15" spans="1:75" s="190" customFormat="1" ht="45" customHeight="1">
      <c r="A15" s="258"/>
      <c r="B15" s="258"/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8"/>
      <c r="AP15" s="258"/>
      <c r="AQ15" s="258"/>
      <c r="AR15" s="234"/>
      <c r="AS15" s="234"/>
      <c r="AT15" s="258"/>
      <c r="AU15" s="258"/>
      <c r="AV15" s="258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64">
        <f t="shared" si="0"/>
        <v>12</v>
      </c>
      <c r="BK15" s="71" t="str">
        <f>注音編碼對照表!C14</f>
        <v>n</v>
      </c>
      <c r="BL15" s="583" t="str" cm="1">
        <f t="array" ref="BL15" xml:space="preserve"> INDEX( 注音編碼對照表[方音符號], MATCH(TRUE, EXACT(台語音標注音鍵盤!$BK15, 注音編碼對照表[鍵盤按鍵]), 0))</f>
        <v>ㄙ</v>
      </c>
      <c r="BM15" s="584" t="str" cm="1">
        <f t="array" ref="BM15" xml:space="preserve"> INDEX( 注音編碼對照表[台語音標注音], MATCH(TRUE, EXACT(台語音標注音鍵盤!$BK15, 注音編碼對照表[鍵盤按鍵]), 0))</f>
        <v>ㄙ</v>
      </c>
      <c r="BN15" s="581" t="str" cm="1">
        <f t="array" ref="BN15" xml:space="preserve"> INDEX( 注音編碼對照表[國際音標], MATCH(TRUE, EXACT(台語音標注音鍵盤!$BK15, 注音編碼對照表[鍵盤按鍵]), 0))</f>
        <v>s</v>
      </c>
      <c r="BO15" s="582" t="str" cm="1">
        <f t="array" ref="BO15" xml:space="preserve"> INDEX( 注音編碼對照表[台語音標], MATCH(TRUE, EXACT(台語音標注音鍵盤!$BK15, 注音編碼對照表[鍵盤按鍵]), 0))</f>
        <v>s</v>
      </c>
      <c r="BP15" s="107"/>
      <c r="BR15" s="265" t="str">
        <f t="shared" si="1"/>
        <v>"n": { commit: "ㄙ" }</v>
      </c>
      <c r="BT15" s="268">
        <f t="shared" si="2"/>
        <v>12</v>
      </c>
      <c r="BU15" s="266" t="str">
        <f t="shared" si="3"/>
        <v>- xform/s/n/</v>
      </c>
      <c r="BW15" s="266" t="str">
        <f t="shared" si="4"/>
        <v>- xform/n/ㄙ/</v>
      </c>
    </row>
    <row r="16" spans="1:75" s="193" customFormat="1" ht="45" customHeight="1">
      <c r="A16" s="269"/>
      <c r="B16" s="270" t="s">
        <v>14</v>
      </c>
      <c r="C16" s="271"/>
      <c r="D16" s="272" cm="1">
        <f t="array" ref="D16" xml:space="preserve"> COLUMN() - COLUMN($C:$C)</f>
        <v>1</v>
      </c>
      <c r="E16" s="272" cm="1">
        <f t="array" ref="E16" xml:space="preserve"> COLUMN() - COLUMN($C:$C)</f>
        <v>2</v>
      </c>
      <c r="F16" s="272" cm="1">
        <f t="array" ref="F16" xml:space="preserve"> COLUMN() - COLUMN($C:$C)</f>
        <v>3</v>
      </c>
      <c r="G16" s="272" cm="1">
        <f t="array" ref="G16" xml:space="preserve"> COLUMN() - COLUMN($C:$C)</f>
        <v>4</v>
      </c>
      <c r="H16" s="272" cm="1">
        <f t="array" ref="H16" xml:space="preserve"> COLUMN() - COLUMN($C:$C)</f>
        <v>5</v>
      </c>
      <c r="I16" s="272" cm="1">
        <f t="array" ref="I16" xml:space="preserve"> COLUMN() - COLUMN($C:$C)</f>
        <v>6</v>
      </c>
      <c r="J16" s="272" cm="1">
        <f t="array" ref="J16" xml:space="preserve"> COLUMN() - COLUMN($C:$C)</f>
        <v>7</v>
      </c>
      <c r="K16" s="272" cm="1">
        <f t="array" ref="K16" xml:space="preserve"> COLUMN() - COLUMN($C:$C)</f>
        <v>8</v>
      </c>
      <c r="L16" s="272" cm="1">
        <f t="array" ref="L16" xml:space="preserve"> COLUMN() - COLUMN($C:$C)</f>
        <v>9</v>
      </c>
      <c r="M16" s="272" cm="1">
        <f t="array" ref="M16" xml:space="preserve"> COLUMN() - COLUMN($C:$C)</f>
        <v>10</v>
      </c>
      <c r="N16" s="272" cm="1">
        <f t="array" ref="N16" xml:space="preserve"> COLUMN() - COLUMN($C:$C)</f>
        <v>11</v>
      </c>
      <c r="O16" s="272" cm="1">
        <f t="array" ref="O16" xml:space="preserve"> COLUMN() - COLUMN($C:$C)</f>
        <v>12</v>
      </c>
      <c r="P16" s="272" cm="1">
        <f t="array" ref="P16" xml:space="preserve"> COLUMN() - COLUMN($C:$C)</f>
        <v>13</v>
      </c>
      <c r="Q16" s="272" cm="1">
        <f t="array" ref="Q16" xml:space="preserve"> COLUMN() - COLUMN($C:$C)</f>
        <v>14</v>
      </c>
      <c r="R16" s="272" cm="1">
        <f t="array" ref="R16" xml:space="preserve"> COLUMN() - COLUMN($C:$C)</f>
        <v>15</v>
      </c>
      <c r="S16" s="272" cm="1">
        <f t="array" ref="S16" xml:space="preserve"> COLUMN() - COLUMN($C:$C)</f>
        <v>16</v>
      </c>
      <c r="T16" s="272" cm="1">
        <f t="array" ref="T16" xml:space="preserve"> COLUMN() - COLUMN($C:$C)</f>
        <v>17</v>
      </c>
      <c r="U16" s="272" cm="1">
        <f t="array" ref="U16" xml:space="preserve"> COLUMN() - COLUMN($C:$C)</f>
        <v>18</v>
      </c>
      <c r="V16" s="272" cm="1">
        <f t="array" ref="V16" xml:space="preserve"> COLUMN() - COLUMN($C:$C)</f>
        <v>19</v>
      </c>
      <c r="W16" s="272" cm="1">
        <f t="array" ref="W16" xml:space="preserve"> COLUMN() - COLUMN($C:$C)</f>
        <v>20</v>
      </c>
      <c r="X16" s="272" cm="1">
        <f t="array" ref="X16" xml:space="preserve"> COLUMN() - COLUMN($C:$C)</f>
        <v>21</v>
      </c>
      <c r="Y16" s="273" cm="1">
        <f t="array" ref="Y16" xml:space="preserve"> COLUMN() - COLUMN($C:$C)</f>
        <v>22</v>
      </c>
      <c r="Z16" s="273" cm="1">
        <f t="array" ref="Z16" xml:space="preserve"> COLUMN() - COLUMN($C:$C)</f>
        <v>23</v>
      </c>
      <c r="AA16" s="273" cm="1">
        <f t="array" ref="AA16" xml:space="preserve"> COLUMN() - COLUMN($C:$C)</f>
        <v>24</v>
      </c>
      <c r="AB16" s="273" cm="1">
        <f t="array" ref="AB16" xml:space="preserve"> COLUMN() - COLUMN($C:$C)</f>
        <v>25</v>
      </c>
      <c r="AC16" s="273" cm="1">
        <f t="array" ref="AC16" xml:space="preserve"> COLUMN() - COLUMN($C:$C)</f>
        <v>26</v>
      </c>
      <c r="AD16" s="273" cm="1">
        <f t="array" ref="AD16" xml:space="preserve"> COLUMN() - COLUMN($C:$C)</f>
        <v>27</v>
      </c>
      <c r="AE16" s="273" cm="1">
        <f t="array" ref="AE16" xml:space="preserve"> COLUMN() - COLUMN($C:$C)</f>
        <v>28</v>
      </c>
      <c r="AF16" s="273" cm="1">
        <f t="array" ref="AF16" xml:space="preserve"> COLUMN() - COLUMN($C:$C)</f>
        <v>29</v>
      </c>
      <c r="AG16" s="273" cm="1">
        <f t="array" ref="AG16" xml:space="preserve"> COLUMN() - COLUMN($C:$C)</f>
        <v>30</v>
      </c>
      <c r="AH16" s="273" cm="1">
        <f t="array" ref="AH16" xml:space="preserve"> COLUMN() - COLUMN($C:$C)</f>
        <v>31</v>
      </c>
      <c r="AI16" s="273" cm="1">
        <f t="array" ref="AI16" xml:space="preserve"> COLUMN() - COLUMN($C:$C)</f>
        <v>32</v>
      </c>
      <c r="AJ16" s="273" cm="1">
        <f t="array" ref="AJ16" xml:space="preserve"> COLUMN() - COLUMN($C:$C)</f>
        <v>33</v>
      </c>
      <c r="AK16" s="273" cm="1">
        <f t="array" ref="AK16" xml:space="preserve"> COLUMN() - COLUMN($C:$C)</f>
        <v>34</v>
      </c>
      <c r="AL16" s="273" cm="1">
        <f t="array" ref="AL16" xml:space="preserve"> COLUMN() - COLUMN($C:$C)</f>
        <v>35</v>
      </c>
      <c r="AM16" s="273" cm="1">
        <f t="array" ref="AM16" xml:space="preserve"> COLUMN() - COLUMN($C:$C)</f>
        <v>36</v>
      </c>
      <c r="AN16" s="273" cm="1">
        <f t="array" ref="AN16" xml:space="preserve"> COLUMN() - COLUMN($C:$C)</f>
        <v>37</v>
      </c>
      <c r="AO16" s="273" cm="1">
        <f t="array" ref="AO16" xml:space="preserve"> COLUMN() - COLUMN($C:$C)</f>
        <v>38</v>
      </c>
      <c r="AP16" s="273" cm="1">
        <f t="array" ref="AP16" xml:space="preserve"> COLUMN() - COLUMN($C:$C)</f>
        <v>39</v>
      </c>
      <c r="AQ16" s="273" cm="1">
        <f t="array" ref="AQ16" xml:space="preserve"> COLUMN() - COLUMN($C:$C)</f>
        <v>40</v>
      </c>
      <c r="AR16" s="273" cm="1">
        <f t="array" ref="AR16" xml:space="preserve"> COLUMN() - COLUMN($C:$C)</f>
        <v>41</v>
      </c>
      <c r="AS16" s="273" cm="1">
        <f t="array" ref="AS16" xml:space="preserve"> COLUMN() - COLUMN($C:$C)</f>
        <v>42</v>
      </c>
      <c r="AT16" s="273" cm="1">
        <f t="array" ref="AT16" xml:space="preserve"> COLUMN() - COLUMN($C:$C)</f>
        <v>43</v>
      </c>
      <c r="AU16" s="273" cm="1">
        <f t="array" ref="AU16" xml:space="preserve"> COLUMN() - COLUMN($C:$C)</f>
        <v>44</v>
      </c>
      <c r="AV16" s="273" cm="1">
        <f t="array" ref="AV16" xml:space="preserve"> COLUMN() - COLUMN($C:$C)</f>
        <v>45</v>
      </c>
      <c r="AW16" s="273" cm="1">
        <f t="array" ref="AW16" xml:space="preserve"> COLUMN() - COLUMN($C:$C)</f>
        <v>46</v>
      </c>
      <c r="AX16" s="274" cm="1">
        <f t="array" ref="AX16" xml:space="preserve"> COLUMN() - COLUMN($C:$C)</f>
        <v>47</v>
      </c>
      <c r="AY16" s="147"/>
      <c r="AZ16" s="147"/>
      <c r="BA16" s="147"/>
      <c r="BB16" s="147"/>
      <c r="BC16" s="147"/>
      <c r="BD16" s="147"/>
      <c r="BE16" s="147"/>
      <c r="BF16" s="147"/>
      <c r="BG16" s="147"/>
      <c r="BJ16" s="264">
        <f t="shared" si="0"/>
        <v>13</v>
      </c>
      <c r="BK16" s="71" t="str">
        <f>注音編碼對照表!C15</f>
        <v>e</v>
      </c>
      <c r="BL16" s="583" t="str" cm="1">
        <f t="array" ref="BL16" xml:space="preserve"> INDEX( 注音編碼對照表[方音符號], MATCH(TRUE, EXACT(台語音標注音鍵盤!$BK16, 注音編碼對照表[鍵盤按鍵]), 0))</f>
        <v>ㄍ</v>
      </c>
      <c r="BM16" s="584" t="str" cm="1">
        <f t="array" ref="BM16" xml:space="preserve"> INDEX( 注音編碼對照表[台語音標注音], MATCH(TRUE, EXACT(台語音標注音鍵盤!$BK16, 注音編碼對照表[鍵盤按鍵]), 0))</f>
        <v>ㄍ</v>
      </c>
      <c r="BN16" s="581" t="str" cm="1">
        <f t="array" ref="BN16" xml:space="preserve"> INDEX( 注音編碼對照表[國際音標], MATCH(TRUE, EXACT(台語音標注音鍵盤!$BK16, 注音編碼對照表[鍵盤按鍵]), 0))</f>
        <v>k</v>
      </c>
      <c r="BO16" s="582" t="str" cm="1">
        <f t="array" ref="BO16" xml:space="preserve"> INDEX( 注音編碼對照表[台語音標], MATCH(TRUE, EXACT(台語音標注音鍵盤!$BK16, 注音編碼對照表[鍵盤按鍵]), 0))</f>
        <v>k</v>
      </c>
      <c r="BP16" s="107"/>
      <c r="BR16" s="265" t="str">
        <f t="shared" si="1"/>
        <v>"e": { commit: "ㄍ" }</v>
      </c>
      <c r="BT16" s="195">
        <f t="shared" si="2"/>
        <v>13</v>
      </c>
      <c r="BU16" s="266" t="str">
        <f t="shared" si="3"/>
        <v>- xform/k/e/</v>
      </c>
      <c r="BW16" s="266" t="str">
        <f t="shared" si="4"/>
        <v>- xform/e/ㄍ/</v>
      </c>
    </row>
    <row r="17" spans="1:89" s="193" customFormat="1" ht="45" customHeight="1">
      <c r="A17" s="275"/>
      <c r="B17" s="276" t="s">
        <v>19</v>
      </c>
      <c r="C17" s="277"/>
      <c r="D17" s="278" t="str" cm="1">
        <f t="array" aca="1" ref="D17" ca="1">INDIRECT(ADDRESS(ROW($BK$4)+D$16-1, COLUMN($BK$4)))</f>
        <v>1</v>
      </c>
      <c r="E17" s="278" t="str" cm="1">
        <f t="array" aca="1" ref="E17" ca="1">INDIRECT(ADDRESS(ROW($BK$4)+E$16-1, COLUMN($BK$4)))</f>
        <v>q</v>
      </c>
      <c r="F17" s="278" t="str" cm="1">
        <f t="array" aca="1" ref="F17" ca="1">INDIRECT(ADDRESS(ROW($BK$4)+F$16-1, COLUMN($BK$4)))</f>
        <v>!</v>
      </c>
      <c r="G17" s="278" t="str" cm="1">
        <f t="array" aca="1" ref="G17" ca="1">INDIRECT(ADDRESS(ROW($BK$4)+G$16-1, COLUMN($BK$4)))</f>
        <v>a</v>
      </c>
      <c r="H17" s="278" t="str" cm="1">
        <f t="array" aca="1" ref="H17" ca="1">INDIRECT(ADDRESS(ROW($BK$4)+H$16-1, COLUMN($BK$4)))</f>
        <v>2</v>
      </c>
      <c r="I17" s="278" t="str" cm="1">
        <f t="array" aca="1" ref="I17" ca="1">INDIRECT(ADDRESS(ROW($BK$4)+I$16-1, COLUMN($BK$4)))</f>
        <v>w</v>
      </c>
      <c r="J17" s="278" t="str" cm="1">
        <f t="array" aca="1" ref="J17" ca="1">INDIRECT(ADDRESS(ROW($BK$4)+J$16-1, COLUMN($BK$4)))</f>
        <v>s</v>
      </c>
      <c r="K17" s="278" t="str" cm="1">
        <f t="array" aca="1" ref="K17" ca="1">INDIRECT(ADDRESS(ROW($BK$4)+K$16-1, COLUMN($BK$4)))</f>
        <v>x</v>
      </c>
      <c r="L17" s="278" t="str" cm="1">
        <f t="array" aca="1" ref="L17" ca="1">INDIRECT(ADDRESS(ROW($BK$4)+L$16-1, COLUMN($BK$4)))</f>
        <v>y</v>
      </c>
      <c r="M17" s="278" t="str" cm="1">
        <f t="array" aca="1" ref="M17" ca="1">INDIRECT(ADDRESS(ROW($BK$4)+M$16-1, COLUMN($BK$4)))</f>
        <v>h</v>
      </c>
      <c r="N17" s="278" t="str" cm="1">
        <f t="array" aca="1" ref="N17" ca="1">INDIRECT(ADDRESS(ROW($BK$4)+N$16-1, COLUMN($BK$4)))</f>
        <v>b</v>
      </c>
      <c r="O17" s="278" t="str" cm="1">
        <f t="array" aca="1" ref="O17" ca="1">INDIRECT(ADDRESS(ROW($BK$4)+O$16-1, COLUMN($BK$4)))</f>
        <v>n</v>
      </c>
      <c r="P17" s="278" t="str" cm="1">
        <f t="array" aca="1" ref="P17" ca="1">INDIRECT(ADDRESS(ROW($BK$4)+P$16-1, COLUMN($BK$4)))</f>
        <v>e</v>
      </c>
      <c r="Q17" s="278" t="str" cm="1">
        <f t="array" aca="1" ref="Q17" ca="1">INDIRECT(ADDRESS(ROW($BK$4)+Q$16-1, COLUMN($BK$4)))</f>
        <v>d</v>
      </c>
      <c r="R17" s="278" t="str" cm="1">
        <f t="array" aca="1" ref="R17" ca="1">INDIRECT(ADDRESS(ROW($BK$4)+R$16-1, COLUMN($BK$4)))</f>
        <v>E</v>
      </c>
      <c r="S17" s="278" t="str" cm="1">
        <f t="array" aca="1" ref="S17" ca="1">INDIRECT(ADDRESS(ROW($BK$4)+S$16-1, COLUMN($BK$4)))</f>
        <v>g</v>
      </c>
      <c r="T17" s="278" t="str" cm="1">
        <f t="array" aca="1" ref="T17" ca="1">INDIRECT(ADDRESS(ROW($BK$4)+T$16-1, COLUMN($BK$4)))</f>
        <v>c</v>
      </c>
      <c r="U17" s="278" t="str" cm="1">
        <f t="array" aca="1" ref="U17" ca="1">INDIRECT(ADDRESS(ROW($BK$4)+U$16-1, COLUMN($BK$4)))</f>
        <v>u</v>
      </c>
      <c r="V17" s="278" t="str" cm="1">
        <f t="array" aca="1" ref="V17" ca="1">INDIRECT(ADDRESS(ROW($BK$4)+V$16-1, COLUMN($BK$4)))</f>
        <v>j</v>
      </c>
      <c r="W17" s="278" t="str" cm="1">
        <f t="array" aca="1" ref="W17" ca="1">INDIRECT(ADDRESS(ROW($BK$4)+W$16-1, COLUMN($BK$4)))</f>
        <v>8</v>
      </c>
      <c r="X17" s="278" t="str" cm="1">
        <f t="array" aca="1" ref="X17" ca="1">INDIRECT(ADDRESS(ROW($BK$4)+X$16-1, COLUMN($BK$4)))</f>
        <v>i</v>
      </c>
      <c r="Y17" s="278" t="str" cm="1">
        <f t="array" aca="1" ref="Y17" ca="1">INDIRECT(ADDRESS(ROW($BK$4)+Y$16-1, COLUMN($BK$4)))</f>
        <v>k</v>
      </c>
      <c r="Z17" s="278" t="str" cm="1">
        <f t="array" aca="1" ref="Z17" ca="1">INDIRECT(ADDRESS(ROW($BK$4)+Z$16-1, COLUMN($BK$4)))</f>
        <v>,</v>
      </c>
      <c r="AA17" s="278" t="str" cm="1">
        <f t="array" aca="1" ref="AA17" ca="1">INDIRECT(ADDRESS(ROW($BK$4)+AA$16-1, COLUMN($BK$4)))</f>
        <v>9</v>
      </c>
      <c r="AB17" s="278" t="str" cm="1">
        <f t="array" aca="1" ref="AB17" ca="1">INDIRECT(ADDRESS(ROW($BK$4)+AB$16-1, COLUMN($BK$4)))</f>
        <v>l</v>
      </c>
      <c r="AC17" s="278" t="str" cm="1">
        <f t="array" aca="1" ref="AC17" ca="1">INDIRECT(ADDRESS(ROW($BK$4)+AC$16-1, COLUMN($BK$4)))</f>
        <v>0</v>
      </c>
      <c r="AD17" s="278" t="str" cm="1">
        <f t="array" aca="1" ref="AD17" ca="1">INDIRECT(ADDRESS(ROW($BK$4)+AD$16-1, COLUMN($BK$4)))</f>
        <v>;</v>
      </c>
      <c r="AE17" s="278" t="str" cm="1">
        <f t="array" aca="1" ref="AE17" ca="1">INDIRECT(ADDRESS(ROW($BK$4)+AE$16-1, COLUMN($BK$4)))</f>
        <v>-</v>
      </c>
      <c r="AF17" s="278" t="str" cm="1">
        <f t="array" aca="1" ref="AF17" ca="1">INDIRECT(ADDRESS(ROW($BK$4)+AF$16-1, COLUMN($BK$4)))</f>
        <v>U</v>
      </c>
      <c r="AG17" s="278" t="str" cm="1">
        <f t="array" aca="1" ref="AG17" ca="1">INDIRECT(ADDRESS(ROW($BK$4)+AG$16-1, COLUMN($BK$4)))</f>
        <v>J</v>
      </c>
      <c r="AH17" s="278" t="str" cm="1">
        <f t="array" aca="1" ref="AH17" ca="1">INDIRECT(ADDRESS(ROW($BK$4)+AH$16-1, COLUMN($BK$4)))</f>
        <v>*</v>
      </c>
      <c r="AI17" s="278" t="str" cm="1">
        <f t="array" aca="1" ref="AI17" ca="1">INDIRECT(ADDRESS(ROW($BK$4)+AI$16-1, COLUMN($BK$4)))</f>
        <v>I</v>
      </c>
      <c r="AJ17" s="278" t="str" cm="1">
        <f t="array" aca="1" ref="AJ17" ca="1">INDIRECT(ADDRESS(ROW($BK$4)+AJ$16-1, COLUMN($BK$4)))</f>
        <v>&lt;</v>
      </c>
      <c r="AK17" s="278" t="str" cm="1">
        <f t="array" aca="1" ref="AK17" ca="1">INDIRECT(ADDRESS(ROW($BK$4)+AK$16-1, COLUMN($BK$4)))</f>
        <v>(</v>
      </c>
      <c r="AL17" s="278" t="str" cm="1">
        <f t="array" aca="1" ref="AL17" ca="1">INDIRECT(ADDRESS(ROW($BK$4)+AL$16-1, COLUMN($BK$4)))</f>
        <v>L</v>
      </c>
      <c r="AM17" s="278" t="str" cm="1">
        <f t="array" aca="1" ref="AM17" ca="1">INDIRECT(ADDRESS(ROW($BK$4)+AM$16-1, COLUMN($BK$4)))</f>
        <v>M</v>
      </c>
      <c r="AN17" s="278" t="str" cm="1">
        <f t="array" aca="1" ref="AN17" ca="1">INDIRECT(ADDRESS(ROW($BK$4)+AN$16-1, COLUMN($BK$4)))</f>
        <v>o</v>
      </c>
      <c r="AO17" s="278" t="str" cm="1">
        <f t="array" aca="1" ref="AO17" ca="1">INDIRECT(ADDRESS(ROW($BK$4)+AO$16-1, COLUMN($BK$4)))</f>
        <v>/</v>
      </c>
      <c r="AP17" s="278" t="str" cm="1">
        <f t="array" aca="1" ref="AP17" ca="1">INDIRECT(ADDRESS(ROW($BK$4)+AP$16-1, COLUMN($BK$4)))</f>
        <v>p</v>
      </c>
      <c r="AQ17" s="278" t="str" cm="1">
        <f t="array" aca="1" ref="AQ17" ca="1">INDIRECT(ADDRESS(ROW($BK$4)+AQ$16-1, COLUMN($BK$4)))</f>
        <v>m</v>
      </c>
      <c r="AR17" s="278" t="str" cm="1">
        <f t="array" aca="1" ref="AR17" ca="1">INDIRECT(ADDRESS(ROW($BK$4)+AR$16-1, COLUMN($BK$4)))</f>
        <v>.</v>
      </c>
      <c r="AS17" s="278" t="str" cm="1">
        <f t="array" aca="1" ref="AS17" ca="1">INDIRECT(ADDRESS(ROW($BK$4)+AS$16-1, COLUMN($BK$4)))</f>
        <v xml:space="preserve"> </v>
      </c>
      <c r="AT17" s="278" t="str" cm="1">
        <f t="array" aca="1" ref="AT17" ca="1">INDIRECT(ADDRESS(ROW($BK$4)+AT$16-1, COLUMN($BK$4)))</f>
        <v>4</v>
      </c>
      <c r="AU17" s="278" t="str" cm="1">
        <f t="array" aca="1" ref="AU17" ca="1">INDIRECT(ADDRESS(ROW($BK$4)+AU$16-1, COLUMN($BK$4)))</f>
        <v>3</v>
      </c>
      <c r="AV17" s="278" t="str" cm="1">
        <f t="array" aca="1" ref="AV17" ca="1">INDIRECT(ADDRESS(ROW($BK$4)+AV$16-1, COLUMN($BK$4)))</f>
        <v>6</v>
      </c>
      <c r="AW17" s="278" t="str" cm="1">
        <f t="array" aca="1" ref="AW17" ca="1">INDIRECT(ADDRESS(ROW($BK$4)+AW$16-1, COLUMN($BK$4)))</f>
        <v>5</v>
      </c>
      <c r="AX17" s="278" t="str" cm="1">
        <f t="array" aca="1" ref="AX17" ca="1">INDIRECT(ADDRESS(ROW($BK$4)+AX$16-1, COLUMN($BK$4)))</f>
        <v>7</v>
      </c>
      <c r="AY17" s="147"/>
      <c r="AZ17" s="147"/>
      <c r="BA17" s="147"/>
      <c r="BB17" s="147"/>
      <c r="BC17" s="147"/>
      <c r="BD17" s="147"/>
      <c r="BE17" s="147"/>
      <c r="BF17" s="147"/>
      <c r="BG17" s="147"/>
      <c r="BJ17" s="264">
        <f t="shared" si="0"/>
        <v>14</v>
      </c>
      <c r="BK17" s="71" t="str">
        <f>注音編碼對照表!C16</f>
        <v>d</v>
      </c>
      <c r="BL17" s="583" t="str" cm="1">
        <f t="array" ref="BL17" xml:space="preserve"> INDEX( 注音編碼對照表[方音符號], MATCH(TRUE, EXACT(台語音標注音鍵盤!$BK17, 注音編碼對照表[鍵盤按鍵]), 0))</f>
        <v>ㄎ</v>
      </c>
      <c r="BM17" s="584" t="str" cm="1">
        <f t="array" ref="BM17" xml:space="preserve"> INDEX( 注音編碼對照表[台語音標注音], MATCH(TRUE, EXACT(台語音標注音鍵盤!$BK17, 注音編碼對照表[鍵盤按鍵]), 0))</f>
        <v>ㄎ</v>
      </c>
      <c r="BN17" s="581" t="str" cm="1">
        <f t="array" ref="BN17" xml:space="preserve"> INDEX( 注音編碼對照表[國際音標], MATCH(TRUE, EXACT(台語音標注音鍵盤!$BK17, 注音編碼對照表[鍵盤按鍵]), 0))</f>
        <v>kʰ</v>
      </c>
      <c r="BO17" s="582" t="str" cm="1">
        <f t="array" ref="BO17" xml:space="preserve"> INDEX( 注音編碼對照表[台語音標], MATCH(TRUE, EXACT(台語音標注音鍵盤!$BK17, 注音編碼對照表[鍵盤按鍵]), 0))</f>
        <v>kh</v>
      </c>
      <c r="BP17" s="107"/>
      <c r="BR17" s="265" t="str">
        <f t="shared" si="1"/>
        <v>"d": { commit: "ㄎ" }</v>
      </c>
      <c r="BT17" s="195">
        <f t="shared" si="2"/>
        <v>14</v>
      </c>
      <c r="BU17" s="266" t="str">
        <f t="shared" si="3"/>
        <v>- xform/kʰ/d/</v>
      </c>
      <c r="BW17" s="266" t="str">
        <f t="shared" si="4"/>
        <v>- xform/d/ㄎ/</v>
      </c>
    </row>
    <row r="18" spans="1:89" s="193" customFormat="1" ht="45" customHeight="1">
      <c r="A18" s="275"/>
      <c r="B18" s="312" t="s">
        <v>15</v>
      </c>
      <c r="C18" s="313"/>
      <c r="D18" s="314" t="str" cm="1">
        <f t="array" aca="1" ref="D18" ca="1" xml:space="preserve"> INDEX($BL$4:$BL$55, MATCH(TRUE, EXACT(D$17, $BK$4:$BK$55), 0))</f>
        <v>ㄅ</v>
      </c>
      <c r="E18" s="314" t="str" cm="1">
        <f t="array" aca="1" ref="E18" ca="1" xml:space="preserve"> INDEX($BL$4:$BL$55, MATCH(TRUE, EXACT(E$17, $BK$4:$BK$55), 0))</f>
        <v>ㄆ</v>
      </c>
      <c r="F18" s="314" t="str" cm="1">
        <f t="array" aca="1" ref="F18" ca="1" xml:space="preserve"> INDEX($BL$4:$BL$55, MATCH(TRUE, EXACT(F$17, $BK$4:$BK$55), 0))</f>
        <v>ㆠ</v>
      </c>
      <c r="G18" s="314" t="str" cm="1">
        <f t="array" aca="1" ref="G18" ca="1" xml:space="preserve"> INDEX($BL$4:$BL$55, MATCH(TRUE, EXACT(G$17, $BK$4:$BK$55), 0))</f>
        <v>ㄇ</v>
      </c>
      <c r="H18" s="314" t="str" cm="1">
        <f t="array" aca="1" ref="H18" ca="1" xml:space="preserve"> INDEX($BL$4:$BL$55, MATCH(TRUE, EXACT(H$17, $BK$4:$BK$55), 0))</f>
        <v>ㄉ</v>
      </c>
      <c r="I18" s="314" t="str" cm="1">
        <f t="array" aca="1" ref="I18" ca="1" xml:space="preserve"> INDEX($BL$4:$BL$55, MATCH(TRUE, EXACT(I$17, $BK$4:$BK$55), 0))</f>
        <v>ㄊ</v>
      </c>
      <c r="J18" s="314" t="str" cm="1">
        <f t="array" aca="1" ref="J18" ca="1" xml:space="preserve"> INDEX($BL$4:$BL$55, MATCH(TRUE, EXACT(J$17, $BK$4:$BK$55), 0))</f>
        <v>ㄋ</v>
      </c>
      <c r="K18" s="314" t="str" cm="1">
        <f t="array" aca="1" ref="K18" ca="1" xml:space="preserve"> INDEX($BL$4:$BL$55, MATCH(TRUE, EXACT(K$17, $BK$4:$BK$55), 0))</f>
        <v>ㄌ</v>
      </c>
      <c r="L18" s="314" t="str" cm="1">
        <f t="array" aca="1" ref="L18" ca="1" xml:space="preserve"> INDEX($BL$4:$BL$55, MATCH(TRUE, EXACT(L$17, $BK$4:$BK$55), 0))</f>
        <v>ㄗ</v>
      </c>
      <c r="M18" s="314" t="str" cm="1">
        <f t="array" aca="1" ref="M18" ca="1" xml:space="preserve"> INDEX($BL$4:$BL$55, MATCH(TRUE, EXACT(M$17, $BK$4:$BK$55), 0))</f>
        <v>ㄘ</v>
      </c>
      <c r="N18" s="314" t="str" cm="1">
        <f t="array" aca="1" ref="N18" ca="1" xml:space="preserve"> INDEX($BL$4:$BL$55, MATCH(TRUE, EXACT(N$17, $BK$4:$BK$55), 0))</f>
        <v>ㆡ</v>
      </c>
      <c r="O18" s="314" t="str" cm="1">
        <f t="array" aca="1" ref="O18" ca="1" xml:space="preserve"> INDEX($BL$4:$BL$55, MATCH(TRUE, EXACT(O$17, $BK$4:$BK$55), 0))</f>
        <v>ㄙ</v>
      </c>
      <c r="P18" s="314" t="str" cm="1">
        <f t="array" aca="1" ref="P18" ca="1" xml:space="preserve"> INDEX($BL$4:$BL$55, MATCH(TRUE, EXACT(P$17, $BK$4:$BK$55), 0))</f>
        <v>ㄍ</v>
      </c>
      <c r="Q18" s="314" t="str" cm="1">
        <f t="array" aca="1" ref="Q18" ca="1" xml:space="preserve"> INDEX($BL$4:$BL$55, MATCH(TRUE, EXACT(Q$17, $BK$4:$BK$55), 0))</f>
        <v>ㄎ</v>
      </c>
      <c r="R18" s="314" t="str" cm="1">
        <f t="array" aca="1" ref="R18" ca="1" xml:space="preserve"> INDEX($BL$4:$BL$55, MATCH(TRUE, EXACT(R$17, $BK$4:$BK$55), 0))</f>
        <v>ㆣ</v>
      </c>
      <c r="S18" s="314" t="str" cm="1">
        <f t="array" aca="1" ref="S18" ca="1" xml:space="preserve"> INDEX($BL$4:$BL$55, MATCH(TRUE, EXACT(S$17, $BK$4:$BK$55), 0))</f>
        <v>ㄫ</v>
      </c>
      <c r="T18" s="314" t="str" cm="1">
        <f t="array" aca="1" ref="T18" ca="1" xml:space="preserve"> INDEX($BL$4:$BL$55, MATCH(TRUE, EXACT(T$17, $BK$4:$BK$55), 0))</f>
        <v>ㄏ</v>
      </c>
      <c r="U18" s="314" t="str" cm="1">
        <f t="array" aca="1" ref="U18" ca="1" xml:space="preserve"> INDEX($BL$4:$BL$55, MATCH(TRUE, EXACT(U$17, $BK$4:$BK$55), 0))</f>
        <v>ㄧ</v>
      </c>
      <c r="V18" s="314" t="str" cm="1">
        <f t="array" aca="1" ref="V18" ca="1" xml:space="preserve"> INDEX($BL$4:$BL$55, MATCH(TRUE, EXACT(V$17, $BK$4:$BK$55), 0))</f>
        <v>ㄨ</v>
      </c>
      <c r="W18" s="314" t="str" cm="1">
        <f t="array" aca="1" ref="W18" ca="1" xml:space="preserve"> INDEX($BL$4:$BL$55, MATCH(TRUE, EXACT(W$17, $BK$4:$BK$55), 0))</f>
        <v>ㄚ</v>
      </c>
      <c r="X18" s="314" t="str" cm="1">
        <f t="array" aca="1" ref="X18" ca="1" xml:space="preserve"> INDEX($BL$4:$BL$55, MATCH(TRUE, EXACT(X$17, $BK$4:$BK$55), 0))</f>
        <v>ㆦ</v>
      </c>
      <c r="Y18" s="314" t="str" cm="1">
        <f t="array" aca="1" ref="Y18" ca="1" xml:space="preserve"> INDEX($BL$4:$BL$55, MATCH(TRUE, EXACT(Y$17, $BK$4:$BK$55), 0))</f>
        <v>ㄜ</v>
      </c>
      <c r="Z18" s="314" t="str" cm="1">
        <f t="array" aca="1" ref="Z18" ca="1" xml:space="preserve"> INDEX($BL$4:$BL$55, MATCH(TRUE, EXACT(Z$17, $BK$4:$BK$55), 0))</f>
        <v>ㆤ</v>
      </c>
      <c r="AA18" s="314" t="str" cm="1">
        <f t="array" aca="1" ref="AA18" ca="1" xml:space="preserve"> INDEX($BL$4:$BL$55, MATCH(TRUE, EXACT(AA$17, $BK$4:$BK$55), 0))</f>
        <v>ㄞ</v>
      </c>
      <c r="AB18" s="314" t="str" cm="1">
        <f t="array" aca="1" ref="AB18" ca="1" xml:space="preserve"> INDEX($BL$4:$BL$55, MATCH(TRUE, EXACT(AB$17, $BK$4:$BK$55), 0))</f>
        <v>ㄠ</v>
      </c>
      <c r="AC18" s="314" t="str" cm="1">
        <f t="array" aca="1" ref="AC18" ca="1" xml:space="preserve"> INDEX($BL$4:$BL$55, MATCH(TRUE, EXACT(AC$17, $BK$4:$BK$55), 0))</f>
        <v>ㄢ</v>
      </c>
      <c r="AD18" s="314" t="str" cm="1">
        <f t="array" aca="1" ref="AD18" ca="1" xml:space="preserve"> INDEX($BL$4:$BL$55, MATCH(TRUE, EXACT(AD$17, $BK$4:$BK$55), 0))</f>
        <v>ㄤ</v>
      </c>
      <c r="AE18" s="314" t="str" cm="1">
        <f t="array" aca="1" ref="AE18" ca="1" xml:space="preserve"> INDEX($BL$4:$BL$55, MATCH(TRUE, EXACT(AE$17, $BK$4:$BK$55), 0))</f>
        <v>ㆨ</v>
      </c>
      <c r="AF18" s="314" t="str" cm="1">
        <f t="array" aca="1" ref="AF18" ca="1" xml:space="preserve"> INDEX($BL$4:$BL$55, MATCH(TRUE, EXACT(AF$17, $BK$4:$BK$55), 0))</f>
        <v>ㆪ</v>
      </c>
      <c r="AG18" s="314" t="str" cm="1">
        <f t="array" aca="1" ref="AG18" ca="1" xml:space="preserve"> INDEX($BL$4:$BL$55, MATCH(TRUE, EXACT(AG$17, $BK$4:$BK$55), 0))</f>
        <v>ㆫ</v>
      </c>
      <c r="AH18" s="314" t="str" cm="1">
        <f t="array" aca="1" ref="AH18" ca="1" xml:space="preserve"> INDEX($BL$4:$BL$55, MATCH(TRUE, EXACT(AH$17, $BK$4:$BK$55), 0))</f>
        <v>ㆩ</v>
      </c>
      <c r="AI18" s="314" t="str" cm="1">
        <f t="array" aca="1" ref="AI18" ca="1" xml:space="preserve"> INDEX($BL$4:$BL$55, MATCH(TRUE, EXACT(AI$17, $BK$4:$BK$55), 0))</f>
        <v>ㆧ</v>
      </c>
      <c r="AJ18" s="314" t="str" cm="1">
        <f t="array" aca="1" ref="AJ18" ca="1" xml:space="preserve"> INDEX($BL$4:$BL$55, MATCH(TRUE, EXACT(AJ$17, $BK$4:$BK$55), 0))</f>
        <v>ㆥ</v>
      </c>
      <c r="AK18" s="314" t="str" cm="1">
        <f t="array" aca="1" ref="AK18" ca="1" xml:space="preserve"> INDEX($BL$4:$BL$55, MATCH(TRUE, EXACT(AK$17, $BK$4:$BK$55), 0))</f>
        <v>ㆮ</v>
      </c>
      <c r="AL18" s="314" t="str" cm="1">
        <f t="array" aca="1" ref="AL18" ca="1" xml:space="preserve"> INDEX($BL$4:$BL$55, MATCH(TRUE, EXACT(AL$17, $BK$4:$BK$55), 0))</f>
        <v>ㆯ</v>
      </c>
      <c r="AM18" s="314" t="str" cm="1">
        <f t="array" aca="1" ref="AM18" ca="1" xml:space="preserve"> INDEX($BL$4:$BL$55, MATCH(TRUE, EXACT(AM$17, $BK$4:$BK$55), 0))</f>
        <v>ㆰ</v>
      </c>
      <c r="AN18" s="314" t="str" cm="1">
        <f t="array" aca="1" ref="AN18" ca="1" xml:space="preserve"> INDEX($BL$4:$BL$55, MATCH(TRUE, EXACT(AN$17, $BK$4:$BK$55), 0))</f>
        <v>ㆲ</v>
      </c>
      <c r="AO18" s="314" t="str" cm="1">
        <f t="array" aca="1" ref="AO18" ca="1" xml:space="preserve"> INDEX($BL$4:$BL$55, MATCH(TRUE, EXACT(AO$17, $BK$4:$BK$55), 0))</f>
        <v>ㆭ</v>
      </c>
      <c r="AP18" s="314" t="str" cm="1">
        <f t="array" aca="1" ref="AP18" ca="1" xml:space="preserve"> INDEX($BL$4:$BL$55, MATCH(TRUE, EXACT(AP$17, $BK$4:$BK$55), 0))</f>
        <v>ㄣ</v>
      </c>
      <c r="AQ18" s="314" t="str" cm="1">
        <f t="array" aca="1" ref="AQ18" ca="1" xml:space="preserve"> INDEX($BL$4:$BL$55, MATCH(TRUE, EXACT(AQ$17, $BK$4:$BK$55), 0))</f>
        <v>ㆬ</v>
      </c>
      <c r="AR18" s="314" t="str" cm="1">
        <f t="array" aca="1" ref="AR18" ca="1" xml:space="preserve"> INDEX($BL$4:$BL$55, MATCH(TRUE, EXACT(AR$17, $BK$4:$BK$55), 0))</f>
        <v>ㄬ</v>
      </c>
      <c r="AS18" s="314" t="str" cm="1">
        <f t="array" aca="1" ref="AS18" ca="1" xml:space="preserve"> INDEX($BL$4:$BL$55, MATCH(TRUE, EXACT(AS$17, $BK$4:$BK$55), 0))</f>
        <v>ˉ</v>
      </c>
      <c r="AT18" s="314" t="str" cm="1">
        <f t="array" aca="1" ref="AT18" ca="1" xml:space="preserve"> INDEX($BL$4:$BL$55, MATCH(TRUE, EXACT(AT$17, $BK$4:$BK$55), 0))</f>
        <v>ˋ</v>
      </c>
      <c r="AU18" s="314" t="str" cm="1">
        <f t="array" aca="1" ref="AU18" ca="1" xml:space="preserve"> INDEX($BL$4:$BL$55, MATCH(TRUE, EXACT(AU$17, $BK$4:$BK$55), 0))</f>
        <v>˪</v>
      </c>
      <c r="AV18" s="314" t="str" cm="1">
        <f t="array" aca="1" ref="AV18" ca="1" xml:space="preserve"> INDEX($BL$4:$BL$55, MATCH(TRUE, EXACT(AV$17, $BK$4:$BK$55), 0))</f>
        <v>ˊ</v>
      </c>
      <c r="AW18" s="314" t="str" cm="1">
        <f t="array" aca="1" ref="AW18" ca="1" xml:space="preserve"> INDEX($BL$4:$BL$55, MATCH(TRUE, EXACT(AW$17, $BK$4:$BK$55), 0))</f>
        <v>˫</v>
      </c>
      <c r="AX18" s="314" t="str" cm="1">
        <f t="array" aca="1" ref="AX18" ca="1" xml:space="preserve"> INDEX($BL$4:$BL$55, MATCH(TRUE, EXACT(AX$17, $BK$4:$BK$55), 0))</f>
        <v>˙</v>
      </c>
      <c r="AY18" s="147"/>
      <c r="AZ18" s="147"/>
      <c r="BA18" s="147"/>
      <c r="BB18" s="147"/>
      <c r="BC18" s="147"/>
      <c r="BD18" s="147"/>
      <c r="BE18" s="147"/>
      <c r="BF18" s="147"/>
      <c r="BG18" s="147"/>
      <c r="BJ18" s="264">
        <f t="shared" si="0"/>
        <v>15</v>
      </c>
      <c r="BK18" s="71" t="str">
        <f>注音編碼對照表!C17</f>
        <v>E</v>
      </c>
      <c r="BL18" s="583" t="str" cm="1">
        <f t="array" ref="BL18" xml:space="preserve"> INDEX( 注音編碼對照表[方音符號], MATCH(TRUE, EXACT(台語音標注音鍵盤!$BK18, 注音編碼對照表[鍵盤按鍵]), 0))</f>
        <v>ㆣ</v>
      </c>
      <c r="BM18" s="584" t="str" cm="1">
        <f t="array" ref="BM18" xml:space="preserve"> INDEX( 注音編碼對照表[台語音標注音], MATCH(TRUE, EXACT(台語音標注音鍵盤!$BK18, 注音編碼對照表[鍵盤按鍵]), 0))</f>
        <v>兀</v>
      </c>
      <c r="BN18" s="581" t="str" cm="1">
        <f t="array" ref="BN18" xml:space="preserve"> INDEX( 注音編碼對照表[國際音標], MATCH(TRUE, EXACT(台語音標注音鍵盤!$BK18, 注音編碼對照表[鍵盤按鍵]), 0))</f>
        <v>g</v>
      </c>
      <c r="BO18" s="582" t="str" cm="1">
        <f t="array" ref="BO18" xml:space="preserve"> INDEX( 注音編碼對照表[台語音標], MATCH(TRUE, EXACT(台語音標注音鍵盤!$BK18, 注音編碼對照表[鍵盤按鍵]), 0))</f>
        <v>g</v>
      </c>
      <c r="BP18" s="107"/>
      <c r="BR18" s="265" t="str">
        <f t="shared" si="1"/>
        <v>"E": { commit: "ㆣ" }</v>
      </c>
      <c r="BT18" s="195">
        <f t="shared" si="2"/>
        <v>15</v>
      </c>
      <c r="BU18" s="266" t="str">
        <f t="shared" si="3"/>
        <v>- xform/g/E/</v>
      </c>
      <c r="BW18" s="266" t="str">
        <f t="shared" si="4"/>
        <v>- xform/E/ㆣ/</v>
      </c>
    </row>
    <row r="19" spans="1:89" s="193" customFormat="1" ht="45" customHeight="1">
      <c r="A19" s="275"/>
      <c r="B19" s="315" t="s">
        <v>927</v>
      </c>
      <c r="C19" s="316"/>
      <c r="D19" s="317" t="str" cm="1">
        <f t="array" aca="1" ref="D19" ca="1" xml:space="preserve"> INDEX($BM$4:$BM$55, MATCH(TRUE, EXACT(D$17, $BK$4:$BK$55), 0))</f>
        <v>ㄅ</v>
      </c>
      <c r="E19" s="317" t="str" cm="1">
        <f t="array" aca="1" ref="E19" ca="1" xml:space="preserve"> INDEX($BM$4:$BM$55, MATCH(TRUE, EXACT(E$17, $BK$4:$BK$55), 0))</f>
        <v>ㄆ</v>
      </c>
      <c r="F19" s="317" t="str" cm="1">
        <f t="array" aca="1" ref="F19" ca="1" xml:space="preserve"> INDEX($BM$4:$BM$55, MATCH(TRUE, EXACT(F$17, $BK$4:$BK$55), 0))</f>
        <v>万</v>
      </c>
      <c r="G19" s="317" t="str" cm="1">
        <f t="array" aca="1" ref="G19" ca="1" xml:space="preserve"> INDEX($BM$4:$BM$55, MATCH(TRUE, EXACT(G$17, $BK$4:$BK$55), 0))</f>
        <v>ㄇ</v>
      </c>
      <c r="H19" s="317" t="str" cm="1">
        <f t="array" aca="1" ref="H19" ca="1" xml:space="preserve"> INDEX($BM$4:$BM$55, MATCH(TRUE, EXACT(H$17, $BK$4:$BK$55), 0))</f>
        <v>ㄉ</v>
      </c>
      <c r="I19" s="317" t="str" cm="1">
        <f t="array" aca="1" ref="I19" ca="1" xml:space="preserve"> INDEX($BM$4:$BM$55, MATCH(TRUE, EXACT(I$17, $BK$4:$BK$55), 0))</f>
        <v>ㄊ</v>
      </c>
      <c r="J19" s="317" t="str" cm="1">
        <f t="array" aca="1" ref="J19" ca="1" xml:space="preserve"> INDEX($BM$4:$BM$55, MATCH(TRUE, EXACT(J$17, $BK$4:$BK$55), 0))</f>
        <v>ㄋ</v>
      </c>
      <c r="K19" s="317" t="str" cm="1">
        <f t="array" aca="1" ref="K19" ca="1" xml:space="preserve"> INDEX($BM$4:$BM$55, MATCH(TRUE, EXACT(K$17, $BK$4:$BK$55), 0))</f>
        <v>ㄌ</v>
      </c>
      <c r="L19" s="317" t="str" cm="1">
        <f t="array" aca="1" ref="L19" ca="1" xml:space="preserve"> INDEX($BM$4:$BM$55, MATCH(TRUE, EXACT(L$17, $BK$4:$BK$55), 0))</f>
        <v>ㄗ</v>
      </c>
      <c r="M19" s="317" t="str" cm="1">
        <f t="array" aca="1" ref="M19" ca="1" xml:space="preserve"> INDEX($BM$4:$BM$55, MATCH(TRUE, EXACT(M$17, $BK$4:$BK$55), 0))</f>
        <v>ㄘ</v>
      </c>
      <c r="N19" s="317" t="str" cm="1">
        <f t="array" aca="1" ref="N19" ca="1" xml:space="preserve"> INDEX($BM$4:$BM$55, MATCH(TRUE, EXACT(N$17, $BK$4:$BK$55), 0))</f>
        <v>ㄖ</v>
      </c>
      <c r="O19" s="317" t="str" cm="1">
        <f t="array" aca="1" ref="O19" ca="1" xml:space="preserve"> INDEX($BM$4:$BM$55, MATCH(TRUE, EXACT(O$17, $BK$4:$BK$55), 0))</f>
        <v>ㄙ</v>
      </c>
      <c r="P19" s="317" t="str" cm="1">
        <f t="array" aca="1" ref="P19" ca="1" xml:space="preserve"> INDEX($BM$4:$BM$55, MATCH(TRUE, EXACT(P$17, $BK$4:$BK$55), 0))</f>
        <v>ㄍ</v>
      </c>
      <c r="Q19" s="317" t="str" cm="1">
        <f t="array" aca="1" ref="Q19" ca="1" xml:space="preserve"> INDEX($BM$4:$BM$55, MATCH(TRUE, EXACT(Q$17, $BK$4:$BK$55), 0))</f>
        <v>ㄎ</v>
      </c>
      <c r="R19" s="317" t="str" cm="1">
        <f t="array" aca="1" ref="R19" ca="1" xml:space="preserve"> INDEX($BM$4:$BM$55, MATCH(TRUE, EXACT(R$17, $BK$4:$BK$55), 0))</f>
        <v>兀</v>
      </c>
      <c r="S19" s="317" t="str" cm="1">
        <f t="array" aca="1" ref="S19" ca="1" xml:space="preserve"> INDEX($BM$4:$BM$55, MATCH(TRUE, EXACT(S$17, $BK$4:$BK$55), 0))</f>
        <v>⁰兀</v>
      </c>
      <c r="T19" s="317" t="str" cm="1">
        <f t="array" aca="1" ref="T19" ca="1" xml:space="preserve"> INDEX($BM$4:$BM$55, MATCH(TRUE, EXACT(T$17, $BK$4:$BK$55), 0))</f>
        <v>ㄏ</v>
      </c>
      <c r="U19" s="317" t="str" cm="1">
        <f t="array" aca="1" ref="U19" ca="1" xml:space="preserve"> INDEX($BM$4:$BM$55, MATCH(TRUE, EXACT(U$17, $BK$4:$BK$55), 0))</f>
        <v>ㄧ</v>
      </c>
      <c r="V19" s="317" t="str" cm="1">
        <f t="array" aca="1" ref="V19" ca="1" xml:space="preserve"> INDEX($BM$4:$BM$55, MATCH(TRUE, EXACT(V$17, $BK$4:$BK$55), 0))</f>
        <v>ㄨ</v>
      </c>
      <c r="W19" s="317" t="str" cm="1">
        <f t="array" aca="1" ref="W19" ca="1" xml:space="preserve"> INDEX($BM$4:$BM$55, MATCH(TRUE, EXACT(W$17, $BK$4:$BK$55), 0))</f>
        <v>ㄚ</v>
      </c>
      <c r="X19" s="317" t="str" cm="1">
        <f t="array" aca="1" ref="X19" ca="1" xml:space="preserve"> INDEX($BM$4:$BM$55, MATCH(TRUE, EXACT(X$17, $BK$4:$BK$55), 0))</f>
        <v>ㄛ</v>
      </c>
      <c r="Y19" s="317" t="str" cm="1">
        <f t="array" aca="1" ref="Y19" ca="1" xml:space="preserve"> INDEX($BM$4:$BM$55, MATCH(TRUE, EXACT(Y$17, $BK$4:$BK$55), 0))</f>
        <v>ㄜ</v>
      </c>
      <c r="Z19" s="317" t="str" cm="1">
        <f t="array" aca="1" ref="Z19" ca="1" xml:space="preserve"> INDEX($BM$4:$BM$55, MATCH(TRUE, EXACT(Z$17, $BK$4:$BK$55), 0))</f>
        <v>ㄝ</v>
      </c>
      <c r="AA19" s="317" t="str" cm="1">
        <f t="array" aca="1" ref="AA19" ca="1" xml:space="preserve"> INDEX($BM$4:$BM$55, MATCH(TRUE, EXACT(AA$17, $BK$4:$BK$55), 0))</f>
        <v>ㄞ</v>
      </c>
      <c r="AB19" s="317" t="str" cm="1">
        <f t="array" aca="1" ref="AB19" ca="1" xml:space="preserve"> INDEX($BM$4:$BM$55, MATCH(TRUE, EXACT(AB$17, $BK$4:$BK$55), 0))</f>
        <v>ㄠ</v>
      </c>
      <c r="AC19" s="317" t="str" cm="1">
        <f t="array" aca="1" ref="AC19" ca="1" xml:space="preserve"> INDEX($BM$4:$BM$55, MATCH(TRUE, EXACT(AC$17, $BK$4:$BK$55), 0))</f>
        <v>ㄢ</v>
      </c>
      <c r="AD19" s="317" t="str" cm="1">
        <f t="array" aca="1" ref="AD19" ca="1" xml:space="preserve"> INDEX($BM$4:$BM$55, MATCH(TRUE, EXACT(AD$17, $BK$4:$BK$55), 0))</f>
        <v>ㄤ</v>
      </c>
      <c r="AE19" s="317" t="str" cm="1">
        <f t="array" aca="1" ref="AE19" ca="1" xml:space="preserve"> INDEX($BM$4:$BM$55, MATCH(TRUE, EXACT(AE$17, $BK$4:$BK$55), 0))</f>
        <v>ㄭ</v>
      </c>
      <c r="AF19" s="317" t="str" cm="1">
        <f t="array" aca="1" ref="AF19" ca="1" xml:space="preserve"> INDEX($BM$4:$BM$55, MATCH(TRUE, EXACT(AF$17, $BK$4:$BK$55), 0))</f>
        <v>⁰ㄧ</v>
      </c>
      <c r="AG19" s="317" t="str" cm="1">
        <f t="array" aca="1" ref="AG19" ca="1" xml:space="preserve"> INDEX($BM$4:$BM$55, MATCH(TRUE, EXACT(AG$17, $BK$4:$BK$55), 0))</f>
        <v>⁰ㄨ</v>
      </c>
      <c r="AH19" s="317" t="str" cm="1">
        <f t="array" aca="1" ref="AH19" ca="1" xml:space="preserve"> INDEX($BM$4:$BM$55, MATCH(TRUE, EXACT(AH$17, $BK$4:$BK$55), 0))</f>
        <v>⁰ㄚ</v>
      </c>
      <c r="AI19" s="317" t="str" cm="1">
        <f t="array" aca="1" ref="AI19" ca="1" xml:space="preserve"> INDEX($BM$4:$BM$55, MATCH(TRUE, EXACT(AI$17, $BK$4:$BK$55), 0))</f>
        <v>⁰ㆦ</v>
      </c>
      <c r="AJ19" s="317" t="str" cm="1">
        <f t="array" aca="1" ref="AJ19" ca="1" xml:space="preserve"> INDEX($BM$4:$BM$55, MATCH(TRUE, EXACT(AJ$17, $BK$4:$BK$55), 0))</f>
        <v>⁰ㄝ</v>
      </c>
      <c r="AK19" s="317" t="str" cm="1">
        <f t="array" aca="1" ref="AK19" ca="1" xml:space="preserve"> INDEX($BM$4:$BM$55, MATCH(TRUE, EXACT(AK$17, $BK$4:$BK$55), 0))</f>
        <v>⁰ㄞ</v>
      </c>
      <c r="AL19" s="317" t="str" cm="1">
        <f t="array" aca="1" ref="AL19" ca="1" xml:space="preserve"> INDEX($BM$4:$BM$55, MATCH(TRUE, EXACT(AL$17, $BK$4:$BK$55), 0))</f>
        <v>⁰ㄠ</v>
      </c>
      <c r="AM19" s="317" t="str" cm="1">
        <f t="array" aca="1" ref="AM19" ca="1" xml:space="preserve"> INDEX($BM$4:$BM$55, MATCH(TRUE, EXACT(AM$17, $BK$4:$BK$55), 0))</f>
        <v>ㄚㄇ</v>
      </c>
      <c r="AN19" s="317" t="str" cm="1">
        <f t="array" aca="1" ref="AN19" ca="1" xml:space="preserve"> INDEX($BM$4:$BM$55, MATCH(TRUE, EXACT(AN$17, $BK$4:$BK$55), 0))</f>
        <v>ㄛㄥ</v>
      </c>
      <c r="AO19" s="317" t="str" cm="1">
        <f t="array" aca="1" ref="AO19" ca="1" xml:space="preserve"> INDEX($BM$4:$BM$55, MATCH(TRUE, EXACT(AO$17, $BK$4:$BK$55), 0))</f>
        <v>ㄥ</v>
      </c>
      <c r="AP19" s="317" t="str" cm="1">
        <f t="array" aca="1" ref="AP19" ca="1" xml:space="preserve"> INDEX($BM$4:$BM$55, MATCH(TRUE, EXACT(AP$17, $BK$4:$BK$55), 0))</f>
        <v>ㄣ</v>
      </c>
      <c r="AQ19" s="317" t="str" cm="1">
        <f t="array" aca="1" ref="AQ19" ca="1" xml:space="preserve"> INDEX($BM$4:$BM$55, MATCH(TRUE, EXACT(AQ$17, $BK$4:$BK$55), 0))</f>
        <v>ㄇ</v>
      </c>
      <c r="AR19" s="317" t="str" cm="1">
        <f t="array" aca="1" ref="AR19" ca="1" xml:space="preserve"> INDEX($BM$4:$BM$55, MATCH(TRUE, EXACT(AR$17, $BK$4:$BK$55), 0))</f>
        <v>ㄬ</v>
      </c>
      <c r="AS19" s="317" cm="1">
        <f t="array" aca="1" ref="AS19" ca="1" xml:space="preserve"> INDEX($BM$4:$BM$55, MATCH(TRUE, EXACT(AS$17, $BK$4:$BK$55), 0))</f>
        <v>0</v>
      </c>
      <c r="AT19" s="317" cm="1">
        <f t="array" aca="1" ref="AT19" ca="1" xml:space="preserve"> INDEX($BM$4:$BM$55, MATCH(TRUE, EXACT(AT$17, $BK$4:$BK$55), 0))</f>
        <v>0</v>
      </c>
      <c r="AU19" s="317" cm="1">
        <f t="array" aca="1" ref="AU19" ca="1" xml:space="preserve"> INDEX($BM$4:$BM$55, MATCH(TRUE, EXACT(AU$17, $BK$4:$BK$55), 0))</f>
        <v>0</v>
      </c>
      <c r="AV19" s="317" cm="1">
        <f t="array" aca="1" ref="AV19" ca="1" xml:space="preserve"> INDEX($BM$4:$BM$55, MATCH(TRUE, EXACT(AV$17, $BK$4:$BK$55), 0))</f>
        <v>0</v>
      </c>
      <c r="AW19" s="317" cm="1">
        <f t="array" aca="1" ref="AW19" ca="1" xml:space="preserve"> INDEX($BM$4:$BM$55, MATCH(TRUE, EXACT(AW$17, $BK$4:$BK$55), 0))</f>
        <v>0</v>
      </c>
      <c r="AX19" s="317" cm="1">
        <f t="array" aca="1" ref="AX19" ca="1" xml:space="preserve"> INDEX($BM$4:$BM$55, MATCH(TRUE, EXACT(AX$17, $BK$4:$BK$55), 0))</f>
        <v>0</v>
      </c>
      <c r="AY19" s="147"/>
      <c r="AZ19" s="147"/>
      <c r="BA19" s="147"/>
      <c r="BB19" s="147"/>
      <c r="BC19" s="147"/>
      <c r="BD19" s="147"/>
      <c r="BE19" s="147"/>
      <c r="BF19" s="147"/>
      <c r="BG19" s="147"/>
      <c r="BJ19" s="264">
        <f t="shared" si="0"/>
        <v>16</v>
      </c>
      <c r="BK19" s="71" t="str">
        <f>注音編碼對照表!C18</f>
        <v>g</v>
      </c>
      <c r="BL19" s="583" t="str" cm="1">
        <f t="array" ref="BL19" xml:space="preserve"> INDEX( 注音編碼對照表[方音符號], MATCH(TRUE, EXACT(台語音標注音鍵盤!$BK19, 注音編碼對照表[鍵盤按鍵]), 0))</f>
        <v>ㄫ</v>
      </c>
      <c r="BM19" s="584" t="str" cm="1">
        <f t="array" ref="BM19" xml:space="preserve"> INDEX( 注音編碼對照表[台語音標注音], MATCH(TRUE, EXACT(台語音標注音鍵盤!$BK19, 注音編碼對照表[鍵盤按鍵]), 0))</f>
        <v>⁰兀</v>
      </c>
      <c r="BN19" s="581" t="str" cm="1">
        <f t="array" ref="BN19" xml:space="preserve"> INDEX( 注音編碼對照表[國際音標], MATCH(TRUE, EXACT(台語音標注音鍵盤!$BK19, 注音編碼對照表[鍵盤按鍵]), 0))</f>
        <v>ŋ</v>
      </c>
      <c r="BO19" s="582" t="str" cm="1">
        <f t="array" ref="BO19" xml:space="preserve"> INDEX( 注音編碼對照表[台語音標], MATCH(TRUE, EXACT(台語音標注音鍵盤!$BK19, 注音編碼對照表[鍵盤按鍵]), 0))</f>
        <v>ng-</v>
      </c>
      <c r="BP19" s="107"/>
      <c r="BR19" s="265" t="str">
        <f t="shared" si="1"/>
        <v>"g": { commit: "ㄫ" }</v>
      </c>
      <c r="BT19" s="195">
        <f t="shared" si="2"/>
        <v>16</v>
      </c>
      <c r="BU19" s="266" t="str">
        <f t="shared" si="3"/>
        <v>- xform/ŋ/g/</v>
      </c>
      <c r="BW19" s="266" t="str">
        <f t="shared" si="4"/>
        <v>- xform/g/ㄫ/</v>
      </c>
    </row>
    <row r="20" spans="1:89" ht="45" customHeight="1">
      <c r="A20" s="275"/>
      <c r="B20" s="279" t="s">
        <v>388</v>
      </c>
      <c r="C20" s="280"/>
      <c r="D20" s="281" t="str" cm="1">
        <f t="array" aca="1" ref="D20" ca="1" xml:space="preserve"> INDEX($BO$4:$BO$55, MATCH(TRUE, EXACT(D$17, $BK$4:$BK$55), 0))</f>
        <v>p</v>
      </c>
      <c r="E20" s="281" t="str" cm="1">
        <f t="array" aca="1" ref="E20" ca="1" xml:space="preserve"> INDEX($BO$4:$BO$55, MATCH(TRUE, EXACT(E$17, $BK$4:$BK$55), 0))</f>
        <v>ph</v>
      </c>
      <c r="F20" s="281" t="str" cm="1">
        <f t="array" aca="1" ref="F20" ca="1" xml:space="preserve"> INDEX($BO$4:$BO$55, MATCH(TRUE, EXACT(F$17, $BK$4:$BK$55), 0))</f>
        <v>b</v>
      </c>
      <c r="G20" s="281" t="str" cm="1">
        <f t="array" aca="1" ref="G20" ca="1" xml:space="preserve"> INDEX($BO$4:$BO$55, MATCH(TRUE, EXACT(G$17, $BK$4:$BK$55), 0))</f>
        <v>m</v>
      </c>
      <c r="H20" s="281" t="str" cm="1">
        <f t="array" aca="1" ref="H20" ca="1" xml:space="preserve"> INDEX($BO$4:$BO$55, MATCH(TRUE, EXACT(H$17, $BK$4:$BK$55), 0))</f>
        <v>t</v>
      </c>
      <c r="I20" s="281" t="str" cm="1">
        <f t="array" aca="1" ref="I20" ca="1" xml:space="preserve"> INDEX($BO$4:$BO$55, MATCH(TRUE, EXACT(I$17, $BK$4:$BK$55), 0))</f>
        <v>th</v>
      </c>
      <c r="J20" s="281" t="str" cm="1">
        <f t="array" aca="1" ref="J20" ca="1" xml:space="preserve"> INDEX($BO$4:$BO$55, MATCH(TRUE, EXACT(J$17, $BK$4:$BK$55), 0))</f>
        <v>n</v>
      </c>
      <c r="K20" s="281" t="str" cm="1">
        <f t="array" aca="1" ref="K20" ca="1" xml:space="preserve"> INDEX($BO$4:$BO$55, MATCH(TRUE, EXACT(K$17, $BK$4:$BK$55), 0))</f>
        <v>l</v>
      </c>
      <c r="L20" s="281" t="str" cm="1">
        <f t="array" aca="1" ref="L20" ca="1" xml:space="preserve"> INDEX($BO$4:$BO$55, MATCH(TRUE, EXACT(L$17, $BK$4:$BK$55), 0))</f>
        <v>z</v>
      </c>
      <c r="M20" s="281" t="str" cm="1">
        <f t="array" aca="1" ref="M20" ca="1" xml:space="preserve"> INDEX($BO$4:$BO$55, MATCH(TRUE, EXACT(M$17, $BK$4:$BK$55), 0))</f>
        <v>c</v>
      </c>
      <c r="N20" s="281" t="str" cm="1">
        <f t="array" aca="1" ref="N20" ca="1" xml:space="preserve"> INDEX($BO$4:$BO$55, MATCH(TRUE, EXACT(N$17, $BK$4:$BK$55), 0))</f>
        <v>j</v>
      </c>
      <c r="O20" s="281" t="str" cm="1">
        <f t="array" aca="1" ref="O20" ca="1" xml:space="preserve"> INDEX($BO$4:$BO$55, MATCH(TRUE, EXACT(O$17, $BK$4:$BK$55), 0))</f>
        <v>s</v>
      </c>
      <c r="P20" s="281" t="str" cm="1">
        <f t="array" aca="1" ref="P20" ca="1" xml:space="preserve"> INDEX($BO$4:$BO$55, MATCH(TRUE, EXACT(P$17, $BK$4:$BK$55), 0))</f>
        <v>k</v>
      </c>
      <c r="Q20" s="281" t="str" cm="1">
        <f t="array" aca="1" ref="Q20" ca="1" xml:space="preserve"> INDEX($BO$4:$BO$55, MATCH(TRUE, EXACT(Q$17, $BK$4:$BK$55), 0))</f>
        <v>kh</v>
      </c>
      <c r="R20" s="281" t="str" cm="1">
        <f t="array" aca="1" ref="R20" ca="1" xml:space="preserve"> INDEX($BO$4:$BO$55, MATCH(TRUE, EXACT(R$17, $BK$4:$BK$55), 0))</f>
        <v>g</v>
      </c>
      <c r="S20" s="281" t="str" cm="1">
        <f t="array" aca="1" ref="S20" ca="1" xml:space="preserve"> INDEX($BO$4:$BO$55, MATCH(TRUE, EXACT(S$17, $BK$4:$BK$55), 0))</f>
        <v>ng-</v>
      </c>
      <c r="T20" s="281" t="str" cm="1">
        <f t="array" aca="1" ref="T20" ca="1" xml:space="preserve"> INDEX($BO$4:$BO$55, MATCH(TRUE, EXACT(T$17, $BK$4:$BK$55), 0))</f>
        <v>h</v>
      </c>
      <c r="U20" s="281" t="str" cm="1">
        <f t="array" aca="1" ref="U20" ca="1" xml:space="preserve"> INDEX($BO$4:$BO$55, MATCH(TRUE, EXACT(U$17, $BK$4:$BK$55), 0))</f>
        <v>i</v>
      </c>
      <c r="V20" s="281" t="str" cm="1">
        <f t="array" aca="1" ref="V20" ca="1" xml:space="preserve"> INDEX($BO$4:$BO$55, MATCH(TRUE, EXACT(V$17, $BK$4:$BK$55), 0))</f>
        <v>u</v>
      </c>
      <c r="W20" s="281" t="str" cm="1">
        <f t="array" aca="1" ref="W20" ca="1" xml:space="preserve"> INDEX($BO$4:$BO$55, MATCH(TRUE, EXACT(W$17, $BK$4:$BK$55), 0))</f>
        <v>a</v>
      </c>
      <c r="X20" s="281" t="str" cm="1">
        <f t="array" aca="1" ref="X20" ca="1" xml:space="preserve"> INDEX($BO$4:$BO$55, MATCH(TRUE, EXACT(X$17, $BK$4:$BK$55), 0))</f>
        <v>oo</v>
      </c>
      <c r="Y20" s="281" t="str" cm="1">
        <f t="array" aca="1" ref="Y20" ca="1" xml:space="preserve"> INDEX($BO$4:$BO$55, MATCH(TRUE, EXACT(Y$17, $BK$4:$BK$55), 0))</f>
        <v>o</v>
      </c>
      <c r="Z20" s="281" t="str" cm="1">
        <f t="array" aca="1" ref="Z20" ca="1" xml:space="preserve"> INDEX($BO$4:$BO$55, MATCH(TRUE, EXACT(Z$17, $BK$4:$BK$55), 0))</f>
        <v>e</v>
      </c>
      <c r="AA20" s="281" t="str" cm="1">
        <f t="array" aca="1" ref="AA20" ca="1" xml:space="preserve"> INDEX($BO$4:$BO$55, MATCH(TRUE, EXACT(AA$17, $BK$4:$BK$55), 0))</f>
        <v>ai</v>
      </c>
      <c r="AB20" s="281" t="str" cm="1">
        <f t="array" aca="1" ref="AB20" ca="1" xml:space="preserve"> INDEX($BO$4:$BO$55, MATCH(TRUE, EXACT(AB$17, $BK$4:$BK$55), 0))</f>
        <v>au</v>
      </c>
      <c r="AC20" s="281" t="str" cm="1">
        <f t="array" aca="1" ref="AC20" ca="1" xml:space="preserve"> INDEX($BO$4:$BO$55, MATCH(TRUE, EXACT(AC$17, $BK$4:$BK$55), 0))</f>
        <v>an</v>
      </c>
      <c r="AD20" s="281" t="str" cm="1">
        <f t="array" aca="1" ref="AD20" ca="1" xml:space="preserve"> INDEX($BO$4:$BO$55, MATCH(TRUE, EXACT(AD$17, $BK$4:$BK$55), 0))</f>
        <v>ang</v>
      </c>
      <c r="AE20" s="281" t="str" cm="1">
        <f t="array" aca="1" ref="AE20" ca="1" xml:space="preserve"> INDEX($BO$4:$BO$55, MATCH(TRUE, EXACT(AE$17, $BK$4:$BK$55), 0))</f>
        <v>ir</v>
      </c>
      <c r="AF20" s="281" t="str" cm="1">
        <f t="array" aca="1" ref="AF20" ca="1" xml:space="preserve"> INDEX($BO$4:$BO$55, MATCH(TRUE, EXACT(AF$17, $BK$4:$BK$55), 0))</f>
        <v>inn</v>
      </c>
      <c r="AG20" s="281" t="str" cm="1">
        <f t="array" aca="1" ref="AG20" ca="1" xml:space="preserve"> INDEX($BO$4:$BO$55, MATCH(TRUE, EXACT(AG$17, $BK$4:$BK$55), 0))</f>
        <v>unn</v>
      </c>
      <c r="AH20" s="281" t="str" cm="1">
        <f t="array" aca="1" ref="AH20" ca="1" xml:space="preserve"> INDEX($BO$4:$BO$55, MATCH(TRUE, EXACT(AH$17, $BK$4:$BK$55), 0))</f>
        <v>ann</v>
      </c>
      <c r="AI20" s="281" t="str" cm="1">
        <f t="array" aca="1" ref="AI20" ca="1" xml:space="preserve"> INDEX($BO$4:$BO$55, MATCH(TRUE, EXACT(AI$17, $BK$4:$BK$55), 0))</f>
        <v>onn</v>
      </c>
      <c r="AJ20" s="281" t="str" cm="1">
        <f t="array" aca="1" ref="AJ20" ca="1" xml:space="preserve"> INDEX($BO$4:$BO$55, MATCH(TRUE, EXACT(AJ$17, $BK$4:$BK$55), 0))</f>
        <v>enn</v>
      </c>
      <c r="AK20" s="281" t="str" cm="1">
        <f t="array" aca="1" ref="AK20" ca="1" xml:space="preserve"> INDEX($BO$4:$BO$55, MATCH(TRUE, EXACT(AK$17, $BK$4:$BK$55), 0))</f>
        <v>ainn</v>
      </c>
      <c r="AL20" s="281" t="str" cm="1">
        <f t="array" aca="1" ref="AL20" ca="1" xml:space="preserve"> INDEX($BO$4:$BO$55, MATCH(TRUE, EXACT(AL$17, $BK$4:$BK$55), 0))</f>
        <v>aunn</v>
      </c>
      <c r="AM20" s="281" t="str" cm="1">
        <f t="array" aca="1" ref="AM20" ca="1" xml:space="preserve"> INDEX($BO$4:$BO$55, MATCH(TRUE, EXACT(AM$17, $BK$4:$BK$55), 0))</f>
        <v>am</v>
      </c>
      <c r="AN20" s="281" t="str" cm="1">
        <f t="array" aca="1" ref="AN20" ca="1" xml:space="preserve"> INDEX($BO$4:$BO$55, MATCH(TRUE, EXACT(AN$17, $BK$4:$BK$55), 0))</f>
        <v>ong</v>
      </c>
      <c r="AO20" s="281" t="str" cm="1">
        <f t="array" aca="1" ref="AO20" ca="1" xml:space="preserve"> INDEX($BO$4:$BO$55, MATCH(TRUE, EXACT(AO$17, $BK$4:$BK$55), 0))</f>
        <v>-ng</v>
      </c>
      <c r="AP20" s="281" t="str" cm="1">
        <f t="array" aca="1" ref="AP20" ca="1" xml:space="preserve"> INDEX($BO$4:$BO$55, MATCH(TRUE, EXACT(AP$17, $BK$4:$BK$55), 0))</f>
        <v>-n</v>
      </c>
      <c r="AQ20" s="281" t="str" cm="1">
        <f t="array" aca="1" ref="AQ20" ca="1" xml:space="preserve"> INDEX($BO$4:$BO$55, MATCH(TRUE, EXACT(AQ$17, $BK$4:$BK$55), 0))</f>
        <v>-m</v>
      </c>
      <c r="AR20" s="281" t="str" cm="1">
        <f t="array" aca="1" ref="AR20" ca="1" xml:space="preserve"> INDEX($BO$4:$BO$55, MATCH(TRUE, EXACT(AR$17, $BK$4:$BK$55), 0))</f>
        <v>-nn</v>
      </c>
      <c r="AS20" s="281" cm="1">
        <f t="array" aca="1" ref="AS20" ca="1" xml:space="preserve"> INDEX($BO$4:$BO$55, MATCH(TRUE, EXACT(AS$17, $BK$4:$BK$55), 0))</f>
        <v>1</v>
      </c>
      <c r="AT20" s="281" cm="1">
        <f t="array" aca="1" ref="AT20" ca="1" xml:space="preserve"> INDEX($BO$4:$BO$55, MATCH(TRUE, EXACT(AT$17, $BK$4:$BK$55), 0))</f>
        <v>2</v>
      </c>
      <c r="AU20" s="281" cm="1">
        <f t="array" aca="1" ref="AU20" ca="1" xml:space="preserve"> INDEX($BO$4:$BO$55, MATCH(TRUE, EXACT(AU$17, $BK$4:$BK$55), 0))</f>
        <v>3</v>
      </c>
      <c r="AV20" s="281" cm="1">
        <f t="array" aca="1" ref="AV20" ca="1" xml:space="preserve"> INDEX($BO$4:$BO$55, MATCH(TRUE, EXACT(AV$17, $BK$4:$BK$55), 0))</f>
        <v>5</v>
      </c>
      <c r="AW20" s="281" cm="1">
        <f t="array" aca="1" ref="AW20" ca="1" xml:space="preserve"> INDEX($BO$4:$BO$55, MATCH(TRUE, EXACT(AW$17, $BK$4:$BK$55), 0))</f>
        <v>7</v>
      </c>
      <c r="AX20" s="281" t="str" cm="1">
        <f t="array" aca="1" ref="AX20" ca="1" xml:space="preserve"> INDEX($BO$4:$BO$55, MATCH(TRUE, EXACT(AX$17, $BK$4:$BK$55), 0))</f>
        <v>[48]</v>
      </c>
      <c r="BJ20" s="264">
        <f t="shared" si="0"/>
        <v>17</v>
      </c>
      <c r="BK20" s="71" t="str">
        <f>注音編碼對照表!C19</f>
        <v>c</v>
      </c>
      <c r="BL20" s="583" t="str" cm="1">
        <f t="array" ref="BL20" xml:space="preserve"> INDEX( 注音編碼對照表[方音符號], MATCH(TRUE, EXACT(台語音標注音鍵盤!$BK20, 注音編碼對照表[鍵盤按鍵]), 0))</f>
        <v>ㄏ</v>
      </c>
      <c r="BM20" s="584" t="str" cm="1">
        <f t="array" ref="BM20" xml:space="preserve"> INDEX( 注音編碼對照表[台語音標注音], MATCH(TRUE, EXACT(台語音標注音鍵盤!$BK20, 注音編碼對照表[鍵盤按鍵]), 0))</f>
        <v>ㄏ</v>
      </c>
      <c r="BN20" s="581" t="str" cm="1">
        <f t="array" ref="BN20" xml:space="preserve"> INDEX( 注音編碼對照表[國際音標], MATCH(TRUE, EXACT(台語音標注音鍵盤!$BK20, 注音編碼對照表[鍵盤按鍵]), 0))</f>
        <v>h</v>
      </c>
      <c r="BO20" s="582" t="str" cm="1">
        <f t="array" ref="BO20" xml:space="preserve"> INDEX( 注音編碼對照表[台語音標], MATCH(TRUE, EXACT(台語音標注音鍵盤!$BK20, 注音編碼對照表[鍵盤按鍵]), 0))</f>
        <v>h</v>
      </c>
      <c r="BP20" s="107"/>
      <c r="BR20" s="265" t="str">
        <f t="shared" si="1"/>
        <v>"c": { commit: "ㄏ" }</v>
      </c>
      <c r="BT20" s="237">
        <f t="shared" si="2"/>
        <v>17</v>
      </c>
      <c r="BU20" s="266" t="str">
        <f t="shared" si="3"/>
        <v>- xform/h/c/</v>
      </c>
      <c r="BW20" s="266" t="str">
        <f t="shared" si="4"/>
        <v>- xform/c/ㄏ/</v>
      </c>
    </row>
    <row r="21" spans="1:89" s="195" customFormat="1" ht="45" customHeight="1">
      <c r="A21" s="258"/>
      <c r="B21" s="282" t="s">
        <v>362</v>
      </c>
      <c r="C21" s="283"/>
      <c r="D21" s="284" t="str" cm="1">
        <f t="array" aca="1" ref="D21" ca="1" xml:space="preserve"> INDEX($BN$4:$BN$55, MATCH(TRUE, EXACT(D$17, $BK$4:$BK$55), 0))</f>
        <v>p</v>
      </c>
      <c r="E21" s="284" t="str" cm="1">
        <f t="array" aca="1" ref="E21" ca="1" xml:space="preserve"> INDEX($BN$4:$BN$55, MATCH(TRUE, EXACT(E$17, $BK$4:$BK$55), 0))</f>
        <v>pʰ</v>
      </c>
      <c r="F21" s="284" t="str" cm="1">
        <f t="array" aca="1" ref="F21" ca="1" xml:space="preserve"> INDEX($BN$4:$BN$55, MATCH(TRUE, EXACT(F$17, $BK$4:$BK$55), 0))</f>
        <v>b</v>
      </c>
      <c r="G21" s="284" t="str" cm="1">
        <f t="array" aca="1" ref="G21" ca="1" xml:space="preserve"> INDEX($BN$4:$BN$55, MATCH(TRUE, EXACT(G$17, $BK$4:$BK$55), 0))</f>
        <v>m</v>
      </c>
      <c r="H21" s="284" t="str" cm="1">
        <f t="array" aca="1" ref="H21" ca="1" xml:space="preserve"> INDEX($BN$4:$BN$55, MATCH(TRUE, EXACT(H$17, $BK$4:$BK$55), 0))</f>
        <v>t</v>
      </c>
      <c r="I21" s="284" t="str" cm="1">
        <f t="array" aca="1" ref="I21" ca="1" xml:space="preserve"> INDEX($BN$4:$BN$55, MATCH(TRUE, EXACT(I$17, $BK$4:$BK$55), 0))</f>
        <v>tʰ</v>
      </c>
      <c r="J21" s="284" t="str" cm="1">
        <f t="array" aca="1" ref="J21" ca="1" xml:space="preserve"> INDEX($BN$4:$BN$55, MATCH(TRUE, EXACT(J$17, $BK$4:$BK$55), 0))</f>
        <v>n</v>
      </c>
      <c r="K21" s="284" t="str" cm="1">
        <f t="array" aca="1" ref="K21" ca="1" xml:space="preserve"> INDEX($BN$4:$BN$55, MATCH(TRUE, EXACT(K$17, $BK$4:$BK$55), 0))</f>
        <v>l</v>
      </c>
      <c r="L21" s="284" t="str" cm="1">
        <f t="array" aca="1" ref="L21" ca="1" xml:space="preserve"> INDEX($BN$4:$BN$55, MATCH(TRUE, EXACT(L$17, $BK$4:$BK$55), 0))</f>
        <v>ts</v>
      </c>
      <c r="M21" s="284" t="str" cm="1">
        <f t="array" aca="1" ref="M21" ca="1" xml:space="preserve"> INDEX($BN$4:$BN$55, MATCH(TRUE, EXACT(M$17, $BK$4:$BK$55), 0))</f>
        <v>ʦʰ</v>
      </c>
      <c r="N21" s="284" t="str" cm="1">
        <f t="array" aca="1" ref="N21" ca="1" xml:space="preserve"> INDEX($BN$4:$BN$55, MATCH(TRUE, EXACT(N$17, $BK$4:$BK$55), 0))</f>
        <v>ʣ</v>
      </c>
      <c r="O21" s="284" t="str" cm="1">
        <f t="array" aca="1" ref="O21" ca="1" xml:space="preserve"> INDEX($BN$4:$BN$55, MATCH(TRUE, EXACT(O$17, $BK$4:$BK$55), 0))</f>
        <v>s</v>
      </c>
      <c r="P21" s="284" t="str" cm="1">
        <f t="array" aca="1" ref="P21" ca="1" xml:space="preserve"> INDEX($BN$4:$BN$55, MATCH(TRUE, EXACT(P$17, $BK$4:$BK$55), 0))</f>
        <v>k</v>
      </c>
      <c r="Q21" s="284" t="str" cm="1">
        <f t="array" aca="1" ref="Q21" ca="1" xml:space="preserve"> INDEX($BN$4:$BN$55, MATCH(TRUE, EXACT(Q$17, $BK$4:$BK$55), 0))</f>
        <v>kʰ</v>
      </c>
      <c r="R21" s="284" t="str" cm="1">
        <f t="array" aca="1" ref="R21" ca="1" xml:space="preserve"> INDEX($BN$4:$BN$55, MATCH(TRUE, EXACT(R$17, $BK$4:$BK$55), 0))</f>
        <v>g</v>
      </c>
      <c r="S21" s="284" t="str" cm="1">
        <f t="array" aca="1" ref="S21" ca="1" xml:space="preserve"> INDEX($BN$4:$BN$55, MATCH(TRUE, EXACT(S$17, $BK$4:$BK$55), 0))</f>
        <v>ŋ</v>
      </c>
      <c r="T21" s="284" t="str" cm="1">
        <f t="array" aca="1" ref="T21" ca="1" xml:space="preserve"> INDEX($BN$4:$BN$55, MATCH(TRUE, EXACT(T$17, $BK$4:$BK$55), 0))</f>
        <v>h</v>
      </c>
      <c r="U21" s="284" t="str" cm="1">
        <f t="array" aca="1" ref="U21" ca="1" xml:space="preserve"> INDEX($BN$4:$BN$55, MATCH(TRUE, EXACT(U$17, $BK$4:$BK$55), 0))</f>
        <v>i</v>
      </c>
      <c r="V21" s="284" t="str" cm="1">
        <f t="array" aca="1" ref="V21" ca="1" xml:space="preserve"> INDEX($BN$4:$BN$55, MATCH(TRUE, EXACT(V$17, $BK$4:$BK$55), 0))</f>
        <v>u</v>
      </c>
      <c r="W21" s="284" t="str" cm="1">
        <f t="array" aca="1" ref="W21" ca="1" xml:space="preserve"> INDEX($BN$4:$BN$55, MATCH(TRUE, EXACT(W$17, $BK$4:$BK$55), 0))</f>
        <v>a</v>
      </c>
      <c r="X21" s="284" t="str" cm="1">
        <f t="array" aca="1" ref="X21" ca="1" xml:space="preserve"> INDEX($BN$4:$BN$55, MATCH(TRUE, EXACT(X$17, $BK$4:$BK$55), 0))</f>
        <v>ɔ</v>
      </c>
      <c r="Y21" s="284" t="str" cm="1">
        <f t="array" aca="1" ref="Y21" ca="1" xml:space="preserve"> INDEX($BN$4:$BN$55, MATCH(TRUE, EXACT(Y$17, $BK$4:$BK$55), 0))</f>
        <v>ə</v>
      </c>
      <c r="Z21" s="284" t="str" cm="1">
        <f t="array" aca="1" ref="Z21" ca="1" xml:space="preserve"> INDEX($BN$4:$BN$55, MATCH(TRUE, EXACT(Z$17, $BK$4:$BK$55), 0))</f>
        <v>e</v>
      </c>
      <c r="AA21" s="284" t="str" cm="1">
        <f t="array" aca="1" ref="AA21" ca="1" xml:space="preserve"> INDEX($BN$4:$BN$55, MATCH(TRUE, EXACT(AA$17, $BK$4:$BK$55), 0))</f>
        <v>ai̯</v>
      </c>
      <c r="AB21" s="284" t="str" cm="1">
        <f t="array" aca="1" ref="AB21" ca="1" xml:space="preserve"> INDEX($BN$4:$BN$55, MATCH(TRUE, EXACT(AB$17, $BK$4:$BK$55), 0))</f>
        <v>ɑu̯</v>
      </c>
      <c r="AC21" s="284" t="str" cm="1">
        <f t="array" aca="1" ref="AC21" ca="1" xml:space="preserve"> INDEX($BN$4:$BN$55, MATCH(TRUE, EXACT(AC$17, $BK$4:$BK$55), 0))</f>
        <v>an</v>
      </c>
      <c r="AD21" s="284" t="str" cm="1">
        <f t="array" aca="1" ref="AD21" ca="1" xml:space="preserve"> INDEX($BN$4:$BN$55, MATCH(TRUE, EXACT(AD$17, $BK$4:$BK$55), 0))</f>
        <v>ɑŋ</v>
      </c>
      <c r="AE21" s="284" t="str" cm="1">
        <f t="array" aca="1" ref="AE21" ca="1" xml:space="preserve"> INDEX($BN$4:$BN$55, MATCH(TRUE, EXACT(AE$17, $BK$4:$BK$55), 0))</f>
        <v>ɨ</v>
      </c>
      <c r="AF21" s="284" t="str" cm="1">
        <f t="array" aca="1" ref="AF21" ca="1" xml:space="preserve"> INDEX($BN$4:$BN$55, MATCH(TRUE, EXACT(AF$17, $BK$4:$BK$55), 0))</f>
        <v>ĩ</v>
      </c>
      <c r="AG21" s="284" t="str" cm="1">
        <f t="array" aca="1" ref="AG21" ca="1" xml:space="preserve"> INDEX($BN$4:$BN$55, MATCH(TRUE, EXACT(AG$17, $BK$4:$BK$55), 0))</f>
        <v>ũ</v>
      </c>
      <c r="AH21" s="284" t="str" cm="1">
        <f t="array" aca="1" ref="AH21" ca="1" xml:space="preserve"> INDEX($BN$4:$BN$55, MATCH(TRUE, EXACT(AH$17, $BK$4:$BK$55), 0))</f>
        <v>ã</v>
      </c>
      <c r="AI21" s="284" t="str" cm="1">
        <f t="array" aca="1" ref="AI21" ca="1" xml:space="preserve"> INDEX($BN$4:$BN$55, MATCH(TRUE, EXACT(AI$17, $BK$4:$BK$55), 0))</f>
        <v>ɔ̃</v>
      </c>
      <c r="AJ21" s="284" t="str" cm="1">
        <f t="array" aca="1" ref="AJ21" ca="1" xml:space="preserve"> INDEX($BN$4:$BN$55, MATCH(TRUE, EXACT(AJ$17, $BK$4:$BK$55), 0))</f>
        <v>ẽ</v>
      </c>
      <c r="AK21" s="284" t="str" cm="1">
        <f t="array" aca="1" ref="AK21" ca="1" xml:space="preserve"> INDEX($BN$4:$BN$55, MATCH(TRUE, EXACT(AK$17, $BK$4:$BK$55), 0))</f>
        <v>ãĩ</v>
      </c>
      <c r="AL21" s="284" t="str" cm="1">
        <f t="array" aca="1" ref="AL21" ca="1" xml:space="preserve"> INDEX($BN$4:$BN$55, MATCH(TRUE, EXACT(AL$17, $BK$4:$BK$55), 0))</f>
        <v>ãũ</v>
      </c>
      <c r="AM21" s="284" t="str" cm="1">
        <f t="array" aca="1" ref="AM21" ca="1" xml:space="preserve"> INDEX($BN$4:$BN$55, MATCH(TRUE, EXACT(AM$17, $BK$4:$BK$55), 0))</f>
        <v>am</v>
      </c>
      <c r="AN21" s="284" t="str" cm="1">
        <f t="array" aca="1" ref="AN21" ca="1" xml:space="preserve"> INDEX($BN$4:$BN$55, MATCH(TRUE, EXACT(AN$17, $BK$4:$BK$55), 0))</f>
        <v>ɔŋ</v>
      </c>
      <c r="AO21" s="284" t="str" cm="1">
        <f t="array" aca="1" ref="AO21" ca="1" xml:space="preserve"> INDEX($BN$4:$BN$55, MATCH(TRUE, EXACT(AO$17, $BK$4:$BK$55), 0))</f>
        <v>ŋ̍</v>
      </c>
      <c r="AP21" s="284" t="str" cm="1">
        <f t="array" aca="1" ref="AP21" ca="1" xml:space="preserve"> INDEX($BN$4:$BN$55, MATCH(TRUE, EXACT(AP$17, $BK$4:$BK$55), 0))</f>
        <v>n</v>
      </c>
      <c r="AQ21" s="284" t="str" cm="1">
        <f t="array" aca="1" ref="AQ21" ca="1" xml:space="preserve"> INDEX($BN$4:$BN$55, MATCH(TRUE, EXACT(AQ$17, $BK$4:$BK$55), 0))</f>
        <v>m̩</v>
      </c>
      <c r="AR21" s="284" t="str" cm="1">
        <f t="array" aca="1" ref="AR21" ca="1" xml:space="preserve"> INDEX($BN$4:$BN$55, MATCH(TRUE, EXACT(AR$17, $BK$4:$BK$55), 0))</f>
        <v>ɲ</v>
      </c>
      <c r="AS21" s="284" cm="1">
        <f t="array" aca="1" ref="AS21" ca="1" xml:space="preserve"> INDEX($BN$4:$BN$55, MATCH(TRUE, EXACT(AS$17, $BK$4:$BK$55), 0))</f>
        <v>0</v>
      </c>
      <c r="AT21" s="284" cm="1">
        <f t="array" aca="1" ref="AT21" ca="1" xml:space="preserve"> INDEX($BN$4:$BN$55, MATCH(TRUE, EXACT(AT$17, $BK$4:$BK$55), 0))</f>
        <v>0</v>
      </c>
      <c r="AU21" s="284" cm="1">
        <f t="array" aca="1" ref="AU21" ca="1" xml:space="preserve"> INDEX($BN$4:$BN$55, MATCH(TRUE, EXACT(AU$17, $BK$4:$BK$55), 0))</f>
        <v>0</v>
      </c>
      <c r="AV21" s="284" cm="1">
        <f t="array" aca="1" ref="AV21" ca="1" xml:space="preserve"> INDEX($BN$4:$BN$55, MATCH(TRUE, EXACT(AV$17, $BK$4:$BK$55), 0))</f>
        <v>0</v>
      </c>
      <c r="AW21" s="284" cm="1">
        <f t="array" aca="1" ref="AW21" ca="1" xml:space="preserve"> INDEX($BN$4:$BN$55, MATCH(TRUE, EXACT(AW$17, $BK$4:$BK$55), 0))</f>
        <v>0</v>
      </c>
      <c r="AX21" s="284" cm="1">
        <f t="array" aca="1" ref="AX21" ca="1" xml:space="preserve"> INDEX($BN$4:$BN$55, MATCH(TRUE, EXACT(AX$17, $BK$4:$BK$55), 0))</f>
        <v>0</v>
      </c>
      <c r="AY21" s="145"/>
      <c r="AZ21" s="145"/>
      <c r="BA21" s="145"/>
      <c r="BB21" s="145"/>
      <c r="BC21" s="145"/>
      <c r="BD21" s="145"/>
      <c r="BE21" s="145"/>
      <c r="BF21" s="145"/>
      <c r="BJ21" s="264">
        <f t="shared" si="0"/>
        <v>18</v>
      </c>
      <c r="BK21" s="71" t="str">
        <f>注音編碼對照表!C20</f>
        <v>u</v>
      </c>
      <c r="BL21" s="583" t="str" cm="1">
        <f t="array" ref="BL21" xml:space="preserve"> INDEX( 注音編碼對照表[方音符號], MATCH(TRUE, EXACT(台語音標注音鍵盤!$BK21, 注音編碼對照表[鍵盤按鍵]), 0))</f>
        <v>ㄧ</v>
      </c>
      <c r="BM21" s="584" t="str" cm="1">
        <f t="array" ref="BM21" xml:space="preserve"> INDEX( 注音編碼對照表[台語音標注音], MATCH(TRUE, EXACT(台語音標注音鍵盤!$BK21, 注音編碼對照表[鍵盤按鍵]), 0))</f>
        <v>ㄧ</v>
      </c>
      <c r="BN21" s="581" t="str" cm="1">
        <f t="array" ref="BN21" xml:space="preserve"> INDEX( 注音編碼對照表[國際音標], MATCH(TRUE, EXACT(台語音標注音鍵盤!$BK21, 注音編碼對照表[鍵盤按鍵]), 0))</f>
        <v>i</v>
      </c>
      <c r="BO21" s="582" t="str" cm="1">
        <f t="array" ref="BO21" xml:space="preserve"> INDEX( 注音編碼對照表[台語音標], MATCH(TRUE, EXACT(台語音標注音鍵盤!$BK21, 注音編碼對照表[鍵盤按鍵]), 0))</f>
        <v>i</v>
      </c>
      <c r="BP21" s="107"/>
      <c r="BR21" s="265" t="str">
        <f t="shared" si="1"/>
        <v>"u": { commit: "ㄧ" }</v>
      </c>
      <c r="BT21" s="195">
        <f t="shared" si="2"/>
        <v>18</v>
      </c>
      <c r="BU21" s="266" t="str">
        <f t="shared" si="3"/>
        <v>- xform/i/u/</v>
      </c>
      <c r="BW21" s="266" t="str">
        <f t="shared" si="4"/>
        <v>- xform/u/ㄧ/</v>
      </c>
    </row>
    <row r="22" spans="1:89" s="195" customFormat="1" ht="45" customHeight="1">
      <c r="B22" s="258"/>
      <c r="C22" s="258"/>
      <c r="D22" s="258"/>
      <c r="E22" s="258"/>
      <c r="F22" s="258"/>
      <c r="G22" s="258"/>
      <c r="H22" s="258"/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  <c r="AA22" s="258"/>
      <c r="AB22" s="258"/>
      <c r="AC22" s="258"/>
      <c r="AD22" s="258"/>
      <c r="AE22" s="258"/>
      <c r="AF22" s="258"/>
      <c r="AG22" s="258"/>
      <c r="AH22" s="258"/>
      <c r="AI22" s="258"/>
      <c r="AJ22" s="258"/>
      <c r="AK22" s="258"/>
      <c r="AL22" s="258"/>
      <c r="AM22" s="258"/>
      <c r="AN22" s="258"/>
      <c r="AO22" s="258"/>
      <c r="AP22" s="258"/>
      <c r="AQ22" s="258"/>
      <c r="AR22" s="234"/>
      <c r="AS22" s="234"/>
      <c r="AT22" s="258"/>
      <c r="AU22" s="258"/>
      <c r="AV22" s="258"/>
      <c r="AW22" s="145"/>
      <c r="AX22" s="145"/>
      <c r="AY22" s="145"/>
      <c r="AZ22" s="145"/>
      <c r="BA22" s="145"/>
      <c r="BB22" s="145"/>
      <c r="BG22" s="285"/>
      <c r="BH22" s="285"/>
      <c r="BJ22" s="264">
        <f t="shared" si="0"/>
        <v>19</v>
      </c>
      <c r="BK22" s="71" t="str">
        <f>注音編碼對照表!C21</f>
        <v>j</v>
      </c>
      <c r="BL22" s="583" t="str" cm="1">
        <f t="array" ref="BL22" xml:space="preserve"> INDEX( 注音編碼對照表[方音符號], MATCH(TRUE, EXACT(台語音標注音鍵盤!$BK22, 注音編碼對照表[鍵盤按鍵]), 0))</f>
        <v>ㄨ</v>
      </c>
      <c r="BM22" s="584" t="str" cm="1">
        <f t="array" ref="BM22" xml:space="preserve"> INDEX( 注音編碼對照表[台語音標注音], MATCH(TRUE, EXACT(台語音標注音鍵盤!$BK22, 注音編碼對照表[鍵盤按鍵]), 0))</f>
        <v>ㄨ</v>
      </c>
      <c r="BN22" s="581" t="str" cm="1">
        <f t="array" ref="BN22" xml:space="preserve"> INDEX( 注音編碼對照表[國際音標], MATCH(TRUE, EXACT(台語音標注音鍵盤!$BK22, 注音編碼對照表[鍵盤按鍵]), 0))</f>
        <v>u</v>
      </c>
      <c r="BO22" s="582" t="str" cm="1">
        <f t="array" ref="BO22" xml:space="preserve"> INDEX( 注音編碼對照表[台語音標], MATCH(TRUE, EXACT(台語音標注音鍵盤!$BK22, 注音編碼對照表[鍵盤按鍵]), 0))</f>
        <v>u</v>
      </c>
      <c r="BP22" s="107"/>
      <c r="BR22" s="265" t="str">
        <f t="shared" si="1"/>
        <v>"j": { commit: "ㄨ" }</v>
      </c>
      <c r="BT22" s="195">
        <f t="shared" si="2"/>
        <v>19</v>
      </c>
      <c r="BU22" s="266" t="str">
        <f t="shared" si="3"/>
        <v>- xform/u/j/</v>
      </c>
      <c r="BW22" s="266" t="str">
        <f t="shared" si="4"/>
        <v>- xform/j/ㄨ/</v>
      </c>
    </row>
    <row r="23" spans="1:89" s="195" customFormat="1" ht="45" customHeight="1">
      <c r="B23" s="286" t="s">
        <v>574</v>
      </c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1" t="str">
        <f ca="1" xml:space="preserve"> _xlfn.CONCAT(D21:Y21)</f>
        <v>ppʰbmttʰnltsʦʰʣskkʰgŋhiuaɔə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BC23" s="285"/>
      <c r="BD23" s="285"/>
      <c r="BE23" s="285"/>
      <c r="BF23" s="285"/>
      <c r="BG23" s="285"/>
      <c r="BH23" s="285"/>
      <c r="BJ23" s="264">
        <f t="shared" si="0"/>
        <v>20</v>
      </c>
      <c r="BK23" s="71" t="str">
        <f>注音編碼對照表!C22</f>
        <v>8</v>
      </c>
      <c r="BL23" s="583" t="str" cm="1">
        <f t="array" ref="BL23" xml:space="preserve"> INDEX( 注音編碼對照表[方音符號], MATCH(TRUE, EXACT(台語音標注音鍵盤!$BK23, 注音編碼對照表[鍵盤按鍵]), 0))</f>
        <v>ㄚ</v>
      </c>
      <c r="BM23" s="584" t="str" cm="1">
        <f t="array" ref="BM23" xml:space="preserve"> INDEX( 注音編碼對照表[台語音標注音], MATCH(TRUE, EXACT(台語音標注音鍵盤!$BK23, 注音編碼對照表[鍵盤按鍵]), 0))</f>
        <v>ㄚ</v>
      </c>
      <c r="BN23" s="581" t="str" cm="1">
        <f t="array" ref="BN23" xml:space="preserve"> INDEX( 注音編碼對照表[國際音標], MATCH(TRUE, EXACT(台語音標注音鍵盤!$BK23, 注音編碼對照表[鍵盤按鍵]), 0))</f>
        <v>a</v>
      </c>
      <c r="BO23" s="582" t="str" cm="1">
        <f t="array" ref="BO23" xml:space="preserve"> INDEX( 注音編碼對照表[台語音標], MATCH(TRUE, EXACT(台語音標注音鍵盤!$BK23, 注音編碼對照表[鍵盤按鍵]), 0))</f>
        <v>a</v>
      </c>
      <c r="BP23" s="107"/>
      <c r="BR23" s="265" t="str">
        <f xml:space="preserve"> """" &amp; BK23 &amp; """: { commit: """ &amp; BL23 &amp; """ }"</f>
        <v>"8": { commit: "ㄚ" }</v>
      </c>
      <c r="BT23" s="195">
        <f>BJ23</f>
        <v>20</v>
      </c>
      <c r="BU23" s="266" t="str">
        <f xml:space="preserve"> "- xform/" &amp; BN23 &amp; "/" &amp; BK23 &amp; "/"</f>
        <v>- xform/a/8/</v>
      </c>
      <c r="BW23" s="266" t="str">
        <f xml:space="preserve"> "- xform/" &amp; BK23 &amp; "/" &amp; BL23 &amp; "/"</f>
        <v>- xform/8/ㄚ/</v>
      </c>
    </row>
    <row r="24" spans="1:89" s="195" customFormat="1" ht="45" customHeight="1">
      <c r="B24" s="288" t="s">
        <v>575</v>
      </c>
      <c r="C24" s="288"/>
      <c r="D24" s="288"/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288"/>
      <c r="P24" s="288"/>
      <c r="Q24" s="288"/>
      <c r="R24" s="288"/>
      <c r="S24" s="288"/>
      <c r="T24" s="289"/>
      <c r="U24" s="288"/>
      <c r="V24" s="288"/>
      <c r="W24" s="288"/>
      <c r="X24" s="288"/>
      <c r="Y24" s="288"/>
      <c r="Z24" s="288"/>
      <c r="AA24" s="288" t="s">
        <v>509</v>
      </c>
      <c r="AB24" s="288"/>
      <c r="AC24" s="288"/>
      <c r="AD24" s="288"/>
      <c r="AE24" s="288"/>
      <c r="AF24" s="288"/>
      <c r="AG24" s="288"/>
      <c r="AH24" s="288"/>
      <c r="AI24" s="285"/>
      <c r="AJ24" s="285"/>
      <c r="AK24" s="285"/>
      <c r="AL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J24" s="264">
        <f t="shared" si="0"/>
        <v>21</v>
      </c>
      <c r="BK24" s="71" t="str">
        <f>注音編碼對照表!C23</f>
        <v>i</v>
      </c>
      <c r="BL24" s="583" t="str" cm="1">
        <f t="array" ref="BL24" xml:space="preserve"> INDEX( 注音編碼對照表[方音符號], MATCH(TRUE, EXACT(台語音標注音鍵盤!$BK24, 注音編碼對照表[鍵盤按鍵]), 0))</f>
        <v>ㆦ</v>
      </c>
      <c r="BM24" s="584" t="str" cm="1">
        <f t="array" ref="BM24" xml:space="preserve"> INDEX( 注音編碼對照表[台語音標注音], MATCH(TRUE, EXACT(台語音標注音鍵盤!$BK24, 注音編碼對照表[鍵盤按鍵]), 0))</f>
        <v>ㄛ</v>
      </c>
      <c r="BN24" s="581" t="str" cm="1">
        <f t="array" ref="BN24" xml:space="preserve"> INDEX( 注音編碼對照表[國際音標], MATCH(TRUE, EXACT(台語音標注音鍵盤!$BK24, 注音編碼對照表[鍵盤按鍵]), 0))</f>
        <v>ɔ</v>
      </c>
      <c r="BO24" s="582" t="str" cm="1">
        <f t="array" ref="BO24" xml:space="preserve"> INDEX( 注音編碼對照表[台語音標], MATCH(TRUE, EXACT(台語音標注音鍵盤!$BK24, 注音編碼對照表[鍵盤按鍵]), 0))</f>
        <v>oo</v>
      </c>
      <c r="BP24" s="111"/>
      <c r="BR24" s="265" t="str">
        <f t="shared" si="1"/>
        <v>"i": { commit: "ㆦ" }</v>
      </c>
      <c r="BT24" s="195">
        <f t="shared" ref="BT24:BT63" si="5">BJ23</f>
        <v>20</v>
      </c>
      <c r="BU24" s="266" t="str">
        <f t="shared" si="3"/>
        <v>- xform/ɔ/i/</v>
      </c>
      <c r="BW24" s="266" t="str">
        <f t="shared" si="4"/>
        <v>- xform/i/ㆦ/</v>
      </c>
    </row>
    <row r="25" spans="1:89" s="195" customFormat="1" ht="45" customHeight="1">
      <c r="B25" s="290" t="s">
        <v>387</v>
      </c>
      <c r="C25" s="291"/>
      <c r="D25" s="292">
        <f ca="1" xml:space="preserve"> LEN(E25)</f>
        <v>65</v>
      </c>
      <c r="E25" s="292" t="str">
        <f ca="1" xml:space="preserve"> _xlfn.CONCAT(D21:BC21)</f>
        <v>ppʰbmttʰnltsʦʰʣskkʰgŋhiuaɔəeai̯ɑu̯anɑŋɨĩũãɔ̃ẽãĩãũamɔŋŋ̍nm̩ɲ000000</v>
      </c>
      <c r="F25" s="291"/>
      <c r="G25" s="291"/>
      <c r="H25" s="291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J25" s="264">
        <f t="shared" si="0"/>
        <v>22</v>
      </c>
      <c r="BK25" s="71" t="str">
        <f>注音編碼對照表!C24</f>
        <v>k</v>
      </c>
      <c r="BL25" s="583" t="str" cm="1">
        <f t="array" ref="BL25" xml:space="preserve"> INDEX( 注音編碼對照表[方音符號], MATCH(TRUE, EXACT(台語音標注音鍵盤!$BK25, 注音編碼對照表[鍵盤按鍵]), 0))</f>
        <v>ㄜ</v>
      </c>
      <c r="BM25" s="584" t="str" cm="1">
        <f t="array" ref="BM25" xml:space="preserve"> INDEX( 注音編碼對照表[台語音標注音], MATCH(TRUE, EXACT(台語音標注音鍵盤!$BK25, 注音編碼對照表[鍵盤按鍵]), 0))</f>
        <v>ㄜ</v>
      </c>
      <c r="BN25" s="581" t="str" cm="1">
        <f t="array" ref="BN25" xml:space="preserve"> INDEX( 注音編碼對照表[國際音標], MATCH(TRUE, EXACT(台語音標注音鍵盤!$BK25, 注音編碼對照表[鍵盤按鍵]), 0))</f>
        <v>ə</v>
      </c>
      <c r="BO25" s="582" t="str" cm="1">
        <f t="array" ref="BO25" xml:space="preserve"> INDEX( 注音編碼對照表[台語音標], MATCH(TRUE, EXACT(台語音標注音鍵盤!$BK25, 注音編碼對照表[鍵盤按鍵]), 0))</f>
        <v>o</v>
      </c>
      <c r="BP25" s="107"/>
      <c r="BR25" s="265" t="str">
        <f t="shared" si="1"/>
        <v>"k": { commit: "ㄜ" }</v>
      </c>
      <c r="BT25" s="195">
        <f t="shared" si="5"/>
        <v>21</v>
      </c>
      <c r="BU25" s="266" t="str">
        <f t="shared" si="3"/>
        <v>- xform/ə/k/</v>
      </c>
      <c r="BW25" s="266" t="str">
        <f t="shared" si="4"/>
        <v>- xform/k/ㄜ/</v>
      </c>
    </row>
    <row r="26" spans="1:89" s="297" customFormat="1" ht="45" customHeight="1">
      <c r="A26" s="195"/>
      <c r="B26" s="293" t="s">
        <v>576</v>
      </c>
      <c r="C26" s="294"/>
      <c r="D26" s="295">
        <f ca="1" xml:space="preserve"> LEN(E26)</f>
        <v>47</v>
      </c>
      <c r="E26" s="295" t="str">
        <f ca="1" xml:space="preserve"> _xlfn.CONCAT(D17:BC17)</f>
        <v>1q!a2wsxyhbnedEgcuj8ik,9l0;-UJ*I&lt;(LMo/pm. 43657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195"/>
      <c r="AL26" s="195"/>
      <c r="AM26" s="19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96"/>
      <c r="BH26" s="296"/>
      <c r="BJ26" s="264">
        <f t="shared" si="0"/>
        <v>23</v>
      </c>
      <c r="BK26" s="71" t="str">
        <f>注音編碼對照表!C25</f>
        <v>,</v>
      </c>
      <c r="BL26" s="583" t="str" cm="1">
        <f t="array" ref="BL26" xml:space="preserve"> INDEX( 注音編碼對照表[方音符號], MATCH(TRUE, EXACT(台語音標注音鍵盤!$BK26, 注音編碼對照表[鍵盤按鍵]), 0))</f>
        <v>ㆤ</v>
      </c>
      <c r="BM26" s="584" t="str" cm="1">
        <f t="array" ref="BM26" xml:space="preserve"> INDEX( 注音編碼對照表[台語音標注音], MATCH(TRUE, EXACT(台語音標注音鍵盤!$BK26, 注音編碼對照表[鍵盤按鍵]), 0))</f>
        <v>ㄝ</v>
      </c>
      <c r="BN26" s="581" t="str" cm="1">
        <f t="array" ref="BN26" xml:space="preserve"> INDEX( 注音編碼對照表[國際音標], MATCH(TRUE, EXACT(台語音標注音鍵盤!$BK26, 注音編碼對照表[鍵盤按鍵]), 0))</f>
        <v>e</v>
      </c>
      <c r="BO26" s="582" t="str" cm="1">
        <f t="array" ref="BO26" xml:space="preserve"> INDEX( 注音編碼對照表[台語音標], MATCH(TRUE, EXACT(台語音標注音鍵盤!$BK26, 注音編碼對照表[鍵盤按鍵]), 0))</f>
        <v>e</v>
      </c>
      <c r="BP26" s="107"/>
      <c r="BQ26" s="195"/>
      <c r="BR26" s="265" t="str">
        <f t="shared" si="1"/>
        <v>",": { commit: "ㆤ" }</v>
      </c>
      <c r="BS26" s="195"/>
      <c r="BT26" s="195">
        <f t="shared" si="5"/>
        <v>22</v>
      </c>
      <c r="BU26" s="266" t="str">
        <f t="shared" si="3"/>
        <v>- xform/e/,/</v>
      </c>
      <c r="BV26" s="195"/>
      <c r="BW26" s="266" t="str">
        <f t="shared" si="4"/>
        <v>- xform/,/ㆤ/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297"/>
      <c r="B27" s="298" t="str">
        <f ca="1" xml:space="preserve"> "- xlit|" &amp; E25 &amp; "|" &amp; E26 &amp; "|"</f>
        <v>- xlit|ppʰbmttʰnltsʦʰʣskkʰgŋhiuaɔəeai̯ɑu̯anɑŋɨĩũãɔ̃ẽãĩãũamɔŋŋ̍nm̩ɲ000000|1q!a2wsxyhbnedEgcuj8ik,9l0;-UJ*I&lt;(LMo/pm. 43657|</v>
      </c>
      <c r="C27" s="299"/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299"/>
      <c r="AH27" s="299"/>
      <c r="AI27" s="299"/>
      <c r="AJ27" s="299"/>
      <c r="AK27" s="285"/>
      <c r="AL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96"/>
      <c r="BD27" s="296"/>
      <c r="BE27" s="296"/>
      <c r="BF27" s="296"/>
      <c r="BG27" s="285"/>
      <c r="BH27" s="285"/>
      <c r="BJ27" s="264">
        <f t="shared" si="0"/>
        <v>24</v>
      </c>
      <c r="BK27" s="71" t="str">
        <f>注音編碼對照表!C26</f>
        <v>9</v>
      </c>
      <c r="BL27" s="583" t="str" cm="1">
        <f t="array" ref="BL27" xml:space="preserve"> INDEX( 注音編碼對照表[方音符號], MATCH(TRUE, EXACT(台語音標注音鍵盤!$BK27, 注音編碼對照表[鍵盤按鍵]), 0))</f>
        <v>ㄞ</v>
      </c>
      <c r="BM27" s="584" t="str" cm="1">
        <f t="array" ref="BM27" xml:space="preserve"> INDEX( 注音編碼對照表[台語音標注音], MATCH(TRUE, EXACT(台語音標注音鍵盤!$BK27, 注音編碼對照表[鍵盤按鍵]), 0))</f>
        <v>ㄞ</v>
      </c>
      <c r="BN27" s="581" t="str" cm="1">
        <f t="array" ref="BN27" xml:space="preserve"> INDEX( 注音編碼對照表[國際音標], MATCH(TRUE, EXACT(台語音標注音鍵盤!$BK27, 注音編碼對照表[鍵盤按鍵]), 0))</f>
        <v>ai̯</v>
      </c>
      <c r="BO27" s="582" t="str" cm="1">
        <f t="array" ref="BO27" xml:space="preserve"> INDEX( 注音編碼對照表[台語音標], MATCH(TRUE, EXACT(台語音標注音鍵盤!$BK27, 注音編碼對照表[鍵盤按鍵]), 0))</f>
        <v>ai</v>
      </c>
      <c r="BP27" s="107"/>
      <c r="BQ27" s="297"/>
      <c r="BR27" s="265" t="str">
        <f t="shared" si="1"/>
        <v>"9": { commit: "ㄞ" }</v>
      </c>
      <c r="BS27" s="297"/>
      <c r="BT27" s="297">
        <f t="shared" si="5"/>
        <v>23</v>
      </c>
      <c r="BU27" s="266" t="str">
        <f t="shared" si="3"/>
        <v>- xform/ai̯/9/</v>
      </c>
      <c r="BV27" s="297"/>
      <c r="BW27" s="266" t="str">
        <f t="shared" si="4"/>
        <v>- xform/9/ㄞ/</v>
      </c>
      <c r="BX27" s="297"/>
      <c r="BY27" s="297"/>
      <c r="BZ27" s="297"/>
      <c r="CA27" s="297"/>
      <c r="CB27" s="297"/>
      <c r="CC27" s="297"/>
      <c r="CD27" s="297"/>
      <c r="CE27" s="297"/>
      <c r="CF27" s="297"/>
      <c r="CG27" s="297"/>
      <c r="CH27" s="297"/>
      <c r="CI27" s="297"/>
      <c r="CJ27" s="297"/>
      <c r="CK27" s="297"/>
    </row>
    <row r="28" spans="1:89" s="195" customFormat="1" ht="45" customHeight="1">
      <c r="B28" s="300"/>
      <c r="C28" s="301"/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1"/>
      <c r="Y28" s="301"/>
      <c r="Z28" s="301"/>
      <c r="AA28" s="301"/>
      <c r="AB28" s="301"/>
      <c r="AC28" s="301"/>
      <c r="AD28" s="301"/>
      <c r="AE28" s="301"/>
      <c r="AF28" s="301"/>
      <c r="AG28" s="301"/>
      <c r="AH28" s="301"/>
      <c r="AI28" s="301"/>
      <c r="AJ28" s="301"/>
      <c r="AK28" s="296"/>
      <c r="AL28" s="296"/>
      <c r="AN28" s="285"/>
      <c r="AO28" s="285"/>
      <c r="AP28" s="285"/>
      <c r="AQ28" s="285"/>
      <c r="AR28" s="285"/>
      <c r="AS28" s="285"/>
      <c r="AT28" s="296"/>
      <c r="AU28" s="296"/>
      <c r="AV28" s="296"/>
      <c r="AW28" s="296"/>
      <c r="AX28" s="296"/>
      <c r="AY28" s="296"/>
      <c r="AZ28" s="296"/>
      <c r="BA28" s="296"/>
      <c r="BB28" s="296"/>
      <c r="BC28" s="285"/>
      <c r="BD28" s="285"/>
      <c r="BE28" s="285"/>
      <c r="BF28" s="285"/>
      <c r="BG28" s="285"/>
      <c r="BH28" s="285"/>
      <c r="BJ28" s="264">
        <f t="shared" si="0"/>
        <v>25</v>
      </c>
      <c r="BK28" s="71" t="str">
        <f>注音編碼對照表!C27</f>
        <v>l</v>
      </c>
      <c r="BL28" s="583" t="str" cm="1">
        <f t="array" ref="BL28" xml:space="preserve"> INDEX( 注音編碼對照表[方音符號], MATCH(TRUE, EXACT(台語音標注音鍵盤!$BK28, 注音編碼對照表[鍵盤按鍵]), 0))</f>
        <v>ㄠ</v>
      </c>
      <c r="BM28" s="584" t="str" cm="1">
        <f t="array" ref="BM28" xml:space="preserve"> INDEX( 注音編碼對照表[台語音標注音], MATCH(TRUE, EXACT(台語音標注音鍵盤!$BK28, 注音編碼對照表[鍵盤按鍵]), 0))</f>
        <v>ㄠ</v>
      </c>
      <c r="BN28" s="581" t="str" cm="1">
        <f t="array" ref="BN28" xml:space="preserve"> INDEX( 注音編碼對照表[國際音標], MATCH(TRUE, EXACT(台語音標注音鍵盤!$BK28, 注音編碼對照表[鍵盤按鍵]), 0))</f>
        <v>ɑu̯</v>
      </c>
      <c r="BO28" s="582" t="str" cm="1">
        <f t="array" ref="BO28" xml:space="preserve"> INDEX( 注音編碼對照表[台語音標], MATCH(TRUE, EXACT(台語音標注音鍵盤!$BK28, 注音編碼對照表[鍵盤按鍵]), 0))</f>
        <v>au</v>
      </c>
      <c r="BP28" s="107"/>
      <c r="BR28" s="265" t="str">
        <f t="shared" si="1"/>
        <v>"l": { commit: "ㄠ" }</v>
      </c>
      <c r="BT28" s="195">
        <f t="shared" si="5"/>
        <v>24</v>
      </c>
      <c r="BU28" s="266" t="str">
        <f t="shared" si="3"/>
        <v>- xform/ɑu̯/l/</v>
      </c>
      <c r="BW28" s="266" t="str">
        <f t="shared" si="4"/>
        <v>- xform/l/ㄠ/</v>
      </c>
    </row>
    <row r="29" spans="1:89" s="195" customFormat="1" ht="45" customHeight="1">
      <c r="B29" s="290"/>
      <c r="C29" s="291"/>
      <c r="D29" s="292">
        <f ca="1" xml:space="preserve"> LEN(E29)</f>
        <v>63</v>
      </c>
      <c r="E29" s="292" t="str">
        <f ca="1">SUBSTITUTE(SUBSTITUTE(E25, "b", ""), "g", "")</f>
        <v>ppʰmttʰnltsʦʰʣskkʰŋhiuaɔəeai̯ɑu̯anɑŋɨĩũãɔ̃ẽãĩãũamɔŋŋ̍nm̩ɲ000000</v>
      </c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85"/>
      <c r="AL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J29" s="264">
        <f t="shared" si="0"/>
        <v>26</v>
      </c>
      <c r="BK29" s="71" t="str">
        <f>注音編碼對照表!C28</f>
        <v>0</v>
      </c>
      <c r="BL29" s="583" t="str" cm="1">
        <f t="array" ref="BL29" xml:space="preserve"> INDEX( 注音編碼對照表[方音符號], MATCH(TRUE, EXACT(台語音標注音鍵盤!$BK29, 注音編碼對照表[鍵盤按鍵]), 0))</f>
        <v>ㄢ</v>
      </c>
      <c r="BM29" s="584" t="str" cm="1">
        <f t="array" ref="BM29" xml:space="preserve"> INDEX( 注音編碼對照表[台語音標注音], MATCH(TRUE, EXACT(台語音標注音鍵盤!$BK29, 注音編碼對照表[鍵盤按鍵]), 0))</f>
        <v>ㄢ</v>
      </c>
      <c r="BN29" s="581" t="str" cm="1">
        <f t="array" ref="BN29" xml:space="preserve"> INDEX( 注音編碼對照表[國際音標], MATCH(TRUE, EXACT(台語音標注音鍵盤!$BK29, 注音編碼對照表[鍵盤按鍵]), 0))</f>
        <v>an</v>
      </c>
      <c r="BO29" s="582" t="str" cm="1">
        <f t="array" ref="BO29" xml:space="preserve"> INDEX( 注音編碼對照表[台語音標], MATCH(TRUE, EXACT(台語音標注音鍵盤!$BK29, 注音編碼對照表[鍵盤按鍵]), 0))</f>
        <v>an</v>
      </c>
      <c r="BP29" s="107"/>
      <c r="BR29" s="265" t="str">
        <f t="shared" si="1"/>
        <v>"0": { commit: "ㄢ" }</v>
      </c>
      <c r="BT29" s="195">
        <f t="shared" si="5"/>
        <v>25</v>
      </c>
      <c r="BU29" s="266" t="str">
        <f t="shared" si="3"/>
        <v>- xform/an/0/</v>
      </c>
      <c r="BW29" s="266" t="str">
        <f t="shared" si="4"/>
        <v>- xform/0/ㄢ/</v>
      </c>
    </row>
    <row r="30" spans="1:89" s="195" customFormat="1" ht="45" customHeight="1">
      <c r="B30" s="293"/>
      <c r="C30" s="294"/>
      <c r="D30" s="295">
        <f ca="1" xml:space="preserve"> LEN(E30)</f>
        <v>45</v>
      </c>
      <c r="E30" s="295" t="str">
        <f ca="1">SUBSTITUTE(SUBSTITUTE(E26, "!", ""), "E", "")</f>
        <v>1qa2wsxyhbnedgcuj8ik,9l0;-UJ*I&lt;(LMo/pm. 43657</v>
      </c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  <c r="AE30" s="294"/>
      <c r="AF30" s="294"/>
      <c r="AG30" s="294"/>
      <c r="AH30" s="294"/>
      <c r="AI30" s="294"/>
      <c r="AJ30" s="294"/>
      <c r="AK30" s="285"/>
      <c r="AL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J30" s="264">
        <f t="shared" si="0"/>
        <v>27</v>
      </c>
      <c r="BK30" s="71" t="str">
        <f>注音編碼對照表!C29</f>
        <v>;</v>
      </c>
      <c r="BL30" s="583" t="str" cm="1">
        <f t="array" ref="BL30" xml:space="preserve"> INDEX( 注音編碼對照表[方音符號], MATCH(TRUE, EXACT(台語音標注音鍵盤!$BK30, 注音編碼對照表[鍵盤按鍵]), 0))</f>
        <v>ㄤ</v>
      </c>
      <c r="BM30" s="584" t="str" cm="1">
        <f t="array" ref="BM30" xml:space="preserve"> INDEX( 注音編碼對照表[台語音標注音], MATCH(TRUE, EXACT(台語音標注音鍵盤!$BK30, 注音編碼對照表[鍵盤按鍵]), 0))</f>
        <v>ㄤ</v>
      </c>
      <c r="BN30" s="581" t="str" cm="1">
        <f t="array" ref="BN30" xml:space="preserve"> INDEX( 注音編碼對照表[國際音標], MATCH(TRUE, EXACT(台語音標注音鍵盤!$BK30, 注音編碼對照表[鍵盤按鍵]), 0))</f>
        <v>ɑŋ</v>
      </c>
      <c r="BO30" s="582" t="str" cm="1">
        <f t="array" ref="BO30" xml:space="preserve"> INDEX( 注音編碼對照表[台語音標], MATCH(TRUE, EXACT(台語音標注音鍵盤!$BK30, 注音編碼對照表[鍵盤按鍵]), 0))</f>
        <v>ang</v>
      </c>
      <c r="BP30" s="107"/>
      <c r="BR30" s="265" t="str">
        <f t="shared" si="1"/>
        <v>";": { commit: "ㄤ" }</v>
      </c>
      <c r="BT30" s="195">
        <f t="shared" si="5"/>
        <v>26</v>
      </c>
      <c r="BU30" s="266" t="str">
        <f t="shared" si="3"/>
        <v>- xform/ɑŋ/;/</v>
      </c>
      <c r="BW30" s="266" t="str">
        <f t="shared" si="4"/>
        <v>- xform/;/ㄤ/</v>
      </c>
    </row>
    <row r="31" spans="1:89" s="195" customFormat="1" ht="45" customHeight="1">
      <c r="B31" s="298" t="str">
        <f ca="1" xml:space="preserve"> "- xlit|" &amp; E29 &amp; "|" &amp; E30 &amp; "|"</f>
        <v>- xlit|ppʰmttʰnltsʦʰʣskkʰŋhiuaɔəeai̯ɑu̯anɑŋɨĩũãɔ̃ẽãĩãũamɔŋŋ̍nm̩ɲ000000|1qa2wsxyhbnedgcuj8ik,9l0;-UJ*I&lt;(LMo/pm. 43657|</v>
      </c>
      <c r="C31" s="299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299"/>
      <c r="O31" s="299"/>
      <c r="P31" s="299"/>
      <c r="Q31" s="299"/>
      <c r="R31" s="299"/>
      <c r="S31" s="299"/>
      <c r="T31" s="299"/>
      <c r="U31" s="299"/>
      <c r="V31" s="299"/>
      <c r="W31" s="299"/>
      <c r="X31" s="299"/>
      <c r="Y31" s="299"/>
      <c r="Z31" s="299"/>
      <c r="AA31" s="299"/>
      <c r="AB31" s="299"/>
      <c r="AC31" s="299"/>
      <c r="AD31" s="299"/>
      <c r="AE31" s="299"/>
      <c r="AF31" s="299"/>
      <c r="AG31" s="299"/>
      <c r="AH31" s="299"/>
      <c r="AI31" s="299"/>
      <c r="AJ31" s="299"/>
      <c r="AK31" s="285"/>
      <c r="AL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J31" s="264">
        <f t="shared" si="0"/>
        <v>28</v>
      </c>
      <c r="BK31" s="71" t="str">
        <f>注音編碼對照表!C30</f>
        <v>-</v>
      </c>
      <c r="BL31" s="583" t="str" cm="1">
        <f t="array" ref="BL31" xml:space="preserve"> INDEX( 注音編碼對照表[方音符號], MATCH(TRUE, EXACT(台語音標注音鍵盤!$BK31, 注音編碼對照表[鍵盤按鍵]), 0))</f>
        <v>ㆨ</v>
      </c>
      <c r="BM31" s="584" t="str" cm="1">
        <f t="array" ref="BM31" xml:space="preserve"> INDEX( 注音編碼對照表[台語音標注音], MATCH(TRUE, EXACT(台語音標注音鍵盤!$BK31, 注音編碼對照表[鍵盤按鍵]), 0))</f>
        <v>ㄭ</v>
      </c>
      <c r="BN31" s="581" t="str" cm="1">
        <f t="array" ref="BN31" xml:space="preserve"> INDEX( 注音編碼對照表[國際音標], MATCH(TRUE, EXACT(台語音標注音鍵盤!$BK31, 注音編碼對照表[鍵盤按鍵]), 0))</f>
        <v>ɨ</v>
      </c>
      <c r="BO31" s="582" t="str" cm="1">
        <f t="array" ref="BO31" xml:space="preserve"> INDEX( 注音編碼對照表[台語音標], MATCH(TRUE, EXACT(台語音標注音鍵盤!$BK31, 注音編碼對照表[鍵盤按鍵]), 0))</f>
        <v>ir</v>
      </c>
      <c r="BP31" s="107"/>
      <c r="BR31" s="265" t="str">
        <f t="shared" si="1"/>
        <v>"-": { commit: "ㆨ" }</v>
      </c>
      <c r="BT31" s="195">
        <f t="shared" si="5"/>
        <v>27</v>
      </c>
      <c r="BU31" s="266" t="str">
        <f t="shared" si="3"/>
        <v>- xform/ɨ/-/</v>
      </c>
      <c r="BW31" s="266" t="str">
        <f t="shared" si="4"/>
        <v>- xform/-/ㆨ/</v>
      </c>
    </row>
    <row r="32" spans="1:89" s="195" customFormat="1" ht="45" customHeight="1">
      <c r="AH32" s="285"/>
      <c r="AI32" s="285"/>
      <c r="AJ32" s="285"/>
      <c r="AK32" s="285"/>
      <c r="AL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J32" s="264">
        <f t="shared" si="0"/>
        <v>29</v>
      </c>
      <c r="BK32" s="71" t="str">
        <f>注音編碼對照表!C31</f>
        <v>U</v>
      </c>
      <c r="BL32" s="583" t="str" cm="1">
        <f t="array" ref="BL32" xml:space="preserve"> INDEX( 注音編碼對照表[方音符號], MATCH(TRUE, EXACT(台語音標注音鍵盤!$BK32, 注音編碼對照表[鍵盤按鍵]), 0))</f>
        <v>ㆪ</v>
      </c>
      <c r="BM32" s="584" t="str" cm="1">
        <f t="array" ref="BM32" xml:space="preserve"> INDEX( 注音編碼對照表[台語音標注音], MATCH(TRUE, EXACT(台語音標注音鍵盤!$BK32, 注音編碼對照表[鍵盤按鍵]), 0))</f>
        <v>⁰ㄧ</v>
      </c>
      <c r="BN32" s="581" t="str" cm="1">
        <f t="array" ref="BN32" xml:space="preserve"> INDEX( 注音編碼對照表[國際音標], MATCH(TRUE, EXACT(台語音標注音鍵盤!$BK32, 注音編碼對照表[鍵盤按鍵]), 0))</f>
        <v>ĩ</v>
      </c>
      <c r="BO32" s="582" t="str" cm="1">
        <f t="array" ref="BO32" xml:space="preserve"> INDEX( 注音編碼對照表[台語音標], MATCH(TRUE, EXACT(台語音標注音鍵盤!$BK32, 注音編碼對照表[鍵盤按鍵]), 0))</f>
        <v>inn</v>
      </c>
      <c r="BP32" s="107"/>
      <c r="BR32" s="265" t="str">
        <f t="shared" si="1"/>
        <v>"U": { commit: "ㆪ" }</v>
      </c>
      <c r="BT32" s="195">
        <f t="shared" si="5"/>
        <v>28</v>
      </c>
      <c r="BU32" s="266" t="str">
        <f t="shared" si="3"/>
        <v>- xform/ĩ/U/</v>
      </c>
      <c r="BW32" s="266" t="str">
        <f t="shared" si="4"/>
        <v>- xform/U/ㆪ/</v>
      </c>
    </row>
    <row r="33" spans="1:89" s="195" customFormat="1" ht="45" customHeight="1">
      <c r="B33" s="302" t="s">
        <v>577</v>
      </c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  <c r="AB33" s="288"/>
      <c r="AC33" s="288"/>
      <c r="AD33" s="288"/>
      <c r="AE33" s="288"/>
      <c r="AF33" s="288"/>
      <c r="AG33" s="288"/>
      <c r="AH33" s="285"/>
      <c r="AI33" s="285"/>
      <c r="AJ33" s="285"/>
      <c r="AK33" s="285"/>
      <c r="AL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J33" s="264">
        <f t="shared" si="0"/>
        <v>30</v>
      </c>
      <c r="BK33" s="71" t="str">
        <f>注音編碼對照表!C32</f>
        <v>J</v>
      </c>
      <c r="BL33" s="583" t="str" cm="1">
        <f t="array" ref="BL33" xml:space="preserve"> INDEX( 注音編碼對照表[方音符號], MATCH(TRUE, EXACT(台語音標注音鍵盤!$BK33, 注音編碼對照表[鍵盤按鍵]), 0))</f>
        <v>ㆫ</v>
      </c>
      <c r="BM33" s="584" t="str" cm="1">
        <f t="array" ref="BM33" xml:space="preserve"> INDEX( 注音編碼對照表[台語音標注音], MATCH(TRUE, EXACT(台語音標注音鍵盤!$BK33, 注音編碼對照表[鍵盤按鍵]), 0))</f>
        <v>⁰ㄨ</v>
      </c>
      <c r="BN33" s="581" t="str" cm="1">
        <f t="array" ref="BN33" xml:space="preserve"> INDEX( 注音編碼對照表[國際音標], MATCH(TRUE, EXACT(台語音標注音鍵盤!$BK33, 注音編碼對照表[鍵盤按鍵]), 0))</f>
        <v>ũ</v>
      </c>
      <c r="BO33" s="582" t="str" cm="1">
        <f t="array" ref="BO33" xml:space="preserve"> INDEX( 注音編碼對照表[台語音標], MATCH(TRUE, EXACT(台語音標注音鍵盤!$BK33, 注音編碼對照表[鍵盤按鍵]), 0))</f>
        <v>unn</v>
      </c>
      <c r="BP33" s="107"/>
      <c r="BR33" s="265" t="str">
        <f t="shared" si="1"/>
        <v>"J": { commit: "ㆫ" }</v>
      </c>
      <c r="BT33" s="195">
        <f t="shared" si="5"/>
        <v>29</v>
      </c>
      <c r="BU33" s="266" t="str">
        <f t="shared" si="3"/>
        <v>- xform/ũ/J/</v>
      </c>
      <c r="BW33" s="266" t="str">
        <f t="shared" si="4"/>
        <v>- xform/J/ㆫ/</v>
      </c>
    </row>
    <row r="34" spans="1:89" s="195" customFormat="1" ht="45" customHeight="1">
      <c r="B34" s="288" t="s">
        <v>578</v>
      </c>
      <c r="C34" s="288"/>
      <c r="D34" s="288"/>
      <c r="E34" s="288"/>
      <c r="F34" s="288"/>
      <c r="G34" s="288"/>
      <c r="H34" s="288"/>
      <c r="I34" s="288"/>
      <c r="J34" s="288"/>
      <c r="K34" s="288"/>
      <c r="L34" s="288"/>
      <c r="M34" s="288"/>
      <c r="N34" s="288"/>
      <c r="O34" s="288"/>
      <c r="P34" s="288"/>
      <c r="Q34" s="288"/>
      <c r="R34" s="288"/>
      <c r="S34" s="289"/>
      <c r="T34" s="288"/>
      <c r="U34" s="288"/>
      <c r="V34" s="288"/>
      <c r="W34" s="288"/>
      <c r="X34" s="288"/>
      <c r="Y34" s="288"/>
      <c r="Z34" s="288"/>
      <c r="AA34" s="288"/>
      <c r="AB34" s="288"/>
      <c r="AC34" s="288"/>
      <c r="AD34" s="288"/>
      <c r="AE34" s="288"/>
      <c r="AF34" s="288"/>
      <c r="AG34" s="288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J34" s="264">
        <f t="shared" si="0"/>
        <v>31</v>
      </c>
      <c r="BK34" s="71" t="str">
        <f>注音編碼對照表!C33</f>
        <v>*</v>
      </c>
      <c r="BL34" s="583" t="str" cm="1">
        <f t="array" ref="BL34" xml:space="preserve"> INDEX( 注音編碼對照表[方音符號], MATCH(TRUE, EXACT(台語音標注音鍵盤!$BK34, 注音編碼對照表[鍵盤按鍵]), 0))</f>
        <v>ㆩ</v>
      </c>
      <c r="BM34" s="584" t="str" cm="1">
        <f t="array" ref="BM34" xml:space="preserve"> INDEX( 注音編碼對照表[台語音標注音], MATCH(TRUE, EXACT(台語音標注音鍵盤!$BK34, 注音編碼對照表[鍵盤按鍵]), 0))</f>
        <v>⁰ㄚ</v>
      </c>
      <c r="BN34" s="581" t="str" cm="1">
        <f t="array" ref="BN34" xml:space="preserve"> INDEX( 注音編碼對照表[國際音標], MATCH(TRUE, EXACT(台語音標注音鍵盤!$BK34, 注音編碼對照表[鍵盤按鍵]), 0))</f>
        <v>ã</v>
      </c>
      <c r="BO34" s="582" t="str" cm="1">
        <f t="array" ref="BO34" xml:space="preserve"> INDEX( 注音編碼對照表[台語音標], MATCH(TRUE, EXACT(台語音標注音鍵盤!$BK34, 注音編碼對照表[鍵盤按鍵]), 0))</f>
        <v>ann</v>
      </c>
      <c r="BP34" s="107"/>
      <c r="BR34" s="265" t="str">
        <f t="shared" si="1"/>
        <v>"*": { commit: "ㆩ" }</v>
      </c>
      <c r="BT34" s="195">
        <f t="shared" si="5"/>
        <v>30</v>
      </c>
      <c r="BU34" s="266" t="str">
        <f t="shared" si="3"/>
        <v>- xform/ã/*/</v>
      </c>
      <c r="BW34" s="266" t="str">
        <f t="shared" si="4"/>
        <v>- xform/*/ㆩ/</v>
      </c>
    </row>
    <row r="35" spans="1:89" s="195" customFormat="1" ht="45" customHeight="1">
      <c r="B35" s="303" t="s">
        <v>342</v>
      </c>
      <c r="C35" s="304"/>
      <c r="D35" s="304">
        <f ca="1" xml:space="preserve"> LEN(E35)</f>
        <v>47</v>
      </c>
      <c r="E35" s="305" t="str">
        <f ca="1" xml:space="preserve"> _xlfn.CONCAT(D17:BC17)</f>
        <v>1q!a2wsxyhbnedEgcuj8ik,9l0;-UJ*I&lt;(LMo/pm. 43657</v>
      </c>
      <c r="F35" s="305"/>
      <c r="G35" s="305"/>
      <c r="H35" s="305"/>
      <c r="I35" s="305"/>
      <c r="J35" s="305"/>
      <c r="K35" s="305"/>
      <c r="L35" s="305"/>
      <c r="M35" s="305"/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305"/>
      <c r="AA35" s="305"/>
      <c r="AB35" s="305"/>
      <c r="AC35" s="305"/>
      <c r="AD35" s="305"/>
      <c r="AE35" s="305"/>
      <c r="AF35" s="305"/>
      <c r="AG35" s="305"/>
      <c r="AH35" s="305"/>
      <c r="AI35" s="305"/>
      <c r="AJ35" s="30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J35" s="264">
        <f t="shared" si="0"/>
        <v>32</v>
      </c>
      <c r="BK35" s="71" t="str">
        <f>注音編碼對照表!C34</f>
        <v>I</v>
      </c>
      <c r="BL35" s="583" t="str" cm="1">
        <f t="array" ref="BL35" xml:space="preserve"> INDEX( 注音編碼對照表[方音符號], MATCH(TRUE, EXACT(台語音標注音鍵盤!$BK35, 注音編碼對照表[鍵盤按鍵]), 0))</f>
        <v>ㆧ</v>
      </c>
      <c r="BM35" s="584" t="str" cm="1">
        <f t="array" ref="BM35" xml:space="preserve"> INDEX( 注音編碼對照表[台語音標注音], MATCH(TRUE, EXACT(台語音標注音鍵盤!$BK35, 注音編碼對照表[鍵盤按鍵]), 0))</f>
        <v>⁰ㆦ</v>
      </c>
      <c r="BN35" s="581" t="str" cm="1">
        <f t="array" ref="BN35" xml:space="preserve"> INDEX( 注音編碼對照表[國際音標], MATCH(TRUE, EXACT(台語音標注音鍵盤!$BK35, 注音編碼對照表[鍵盤按鍵]), 0))</f>
        <v>ɔ̃</v>
      </c>
      <c r="BO35" s="582" t="str" cm="1">
        <f t="array" ref="BO35" xml:space="preserve"> INDEX( 注音編碼對照表[台語音標], MATCH(TRUE, EXACT(台語音標注音鍵盤!$BK35, 注音編碼對照表[鍵盤按鍵]), 0))</f>
        <v>onn</v>
      </c>
      <c r="BP35" s="107"/>
      <c r="BR35" s="265" t="str">
        <f t="shared" si="1"/>
        <v>"I": { commit: "ㆧ" }</v>
      </c>
      <c r="BT35" s="195">
        <f t="shared" si="5"/>
        <v>31</v>
      </c>
      <c r="BU35" s="266" t="str">
        <f t="shared" si="3"/>
        <v>- xform/ɔ̃/I/</v>
      </c>
      <c r="BW35" s="266" t="str">
        <f t="shared" si="4"/>
        <v>- xform/I/ㆧ/</v>
      </c>
    </row>
    <row r="36" spans="1:89" s="195" customFormat="1" ht="45" customHeight="1">
      <c r="B36" s="306" t="s">
        <v>15</v>
      </c>
      <c r="C36" s="307"/>
      <c r="D36" s="307">
        <f ca="1">LEN(E36)</f>
        <v>57</v>
      </c>
      <c r="E36" s="306" t="str">
        <f ca="1" xml:space="preserve"> _xlfn.CONCAT(D19:BC19)</f>
        <v>ㄅㄆ万ㄇㄉㄊㄋㄌㄗㄘㄖㄙㄍㄎ兀⁰兀ㄏㄧㄨㄚㄛㄜㄝㄞㄠㄢㄤㄭ⁰ㄧ⁰ㄨ⁰ㄚ⁰ㆦ⁰ㄝ⁰ㄞ⁰ㄠㄚㄇㄛㄥㄥㄣㄇㄬ000000</v>
      </c>
      <c r="F36" s="306"/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  <c r="AC36" s="306"/>
      <c r="AD36" s="306"/>
      <c r="AE36" s="306"/>
      <c r="AF36" s="306"/>
      <c r="AG36" s="306"/>
      <c r="AH36" s="306"/>
      <c r="AI36" s="306"/>
      <c r="AJ36" s="306"/>
      <c r="AK36" s="285"/>
      <c r="AL36" s="285"/>
      <c r="AM36" s="308" t="s">
        <v>390</v>
      </c>
      <c r="AN36" s="308" t="s">
        <v>421</v>
      </c>
      <c r="AO36" s="308" t="s">
        <v>509</v>
      </c>
      <c r="AP36" s="308" t="s">
        <v>401</v>
      </c>
      <c r="AQ36" s="308" t="s">
        <v>69</v>
      </c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J36" s="264">
        <f t="shared" si="0"/>
        <v>33</v>
      </c>
      <c r="BK36" s="71" t="str">
        <f>注音編碼對照表!C35</f>
        <v>&lt;</v>
      </c>
      <c r="BL36" s="583" t="str" cm="1">
        <f t="array" ref="BL36" xml:space="preserve"> INDEX( 注音編碼對照表[方音符號], MATCH(TRUE, EXACT(台語音標注音鍵盤!$BK36, 注音編碼對照表[鍵盤按鍵]), 0))</f>
        <v>ㆥ</v>
      </c>
      <c r="BM36" s="584" t="str" cm="1">
        <f t="array" ref="BM36" xml:space="preserve"> INDEX( 注音編碼對照表[台語音標注音], MATCH(TRUE, EXACT(台語音標注音鍵盤!$BK36, 注音編碼對照表[鍵盤按鍵]), 0))</f>
        <v>⁰ㄝ</v>
      </c>
      <c r="BN36" s="581" t="str" cm="1">
        <f t="array" ref="BN36" xml:space="preserve"> INDEX( 注音編碼對照表[國際音標], MATCH(TRUE, EXACT(台語音標注音鍵盤!$BK36, 注音編碼對照表[鍵盤按鍵]), 0))</f>
        <v>ẽ</v>
      </c>
      <c r="BO36" s="582" t="str" cm="1">
        <f t="array" ref="BO36" xml:space="preserve"> INDEX( 注音編碼對照表[台語音標], MATCH(TRUE, EXACT(台語音標注音鍵盤!$BK36, 注音編碼對照表[鍵盤按鍵]), 0))</f>
        <v>enn</v>
      </c>
      <c r="BP36" s="107"/>
      <c r="BR36" s="265" t="str">
        <f t="shared" si="1"/>
        <v>"&lt;": { commit: "ㆥ" }</v>
      </c>
      <c r="BT36" s="195">
        <f t="shared" si="5"/>
        <v>32</v>
      </c>
      <c r="BU36" s="266" t="str">
        <f t="shared" si="3"/>
        <v>- xform/ẽ/&lt;/</v>
      </c>
      <c r="BW36" s="266" t="str">
        <f t="shared" si="4"/>
        <v>- xform/&lt;/ㆥ/</v>
      </c>
    </row>
    <row r="37" spans="1:89" s="195" customFormat="1" ht="45" customHeight="1">
      <c r="B37" s="298" t="str">
        <f ca="1" xml:space="preserve"> "- xlit|" &amp; E35 &amp; "|" &amp; E36 &amp; "|"</f>
        <v>- xlit|1q!a2wsxyhbnedEgcuj8ik,9l0;-UJ*I&lt;(LMo/pm. 43657|ㄅㄆ万ㄇㄉㄊㄋㄌㄗㄘㄖㄙㄍㄎ兀⁰兀ㄏㄧㄨㄚㄛㄜㄝㄞㄠㄢㄤㄭ⁰ㄧ⁰ㄨ⁰ㄚ⁰ㆦ⁰ㄝ⁰ㄞ⁰ㄠㄚㄇㄛㄥㄥㄣㄇㄬ000000|</v>
      </c>
      <c r="C37" s="309"/>
      <c r="D37" s="309"/>
      <c r="E37" s="309"/>
      <c r="F37" s="309"/>
      <c r="G37" s="309"/>
      <c r="H37" s="309"/>
      <c r="I37" s="309"/>
      <c r="J37" s="309"/>
      <c r="K37" s="309"/>
      <c r="L37" s="309"/>
      <c r="M37" s="309"/>
      <c r="N37" s="309"/>
      <c r="O37" s="309"/>
      <c r="P37" s="309"/>
      <c r="Q37" s="309"/>
      <c r="R37" s="309"/>
      <c r="S37" s="309"/>
      <c r="T37" s="309"/>
      <c r="U37" s="309"/>
      <c r="V37" s="309"/>
      <c r="W37" s="309"/>
      <c r="X37" s="309"/>
      <c r="Y37" s="309"/>
      <c r="Z37" s="309"/>
      <c r="AA37" s="309"/>
      <c r="AB37" s="309"/>
      <c r="AC37" s="309"/>
      <c r="AD37" s="309"/>
      <c r="AE37" s="309"/>
      <c r="AF37" s="309"/>
      <c r="AG37" s="299"/>
      <c r="AH37" s="299"/>
      <c r="AI37" s="299"/>
      <c r="AJ37" s="299"/>
      <c r="AK37" s="285"/>
      <c r="AL37" s="285"/>
      <c r="AM37" s="308">
        <f ca="1" xml:space="preserve"> FIND(AM36, $E$35)</f>
        <v>3</v>
      </c>
      <c r="AN37" s="308">
        <f ca="1" xml:space="preserve"> FIND(AN36, $E$35)</f>
        <v>15</v>
      </c>
      <c r="AO37" s="308" t="e">
        <f ca="1" xml:space="preserve"> FIND(AO36, $E$35)</f>
        <v>#VALUE!</v>
      </c>
      <c r="AP37" s="308" t="e">
        <f ca="1" xml:space="preserve"> FIND(AP36, $E$35)</f>
        <v>#VALUE!</v>
      </c>
      <c r="AQ37" s="308" t="e">
        <f ca="1" xml:space="preserve"> FIND(AQ36, $E$35)</f>
        <v>#VALUE!</v>
      </c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J37" s="264">
        <f t="shared" si="0"/>
        <v>34</v>
      </c>
      <c r="BK37" s="71" t="str">
        <f>注音編碼對照表!C36</f>
        <v>(</v>
      </c>
      <c r="BL37" s="583" t="str" cm="1">
        <f t="array" ref="BL37" xml:space="preserve"> INDEX( 注音編碼對照表[方音符號], MATCH(TRUE, EXACT(台語音標注音鍵盤!$BK37, 注音編碼對照表[鍵盤按鍵]), 0))</f>
        <v>ㆮ</v>
      </c>
      <c r="BM37" s="584" t="str" cm="1">
        <f t="array" ref="BM37" xml:space="preserve"> INDEX( 注音編碼對照表[台語音標注音], MATCH(TRUE, EXACT(台語音標注音鍵盤!$BK37, 注音編碼對照表[鍵盤按鍵]), 0))</f>
        <v>⁰ㄞ</v>
      </c>
      <c r="BN37" s="581" t="str" cm="1">
        <f t="array" ref="BN37" xml:space="preserve"> INDEX( 注音編碼對照表[國際音標], MATCH(TRUE, EXACT(台語音標注音鍵盤!$BK37, 注音編碼對照表[鍵盤按鍵]), 0))</f>
        <v>ãĩ</v>
      </c>
      <c r="BO37" s="582" t="str" cm="1">
        <f t="array" ref="BO37" xml:space="preserve"> INDEX( 注音編碼對照表[台語音標], MATCH(TRUE, EXACT(台語音標注音鍵盤!$BK37, 注音編碼對照表[鍵盤按鍵]), 0))</f>
        <v>ainn</v>
      </c>
      <c r="BP37" s="107"/>
      <c r="BR37" s="265" t="str">
        <f t="shared" si="1"/>
        <v>"(": { commit: "ㆮ" }</v>
      </c>
      <c r="BT37" s="195">
        <f t="shared" si="5"/>
        <v>33</v>
      </c>
      <c r="BU37" s="266" t="str">
        <f t="shared" si="3"/>
        <v>- xform/ãĩ/(/</v>
      </c>
      <c r="BW37" s="266" t="str">
        <f t="shared" si="4"/>
        <v>- xform/(/ㆮ/</v>
      </c>
    </row>
    <row r="38" spans="1:89" s="195" customFormat="1" ht="45" customHeight="1">
      <c r="B38" s="300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301"/>
      <c r="AG38" s="301"/>
      <c r="AH38" s="301"/>
      <c r="AI38" s="301"/>
      <c r="AJ38" s="301"/>
      <c r="AK38" s="285"/>
      <c r="AL38" s="285"/>
      <c r="AM38" s="308" t="str">
        <f ca="1" xml:space="preserve"> MID($E$36,AM37,1)</f>
        <v>万</v>
      </c>
      <c r="AN38" s="308" t="str">
        <f ca="1" xml:space="preserve"> MID($E$36,AN37,1)</f>
        <v>兀</v>
      </c>
      <c r="AO38" s="308" t="e">
        <f ca="1" xml:space="preserve"> MID($E$36,AO37,1)</f>
        <v>#VALUE!</v>
      </c>
      <c r="AP38" s="308" t="e">
        <f ca="1" xml:space="preserve"> MID($E$36,AP37,1)</f>
        <v>#VALUE!</v>
      </c>
      <c r="AQ38" s="308" t="e">
        <f ca="1" xml:space="preserve"> MID($E$36,AQ37,1)</f>
        <v>#VALUE!</v>
      </c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J38" s="264">
        <f t="shared" si="0"/>
        <v>35</v>
      </c>
      <c r="BK38" s="71" t="str">
        <f>注音編碼對照表!C37</f>
        <v>L</v>
      </c>
      <c r="BL38" s="583" t="str" cm="1">
        <f t="array" ref="BL38" xml:space="preserve"> INDEX( 注音編碼對照表[方音符號], MATCH(TRUE, EXACT(台語音標注音鍵盤!$BK38, 注音編碼對照表[鍵盤按鍵]), 0))</f>
        <v>ㆯ</v>
      </c>
      <c r="BM38" s="584" t="str" cm="1">
        <f t="array" ref="BM38" xml:space="preserve"> INDEX( 注音編碼對照表[台語音標注音], MATCH(TRUE, EXACT(台語音標注音鍵盤!$BK38, 注音編碼對照表[鍵盤按鍵]), 0))</f>
        <v>⁰ㄠ</v>
      </c>
      <c r="BN38" s="581" t="str" cm="1">
        <f t="array" ref="BN38" xml:space="preserve"> INDEX( 注音編碼對照表[國際音標], MATCH(TRUE, EXACT(台語音標注音鍵盤!$BK38, 注音編碼對照表[鍵盤按鍵]), 0))</f>
        <v>ãũ</v>
      </c>
      <c r="BO38" s="582" t="str" cm="1">
        <f t="array" ref="BO38" xml:space="preserve"> INDEX( 注音編碼對照表[台語音標], MATCH(TRUE, EXACT(台語音標注音鍵盤!$BK38, 注音編碼對照表[鍵盤按鍵]), 0))</f>
        <v>aunn</v>
      </c>
      <c r="BP38" s="107"/>
      <c r="BR38" s="265" t="str">
        <f t="shared" si="1"/>
        <v>"L": { commit: "ㆯ" }</v>
      </c>
      <c r="BT38" s="195">
        <f t="shared" si="5"/>
        <v>34</v>
      </c>
      <c r="BU38" s="266" t="str">
        <f t="shared" si="3"/>
        <v>- xform/ãũ/L/</v>
      </c>
      <c r="BW38" s="266" t="str">
        <f t="shared" si="4"/>
        <v>- xform/L/ㆯ/</v>
      </c>
    </row>
    <row r="39" spans="1:89" s="195" customFormat="1" ht="45" customHeight="1">
      <c r="B39" s="290"/>
      <c r="C39" s="291"/>
      <c r="D39" s="292">
        <f ca="1" xml:space="preserve"> LEN(E39)</f>
        <v>47</v>
      </c>
      <c r="E39" s="292" t="str">
        <f ca="1" xml:space="preserve"> SUBSTITUTE(E35, _xlfn.CONCAT(AM36:AQ36), "")</f>
        <v>1q!a2wsxyhbnedEgcuj8ik,9l0;-UJ*I&lt;(LMo/pm. 43657</v>
      </c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J39" s="291"/>
      <c r="AK39" s="285"/>
      <c r="AL39" s="285" t="str">
        <f ca="1">$E$35</f>
        <v>1q!a2wsxyhbnedEgcuj8ik,9l0;-UJ*I&lt;(LMo/pm. 43657</v>
      </c>
      <c r="AM39" s="195" t="str">
        <f ca="1" xml:space="preserve"> SUBSTITUTE(AL39, MID(AL39, FIND(AM36,AL39), 1), "")</f>
        <v>1qa2wsxyhbnedEgcuj8ik,9l0;-UJ*I&lt;(LMo/pm. 43657</v>
      </c>
      <c r="AN39" s="195" t="str">
        <f ca="1" xml:space="preserve"> SUBSTITUTE(AM39, MID(AM39, FIND(AN36,AM39), 1), "")</f>
        <v>1qa2wsxyhbnedgcuj8ik,9l0;-UJ*I&lt;(LMo/pm. 43657</v>
      </c>
      <c r="AO39" s="195" t="e">
        <f ca="1" xml:space="preserve"> SUBSTITUTE(AN39, MID(AN39, FIND(AO36,AN39), 1), "")</f>
        <v>#VALUE!</v>
      </c>
      <c r="AP39" s="195" t="e">
        <f ca="1" xml:space="preserve"> SUBSTITUTE(AO39, MID(AO39, FIND(AP36,AO39), 1), "")</f>
        <v>#VALUE!</v>
      </c>
      <c r="AQ39" s="310" t="e">
        <f ca="1" xml:space="preserve"> SUBSTITUTE(AP39, MID(AP39, FIND(AQ36,AP39), 1), "")</f>
        <v>#VALUE!</v>
      </c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J39" s="264">
        <f t="shared" si="0"/>
        <v>36</v>
      </c>
      <c r="BK39" s="71" t="str">
        <f>注音編碼對照表!C38</f>
        <v>M</v>
      </c>
      <c r="BL39" s="583" t="str" cm="1">
        <f t="array" ref="BL39" xml:space="preserve"> INDEX( 注音編碼對照表[方音符號], MATCH(TRUE, EXACT(台語音標注音鍵盤!$BK39, 注音編碼對照表[鍵盤按鍵]), 0))</f>
        <v>ㆰ</v>
      </c>
      <c r="BM39" s="584" t="str" cm="1">
        <f t="array" ref="BM39" xml:space="preserve"> INDEX( 注音編碼對照表[台語音標注音], MATCH(TRUE, EXACT(台語音標注音鍵盤!$BK39, 注音編碼對照表[鍵盤按鍵]), 0))</f>
        <v>ㄚㄇ</v>
      </c>
      <c r="BN39" s="581" t="str" cm="1">
        <f t="array" ref="BN39" xml:space="preserve"> INDEX( 注音編碼對照表[國際音標], MATCH(TRUE, EXACT(台語音標注音鍵盤!$BK39, 注音編碼對照表[鍵盤按鍵]), 0))</f>
        <v>am</v>
      </c>
      <c r="BO39" s="582" t="str" cm="1">
        <f t="array" ref="BO39" xml:space="preserve"> INDEX( 注音編碼對照表[台語音標], MATCH(TRUE, EXACT(台語音標注音鍵盤!$BK39, 注音編碼對照表[鍵盤按鍵]), 0))</f>
        <v>am</v>
      </c>
      <c r="BP39" s="107"/>
      <c r="BR39" s="265" t="str">
        <f t="shared" si="1"/>
        <v>"M": { commit: "ㆰ" }</v>
      </c>
      <c r="BT39" s="195">
        <f t="shared" si="5"/>
        <v>35</v>
      </c>
      <c r="BU39" s="266" t="str">
        <f t="shared" si="3"/>
        <v>- xform/am/M/</v>
      </c>
      <c r="BW39" s="266" t="str">
        <f t="shared" si="4"/>
        <v>- xform/M/ㆰ/</v>
      </c>
    </row>
    <row r="40" spans="1:89" s="195" customFormat="1" ht="45" customHeight="1">
      <c r="B40" s="293"/>
      <c r="C40" s="294"/>
      <c r="D40" s="295" t="e">
        <f ca="1" xml:space="preserve"> LEN(E40)</f>
        <v>#VALUE!</v>
      </c>
      <c r="E40" s="295" t="e">
        <f ca="1">SUBSTITUTE( SUBSTITUTE(SUBSTITUTE(E36, AM40, ""), AN40, ""), AO40, "")</f>
        <v>#VALUE!</v>
      </c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85"/>
      <c r="AL40" s="285" t="str">
        <f ca="1">$E$36</f>
        <v>ㄅㄆ万ㄇㄉㄊㄋㄌㄗㄘㄖㄙㄍㄎ兀⁰兀ㄏㄧㄨㄚㄛㄜㄝㄞㄠㄢㄤㄭ⁰ㄧ⁰ㄨ⁰ㄚ⁰ㆦ⁰ㄝ⁰ㄞ⁰ㄠㄚㄇㄛㄥㄥㄣㄇㄬ000000</v>
      </c>
      <c r="AM40" s="195" t="str">
        <f ca="1" xml:space="preserve"> SUBSTITUTE(AL40, MID(AL40, FIND(AM38,AL40), 1), "")</f>
        <v>ㄅㄆㄇㄉㄊㄋㄌㄗㄘㄖㄙㄍㄎ兀⁰兀ㄏㄧㄨㄚㄛㄜㄝㄞㄠㄢㄤㄭ⁰ㄧ⁰ㄨ⁰ㄚ⁰ㆦ⁰ㄝ⁰ㄞ⁰ㄠㄚㄇㄛㄥㄥㄣㄇㄬ000000</v>
      </c>
      <c r="AN40" s="195" t="str">
        <f ca="1" xml:space="preserve"> SUBSTITUTE(AM40, MID(AM40, FIND(AN38,AM40), 1), "")</f>
        <v>ㄅㄆㄇㄉㄊㄋㄌㄗㄘㄖㄙㄍㄎ⁰ㄏㄧㄨㄚㄛㄜㄝㄞㄠㄢㄤㄭ⁰ㄧ⁰ㄨ⁰ㄚ⁰ㆦ⁰ㄝ⁰ㄞ⁰ㄠㄚㄇㄛㄥㄥㄣㄇㄬ000000</v>
      </c>
      <c r="AO40" s="195" t="e">
        <f ca="1" xml:space="preserve"> SUBSTITUTE(AN40, MID(AN40, FIND(AO38,AN40), 1), "")</f>
        <v>#VALUE!</v>
      </c>
      <c r="AP40" s="195" t="e">
        <f ca="1" xml:space="preserve"> SUBSTITUTE(AO40, MID(AO40, FIND(AP38,AO40), 1), "")</f>
        <v>#VALUE!</v>
      </c>
      <c r="AQ40" s="310" t="e">
        <f ca="1" xml:space="preserve"> SUBSTITUTE(AP40, MID(AP40, FIND(AQ38,AP40), 1), "")</f>
        <v>#VALUE!</v>
      </c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311"/>
      <c r="BD40" s="285"/>
      <c r="BE40" s="285"/>
      <c r="BF40" s="285"/>
      <c r="BG40" s="285"/>
      <c r="BH40" s="285"/>
      <c r="BJ40" s="264">
        <f t="shared" si="0"/>
        <v>37</v>
      </c>
      <c r="BK40" s="71" t="str">
        <f>注音編碼對照表!C39</f>
        <v>o</v>
      </c>
      <c r="BL40" s="583" t="str" cm="1">
        <f t="array" ref="BL40" xml:space="preserve"> INDEX( 注音編碼對照表[方音符號], MATCH(TRUE, EXACT(台語音標注音鍵盤!$BK40, 注音編碼對照表[鍵盤按鍵]), 0))</f>
        <v>ㆲ</v>
      </c>
      <c r="BM40" s="584" t="str" cm="1">
        <f t="array" ref="BM40" xml:space="preserve"> INDEX( 注音編碼對照表[台語音標注音], MATCH(TRUE, EXACT(台語音標注音鍵盤!$BK40, 注音編碼對照表[鍵盤按鍵]), 0))</f>
        <v>ㄛㄥ</v>
      </c>
      <c r="BN40" s="581" t="str" cm="1">
        <f t="array" ref="BN40" xml:space="preserve"> INDEX( 注音編碼對照表[國際音標], MATCH(TRUE, EXACT(台語音標注音鍵盤!$BK40, 注音編碼對照表[鍵盤按鍵]), 0))</f>
        <v>ɔŋ</v>
      </c>
      <c r="BO40" s="582" t="str" cm="1">
        <f t="array" ref="BO40" xml:space="preserve"> INDEX( 注音編碼對照表[台語音標], MATCH(TRUE, EXACT(台語音標注音鍵盤!$BK40, 注音編碼對照表[鍵盤按鍵]), 0))</f>
        <v>ong</v>
      </c>
      <c r="BP40" s="107"/>
      <c r="BR40" s="265" t="str">
        <f t="shared" si="1"/>
        <v>"o": { commit: "ㆲ" }</v>
      </c>
      <c r="BT40" s="195">
        <f t="shared" si="5"/>
        <v>36</v>
      </c>
      <c r="BU40" s="266" t="str">
        <f t="shared" si="3"/>
        <v>- xform/ɔŋ/o/</v>
      </c>
      <c r="BW40" s="266" t="str">
        <f t="shared" si="4"/>
        <v>- xform/o/ㆲ/</v>
      </c>
    </row>
    <row r="41" spans="1:89" s="195" customFormat="1" ht="45" customHeight="1">
      <c r="B41" s="298" t="e">
        <f ca="1" xml:space="preserve"> "- xlit|" &amp; E39 &amp; "|" &amp; E40 &amp; "|"</f>
        <v>#VALUE!</v>
      </c>
      <c r="C41" s="299"/>
      <c r="D41" s="299"/>
      <c r="E41" s="299"/>
      <c r="F41" s="299"/>
      <c r="G41" s="299"/>
      <c r="H41" s="299"/>
      <c r="I41" s="299"/>
      <c r="J41" s="299"/>
      <c r="K41" s="299"/>
      <c r="L41" s="299"/>
      <c r="M41" s="299"/>
      <c r="N41" s="299"/>
      <c r="O41" s="299"/>
      <c r="P41" s="299"/>
      <c r="Q41" s="299"/>
      <c r="R41" s="299"/>
      <c r="S41" s="299"/>
      <c r="T41" s="299"/>
      <c r="U41" s="299"/>
      <c r="V41" s="299"/>
      <c r="W41" s="299"/>
      <c r="X41" s="299"/>
      <c r="Y41" s="299"/>
      <c r="Z41" s="299"/>
      <c r="AA41" s="299"/>
      <c r="AB41" s="299"/>
      <c r="AC41" s="299"/>
      <c r="AD41" s="299"/>
      <c r="AE41" s="299"/>
      <c r="AF41" s="299"/>
      <c r="AG41" s="299"/>
      <c r="AH41" s="299"/>
      <c r="AI41" s="299"/>
      <c r="AJ41" s="299"/>
      <c r="AK41" s="311"/>
      <c r="AL41" s="311"/>
      <c r="AM41" s="311"/>
      <c r="AN41" s="311"/>
      <c r="AO41" s="311"/>
      <c r="AP41" s="311"/>
      <c r="AQ41" s="311"/>
      <c r="AR41" s="311"/>
      <c r="AS41" s="311"/>
      <c r="AT41" s="311"/>
      <c r="AU41" s="311"/>
      <c r="AV41" s="311"/>
      <c r="AW41" s="311"/>
      <c r="AX41" s="311"/>
      <c r="AY41" s="311"/>
      <c r="AZ41" s="311"/>
      <c r="BA41" s="311"/>
      <c r="BB41" s="311"/>
      <c r="BC41" s="311"/>
      <c r="BD41" s="285"/>
      <c r="BE41" s="285"/>
      <c r="BF41" s="285"/>
      <c r="BG41" s="285"/>
      <c r="BH41" s="285"/>
      <c r="BJ41" s="264">
        <f t="shared" si="0"/>
        <v>38</v>
      </c>
      <c r="BK41" s="71" t="str">
        <f>注音編碼對照表!C40</f>
        <v>/</v>
      </c>
      <c r="BL41" s="583" t="str" cm="1">
        <f t="array" ref="BL41" xml:space="preserve"> INDEX( 注音編碼對照表[方音符號], MATCH(TRUE, EXACT(台語音標注音鍵盤!$BK41, 注音編碼對照表[鍵盤按鍵]), 0))</f>
        <v>ㆭ</v>
      </c>
      <c r="BM41" s="584" t="str" cm="1">
        <f t="array" ref="BM41" xml:space="preserve"> INDEX( 注音編碼對照表[台語音標注音], MATCH(TRUE, EXACT(台語音標注音鍵盤!$BK41, 注音編碼對照表[鍵盤按鍵]), 0))</f>
        <v>ㄥ</v>
      </c>
      <c r="BN41" s="581" t="str" cm="1">
        <f t="array" ref="BN41" xml:space="preserve"> INDEX( 注音編碼對照表[國際音標], MATCH(TRUE, EXACT(台語音標注音鍵盤!$BK41, 注音編碼對照表[鍵盤按鍵]), 0))</f>
        <v>ŋ̍</v>
      </c>
      <c r="BO41" s="582" t="str" cm="1">
        <f t="array" ref="BO41" xml:space="preserve"> INDEX( 注音編碼對照表[台語音標], MATCH(TRUE, EXACT(台語音標注音鍵盤!$BK41, 注音編碼對照表[鍵盤按鍵]), 0))</f>
        <v>-ng</v>
      </c>
      <c r="BP41" s="107"/>
      <c r="BR41" s="265" t="str">
        <f t="shared" si="1"/>
        <v>"/": { commit: "ㆭ" }</v>
      </c>
      <c r="BT41" s="195">
        <f t="shared" si="5"/>
        <v>37</v>
      </c>
      <c r="BU41" s="266" t="str">
        <f t="shared" si="3"/>
        <v>- xform/ŋ̍///</v>
      </c>
      <c r="BW41" s="266" t="str">
        <f t="shared" si="4"/>
        <v>- xform///ㆭ/</v>
      </c>
    </row>
    <row r="42" spans="1:89" s="195" customFormat="1" ht="45" customHeight="1">
      <c r="AH42" s="285"/>
      <c r="AI42" s="285"/>
      <c r="AJ42" s="285"/>
      <c r="AK42" s="311"/>
      <c r="AL42" s="311"/>
      <c r="AM42" s="285" t="e">
        <f ca="1">AQ39</f>
        <v>#VALUE!</v>
      </c>
      <c r="AN42" s="311"/>
      <c r="AO42" s="311"/>
      <c r="AP42" s="311"/>
      <c r="AQ42" s="311"/>
      <c r="AR42" s="311"/>
      <c r="AS42" s="311"/>
      <c r="AT42" s="311"/>
      <c r="AU42" s="311"/>
      <c r="AV42" s="311"/>
      <c r="AW42" s="311"/>
      <c r="AX42" s="311"/>
      <c r="AY42" s="311"/>
      <c r="AZ42" s="311"/>
      <c r="BA42" s="311"/>
      <c r="BB42" s="311"/>
      <c r="BC42" s="311"/>
      <c r="BD42" s="285"/>
      <c r="BE42" s="285"/>
      <c r="BF42" s="285"/>
      <c r="BG42" s="285"/>
      <c r="BH42" s="285"/>
      <c r="BJ42" s="264">
        <f t="shared" si="0"/>
        <v>39</v>
      </c>
      <c r="BK42" s="71" t="str">
        <f>注音編碼對照表!C41</f>
        <v>p</v>
      </c>
      <c r="BL42" s="583" t="str" cm="1">
        <f t="array" ref="BL42" xml:space="preserve"> INDEX( 注音編碼對照表[方音符號], MATCH(TRUE, EXACT(台語音標注音鍵盤!$BK42, 注音編碼對照表[鍵盤按鍵]), 0))</f>
        <v>ㄣ</v>
      </c>
      <c r="BM42" s="584" t="str" cm="1">
        <f t="array" ref="BM42" xml:space="preserve"> INDEX( 注音編碼對照表[台語音標注音], MATCH(TRUE, EXACT(台語音標注音鍵盤!$BK42, 注音編碼對照表[鍵盤按鍵]), 0))</f>
        <v>ㄣ</v>
      </c>
      <c r="BN42" s="581" t="str" cm="1">
        <f t="array" ref="BN42" xml:space="preserve"> INDEX( 注音編碼對照表[國際音標], MATCH(TRUE, EXACT(台語音標注音鍵盤!$BK42, 注音編碼對照表[鍵盤按鍵]), 0))</f>
        <v>n</v>
      </c>
      <c r="BO42" s="582" t="str" cm="1">
        <f t="array" ref="BO42" xml:space="preserve"> INDEX( 注音編碼對照表[台語音標], MATCH(TRUE, EXACT(台語音標注音鍵盤!$BK42, 注音編碼對照表[鍵盤按鍵]), 0))</f>
        <v>-n</v>
      </c>
      <c r="BP42" s="107"/>
      <c r="BR42" s="265" t="str">
        <f t="shared" si="1"/>
        <v>"p": { commit: "ㄣ" }</v>
      </c>
      <c r="BT42" s="195">
        <f t="shared" si="5"/>
        <v>38</v>
      </c>
      <c r="BU42" s="266" t="str">
        <f t="shared" si="3"/>
        <v>- xform/n/p/</v>
      </c>
      <c r="BW42" s="266" t="str">
        <f t="shared" si="4"/>
        <v>- xform/p/ㄣ/</v>
      </c>
    </row>
    <row r="43" spans="1:89" ht="45" customHeight="1">
      <c r="A43" s="195"/>
      <c r="B43" s="302" t="s">
        <v>579</v>
      </c>
      <c r="C43" s="288"/>
      <c r="D43" s="288"/>
      <c r="E43" s="288"/>
      <c r="F43" s="288"/>
      <c r="G43" s="288"/>
      <c r="H43" s="288"/>
      <c r="I43" s="288"/>
      <c r="J43" s="288"/>
      <c r="K43" s="288"/>
      <c r="L43" s="288"/>
      <c r="M43" s="288"/>
      <c r="N43" s="288"/>
      <c r="O43" s="288"/>
      <c r="P43" s="288"/>
      <c r="Q43" s="288"/>
      <c r="R43" s="288"/>
      <c r="S43" s="288"/>
      <c r="T43" s="288"/>
      <c r="U43" s="288"/>
      <c r="V43" s="288"/>
      <c r="W43" s="288"/>
      <c r="X43" s="288"/>
      <c r="Y43" s="288"/>
      <c r="Z43" s="288"/>
      <c r="AA43" s="288"/>
      <c r="AB43" s="288"/>
      <c r="AC43" s="288"/>
      <c r="AD43" s="288"/>
      <c r="AE43" s="288"/>
      <c r="AF43" s="288"/>
      <c r="AG43" s="288"/>
      <c r="AH43" s="285"/>
      <c r="AI43" s="285"/>
      <c r="AJ43" s="285"/>
      <c r="AK43" s="311"/>
      <c r="AL43" s="311"/>
      <c r="AM43" s="285" t="e">
        <f ca="1">AQ40</f>
        <v>#VALUE!</v>
      </c>
      <c r="AN43" s="311"/>
      <c r="AO43" s="311"/>
      <c r="AP43" s="311"/>
      <c r="AQ43" s="311"/>
      <c r="AR43" s="311"/>
      <c r="AS43" s="311"/>
      <c r="AT43" s="311"/>
      <c r="AU43" s="311"/>
      <c r="AV43" s="311"/>
      <c r="AW43" s="311"/>
      <c r="AX43" s="311"/>
      <c r="AY43" s="311"/>
      <c r="AZ43" s="311"/>
      <c r="BA43" s="311"/>
      <c r="BB43" s="311"/>
      <c r="BC43" s="311"/>
      <c r="BD43" s="285"/>
      <c r="BE43" s="285"/>
      <c r="BF43" s="285"/>
      <c r="BG43" s="311"/>
      <c r="BH43" s="311"/>
      <c r="BJ43" s="264">
        <f t="shared" si="0"/>
        <v>40</v>
      </c>
      <c r="BK43" s="71" t="str">
        <f>注音編碼對照表!C42</f>
        <v>m</v>
      </c>
      <c r="BL43" s="583" t="str" cm="1">
        <f t="array" ref="BL43" xml:space="preserve"> INDEX( 注音編碼對照表[方音符號], MATCH(TRUE, EXACT(台語音標注音鍵盤!$BK43, 注音編碼對照表[鍵盤按鍵]), 0))</f>
        <v>ㆬ</v>
      </c>
      <c r="BM43" s="584" t="str" cm="1">
        <f t="array" ref="BM43" xml:space="preserve"> INDEX( 注音編碼對照表[台語音標注音], MATCH(TRUE, EXACT(台語音標注音鍵盤!$BK43, 注音編碼對照表[鍵盤按鍵]), 0))</f>
        <v>ㄇ</v>
      </c>
      <c r="BN43" s="581" t="str" cm="1">
        <f t="array" ref="BN43" xml:space="preserve"> INDEX( 注音編碼對照表[國際音標], MATCH(TRUE, EXACT(台語音標注音鍵盤!$BK43, 注音編碼對照表[鍵盤按鍵]), 0))</f>
        <v>m̩</v>
      </c>
      <c r="BO43" s="582" t="str" cm="1">
        <f t="array" ref="BO43" xml:space="preserve"> INDEX( 注音編碼對照表[台語音標], MATCH(TRUE, EXACT(台語音標注音鍵盤!$BK43, 注音編碼對照表[鍵盤按鍵]), 0))</f>
        <v>-m</v>
      </c>
      <c r="BP43" s="107"/>
      <c r="BQ43" s="195"/>
      <c r="BR43" s="265" t="str">
        <f t="shared" si="1"/>
        <v>"m": { commit: "ㆬ" }</v>
      </c>
      <c r="BS43" s="195"/>
      <c r="BT43" s="195">
        <f t="shared" si="5"/>
        <v>39</v>
      </c>
      <c r="BU43" s="266" t="str">
        <f t="shared" si="3"/>
        <v>- xform/m̩/m/</v>
      </c>
      <c r="BV43" s="195"/>
      <c r="BW43" s="266" t="str">
        <f t="shared" si="4"/>
        <v>- xform/m/ㆬ/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288" t="s">
        <v>580</v>
      </c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9"/>
      <c r="T44" s="288"/>
      <c r="U44" s="288"/>
      <c r="V44" s="288"/>
      <c r="W44" s="288"/>
      <c r="X44" s="288"/>
      <c r="Y44" s="288"/>
      <c r="Z44" s="288"/>
      <c r="AA44" s="288"/>
      <c r="AB44" s="288"/>
      <c r="AC44" s="288"/>
      <c r="AD44" s="288"/>
      <c r="AE44" s="288"/>
      <c r="AF44" s="288"/>
      <c r="AG44" s="288"/>
      <c r="AH44" s="285"/>
      <c r="AI44" s="285"/>
      <c r="AJ44" s="285"/>
      <c r="AK44" s="311"/>
      <c r="AL44" s="311"/>
      <c r="AM44" s="311"/>
      <c r="AN44" s="311"/>
      <c r="AO44" s="311"/>
      <c r="AP44" s="311"/>
      <c r="AQ44" s="311"/>
      <c r="AR44" s="311"/>
      <c r="AS44" s="311"/>
      <c r="AT44" s="311"/>
      <c r="AU44" s="311"/>
      <c r="AV44" s="311"/>
      <c r="AW44" s="311"/>
      <c r="AX44" s="311"/>
      <c r="AY44" s="311"/>
      <c r="AZ44" s="311"/>
      <c r="BA44" s="311"/>
      <c r="BB44" s="311"/>
      <c r="BC44" s="311"/>
      <c r="BD44" s="311"/>
      <c r="BE44" s="311"/>
      <c r="BF44" s="311"/>
      <c r="BG44" s="311"/>
      <c r="BH44" s="311"/>
      <c r="BJ44" s="264">
        <f t="shared" si="0"/>
        <v>41</v>
      </c>
      <c r="BK44" s="71" t="str">
        <f>注音編碼對照表!C43</f>
        <v>.</v>
      </c>
      <c r="BL44" s="583" t="str" cm="1">
        <f t="array" ref="BL44" xml:space="preserve"> INDEX( 注音編碼對照表[方音符號], MATCH(TRUE, EXACT(台語音標注音鍵盤!$BK44, 注音編碼對照表[鍵盤按鍵]), 0))</f>
        <v>ㄬ</v>
      </c>
      <c r="BM44" s="584" t="str" cm="1">
        <f t="array" ref="BM44" xml:space="preserve"> INDEX( 注音編碼對照表[台語音標注音], MATCH(TRUE, EXACT(台語音標注音鍵盤!$BK44, 注音編碼對照表[鍵盤按鍵]), 0))</f>
        <v>ㄬ</v>
      </c>
      <c r="BN44" s="581" t="str" cm="1">
        <f t="array" ref="BN44" xml:space="preserve"> INDEX( 注音編碼對照表[國際音標], MATCH(TRUE, EXACT(台語音標注音鍵盤!$BK44, 注音編碼對照表[鍵盤按鍵]), 0))</f>
        <v>ɲ</v>
      </c>
      <c r="BO44" s="582" t="str" cm="1">
        <f t="array" ref="BO44" xml:space="preserve"> INDEX( 注音編碼對照表[台語音標], MATCH(TRUE, EXACT(台語音標注音鍵盤!$BK44, 注音編碼對照表[鍵盤按鍵]), 0))</f>
        <v>-nn</v>
      </c>
      <c r="BP44" s="107"/>
      <c r="BR44" s="265" t="str">
        <f t="shared" si="1"/>
        <v>".": { commit: "ㄬ" }</v>
      </c>
      <c r="BT44" s="237">
        <f t="shared" si="5"/>
        <v>40</v>
      </c>
      <c r="BU44" s="266" t="str">
        <f t="shared" si="3"/>
        <v>- xform/ɲ/./</v>
      </c>
      <c r="BW44" s="266" t="str">
        <f t="shared" si="4"/>
        <v>- xform/./ㄬ/</v>
      </c>
    </row>
    <row r="45" spans="1:89" ht="45" customHeight="1">
      <c r="B45" s="303" t="s">
        <v>581</v>
      </c>
      <c r="C45" s="304"/>
      <c r="D45" s="304">
        <f ca="1" xml:space="preserve"> LEN(E45)</f>
        <v>65</v>
      </c>
      <c r="E45" s="305" t="str">
        <f ca="1" xml:space="preserve"> _xlfn.CONCAT(D21:BC21)</f>
        <v>ppʰbmttʰnltsʦʰʣskkʰgŋhiuaɔəeai̯ɑu̯anɑŋɨĩũãɔ̃ẽãĩãũamɔŋŋ̍nm̩ɲ000000</v>
      </c>
      <c r="F45" s="305"/>
      <c r="G45" s="305"/>
      <c r="H45" s="305"/>
      <c r="I45" s="305"/>
      <c r="J45" s="305"/>
      <c r="K45" s="305"/>
      <c r="L45" s="305"/>
      <c r="M45" s="305"/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  <c r="Y45" s="305"/>
      <c r="Z45" s="305"/>
      <c r="AA45" s="305"/>
      <c r="AB45" s="305"/>
      <c r="AC45" s="305"/>
      <c r="AD45" s="305"/>
      <c r="AE45" s="305"/>
      <c r="AF45" s="305"/>
      <c r="AG45" s="305"/>
      <c r="AH45" s="305"/>
      <c r="AI45" s="305"/>
      <c r="AJ45" s="305"/>
      <c r="AK45" s="311"/>
      <c r="AL45" s="311"/>
      <c r="AM45" s="311"/>
      <c r="AN45" s="311"/>
      <c r="AO45" s="311"/>
      <c r="AP45" s="311"/>
      <c r="AQ45" s="311"/>
      <c r="AR45" s="311"/>
      <c r="AS45" s="311"/>
      <c r="AT45" s="311"/>
      <c r="AU45" s="311"/>
      <c r="AV45" s="311"/>
      <c r="AW45" s="311"/>
      <c r="AX45" s="311"/>
      <c r="AY45" s="311"/>
      <c r="AZ45" s="311"/>
      <c r="BA45" s="311"/>
      <c r="BB45" s="311"/>
      <c r="BG45" s="311"/>
      <c r="BH45" s="311"/>
      <c r="BJ45" s="264">
        <f t="shared" si="0"/>
        <v>42</v>
      </c>
      <c r="BK45" s="71" t="str">
        <f>注音編碼對照表!C44</f>
        <v xml:space="preserve"> </v>
      </c>
      <c r="BL45" s="583" t="str" cm="1">
        <f t="array" ref="BL45" xml:space="preserve"> INDEX( 注音編碼對照表[方音符號], MATCH(TRUE, EXACT(台語音標注音鍵盤!$BK45, 注音編碼對照表[鍵盤按鍵]), 0))</f>
        <v>ˉ</v>
      </c>
      <c r="BM45" s="584" cm="1">
        <f t="array" ref="BM45" xml:space="preserve"> INDEX( 注音編碼對照表[台語音標注音], MATCH(TRUE, EXACT(台語音標注音鍵盤!$BK45, 注音編碼對照表[鍵盤按鍵]), 0))</f>
        <v>0</v>
      </c>
      <c r="BN45" s="581" cm="1">
        <f t="array" ref="BN45" xml:space="preserve"> INDEX( 注音編碼對照表[國際音標], MATCH(TRUE, EXACT(台語音標注音鍵盤!$BK45, 注音編碼對照表[鍵盤按鍵]), 0))</f>
        <v>0</v>
      </c>
      <c r="BO45" s="582" cm="1">
        <f t="array" ref="BO45" xml:space="preserve"> INDEX( 注音編碼對照表[台語音標], MATCH(TRUE, EXACT(台語音標注音鍵盤!$BK45, 注音編碼對照表[鍵盤按鍵]), 0))</f>
        <v>1</v>
      </c>
      <c r="BP45" s="107"/>
      <c r="BR45" s="265" t="str">
        <f t="shared" si="1"/>
        <v>" ": { commit: "ˉ" }</v>
      </c>
      <c r="BT45" s="237">
        <f t="shared" si="5"/>
        <v>41</v>
      </c>
      <c r="BU45" s="266" t="str">
        <f t="shared" si="3"/>
        <v>- xform/0/ /</v>
      </c>
      <c r="BW45" s="266" t="str">
        <f t="shared" si="4"/>
        <v>- xform/ /ˉ/</v>
      </c>
    </row>
    <row r="46" spans="1:89" ht="45" customHeight="1">
      <c r="B46" s="306" t="s">
        <v>15</v>
      </c>
      <c r="C46" s="307"/>
      <c r="D46" s="307">
        <f ca="1">LEN(E46)</f>
        <v>57</v>
      </c>
      <c r="E46" s="306" t="str">
        <f ca="1" xml:space="preserve"> _xlfn.CONCAT(D19:BC19)</f>
        <v>ㄅㄆ万ㄇㄉㄊㄋㄌㄗㄘㄖㄙㄍㄎ兀⁰兀ㄏㄧㄨㄚㄛㄜㄝㄞㄠㄢㄤㄭ⁰ㄧ⁰ㄨ⁰ㄚ⁰ㆦ⁰ㄝ⁰ㄞ⁰ㄠㄚㄇㄛㄥㄥㄣㄇㄬ000000</v>
      </c>
      <c r="F46" s="306"/>
      <c r="G46" s="306"/>
      <c r="H46" s="306"/>
      <c r="I46" s="306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  <c r="AC46" s="306"/>
      <c r="AD46" s="306"/>
      <c r="AE46" s="306"/>
      <c r="AF46" s="306"/>
      <c r="AG46" s="306"/>
      <c r="AH46" s="306"/>
      <c r="AI46" s="306"/>
      <c r="AJ46" s="306"/>
      <c r="BG46" s="311"/>
      <c r="BH46" s="311"/>
      <c r="BJ46" s="264">
        <f t="shared" si="0"/>
        <v>43</v>
      </c>
      <c r="BK46" s="71" t="str">
        <f>注音編碼對照表!C45</f>
        <v>4</v>
      </c>
      <c r="BL46" s="583" t="str" cm="1">
        <f t="array" ref="BL46" xml:space="preserve"> INDEX( 注音編碼對照表[方音符號], MATCH(TRUE, EXACT(台語音標注音鍵盤!$BK46, 注音編碼對照表[鍵盤按鍵]), 0))</f>
        <v>ˋ</v>
      </c>
      <c r="BM46" s="584" cm="1">
        <f t="array" ref="BM46" xml:space="preserve"> INDEX( 注音編碼對照表[台語音標注音], MATCH(TRUE, EXACT(台語音標注音鍵盤!$BK46, 注音編碼對照表[鍵盤按鍵]), 0))</f>
        <v>0</v>
      </c>
      <c r="BN46" s="581" cm="1">
        <f t="array" ref="BN46" xml:space="preserve"> INDEX( 注音編碼對照表[國際音標], MATCH(TRUE, EXACT(台語音標注音鍵盤!$BK46, 注音編碼對照表[鍵盤按鍵]), 0))</f>
        <v>0</v>
      </c>
      <c r="BO46" s="582" cm="1">
        <f t="array" ref="BO46" xml:space="preserve"> INDEX( 注音編碼對照表[台語音標], MATCH(TRUE, EXACT(台語音標注音鍵盤!$BK46, 注音編碼對照表[鍵盤按鍵]), 0))</f>
        <v>2</v>
      </c>
      <c r="BP46" s="107"/>
      <c r="BR46" s="265" t="str">
        <f t="shared" si="1"/>
        <v>"4": { commit: "ˋ" }</v>
      </c>
      <c r="BT46" s="237">
        <f t="shared" si="5"/>
        <v>42</v>
      </c>
      <c r="BU46" s="266" t="str">
        <f t="shared" si="3"/>
        <v>- xform/0/4/</v>
      </c>
      <c r="BW46" s="266" t="str">
        <f t="shared" si="4"/>
        <v>- xform/4/ˋ/</v>
      </c>
    </row>
    <row r="47" spans="1:89" ht="45" customHeight="1">
      <c r="B47" s="298" t="str">
        <f ca="1" xml:space="preserve"> "- xlit|" &amp; E45 &amp; "|" &amp; E46 &amp; "|"</f>
        <v>- xlit|ppʰbmttʰnltsʦʰʣskkʰgŋhiuaɔəeai̯ɑu̯anɑŋɨĩũãɔ̃ẽãĩãũamɔŋŋ̍nm̩ɲ000000|ㄅㄆ万ㄇㄉㄊㄋㄌㄗㄘㄖㄙㄍㄎ兀⁰兀ㄏㄧㄨㄚㄛㄜㄝㄞㄠㄢㄤㄭ⁰ㄧ⁰ㄨ⁰ㄚ⁰ㆦ⁰ㄝ⁰ㄞ⁰ㄠㄚㄇㄛㄥㄥㄣㄇㄬ000000|</v>
      </c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  <c r="AA47" s="309"/>
      <c r="AB47" s="309"/>
      <c r="AC47" s="309"/>
      <c r="AD47" s="309"/>
      <c r="AE47" s="309"/>
      <c r="AF47" s="309"/>
      <c r="AG47" s="299"/>
      <c r="AH47" s="299"/>
      <c r="AI47" s="299"/>
      <c r="AJ47" s="299"/>
      <c r="BG47" s="311"/>
      <c r="BH47" s="311"/>
      <c r="BJ47" s="264">
        <f t="shared" si="0"/>
        <v>44</v>
      </c>
      <c r="BK47" s="71" t="str">
        <f>注音編碼對照表!C46</f>
        <v>3</v>
      </c>
      <c r="BL47" s="583" t="str" cm="1">
        <f t="array" ref="BL47" xml:space="preserve"> INDEX( 注音編碼對照表[方音符號], MATCH(TRUE, EXACT(台語音標注音鍵盤!$BK47, 注音編碼對照表[鍵盤按鍵]), 0))</f>
        <v>˪</v>
      </c>
      <c r="BM47" s="584" cm="1">
        <f t="array" ref="BM47" xml:space="preserve"> INDEX( 注音編碼對照表[台語音標注音], MATCH(TRUE, EXACT(台語音標注音鍵盤!$BK47, 注音編碼對照表[鍵盤按鍵]), 0))</f>
        <v>0</v>
      </c>
      <c r="BN47" s="581" cm="1">
        <f t="array" ref="BN47" xml:space="preserve"> INDEX( 注音編碼對照表[國際音標], MATCH(TRUE, EXACT(台語音標注音鍵盤!$BK47, 注音編碼對照表[鍵盤按鍵]), 0))</f>
        <v>0</v>
      </c>
      <c r="BO47" s="582" cm="1">
        <f t="array" ref="BO47" xml:space="preserve"> INDEX( 注音編碼對照表[台語音標], MATCH(TRUE, EXACT(台語音標注音鍵盤!$BK47, 注音編碼對照表[鍵盤按鍵]), 0))</f>
        <v>3</v>
      </c>
      <c r="BP47" s="107"/>
      <c r="BR47" s="265" t="str">
        <f t="shared" si="1"/>
        <v>"3": { commit: "˪" }</v>
      </c>
      <c r="BT47" s="237">
        <f t="shared" si="5"/>
        <v>43</v>
      </c>
      <c r="BU47" s="266" t="str">
        <f t="shared" si="3"/>
        <v>- xform/0/3/</v>
      </c>
      <c r="BW47" s="266" t="str">
        <f t="shared" si="4"/>
        <v>- xform/3/˪/</v>
      </c>
    </row>
    <row r="48" spans="1:89" ht="45" customHeight="1">
      <c r="B48" s="311"/>
      <c r="C48" s="311"/>
      <c r="D48" s="311"/>
      <c r="E48" s="311"/>
      <c r="F48" s="311"/>
      <c r="G48" s="311"/>
      <c r="H48" s="311"/>
      <c r="I48" s="311"/>
      <c r="J48" s="311"/>
      <c r="K48" s="311"/>
      <c r="L48" s="311"/>
      <c r="M48" s="311"/>
      <c r="N48" s="311"/>
      <c r="O48" s="311"/>
      <c r="P48" s="311"/>
      <c r="Q48" s="311"/>
      <c r="R48" s="311"/>
      <c r="S48" s="311"/>
      <c r="T48" s="311"/>
      <c r="U48" s="311"/>
      <c r="V48" s="311"/>
      <c r="W48" s="311"/>
      <c r="X48" s="311"/>
      <c r="Y48" s="311"/>
      <c r="Z48" s="311"/>
      <c r="AA48" s="311"/>
      <c r="AB48" s="311"/>
      <c r="AC48" s="311"/>
      <c r="AD48" s="311"/>
      <c r="AE48" s="311"/>
      <c r="AF48" s="311"/>
      <c r="AG48" s="311"/>
      <c r="AH48" s="311"/>
      <c r="AI48" s="311"/>
      <c r="AJ48" s="311"/>
      <c r="BG48" s="311"/>
      <c r="BH48" s="311"/>
      <c r="BJ48" s="264">
        <f t="shared" si="0"/>
        <v>45</v>
      </c>
      <c r="BK48" s="71" t="str">
        <f>注音編碼對照表!C47</f>
        <v>6</v>
      </c>
      <c r="BL48" s="583" t="str" cm="1">
        <f t="array" ref="BL48" xml:space="preserve"> INDEX( 注音編碼對照表[方音符號], MATCH(TRUE, EXACT(台語音標注音鍵盤!$BK48, 注音編碼對照表[鍵盤按鍵]), 0))</f>
        <v>ˊ</v>
      </c>
      <c r="BM48" s="584" cm="1">
        <f t="array" ref="BM48" xml:space="preserve"> INDEX( 注音編碼對照表[台語音標注音], MATCH(TRUE, EXACT(台語音標注音鍵盤!$BK48, 注音編碼對照表[鍵盤按鍵]), 0))</f>
        <v>0</v>
      </c>
      <c r="BN48" s="581" cm="1">
        <f t="array" ref="BN48" xml:space="preserve"> INDEX( 注音編碼對照表[國際音標], MATCH(TRUE, EXACT(台語音標注音鍵盤!$BK48, 注音編碼對照表[鍵盤按鍵]), 0))</f>
        <v>0</v>
      </c>
      <c r="BO48" s="582" cm="1">
        <f t="array" ref="BO48" xml:space="preserve"> INDEX( 注音編碼對照表[台語音標], MATCH(TRUE, EXACT(台語音標注音鍵盤!$BK48, 注音編碼對照表[鍵盤按鍵]), 0))</f>
        <v>5</v>
      </c>
      <c r="BP48" s="107"/>
      <c r="BR48" s="265" t="str">
        <f t="shared" si="1"/>
        <v>"6": { commit: "ˊ" }</v>
      </c>
      <c r="BT48" s="237">
        <f t="shared" si="5"/>
        <v>44</v>
      </c>
      <c r="BU48" s="266" t="str">
        <f t="shared" si="3"/>
        <v>- xform/0/6/</v>
      </c>
      <c r="BW48" s="266" t="str">
        <f t="shared" si="4"/>
        <v>- xform/6/ˊ/</v>
      </c>
    </row>
    <row r="49" spans="2:75" ht="45" customHeight="1">
      <c r="B49" s="311"/>
      <c r="C49" s="311"/>
      <c r="D49" s="311"/>
      <c r="E49" s="311"/>
      <c r="F49" s="311"/>
      <c r="G49" s="311"/>
      <c r="H49" s="311"/>
      <c r="I49" s="311"/>
      <c r="J49" s="311"/>
      <c r="K49" s="311"/>
      <c r="L49" s="311"/>
      <c r="M49" s="311"/>
      <c r="N49" s="311"/>
      <c r="O49" s="311"/>
      <c r="P49" s="311"/>
      <c r="Q49" s="311"/>
      <c r="R49" s="311"/>
      <c r="S49" s="311"/>
      <c r="T49" s="311"/>
      <c r="U49" s="311"/>
      <c r="V49" s="311"/>
      <c r="W49" s="311"/>
      <c r="X49" s="311"/>
      <c r="Y49" s="311"/>
      <c r="Z49" s="311"/>
      <c r="AA49" s="311"/>
      <c r="AB49" s="311"/>
      <c r="AC49" s="311"/>
      <c r="AD49" s="311"/>
      <c r="AE49" s="311"/>
      <c r="AF49" s="311"/>
      <c r="AG49" s="311"/>
      <c r="AH49" s="311"/>
      <c r="AI49" s="311"/>
      <c r="AJ49" s="311"/>
      <c r="BG49" s="311"/>
      <c r="BH49" s="311"/>
      <c r="BJ49" s="264">
        <f t="shared" si="0"/>
        <v>46</v>
      </c>
      <c r="BK49" s="71" t="str">
        <f>注音編碼對照表!C48</f>
        <v>5</v>
      </c>
      <c r="BL49" s="583" t="str" cm="1">
        <f t="array" ref="BL49" xml:space="preserve"> INDEX( 注音編碼對照表[方音符號], MATCH(TRUE, EXACT(台語音標注音鍵盤!$BK49, 注音編碼對照表[鍵盤按鍵]), 0))</f>
        <v>˫</v>
      </c>
      <c r="BM49" s="584" cm="1">
        <f t="array" ref="BM49" xml:space="preserve"> INDEX( 注音編碼對照表[台語音標注音], MATCH(TRUE, EXACT(台語音標注音鍵盤!$BK49, 注音編碼對照表[鍵盤按鍵]), 0))</f>
        <v>0</v>
      </c>
      <c r="BN49" s="581" cm="1">
        <f t="array" ref="BN49" xml:space="preserve"> INDEX( 注音編碼對照表[國際音標], MATCH(TRUE, EXACT(台語音標注音鍵盤!$BK49, 注音編碼對照表[鍵盤按鍵]), 0))</f>
        <v>0</v>
      </c>
      <c r="BO49" s="582" cm="1">
        <f t="array" ref="BO49" xml:space="preserve"> INDEX( 注音編碼對照表[台語音標], MATCH(TRUE, EXACT(台語音標注音鍵盤!$BK49, 注音編碼對照表[鍵盤按鍵]), 0))</f>
        <v>7</v>
      </c>
      <c r="BP49" s="107"/>
      <c r="BR49" s="265" t="str">
        <f t="shared" si="1"/>
        <v>"5": { commit: "˫" }</v>
      </c>
      <c r="BT49" s="237">
        <f t="shared" si="5"/>
        <v>45</v>
      </c>
      <c r="BU49" s="238" t="str">
        <f t="shared" si="3"/>
        <v>- xform/0/5/</v>
      </c>
      <c r="BW49" s="238" t="str">
        <f t="shared" si="4"/>
        <v>- xform/5/˫/</v>
      </c>
    </row>
    <row r="50" spans="2:75" ht="45" customHeight="1">
      <c r="B50" s="311"/>
      <c r="C50" s="311"/>
      <c r="D50" s="311"/>
      <c r="BC50" s="311"/>
      <c r="BD50" s="311"/>
      <c r="BE50" s="311"/>
      <c r="BF50" s="311"/>
      <c r="BG50" s="311"/>
      <c r="BH50" s="311"/>
      <c r="BJ50" s="264">
        <f t="shared" si="0"/>
        <v>47</v>
      </c>
      <c r="BK50" s="71" t="str">
        <f>注音編碼對照表!C49</f>
        <v>7</v>
      </c>
      <c r="BL50" s="583" t="str" cm="1">
        <f t="array" ref="BL50" xml:space="preserve"> INDEX( 注音編碼對照表[方音符號], MATCH(TRUE, EXACT(台語音標注音鍵盤!$BK50, 注音編碼對照表[鍵盤按鍵]), 0))</f>
        <v>˙</v>
      </c>
      <c r="BM50" s="584" cm="1">
        <f t="array" ref="BM50" xml:space="preserve"> INDEX( 注音編碼對照表[台語音標注音], MATCH(TRUE, EXACT(台語音標注音鍵盤!$BK50, 注音編碼對照表[鍵盤按鍵]), 0))</f>
        <v>0</v>
      </c>
      <c r="BN50" s="581" cm="1">
        <f t="array" ref="BN50" xml:space="preserve"> INDEX( 注音編碼對照表[國際音標], MATCH(TRUE, EXACT(台語音標注音鍵盤!$BK50, 注音編碼對照表[鍵盤按鍵]), 0))</f>
        <v>0</v>
      </c>
      <c r="BO50" s="582" t="str" cm="1">
        <f t="array" ref="BO50" xml:space="preserve"> INDEX( 注音編碼對照表[台語音標], MATCH(TRUE, EXACT(台語音標注音鍵盤!$BK50, 注音編碼對照表[鍵盤按鍵]), 0))</f>
        <v>[48]</v>
      </c>
      <c r="BP50" s="111"/>
      <c r="BR50" s="265" t="str">
        <f t="shared" si="1"/>
        <v>"7": { commit: "˙" }</v>
      </c>
      <c r="BT50" s="237">
        <f t="shared" si="5"/>
        <v>46</v>
      </c>
      <c r="BU50" s="238" t="str">
        <f t="shared" si="3"/>
        <v>- xform/0/7/</v>
      </c>
      <c r="BW50" s="238" t="str">
        <f t="shared" si="4"/>
        <v>- xform/7/˙/</v>
      </c>
    </row>
    <row r="51" spans="2:75" ht="45" customHeight="1">
      <c r="AK51" s="311"/>
      <c r="AL51" s="311"/>
      <c r="AM51" s="311"/>
      <c r="AN51" s="311"/>
      <c r="AO51" s="311"/>
      <c r="AP51" s="311"/>
      <c r="AQ51" s="311"/>
      <c r="AR51" s="311"/>
      <c r="AS51" s="311"/>
      <c r="AT51" s="311"/>
      <c r="AU51" s="311"/>
      <c r="AV51" s="311"/>
      <c r="AW51" s="311"/>
      <c r="AX51" s="311"/>
      <c r="AY51" s="311"/>
      <c r="AZ51" s="311"/>
      <c r="BA51" s="311"/>
      <c r="BB51" s="311"/>
      <c r="BC51" s="311"/>
      <c r="BD51" s="311"/>
      <c r="BE51" s="311"/>
      <c r="BF51" s="311"/>
      <c r="BG51" s="311"/>
      <c r="BH51" s="311"/>
      <c r="BR51" s="265" t="str">
        <f t="shared" si="1"/>
        <v>"": { commit: "" }</v>
      </c>
      <c r="BT51" s="237">
        <f t="shared" si="5"/>
        <v>47</v>
      </c>
      <c r="BU51" s="238" t="str">
        <f t="shared" si="3"/>
        <v>- xform///</v>
      </c>
      <c r="BW51" s="238" t="str">
        <f t="shared" si="4"/>
        <v>- xform///</v>
      </c>
    </row>
    <row r="52" spans="2:75" ht="45" customHeight="1">
      <c r="AK52" s="311"/>
      <c r="AL52" s="311"/>
      <c r="AM52" s="311"/>
      <c r="AN52" s="311"/>
      <c r="AO52" s="311"/>
      <c r="AP52" s="311"/>
      <c r="AQ52" s="311"/>
      <c r="AR52" s="311"/>
      <c r="AS52" s="311"/>
      <c r="AT52" s="311"/>
      <c r="AU52" s="311"/>
      <c r="AV52" s="311"/>
      <c r="AW52" s="311"/>
      <c r="AX52" s="311"/>
      <c r="AY52" s="311"/>
      <c r="AZ52" s="311"/>
      <c r="BA52" s="311"/>
      <c r="BB52" s="311"/>
      <c r="BC52" s="311"/>
      <c r="BD52" s="311"/>
      <c r="BE52" s="311"/>
      <c r="BF52" s="311"/>
      <c r="BG52" s="311"/>
      <c r="BH52" s="311"/>
      <c r="BR52" s="265" t="str">
        <f t="shared" si="1"/>
        <v>"": { commit: "" }</v>
      </c>
      <c r="BT52" s="237">
        <f t="shared" si="5"/>
        <v>0</v>
      </c>
      <c r="BU52" s="238" t="str">
        <f t="shared" si="3"/>
        <v>- xform///</v>
      </c>
      <c r="BW52" s="238" t="str">
        <f t="shared" si="4"/>
        <v>- xform///</v>
      </c>
    </row>
    <row r="53" spans="2:75" ht="45" customHeight="1">
      <c r="AK53" s="311"/>
      <c r="AL53" s="311"/>
      <c r="AM53" s="311"/>
      <c r="AN53" s="311"/>
      <c r="AO53" s="311"/>
      <c r="AP53" s="311"/>
      <c r="AQ53" s="311"/>
      <c r="AR53" s="311"/>
      <c r="AS53" s="311"/>
      <c r="AT53" s="311"/>
      <c r="AU53" s="311"/>
      <c r="AV53" s="311"/>
      <c r="AW53" s="311"/>
      <c r="AX53" s="311"/>
      <c r="AY53" s="311"/>
      <c r="AZ53" s="311"/>
      <c r="BA53" s="311"/>
      <c r="BB53" s="311"/>
      <c r="BC53" s="311"/>
      <c r="BD53" s="311"/>
      <c r="BE53" s="311"/>
      <c r="BF53" s="311"/>
      <c r="BG53" s="311"/>
      <c r="BH53" s="311"/>
      <c r="BR53" s="265" t="str">
        <f t="shared" si="1"/>
        <v>"": { commit: "" }</v>
      </c>
      <c r="BT53" s="237">
        <f t="shared" si="5"/>
        <v>0</v>
      </c>
      <c r="BU53" s="238" t="str">
        <f t="shared" si="3"/>
        <v>- xform///</v>
      </c>
      <c r="BW53" s="238" t="str">
        <f t="shared" si="4"/>
        <v>- xform///</v>
      </c>
    </row>
    <row r="54" spans="2:75" ht="45" customHeight="1">
      <c r="AK54" s="311"/>
      <c r="AL54" s="311"/>
      <c r="AM54" s="311"/>
      <c r="AN54" s="311"/>
      <c r="AO54" s="311"/>
      <c r="AP54" s="311"/>
      <c r="AQ54" s="311"/>
      <c r="AR54" s="311"/>
      <c r="AS54" s="311"/>
      <c r="AT54" s="311"/>
      <c r="AU54" s="311"/>
      <c r="AV54" s="311"/>
      <c r="AW54" s="311"/>
      <c r="AX54" s="311"/>
      <c r="AY54" s="311"/>
      <c r="AZ54" s="311"/>
      <c r="BA54" s="311"/>
      <c r="BB54" s="311"/>
      <c r="BC54" s="311"/>
      <c r="BD54" s="311"/>
      <c r="BE54" s="311"/>
      <c r="BF54" s="311"/>
      <c r="BG54" s="311"/>
      <c r="BH54" s="311"/>
      <c r="BR54" s="265" t="str">
        <f t="shared" si="1"/>
        <v>"": { commit: "" }</v>
      </c>
      <c r="BT54" s="237">
        <f t="shared" si="5"/>
        <v>0</v>
      </c>
      <c r="BU54" s="238" t="str">
        <f t="shared" si="3"/>
        <v>- xform///</v>
      </c>
      <c r="BW54" s="238" t="str">
        <f t="shared" si="4"/>
        <v>- xform///</v>
      </c>
    </row>
    <row r="55" spans="2:75" ht="45" customHeight="1">
      <c r="B55" s="311"/>
      <c r="C55" s="311"/>
      <c r="D55" s="311"/>
      <c r="E55" s="311"/>
      <c r="F55" s="311"/>
      <c r="G55" s="311"/>
      <c r="H55" s="311"/>
      <c r="I55" s="311"/>
      <c r="J55" s="311"/>
      <c r="K55" s="311"/>
      <c r="L55" s="311"/>
      <c r="M55" s="311"/>
      <c r="N55" s="311"/>
      <c r="O55" s="311"/>
      <c r="P55" s="311"/>
      <c r="Q55" s="311"/>
      <c r="R55" s="311"/>
      <c r="S55" s="311"/>
      <c r="T55" s="311"/>
      <c r="U55" s="311"/>
      <c r="V55" s="311"/>
      <c r="W55" s="311"/>
      <c r="X55" s="311"/>
      <c r="Y55" s="311"/>
      <c r="Z55" s="311"/>
      <c r="AA55" s="311"/>
      <c r="AB55" s="311"/>
      <c r="AC55" s="311"/>
      <c r="AD55" s="311"/>
      <c r="AE55" s="311"/>
      <c r="AF55" s="311"/>
      <c r="AG55" s="311"/>
      <c r="AH55" s="311"/>
      <c r="AI55" s="311"/>
      <c r="AJ55" s="311"/>
      <c r="AK55" s="311"/>
      <c r="AL55" s="311"/>
      <c r="AM55" s="311"/>
      <c r="AN55" s="311"/>
      <c r="AO55" s="311"/>
      <c r="AP55" s="311"/>
      <c r="AQ55" s="311"/>
      <c r="AR55" s="311"/>
      <c r="AS55" s="311"/>
      <c r="AT55" s="311"/>
      <c r="AU55" s="311"/>
      <c r="AV55" s="311"/>
      <c r="AW55" s="311"/>
      <c r="AX55" s="311"/>
      <c r="AY55" s="311"/>
      <c r="AZ55" s="311"/>
      <c r="BA55" s="311"/>
      <c r="BB55" s="311"/>
      <c r="BC55" s="311"/>
      <c r="BD55" s="311"/>
      <c r="BE55" s="311"/>
      <c r="BF55" s="311"/>
      <c r="BG55" s="311"/>
      <c r="BH55" s="311"/>
      <c r="BR55" s="265" t="str">
        <f t="shared" si="1"/>
        <v>"": { commit: "" }</v>
      </c>
      <c r="BT55" s="237">
        <f t="shared" si="5"/>
        <v>0</v>
      </c>
      <c r="BU55" s="238" t="str">
        <f t="shared" si="3"/>
        <v>- xform///</v>
      </c>
      <c r="BW55" s="238" t="str">
        <f t="shared" si="4"/>
        <v>- xform///</v>
      </c>
    </row>
    <row r="56" spans="2:75" ht="45" customHeight="1">
      <c r="B56" s="311"/>
      <c r="C56" s="311"/>
      <c r="D56" s="311"/>
      <c r="E56" s="311"/>
      <c r="F56" s="311"/>
      <c r="G56" s="311"/>
      <c r="H56" s="311"/>
      <c r="I56" s="311"/>
      <c r="J56" s="311"/>
      <c r="K56" s="311"/>
      <c r="L56" s="311"/>
      <c r="M56" s="311"/>
      <c r="N56" s="311"/>
      <c r="O56" s="311"/>
      <c r="P56" s="311"/>
      <c r="Q56" s="311"/>
      <c r="R56" s="311"/>
      <c r="S56" s="311"/>
      <c r="T56" s="311"/>
      <c r="U56" s="311"/>
      <c r="V56" s="311"/>
      <c r="W56" s="311"/>
      <c r="X56" s="311"/>
      <c r="Y56" s="311"/>
      <c r="Z56" s="311"/>
      <c r="AA56" s="311"/>
      <c r="AB56" s="311"/>
      <c r="AC56" s="311"/>
      <c r="AD56" s="311"/>
      <c r="AE56" s="311"/>
      <c r="AF56" s="311"/>
      <c r="AG56" s="311"/>
      <c r="AH56" s="311"/>
      <c r="AI56" s="311"/>
      <c r="AJ56" s="311"/>
      <c r="AK56" s="311"/>
      <c r="AL56" s="311"/>
      <c r="AM56" s="311"/>
      <c r="AN56" s="311"/>
      <c r="AO56" s="311"/>
      <c r="AP56" s="311"/>
      <c r="AQ56" s="311"/>
      <c r="AR56" s="311"/>
      <c r="AS56" s="311"/>
      <c r="AT56" s="311"/>
      <c r="AU56" s="311"/>
      <c r="AV56" s="311"/>
      <c r="AW56" s="311"/>
      <c r="AX56" s="311"/>
      <c r="AY56" s="311"/>
      <c r="AZ56" s="311"/>
      <c r="BA56" s="311"/>
      <c r="BB56" s="311"/>
      <c r="BC56" s="311"/>
      <c r="BD56" s="311"/>
      <c r="BE56" s="311"/>
      <c r="BF56" s="311"/>
      <c r="BG56" s="311"/>
      <c r="BH56" s="311"/>
      <c r="BT56" s="237">
        <f t="shared" si="5"/>
        <v>0</v>
      </c>
    </row>
    <row r="57" spans="2:75" ht="45" customHeight="1">
      <c r="B57" s="311"/>
      <c r="C57" s="311"/>
      <c r="D57" s="311"/>
      <c r="E57" s="311"/>
      <c r="F57" s="311"/>
      <c r="G57" s="311"/>
      <c r="H57" s="311"/>
      <c r="I57" s="311"/>
      <c r="J57" s="311"/>
      <c r="K57" s="311"/>
      <c r="L57" s="311"/>
      <c r="M57" s="311"/>
      <c r="N57" s="311"/>
      <c r="O57" s="311"/>
      <c r="P57" s="311"/>
      <c r="Q57" s="311"/>
      <c r="R57" s="311"/>
      <c r="S57" s="311"/>
      <c r="T57" s="311"/>
      <c r="U57" s="311"/>
      <c r="V57" s="311"/>
      <c r="W57" s="311"/>
      <c r="X57" s="311"/>
      <c r="Y57" s="311"/>
      <c r="Z57" s="311"/>
      <c r="AA57" s="311"/>
      <c r="AB57" s="311"/>
      <c r="AC57" s="311"/>
      <c r="AD57" s="311"/>
      <c r="AE57" s="311"/>
      <c r="AF57" s="311"/>
      <c r="AG57" s="311"/>
      <c r="AH57" s="311"/>
      <c r="AI57" s="311"/>
      <c r="AJ57" s="311"/>
      <c r="AK57" s="311"/>
      <c r="AL57" s="311"/>
      <c r="AM57" s="311"/>
      <c r="AN57" s="311"/>
      <c r="AO57" s="311"/>
      <c r="AP57" s="311"/>
      <c r="AQ57" s="311"/>
      <c r="AR57" s="311"/>
      <c r="AS57" s="311"/>
      <c r="AT57" s="311"/>
      <c r="AU57" s="311"/>
      <c r="AV57" s="311"/>
      <c r="AW57" s="311"/>
      <c r="AX57" s="311"/>
      <c r="AY57" s="311"/>
      <c r="AZ57" s="311"/>
      <c r="BA57" s="311"/>
      <c r="BB57" s="311"/>
      <c r="BC57" s="311"/>
      <c r="BD57" s="311"/>
      <c r="BE57" s="311"/>
      <c r="BF57" s="311"/>
      <c r="BG57" s="311"/>
      <c r="BH57" s="311"/>
      <c r="BT57" s="237">
        <f t="shared" si="5"/>
        <v>0</v>
      </c>
    </row>
    <row r="58" spans="2:75" ht="45" customHeight="1">
      <c r="B58" s="311"/>
      <c r="C58" s="311"/>
      <c r="D58" s="311"/>
      <c r="E58" s="311"/>
      <c r="F58" s="311"/>
      <c r="G58" s="311"/>
      <c r="H58" s="311"/>
      <c r="I58" s="311"/>
      <c r="J58" s="311"/>
      <c r="K58" s="311"/>
      <c r="L58" s="311"/>
      <c r="M58" s="311"/>
      <c r="N58" s="311"/>
      <c r="O58" s="311"/>
      <c r="P58" s="311"/>
      <c r="Q58" s="311"/>
      <c r="R58" s="311"/>
      <c r="S58" s="311"/>
      <c r="T58" s="311"/>
      <c r="U58" s="311"/>
      <c r="V58" s="311"/>
      <c r="W58" s="311"/>
      <c r="X58" s="311"/>
      <c r="Y58" s="311"/>
      <c r="Z58" s="311"/>
      <c r="AA58" s="311"/>
      <c r="AB58" s="311"/>
      <c r="AC58" s="311"/>
      <c r="AD58" s="311"/>
      <c r="AE58" s="311"/>
      <c r="AF58" s="311"/>
      <c r="AG58" s="311"/>
      <c r="AH58" s="311"/>
      <c r="AI58" s="311"/>
      <c r="AJ58" s="311"/>
      <c r="AK58" s="311"/>
      <c r="AL58" s="311"/>
      <c r="AM58" s="311"/>
      <c r="AN58" s="311"/>
      <c r="AO58" s="311"/>
      <c r="AP58" s="311"/>
      <c r="AQ58" s="311"/>
      <c r="AR58" s="311"/>
      <c r="AS58" s="311"/>
      <c r="AT58" s="311"/>
      <c r="AU58" s="311"/>
      <c r="AV58" s="311"/>
      <c r="AW58" s="311"/>
      <c r="AX58" s="311"/>
      <c r="AY58" s="311"/>
      <c r="AZ58" s="311"/>
      <c r="BA58" s="311"/>
      <c r="BB58" s="311"/>
      <c r="BC58" s="311"/>
      <c r="BD58" s="311"/>
      <c r="BE58" s="311"/>
      <c r="BF58" s="311"/>
      <c r="BG58" s="311"/>
      <c r="BH58" s="311"/>
      <c r="BT58" s="237">
        <f t="shared" si="5"/>
        <v>0</v>
      </c>
    </row>
    <row r="59" spans="2:75" ht="45" customHeight="1">
      <c r="B59" s="311"/>
      <c r="C59" s="311"/>
      <c r="D59" s="311"/>
      <c r="E59" s="311"/>
      <c r="F59" s="311"/>
      <c r="G59" s="311"/>
      <c r="H59" s="311"/>
      <c r="I59" s="311"/>
      <c r="J59" s="311"/>
      <c r="K59" s="311"/>
      <c r="L59" s="311"/>
      <c r="M59" s="311"/>
      <c r="N59" s="311"/>
      <c r="O59" s="311"/>
      <c r="P59" s="311"/>
      <c r="Q59" s="311"/>
      <c r="R59" s="311"/>
      <c r="S59" s="311"/>
      <c r="T59" s="311"/>
      <c r="U59" s="311"/>
      <c r="V59" s="311"/>
      <c r="W59" s="311"/>
      <c r="X59" s="311"/>
      <c r="Y59" s="311"/>
      <c r="Z59" s="311"/>
      <c r="AA59" s="311"/>
      <c r="AB59" s="311"/>
      <c r="AC59" s="311"/>
      <c r="AD59" s="311"/>
      <c r="AE59" s="311"/>
      <c r="AF59" s="311"/>
      <c r="AG59" s="311"/>
      <c r="AH59" s="311"/>
      <c r="AI59" s="311"/>
      <c r="AJ59" s="311"/>
      <c r="AK59" s="311"/>
      <c r="AL59" s="311"/>
      <c r="AM59" s="311"/>
      <c r="AN59" s="311"/>
      <c r="AO59" s="311"/>
      <c r="AP59" s="311"/>
      <c r="AQ59" s="311"/>
      <c r="AR59" s="311"/>
      <c r="AS59" s="311"/>
      <c r="AT59" s="311"/>
      <c r="AU59" s="311"/>
      <c r="AV59" s="311"/>
      <c r="AW59" s="311"/>
      <c r="AX59" s="311"/>
      <c r="AY59" s="311"/>
      <c r="AZ59" s="311"/>
      <c r="BA59" s="311"/>
      <c r="BB59" s="311"/>
      <c r="BC59" s="311"/>
      <c r="BD59" s="311"/>
      <c r="BE59" s="311"/>
      <c r="BF59" s="311"/>
      <c r="BG59" s="311"/>
      <c r="BH59" s="311"/>
      <c r="BT59" s="237">
        <f t="shared" si="5"/>
        <v>0</v>
      </c>
    </row>
    <row r="60" spans="2:75" ht="45" customHeight="1">
      <c r="B60" s="311"/>
      <c r="C60" s="311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  <c r="Z60" s="311"/>
      <c r="AA60" s="311"/>
      <c r="AB60" s="311"/>
      <c r="AC60" s="311"/>
      <c r="AD60" s="311"/>
      <c r="AE60" s="311"/>
      <c r="AF60" s="311"/>
      <c r="AG60" s="311"/>
      <c r="AH60" s="311"/>
      <c r="AI60" s="311"/>
      <c r="AJ60" s="311"/>
      <c r="AK60" s="311"/>
      <c r="AL60" s="311"/>
      <c r="AM60" s="311"/>
      <c r="AN60" s="311"/>
      <c r="AO60" s="311"/>
      <c r="AP60" s="311"/>
      <c r="AQ60" s="311"/>
      <c r="AR60" s="311"/>
      <c r="AS60" s="311"/>
      <c r="AT60" s="311"/>
      <c r="AU60" s="311"/>
      <c r="AV60" s="311"/>
      <c r="AW60" s="311"/>
      <c r="AX60" s="311"/>
      <c r="AY60" s="311"/>
      <c r="AZ60" s="311"/>
      <c r="BA60" s="311"/>
      <c r="BB60" s="311"/>
      <c r="BC60" s="311"/>
      <c r="BD60" s="311"/>
      <c r="BE60" s="311"/>
      <c r="BF60" s="311"/>
      <c r="BG60" s="311"/>
      <c r="BH60" s="311"/>
      <c r="BT60" s="237">
        <f t="shared" si="5"/>
        <v>0</v>
      </c>
    </row>
    <row r="61" spans="2:75" ht="45" customHeight="1">
      <c r="B61" s="311"/>
      <c r="C61" s="311"/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  <c r="Z61" s="311"/>
      <c r="AA61" s="311"/>
      <c r="AB61" s="311"/>
      <c r="AC61" s="311"/>
      <c r="AD61" s="311"/>
      <c r="AE61" s="311"/>
      <c r="AF61" s="311"/>
      <c r="AG61" s="311"/>
      <c r="AH61" s="311"/>
      <c r="AI61" s="311"/>
      <c r="AJ61" s="311"/>
      <c r="AK61" s="311"/>
      <c r="AL61" s="311"/>
      <c r="AM61" s="311"/>
      <c r="AN61" s="311"/>
      <c r="AO61" s="311"/>
      <c r="AP61" s="311"/>
      <c r="AQ61" s="311"/>
      <c r="AR61" s="311"/>
      <c r="AS61" s="311"/>
      <c r="AT61" s="311"/>
      <c r="AU61" s="311"/>
      <c r="AV61" s="311"/>
      <c r="AW61" s="311"/>
      <c r="AX61" s="311"/>
      <c r="AY61" s="311"/>
      <c r="AZ61" s="311"/>
      <c r="BA61" s="311"/>
      <c r="BB61" s="311"/>
      <c r="BC61" s="311"/>
      <c r="BD61" s="311"/>
      <c r="BE61" s="311"/>
      <c r="BF61" s="311"/>
      <c r="BG61" s="311"/>
      <c r="BH61" s="311"/>
      <c r="BT61" s="237">
        <f t="shared" si="5"/>
        <v>0</v>
      </c>
    </row>
    <row r="62" spans="2:75" ht="45" customHeight="1">
      <c r="B62" s="311"/>
      <c r="C62" s="311"/>
      <c r="D62" s="311"/>
      <c r="E62" s="311"/>
      <c r="F62" s="311"/>
      <c r="G62" s="311"/>
      <c r="H62" s="311"/>
      <c r="I62" s="311"/>
      <c r="J62" s="311"/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  <c r="Z62" s="311"/>
      <c r="AA62" s="311"/>
      <c r="AB62" s="311"/>
      <c r="AC62" s="311"/>
      <c r="AD62" s="311"/>
      <c r="AE62" s="311"/>
      <c r="AF62" s="311"/>
      <c r="AG62" s="311"/>
      <c r="AH62" s="311"/>
      <c r="AI62" s="311"/>
      <c r="AJ62" s="311"/>
      <c r="AK62" s="311"/>
      <c r="AL62" s="311"/>
      <c r="AM62" s="311"/>
      <c r="AN62" s="311"/>
      <c r="AO62" s="311"/>
      <c r="AP62" s="311"/>
      <c r="AQ62" s="311"/>
      <c r="AR62" s="311"/>
      <c r="AS62" s="311"/>
      <c r="AT62" s="311"/>
      <c r="AU62" s="311"/>
      <c r="AV62" s="311"/>
      <c r="AW62" s="311"/>
      <c r="AX62" s="311"/>
      <c r="AY62" s="311"/>
      <c r="AZ62" s="311"/>
      <c r="BA62" s="311"/>
      <c r="BB62" s="311"/>
      <c r="BC62" s="311"/>
      <c r="BD62" s="311"/>
      <c r="BE62" s="311"/>
      <c r="BF62" s="311"/>
      <c r="BG62" s="311"/>
      <c r="BH62" s="311"/>
      <c r="BT62" s="237">
        <f t="shared" si="5"/>
        <v>0</v>
      </c>
    </row>
    <row r="63" spans="2:75" ht="38.1" customHeight="1">
      <c r="B63" s="311"/>
      <c r="C63" s="311"/>
      <c r="D63" s="311"/>
      <c r="E63" s="311"/>
      <c r="F63" s="311"/>
      <c r="G63" s="311"/>
      <c r="H63" s="311"/>
      <c r="I63" s="311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1"/>
      <c r="X63" s="311"/>
      <c r="Y63" s="311"/>
      <c r="Z63" s="311"/>
      <c r="AA63" s="311"/>
      <c r="AB63" s="311"/>
      <c r="AC63" s="311"/>
      <c r="AD63" s="311"/>
      <c r="AE63" s="311"/>
      <c r="AF63" s="311"/>
      <c r="AG63" s="311"/>
      <c r="AH63" s="311"/>
      <c r="AI63" s="311"/>
      <c r="AJ63" s="311"/>
      <c r="AK63" s="311"/>
      <c r="AL63" s="311"/>
      <c r="AM63" s="311"/>
      <c r="AN63" s="311"/>
      <c r="AO63" s="311"/>
      <c r="AP63" s="311"/>
      <c r="AQ63" s="311"/>
      <c r="AR63" s="311"/>
      <c r="AS63" s="311"/>
      <c r="AT63" s="311"/>
      <c r="AU63" s="311"/>
      <c r="AV63" s="311"/>
      <c r="AW63" s="311"/>
      <c r="AX63" s="311"/>
      <c r="AY63" s="311"/>
      <c r="AZ63" s="311"/>
      <c r="BA63" s="311"/>
      <c r="BB63" s="311"/>
      <c r="BC63" s="311"/>
      <c r="BD63" s="311"/>
      <c r="BE63" s="311"/>
      <c r="BF63" s="311"/>
      <c r="BG63" s="311"/>
      <c r="BH63" s="311"/>
      <c r="BT63" s="237">
        <f t="shared" si="5"/>
        <v>0</v>
      </c>
    </row>
    <row r="64" spans="2:75" ht="38.1" customHeight="1">
      <c r="B64" s="311"/>
      <c r="C64" s="311"/>
      <c r="D64" s="311"/>
      <c r="E64" s="311"/>
      <c r="F64" s="311"/>
      <c r="G64" s="311"/>
      <c r="H64" s="311"/>
      <c r="I64" s="311"/>
      <c r="J64" s="311"/>
      <c r="K64" s="311"/>
      <c r="L64" s="311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  <c r="Z64" s="311"/>
      <c r="AA64" s="311"/>
      <c r="AB64" s="311"/>
      <c r="AC64" s="311"/>
      <c r="AD64" s="311"/>
      <c r="AE64" s="311"/>
      <c r="AF64" s="311"/>
      <c r="AG64" s="311"/>
      <c r="AH64" s="311"/>
      <c r="AI64" s="311"/>
      <c r="AJ64" s="311"/>
      <c r="AK64" s="311"/>
      <c r="AL64" s="311"/>
      <c r="AM64" s="311"/>
      <c r="AN64" s="311"/>
      <c r="AO64" s="311"/>
      <c r="AP64" s="311"/>
      <c r="AQ64" s="311"/>
      <c r="AR64" s="311"/>
      <c r="AS64" s="311"/>
      <c r="AT64" s="311"/>
      <c r="AU64" s="311"/>
      <c r="AV64" s="311"/>
      <c r="AW64" s="311"/>
      <c r="AX64" s="311"/>
      <c r="AY64" s="311"/>
      <c r="AZ64" s="311"/>
      <c r="BA64" s="311"/>
      <c r="BB64" s="311"/>
      <c r="BC64" s="311"/>
      <c r="BD64" s="311"/>
      <c r="BE64" s="311"/>
      <c r="BF64" s="311"/>
      <c r="BG64" s="311"/>
      <c r="BH64" s="311"/>
    </row>
    <row r="65" spans="2:60">
      <c r="B65" s="311"/>
      <c r="C65" s="311"/>
      <c r="D65" s="311"/>
      <c r="E65" s="311"/>
      <c r="F65" s="311"/>
      <c r="G65" s="311"/>
      <c r="H65" s="311"/>
      <c r="I65" s="311"/>
      <c r="J65" s="311"/>
      <c r="K65" s="311"/>
      <c r="L65" s="311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  <c r="Z65" s="311"/>
      <c r="AA65" s="311"/>
      <c r="AB65" s="311"/>
      <c r="AC65" s="311"/>
      <c r="AD65" s="311"/>
      <c r="AE65" s="311"/>
      <c r="AF65" s="311"/>
      <c r="AG65" s="311"/>
      <c r="AH65" s="311"/>
      <c r="AI65" s="311"/>
      <c r="AJ65" s="311"/>
      <c r="AK65" s="311"/>
      <c r="AL65" s="311"/>
      <c r="AM65" s="311"/>
      <c r="AN65" s="311"/>
      <c r="AO65" s="311"/>
      <c r="AP65" s="311"/>
      <c r="AQ65" s="311"/>
      <c r="AR65" s="311"/>
      <c r="AS65" s="311"/>
      <c r="AT65" s="311"/>
      <c r="AU65" s="311"/>
      <c r="AV65" s="311"/>
      <c r="AW65" s="311"/>
      <c r="AX65" s="311"/>
      <c r="AY65" s="311"/>
      <c r="AZ65" s="311"/>
      <c r="BA65" s="311"/>
      <c r="BB65" s="311"/>
      <c r="BD65" s="311"/>
      <c r="BE65" s="311"/>
      <c r="BF65" s="311"/>
      <c r="BG65" s="311"/>
      <c r="BH65" s="311"/>
    </row>
    <row r="66" spans="2:60">
      <c r="AH66" s="311"/>
      <c r="AI66" s="311"/>
      <c r="AJ66" s="311"/>
      <c r="BD66" s="311"/>
      <c r="BE66" s="311"/>
      <c r="BF66" s="311"/>
      <c r="BG66" s="311"/>
      <c r="BH66" s="311"/>
    </row>
    <row r="67" spans="2:60">
      <c r="AH67" s="311"/>
      <c r="AI67" s="311"/>
      <c r="AJ67" s="311"/>
      <c r="BD67" s="311"/>
      <c r="BE67" s="311"/>
      <c r="BF67" s="311"/>
      <c r="BG67" s="311"/>
      <c r="BH67" s="311"/>
    </row>
    <row r="68" spans="2:60">
      <c r="AH68" s="311"/>
      <c r="AI68" s="311"/>
      <c r="AJ68" s="311"/>
      <c r="BD68" s="311"/>
      <c r="BE68" s="311"/>
      <c r="BF68" s="311"/>
    </row>
    <row r="69" spans="2:60">
      <c r="AH69" s="311"/>
      <c r="AI69" s="311"/>
      <c r="AJ69" s="311"/>
    </row>
  </sheetData>
  <mergeCells count="51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V8:X8"/>
    <mergeCell ref="Y8:AA8"/>
    <mergeCell ref="AB8:AD8"/>
    <mergeCell ref="AE8:AG8"/>
    <mergeCell ref="AH8:AJ8"/>
    <mergeCell ref="AM5:AO5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AG5:AI5"/>
    <mergeCell ref="AJ5:AL5"/>
    <mergeCell ref="C5:E5"/>
    <mergeCell ref="F5:H5"/>
    <mergeCell ref="I5:K5"/>
    <mergeCell ref="L5:N5"/>
    <mergeCell ref="O5:Q5"/>
    <mergeCell ref="R5:T5"/>
    <mergeCell ref="H4:I4"/>
    <mergeCell ref="K4:L4"/>
    <mergeCell ref="N4:O4"/>
    <mergeCell ref="Q4:R4"/>
    <mergeCell ref="T4:U4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ADD-1682-4788-B1C4-7CBEB383DD08}">
  <dimension ref="C1:AV28"/>
  <sheetViews>
    <sheetView showGridLines="0" workbookViewId="0">
      <selection activeCell="AH24" sqref="AH24"/>
    </sheetView>
    <sheetView workbookViewId="1"/>
  </sheetViews>
  <sheetFormatPr defaultColWidth="7.19921875" defaultRowHeight="14.25"/>
  <cols>
    <col min="1" max="2" width="1.8984375" style="592" customWidth="1"/>
    <col min="3" max="42" width="2.8984375" style="592" customWidth="1"/>
    <col min="43" max="44" width="2.296875" style="592" customWidth="1"/>
    <col min="45" max="16384" width="7.19921875" style="592"/>
  </cols>
  <sheetData>
    <row r="1" spans="3:48" ht="15" thickBot="1"/>
    <row r="2" spans="3:48" s="601" customFormat="1" ht="18" customHeight="1">
      <c r="C2" s="642" t="s">
        <v>929</v>
      </c>
      <c r="D2" s="643"/>
      <c r="E2" s="644"/>
      <c r="F2" s="642" t="s">
        <v>930</v>
      </c>
      <c r="G2" s="643"/>
      <c r="H2" s="644"/>
      <c r="I2" s="593" t="s">
        <v>931</v>
      </c>
      <c r="J2" s="594"/>
      <c r="K2" s="595"/>
      <c r="L2" s="593" t="s">
        <v>932</v>
      </c>
      <c r="M2" s="594"/>
      <c r="N2" s="595"/>
      <c r="O2" s="596" t="s">
        <v>933</v>
      </c>
      <c r="P2" s="594"/>
      <c r="Q2" s="595"/>
      <c r="R2" s="593" t="s">
        <v>934</v>
      </c>
      <c r="S2" s="594"/>
      <c r="T2" s="595"/>
      <c r="U2" s="593" t="s">
        <v>935</v>
      </c>
      <c r="V2" s="594"/>
      <c r="W2" s="595"/>
      <c r="X2" s="597" t="s">
        <v>936</v>
      </c>
      <c r="Y2" s="598"/>
      <c r="Z2" s="599"/>
      <c r="AA2" s="597" t="s">
        <v>937</v>
      </c>
      <c r="AB2" s="598"/>
      <c r="AC2" s="599"/>
      <c r="AD2" s="597" t="s">
        <v>938</v>
      </c>
      <c r="AE2" s="598"/>
      <c r="AF2" s="599"/>
      <c r="AG2" s="597" t="s">
        <v>939</v>
      </c>
      <c r="AH2" s="598"/>
      <c r="AI2" s="599"/>
      <c r="AJ2" s="600" t="s">
        <v>940</v>
      </c>
      <c r="AK2" s="598"/>
      <c r="AL2" s="599"/>
    </row>
    <row r="3" spans="3:48" s="618" customFormat="1" ht="39.950000000000003" customHeight="1" thickBot="1">
      <c r="C3" s="645"/>
      <c r="D3" s="646"/>
      <c r="E3" s="647"/>
      <c r="F3" s="645"/>
      <c r="G3" s="646"/>
      <c r="H3" s="647"/>
      <c r="I3" s="602"/>
      <c r="J3" s="603"/>
      <c r="K3" s="604"/>
      <c r="L3" s="602"/>
      <c r="M3" s="603"/>
      <c r="N3" s="604"/>
      <c r="O3" s="602"/>
      <c r="P3" s="603"/>
      <c r="Q3" s="604"/>
      <c r="R3" s="602"/>
      <c r="S3" s="603"/>
      <c r="T3" s="604"/>
      <c r="U3" s="605"/>
      <c r="V3" s="606"/>
      <c r="W3" s="607"/>
      <c r="X3" s="608"/>
      <c r="Y3" s="609"/>
      <c r="Z3" s="610"/>
      <c r="AA3" s="611"/>
      <c r="AB3" s="612"/>
      <c r="AC3" s="613"/>
      <c r="AD3" s="611"/>
      <c r="AE3" s="612"/>
      <c r="AF3" s="613"/>
      <c r="AG3" s="641" t="s">
        <v>997</v>
      </c>
      <c r="AH3" s="615"/>
      <c r="AI3" s="616"/>
      <c r="AJ3" s="617"/>
      <c r="AK3" s="612"/>
      <c r="AL3" s="613"/>
    </row>
    <row r="4" spans="3:48" s="601" customFormat="1" ht="18" customHeight="1">
      <c r="D4" s="642" t="s">
        <v>1000</v>
      </c>
      <c r="E4" s="643"/>
      <c r="F4" s="644"/>
      <c r="G4" s="648" t="s">
        <v>941</v>
      </c>
      <c r="H4" s="649"/>
      <c r="I4" s="650"/>
      <c r="J4" s="648" t="s">
        <v>942</v>
      </c>
      <c r="K4" s="649"/>
      <c r="L4" s="650"/>
      <c r="M4" s="648" t="s">
        <v>943</v>
      </c>
      <c r="N4" s="649"/>
      <c r="O4" s="650"/>
      <c r="P4" s="648" t="s">
        <v>944</v>
      </c>
      <c r="Q4" s="649"/>
      <c r="R4" s="650"/>
      <c r="S4" s="648" t="s">
        <v>945</v>
      </c>
      <c r="T4" s="649"/>
      <c r="U4" s="650"/>
      <c r="V4" s="619" t="s">
        <v>946</v>
      </c>
      <c r="W4" s="620"/>
      <c r="X4" s="621"/>
      <c r="Y4" s="619" t="s">
        <v>947</v>
      </c>
      <c r="Z4" s="620"/>
      <c r="AA4" s="621"/>
      <c r="AB4" s="619" t="s">
        <v>948</v>
      </c>
      <c r="AC4" s="620"/>
      <c r="AD4" s="621"/>
      <c r="AE4" s="619" t="s">
        <v>949</v>
      </c>
      <c r="AF4" s="620"/>
      <c r="AG4" s="621"/>
      <c r="AH4" s="597" t="s">
        <v>950</v>
      </c>
      <c r="AI4" s="598"/>
      <c r="AJ4" s="599"/>
      <c r="AK4" s="597" t="s">
        <v>951</v>
      </c>
      <c r="AL4" s="598"/>
      <c r="AM4" s="599"/>
      <c r="AN4" s="597" t="s">
        <v>952</v>
      </c>
      <c r="AO4" s="598"/>
      <c r="AP4" s="599"/>
    </row>
    <row r="5" spans="3:48" s="618" customFormat="1" ht="39.950000000000003" customHeight="1" thickBot="1">
      <c r="D5" s="645"/>
      <c r="E5" s="646"/>
      <c r="F5" s="647"/>
      <c r="G5" s="645"/>
      <c r="H5" s="646"/>
      <c r="I5" s="647"/>
      <c r="J5" s="645"/>
      <c r="K5" s="646"/>
      <c r="L5" s="647"/>
      <c r="M5" s="645"/>
      <c r="N5" s="646"/>
      <c r="O5" s="647"/>
      <c r="P5" s="651"/>
      <c r="Q5" s="652"/>
      <c r="R5" s="653"/>
      <c r="S5" s="645"/>
      <c r="T5" s="646"/>
      <c r="U5" s="647"/>
      <c r="V5" s="608"/>
      <c r="W5" s="609"/>
      <c r="X5" s="610"/>
      <c r="Y5" s="608"/>
      <c r="Z5" s="609"/>
      <c r="AA5" s="610"/>
      <c r="AB5" s="608"/>
      <c r="AC5" s="609"/>
      <c r="AD5" s="610"/>
      <c r="AE5" s="608"/>
      <c r="AF5" s="609"/>
      <c r="AG5" s="610"/>
      <c r="AH5" s="622"/>
      <c r="AI5" s="623"/>
      <c r="AJ5" s="624"/>
      <c r="AK5" s="614" t="s">
        <v>953</v>
      </c>
      <c r="AL5" s="615"/>
      <c r="AM5" s="616"/>
      <c r="AN5" s="614" t="s">
        <v>954</v>
      </c>
      <c r="AO5" s="615"/>
      <c r="AP5" s="616"/>
    </row>
    <row r="6" spans="3:48" s="601" customFormat="1" ht="18" customHeight="1">
      <c r="D6" s="625"/>
      <c r="E6" s="648" t="s">
        <v>955</v>
      </c>
      <c r="F6" s="649"/>
      <c r="G6" s="650"/>
      <c r="H6" s="648" t="s">
        <v>956</v>
      </c>
      <c r="I6" s="649"/>
      <c r="J6" s="650"/>
      <c r="K6" s="648" t="s">
        <v>957</v>
      </c>
      <c r="L6" s="649"/>
      <c r="M6" s="650"/>
      <c r="N6" s="648" t="s">
        <v>958</v>
      </c>
      <c r="O6" s="649"/>
      <c r="P6" s="650"/>
      <c r="Q6" s="648" t="s">
        <v>959</v>
      </c>
      <c r="R6" s="649"/>
      <c r="S6" s="650"/>
      <c r="T6" s="648" t="s">
        <v>960</v>
      </c>
      <c r="U6" s="649"/>
      <c r="V6" s="650"/>
      <c r="W6" s="619" t="s">
        <v>961</v>
      </c>
      <c r="X6" s="620"/>
      <c r="Y6" s="621"/>
      <c r="Z6" s="619" t="s">
        <v>962</v>
      </c>
      <c r="AA6" s="620"/>
      <c r="AB6" s="621"/>
      <c r="AC6" s="619" t="s">
        <v>963</v>
      </c>
      <c r="AD6" s="620"/>
      <c r="AE6" s="621"/>
      <c r="AF6" s="597" t="s">
        <v>964</v>
      </c>
      <c r="AG6" s="598"/>
      <c r="AH6" s="599"/>
      <c r="AI6" s="597" t="s">
        <v>965</v>
      </c>
      <c r="AJ6" s="598"/>
      <c r="AK6" s="599"/>
    </row>
    <row r="7" spans="3:48" s="618" customFormat="1" ht="39.950000000000003" customHeight="1" thickBot="1">
      <c r="E7" s="645"/>
      <c r="F7" s="646"/>
      <c r="G7" s="647"/>
      <c r="H7" s="645"/>
      <c r="I7" s="646"/>
      <c r="J7" s="647"/>
      <c r="K7" s="645"/>
      <c r="L7" s="646"/>
      <c r="M7" s="647"/>
      <c r="N7" s="645"/>
      <c r="O7" s="646"/>
      <c r="P7" s="647"/>
      <c r="Q7" s="654"/>
      <c r="R7" s="652"/>
      <c r="S7" s="653"/>
      <c r="T7" s="645"/>
      <c r="U7" s="646"/>
      <c r="V7" s="647"/>
      <c r="W7" s="608"/>
      <c r="X7" s="609"/>
      <c r="Y7" s="610"/>
      <c r="Z7" s="608"/>
      <c r="AA7" s="609"/>
      <c r="AB7" s="610"/>
      <c r="AC7" s="626"/>
      <c r="AD7" s="609"/>
      <c r="AE7" s="610"/>
      <c r="AF7" s="614" t="s">
        <v>998</v>
      </c>
      <c r="AG7" s="615"/>
      <c r="AH7" s="616"/>
      <c r="AI7" s="611"/>
      <c r="AJ7" s="612"/>
      <c r="AK7" s="613"/>
    </row>
    <row r="8" spans="3:48" s="601" customFormat="1" ht="18" customHeight="1">
      <c r="F8" s="648" t="s">
        <v>966</v>
      </c>
      <c r="G8" s="649"/>
      <c r="H8" s="650"/>
      <c r="I8" s="648" t="s">
        <v>967</v>
      </c>
      <c r="J8" s="649"/>
      <c r="K8" s="650"/>
      <c r="L8" s="648" t="s">
        <v>968</v>
      </c>
      <c r="M8" s="649"/>
      <c r="N8" s="650"/>
      <c r="O8" s="648" t="s">
        <v>969</v>
      </c>
      <c r="P8" s="649"/>
      <c r="Q8" s="650"/>
      <c r="R8" s="648" t="s">
        <v>970</v>
      </c>
      <c r="S8" s="649"/>
      <c r="T8" s="650"/>
      <c r="U8" s="648" t="s">
        <v>971</v>
      </c>
      <c r="V8" s="649"/>
      <c r="W8" s="650"/>
      <c r="X8" s="619" t="s">
        <v>972</v>
      </c>
      <c r="Y8" s="620"/>
      <c r="Z8" s="621"/>
      <c r="AA8" s="597" t="s">
        <v>973</v>
      </c>
      <c r="AB8" s="598"/>
      <c r="AC8" s="599"/>
      <c r="AD8" s="597" t="s">
        <v>974</v>
      </c>
      <c r="AE8" s="598"/>
      <c r="AF8" s="599"/>
      <c r="AG8" s="597" t="s">
        <v>975</v>
      </c>
      <c r="AH8" s="598"/>
      <c r="AI8" s="599"/>
    </row>
    <row r="9" spans="3:48" s="618" customFormat="1" ht="39.950000000000003" customHeight="1" thickBot="1">
      <c r="F9" s="651"/>
      <c r="G9" s="652"/>
      <c r="H9" s="653"/>
      <c r="I9" s="645"/>
      <c r="J9" s="646"/>
      <c r="K9" s="647"/>
      <c r="L9" s="645"/>
      <c r="M9" s="646"/>
      <c r="N9" s="647"/>
      <c r="O9" s="645"/>
      <c r="P9" s="646"/>
      <c r="Q9" s="647"/>
      <c r="R9" s="651"/>
      <c r="S9" s="652"/>
      <c r="T9" s="653"/>
      <c r="U9" s="645"/>
      <c r="V9" s="646"/>
      <c r="W9" s="647"/>
      <c r="X9" s="608"/>
      <c r="Y9" s="609"/>
      <c r="Z9" s="610"/>
      <c r="AA9" s="614"/>
      <c r="AB9" s="615"/>
      <c r="AC9" s="616"/>
      <c r="AD9" s="614" t="s">
        <v>999</v>
      </c>
      <c r="AE9" s="615"/>
      <c r="AF9" s="616"/>
      <c r="AG9" s="614" t="s">
        <v>976</v>
      </c>
      <c r="AH9" s="615"/>
      <c r="AI9" s="616"/>
      <c r="AL9" s="627" t="s">
        <v>977</v>
      </c>
    </row>
    <row r="11" spans="3:48">
      <c r="AV11" s="618"/>
    </row>
    <row r="13" spans="3:48">
      <c r="D13" s="592" t="s">
        <v>978</v>
      </c>
    </row>
    <row r="14" spans="3:48">
      <c r="D14" s="592" t="s">
        <v>20</v>
      </c>
      <c r="E14" s="592" t="s">
        <v>27</v>
      </c>
      <c r="F14" s="592" t="s">
        <v>23</v>
      </c>
      <c r="G14" s="592" t="s">
        <v>83</v>
      </c>
      <c r="H14" s="592" t="s">
        <v>29</v>
      </c>
      <c r="I14" s="592" t="s">
        <v>31</v>
      </c>
      <c r="J14" s="592" t="s">
        <v>33</v>
      </c>
      <c r="K14" s="592" t="s">
        <v>85</v>
      </c>
      <c r="L14" s="592" t="s">
        <v>36</v>
      </c>
      <c r="M14" s="592" t="s">
        <v>41</v>
      </c>
      <c r="N14" s="592" t="s">
        <v>38</v>
      </c>
      <c r="O14" s="592" t="s">
        <v>87</v>
      </c>
      <c r="P14" s="592" t="s">
        <v>52</v>
      </c>
      <c r="Q14" s="592" t="s">
        <v>89</v>
      </c>
      <c r="R14" s="592" t="s">
        <v>109</v>
      </c>
      <c r="S14" s="592" t="s">
        <v>91</v>
      </c>
      <c r="T14" s="592" t="s">
        <v>284</v>
      </c>
      <c r="U14" s="592" t="s">
        <v>43</v>
      </c>
      <c r="V14" s="592" t="s">
        <v>48</v>
      </c>
      <c r="W14" s="592" t="s">
        <v>46</v>
      </c>
      <c r="X14" s="592" t="s">
        <v>50</v>
      </c>
    </row>
    <row r="15" spans="3:48" ht="19.5">
      <c r="D15" s="628" t="s">
        <v>217</v>
      </c>
      <c r="E15" s="628" t="s">
        <v>190</v>
      </c>
      <c r="F15" s="628" t="s">
        <v>392</v>
      </c>
      <c r="G15" s="628" t="s">
        <v>143</v>
      </c>
      <c r="H15" s="628" t="s">
        <v>30</v>
      </c>
      <c r="I15" s="628" t="s">
        <v>32</v>
      </c>
      <c r="J15" s="628" t="s">
        <v>34</v>
      </c>
      <c r="K15" s="628" t="s">
        <v>86</v>
      </c>
      <c r="L15" s="628" t="s">
        <v>37</v>
      </c>
      <c r="M15" s="628" t="s">
        <v>184</v>
      </c>
      <c r="N15" s="628" t="s">
        <v>418</v>
      </c>
      <c r="O15" s="628" t="s">
        <v>140</v>
      </c>
      <c r="P15" s="628" t="s">
        <v>422</v>
      </c>
      <c r="Q15" s="628" t="s">
        <v>979</v>
      </c>
      <c r="R15" s="628" t="s">
        <v>445</v>
      </c>
      <c r="S15" s="628" t="s">
        <v>980</v>
      </c>
      <c r="T15" s="628" t="s">
        <v>433</v>
      </c>
      <c r="U15" s="628" t="s">
        <v>44</v>
      </c>
      <c r="V15" s="628" t="s">
        <v>445</v>
      </c>
      <c r="W15" s="628" t="s">
        <v>981</v>
      </c>
      <c r="X15" s="628" t="s">
        <v>338</v>
      </c>
      <c r="Y15" s="629"/>
    </row>
    <row r="16" spans="3:48" ht="19.5">
      <c r="D16" s="630" t="s">
        <v>217</v>
      </c>
      <c r="E16" s="630" t="s">
        <v>190</v>
      </c>
      <c r="F16" s="630" t="s">
        <v>400</v>
      </c>
      <c r="G16" s="630" t="s">
        <v>982</v>
      </c>
      <c r="H16" s="630" t="s">
        <v>30</v>
      </c>
      <c r="I16" s="630" t="s">
        <v>408</v>
      </c>
      <c r="J16" s="630" t="s">
        <v>983</v>
      </c>
      <c r="K16" s="630" t="s">
        <v>309</v>
      </c>
      <c r="L16" s="630" t="s">
        <v>37</v>
      </c>
      <c r="M16" s="630" t="s">
        <v>184</v>
      </c>
      <c r="N16" s="630" t="s">
        <v>425</v>
      </c>
      <c r="O16" s="630" t="s">
        <v>984</v>
      </c>
      <c r="P16" s="630" t="s">
        <v>422</v>
      </c>
      <c r="Q16" s="630" t="s">
        <v>427</v>
      </c>
      <c r="R16" s="630" t="s">
        <v>985</v>
      </c>
      <c r="S16" s="630" t="s">
        <v>986</v>
      </c>
      <c r="T16" s="630" t="s">
        <v>433</v>
      </c>
      <c r="U16" s="630" t="s">
        <v>305</v>
      </c>
      <c r="V16" s="630" t="s">
        <v>179</v>
      </c>
      <c r="W16" s="630" t="s">
        <v>456</v>
      </c>
      <c r="X16" s="630" t="s">
        <v>338</v>
      </c>
      <c r="Y16" s="629"/>
    </row>
    <row r="17" spans="4:46">
      <c r="D17" s="631" t="s">
        <v>389</v>
      </c>
      <c r="E17" s="631" t="s">
        <v>402</v>
      </c>
      <c r="F17" s="631" t="s">
        <v>393</v>
      </c>
      <c r="G17" s="631" t="s">
        <v>398</v>
      </c>
      <c r="H17" s="631" t="s">
        <v>403</v>
      </c>
      <c r="I17" s="631" t="s">
        <v>406</v>
      </c>
      <c r="J17" s="631" t="s">
        <v>411</v>
      </c>
      <c r="K17" s="631" t="s">
        <v>412</v>
      </c>
      <c r="L17" s="631" t="s">
        <v>415</v>
      </c>
      <c r="M17" s="631" t="s">
        <v>437</v>
      </c>
      <c r="N17" s="631" t="s">
        <v>419</v>
      </c>
      <c r="O17" s="631" t="s">
        <v>440</v>
      </c>
      <c r="P17" s="631" t="s">
        <v>423</v>
      </c>
      <c r="Q17" s="631" t="s">
        <v>428</v>
      </c>
      <c r="R17" s="631" t="s">
        <v>446</v>
      </c>
      <c r="S17" s="631" t="s">
        <v>431</v>
      </c>
      <c r="T17" s="631" t="s">
        <v>434</v>
      </c>
      <c r="U17" s="631" t="s">
        <v>459</v>
      </c>
      <c r="V17" s="631" t="s">
        <v>453</v>
      </c>
      <c r="W17" s="631" t="s">
        <v>464</v>
      </c>
      <c r="X17" s="631" t="s">
        <v>465</v>
      </c>
    </row>
    <row r="19" spans="4:46">
      <c r="D19" s="592" t="s">
        <v>987</v>
      </c>
    </row>
    <row r="20" spans="4:46">
      <c r="D20" s="592" t="s">
        <v>58</v>
      </c>
      <c r="E20" s="592" t="s">
        <v>115</v>
      </c>
      <c r="F20" s="592" t="s">
        <v>67</v>
      </c>
      <c r="G20" s="592" t="s">
        <v>121</v>
      </c>
      <c r="H20" s="592" t="s">
        <v>473</v>
      </c>
      <c r="I20" s="592" t="s">
        <v>61</v>
      </c>
      <c r="J20" s="592" t="s">
        <v>119</v>
      </c>
      <c r="K20" s="592" t="s">
        <v>241</v>
      </c>
      <c r="L20" s="592" t="s">
        <v>117</v>
      </c>
      <c r="M20" s="592" t="s">
        <v>72</v>
      </c>
      <c r="N20" s="592" t="s">
        <v>123</v>
      </c>
      <c r="O20" s="592" t="s">
        <v>99</v>
      </c>
      <c r="P20" s="592" t="s">
        <v>125</v>
      </c>
      <c r="Q20" s="592" t="s">
        <v>145</v>
      </c>
      <c r="R20" s="592" t="s">
        <v>97</v>
      </c>
      <c r="S20" s="592" t="s">
        <v>76</v>
      </c>
      <c r="T20" s="592" t="s">
        <v>95</v>
      </c>
      <c r="U20" s="592" t="s">
        <v>101</v>
      </c>
      <c r="V20" s="592" t="s">
        <v>127</v>
      </c>
      <c r="W20" s="592" t="s">
        <v>74</v>
      </c>
      <c r="X20" s="592" t="s">
        <v>54</v>
      </c>
      <c r="Y20" s="592" t="s">
        <v>111</v>
      </c>
      <c r="Z20" s="592" t="s">
        <v>56</v>
      </c>
      <c r="AA20" s="592" t="s">
        <v>113</v>
      </c>
    </row>
    <row r="21" spans="4:46" ht="15">
      <c r="D21" s="632" t="s">
        <v>351</v>
      </c>
      <c r="E21" s="632" t="s">
        <v>276</v>
      </c>
      <c r="F21" s="632" t="s">
        <v>346</v>
      </c>
      <c r="G21" s="632" t="s">
        <v>273</v>
      </c>
      <c r="H21" s="632" t="s">
        <v>65</v>
      </c>
      <c r="I21" s="632" t="s">
        <v>329</v>
      </c>
      <c r="J21" s="632" t="s">
        <v>270</v>
      </c>
      <c r="K21" s="632" t="s">
        <v>330</v>
      </c>
      <c r="L21" s="632" t="s">
        <v>268</v>
      </c>
      <c r="M21" s="632" t="s">
        <v>326</v>
      </c>
      <c r="N21" s="632" t="s">
        <v>265</v>
      </c>
      <c r="O21" s="632" t="s">
        <v>207</v>
      </c>
      <c r="P21" s="632" t="s">
        <v>203</v>
      </c>
      <c r="Q21" s="632" t="s">
        <v>143</v>
      </c>
      <c r="R21" s="632" t="s">
        <v>177</v>
      </c>
      <c r="S21" s="632" t="s">
        <v>489</v>
      </c>
      <c r="T21" s="632" t="s">
        <v>163</v>
      </c>
      <c r="U21" s="632" t="s">
        <v>160</v>
      </c>
      <c r="V21" s="632" t="s">
        <v>494</v>
      </c>
      <c r="W21" s="632" t="s">
        <v>140</v>
      </c>
      <c r="X21" s="632" t="s">
        <v>279</v>
      </c>
      <c r="Y21" s="632" t="s">
        <v>513</v>
      </c>
      <c r="Z21" s="632" t="s">
        <v>196</v>
      </c>
      <c r="AA21" s="632" t="s">
        <v>518</v>
      </c>
    </row>
    <row r="22" spans="4:46" ht="16.5">
      <c r="D22" s="633" t="s">
        <v>351</v>
      </c>
      <c r="E22" s="633" t="s">
        <v>277</v>
      </c>
      <c r="F22" s="633" t="s">
        <v>65</v>
      </c>
      <c r="G22" s="633" t="s">
        <v>274</v>
      </c>
      <c r="H22" s="633" t="s">
        <v>988</v>
      </c>
      <c r="I22" s="633" t="s">
        <v>329</v>
      </c>
      <c r="J22" s="633" t="s">
        <v>271</v>
      </c>
      <c r="K22" s="633" t="s">
        <v>275</v>
      </c>
      <c r="L22" s="633" t="s">
        <v>269</v>
      </c>
      <c r="M22" s="633" t="s">
        <v>259</v>
      </c>
      <c r="N22" s="633" t="s">
        <v>266</v>
      </c>
      <c r="O22" s="633" t="s">
        <v>208</v>
      </c>
      <c r="P22" s="633" t="s">
        <v>204</v>
      </c>
      <c r="Q22" s="633" t="s">
        <v>144</v>
      </c>
      <c r="R22" s="633" t="s">
        <v>176</v>
      </c>
      <c r="S22" s="633" t="s">
        <v>189</v>
      </c>
      <c r="T22" s="633" t="s">
        <v>164</v>
      </c>
      <c r="U22" s="633" t="s">
        <v>162</v>
      </c>
      <c r="V22" s="633" t="s">
        <v>989</v>
      </c>
      <c r="W22" s="633" t="s">
        <v>141</v>
      </c>
      <c r="X22" s="633" t="s">
        <v>279</v>
      </c>
      <c r="Y22" s="633" t="s">
        <v>282</v>
      </c>
      <c r="Z22" s="633" t="s">
        <v>196</v>
      </c>
      <c r="AA22" s="633" t="s">
        <v>280</v>
      </c>
    </row>
    <row r="23" spans="4:46">
      <c r="D23" s="634" t="s">
        <v>471</v>
      </c>
      <c r="E23" s="634" t="s">
        <v>508</v>
      </c>
      <c r="F23" s="634" t="s">
        <v>474</v>
      </c>
      <c r="G23" s="634" t="s">
        <v>990</v>
      </c>
      <c r="H23" s="634" t="s">
        <v>475</v>
      </c>
      <c r="I23" s="634" t="s">
        <v>482</v>
      </c>
      <c r="J23" s="634" t="s">
        <v>524</v>
      </c>
      <c r="K23" s="634" t="s">
        <v>479</v>
      </c>
      <c r="L23" s="634" t="s">
        <v>991</v>
      </c>
      <c r="M23" s="634" t="s">
        <v>485</v>
      </c>
      <c r="N23" s="634" t="s">
        <v>992</v>
      </c>
      <c r="O23" s="634" t="s">
        <v>501</v>
      </c>
      <c r="P23" s="634" t="s">
        <v>505</v>
      </c>
      <c r="Q23" s="634" t="s">
        <v>470</v>
      </c>
      <c r="R23" s="634" t="s">
        <v>488</v>
      </c>
      <c r="S23" s="634" t="s">
        <v>490</v>
      </c>
      <c r="T23" s="634" t="s">
        <v>492</v>
      </c>
      <c r="U23" s="634" t="s">
        <v>487</v>
      </c>
      <c r="V23" s="634" t="s">
        <v>495</v>
      </c>
      <c r="W23" s="634" t="s">
        <v>498</v>
      </c>
      <c r="X23" s="634" t="s">
        <v>468</v>
      </c>
      <c r="Y23" s="634" t="s">
        <v>514</v>
      </c>
      <c r="Z23" s="634" t="s">
        <v>469</v>
      </c>
      <c r="AA23" s="634" t="s">
        <v>519</v>
      </c>
    </row>
    <row r="25" spans="4:46" ht="38.25">
      <c r="AM25" s="635" t="s">
        <v>993</v>
      </c>
      <c r="AN25" s="636"/>
      <c r="AO25" s="637"/>
      <c r="AP25" s="637"/>
      <c r="AQ25" s="637"/>
      <c r="AS25" s="638" t="str">
        <f xml:space="preserve"> MID($AM$25, 1, 2)</f>
        <v>ㆴ̇</v>
      </c>
      <c r="AT25" s="639" t="s">
        <v>994</v>
      </c>
    </row>
    <row r="26" spans="4:46" ht="38.25">
      <c r="AR26" s="601"/>
      <c r="AS26" s="638" t="str">
        <f xml:space="preserve"> MID($AM$25, 3, 2)</f>
        <v>ㆵ̇</v>
      </c>
      <c r="AT26" s="639" t="s">
        <v>995</v>
      </c>
    </row>
    <row r="27" spans="4:46" ht="38.25">
      <c r="AR27" s="618"/>
      <c r="AS27" s="638" t="str">
        <f xml:space="preserve"> MID($AM$25, 5, 2)</f>
        <v>ㆻ̇</v>
      </c>
      <c r="AT27" s="639" t="s">
        <v>564</v>
      </c>
    </row>
    <row r="28" spans="4:46" ht="38.25">
      <c r="AK28" s="640"/>
      <c r="AS28" s="638" t="str">
        <f xml:space="preserve"> MID($AM$25, 7, 2)</f>
        <v>ㆷ̇</v>
      </c>
      <c r="AT28" s="639" t="s">
        <v>996</v>
      </c>
    </row>
  </sheetData>
  <mergeCells count="92">
    <mergeCell ref="X9:Z9"/>
    <mergeCell ref="AA9:AC9"/>
    <mergeCell ref="AD9:AF9"/>
    <mergeCell ref="AG9:AI9"/>
    <mergeCell ref="X8:Z8"/>
    <mergeCell ref="AA8:AC8"/>
    <mergeCell ref="AD8:AF8"/>
    <mergeCell ref="AG8:AI8"/>
    <mergeCell ref="F9:H9"/>
    <mergeCell ref="I9:K9"/>
    <mergeCell ref="L9:N9"/>
    <mergeCell ref="O9:Q9"/>
    <mergeCell ref="R9:T9"/>
    <mergeCell ref="U9:W9"/>
    <mergeCell ref="F8:H8"/>
    <mergeCell ref="I8:K8"/>
    <mergeCell ref="L8:N8"/>
    <mergeCell ref="O8:Q8"/>
    <mergeCell ref="R8:T8"/>
    <mergeCell ref="U8:W8"/>
    <mergeCell ref="T7:V7"/>
    <mergeCell ref="W7:Y7"/>
    <mergeCell ref="Z7:AB7"/>
    <mergeCell ref="AC7:AE7"/>
    <mergeCell ref="AF7:AH7"/>
    <mergeCell ref="AI7:AK7"/>
    <mergeCell ref="W6:Y6"/>
    <mergeCell ref="Z6:AB6"/>
    <mergeCell ref="AC6:AE6"/>
    <mergeCell ref="AF6:AH6"/>
    <mergeCell ref="AI6:AK6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U3:W3"/>
    <mergeCell ref="X3:Z3"/>
    <mergeCell ref="AA3:AC3"/>
    <mergeCell ref="AD3:AF3"/>
    <mergeCell ref="AG3:AI3"/>
    <mergeCell ref="AJ3:AL3"/>
    <mergeCell ref="C3:E3"/>
    <mergeCell ref="F3:H3"/>
    <mergeCell ref="I3:K3"/>
    <mergeCell ref="L3:N3"/>
    <mergeCell ref="O3:Q3"/>
    <mergeCell ref="R3:T3"/>
    <mergeCell ref="U2:W2"/>
    <mergeCell ref="X2:Z2"/>
    <mergeCell ref="AA2:AC2"/>
    <mergeCell ref="AD2:AF2"/>
    <mergeCell ref="AG2:AI2"/>
    <mergeCell ref="AJ2:AL2"/>
    <mergeCell ref="C2:E2"/>
    <mergeCell ref="F2:H2"/>
    <mergeCell ref="I2:K2"/>
    <mergeCell ref="L2:N2"/>
    <mergeCell ref="O2:Q2"/>
    <mergeCell ref="R2:T2"/>
  </mergeCells>
  <phoneticPr fontId="9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>
      <selection activeCell="H15" sqref="H15"/>
    </sheetView>
    <sheetView workbookViewId="1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570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594</v>
      </c>
      <c r="F24" s="44" t="s">
        <v>368</v>
      </c>
      <c r="G24" s="105" t="s">
        <v>582</v>
      </c>
      <c r="H24" s="172" t="s">
        <v>583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  <sheetView workbookViewId="1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topLeftCell="A6" workbookViewId="0">
      <selection activeCell="A9" sqref="A9"/>
    </sheetView>
    <sheetView workbookViewId="1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  <sheetView workbookViewId="1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31" workbookViewId="0">
      <selection activeCell="R44" sqref="R44"/>
    </sheetView>
    <sheetView workbookViewId="1"/>
  </sheetViews>
  <sheetFormatPr defaultRowHeight="25.5"/>
  <cols>
    <col min="1" max="1" width="2.19921875" customWidth="1"/>
    <col min="2" max="2" width="4.296875" style="318" customWidth="1"/>
    <col min="3" max="3" width="9.69921875" bestFit="1" customWidth="1"/>
    <col min="5" max="5" width="2.19921875" customWidth="1"/>
    <col min="6" max="6" width="4.296875" style="318" customWidth="1"/>
    <col min="7" max="7" width="9.69921875" bestFit="1" customWidth="1"/>
    <col min="9" max="9" width="2.19921875" customWidth="1"/>
    <col min="10" max="10" width="4.296875" style="318" customWidth="1"/>
    <col min="12" max="12" width="8.796875" style="319"/>
    <col min="14" max="14" width="10.19921875" style="338" bestFit="1" customWidth="1"/>
    <col min="15" max="15" width="2.19921875" customWidth="1"/>
    <col min="16" max="16" width="4.296875" style="318" customWidth="1"/>
    <col min="20" max="20" width="8.796875" style="344"/>
    <col min="21" max="21" width="5.796875" customWidth="1"/>
    <col min="22" max="65" width="3.19921875" style="328" customWidth="1"/>
    <col min="66" max="67" width="3.19921875" style="329" customWidth="1"/>
    <col min="68" max="69" width="8.796875" style="329"/>
  </cols>
  <sheetData>
    <row r="2" spans="2:69">
      <c r="C2" s="349" t="s">
        <v>584</v>
      </c>
      <c r="D2" s="349" t="s">
        <v>585</v>
      </c>
      <c r="E2" s="350"/>
      <c r="F2" s="351"/>
      <c r="G2" s="349" t="s">
        <v>585</v>
      </c>
      <c r="H2" s="349" t="s">
        <v>385</v>
      </c>
      <c r="I2" s="350"/>
      <c r="J2" s="351"/>
      <c r="K2" s="349" t="s">
        <v>585</v>
      </c>
      <c r="L2" s="349" t="s">
        <v>385</v>
      </c>
      <c r="M2" s="349" t="s">
        <v>584</v>
      </c>
      <c r="N2" s="349" t="s">
        <v>603</v>
      </c>
      <c r="O2" s="350"/>
      <c r="P2" s="351"/>
      <c r="Q2" s="349" t="s">
        <v>585</v>
      </c>
      <c r="R2" s="349" t="s">
        <v>385</v>
      </c>
      <c r="S2" s="349" t="s">
        <v>584</v>
      </c>
      <c r="T2" s="349" t="s">
        <v>603</v>
      </c>
      <c r="V2" s="334" t="str">
        <f ca="1" xml:space="preserve"> "  alphabet: '" &amp; _xlfn.CONCAT(Q$3:Q$48, Q$49:Q$54) &amp; "'"</f>
        <v xml:space="preserve">  alphabet: '1q!a2wsxedEcyhnYrfvbuUjJm8*iIk,&lt;9(lL0p;:/?-AO. 43657'</v>
      </c>
      <c r="W2" s="332"/>
      <c r="X2" s="332"/>
      <c r="Y2" s="332"/>
      <c r="Z2" s="332"/>
      <c r="AA2" s="332"/>
      <c r="AB2" s="332"/>
      <c r="AC2" s="332"/>
      <c r="AD2" s="332"/>
      <c r="AE2" s="332"/>
      <c r="AF2" s="332"/>
      <c r="AG2" s="332"/>
      <c r="AH2" s="332"/>
      <c r="AI2" s="332"/>
      <c r="AJ2" s="332"/>
      <c r="AK2" s="332"/>
      <c r="AL2" s="332"/>
      <c r="AM2" s="332"/>
      <c r="AN2" s="332"/>
      <c r="AO2" s="332"/>
      <c r="AP2" s="332"/>
    </row>
    <row r="3" spans="2:69">
      <c r="B3" s="321">
        <f xml:space="preserve"> ROW() - 2</f>
        <v>1</v>
      </c>
      <c r="C3" s="348" t="s">
        <v>217</v>
      </c>
      <c r="D3" s="322" t="s">
        <v>361</v>
      </c>
      <c r="F3" s="321">
        <f xml:space="preserve"> ROW() - 2</f>
        <v>1</v>
      </c>
      <c r="G3" s="322" t="s">
        <v>361</v>
      </c>
      <c r="H3" s="342" t="s">
        <v>20</v>
      </c>
      <c r="J3" s="321">
        <f xml:space="preserve"> ROW() - 2</f>
        <v>1</v>
      </c>
      <c r="K3" s="327" t="str" cm="1">
        <f t="array" aca="1" ref="K3" ca="1" xml:space="preserve"> INDIRECT(ADDRESS(2+$F3,COLUMN(G:G)))</f>
        <v>1</v>
      </c>
      <c r="L3" s="336" t="str" cm="1">
        <f t="array" aca="1" ref="L3" ca="1" xml:space="preserve"> IFERROR( INDEX($H$3:$H$54, MATCH(TRUE, EXACT($K3,$G$3:$G$54), 0)), "")</f>
        <v>ㄅ</v>
      </c>
      <c r="M3" s="335" t="str" cm="1">
        <f t="array" aca="1" ref="M3" ca="1" xml:space="preserve"> IFERROR( INDEX($C$3:$C$54, MATCH(TRUE, EXACT($K3,$D$3:$D$54), 0)), "")</f>
        <v>p</v>
      </c>
      <c r="N3" s="339" t="s">
        <v>21</v>
      </c>
      <c r="P3" s="321">
        <f xml:space="preserve"> ROW() - 2</f>
        <v>1</v>
      </c>
      <c r="Q3" s="345" t="str">
        <f t="shared" ref="Q3:Q34" ca="1" si="0">K3</f>
        <v>1</v>
      </c>
      <c r="R3" s="347" t="str">
        <f t="shared" ref="R3:R34" ca="1" si="1">L3</f>
        <v>ㄅ</v>
      </c>
      <c r="S3" s="345" t="str">
        <f t="shared" ref="S3:S34" ca="1" si="2">M3</f>
        <v>p</v>
      </c>
      <c r="T3" s="343" t="str">
        <f>N3</f>
        <v>p</v>
      </c>
      <c r="V3" s="334" t="str">
        <f ca="1" xml:space="preserve"> "  initials: '" &amp; _xlfn.CONCAT(Q$3:Q$48) &amp; "'"</f>
        <v xml:space="preserve">  initials: '1q!a2wsxedEcyhnYrfvbuUjJm8*iIk,&lt;9(lL0p;:/?-AO.'</v>
      </c>
      <c r="W3" s="332"/>
      <c r="X3" s="332"/>
      <c r="Y3" s="332"/>
      <c r="Z3" s="332"/>
      <c r="AA3" s="332"/>
      <c r="AB3" s="332"/>
      <c r="AC3" s="332"/>
      <c r="AD3" s="332"/>
      <c r="AE3" s="332"/>
      <c r="AF3" s="332"/>
      <c r="AG3" s="332"/>
      <c r="AH3" s="332"/>
      <c r="AI3" s="332"/>
      <c r="AJ3" s="332"/>
      <c r="AK3" s="332"/>
      <c r="AL3" s="332"/>
      <c r="AM3" s="332"/>
      <c r="AN3" s="332"/>
      <c r="AO3" s="332"/>
      <c r="AP3" s="332"/>
    </row>
    <row r="4" spans="2:69">
      <c r="B4" s="321">
        <f t="shared" ref="B4:B54" si="3" xml:space="preserve"> ROW() - 2</f>
        <v>2</v>
      </c>
      <c r="C4" s="348" t="s">
        <v>400</v>
      </c>
      <c r="D4" s="322" t="s">
        <v>353</v>
      </c>
      <c r="F4" s="321">
        <f t="shared" ref="F4:F54" si="4" xml:space="preserve"> ROW() - 2</f>
        <v>2</v>
      </c>
      <c r="G4" s="322" t="s">
        <v>353</v>
      </c>
      <c r="H4" s="342" t="s">
        <v>23</v>
      </c>
      <c r="J4" s="321">
        <f t="shared" ref="J4:J54" si="5" xml:space="preserve"> ROW() - 2</f>
        <v>2</v>
      </c>
      <c r="K4" s="327" t="str" cm="1">
        <f t="array" aca="1" ref="K4" ca="1" xml:space="preserve"> INDIRECT(ADDRESS(2+$F4,COLUMN(G:G)))</f>
        <v>q</v>
      </c>
      <c r="L4" s="336" t="str" cm="1">
        <f t="array" aca="1" ref="L4" ca="1" xml:space="preserve"> IFERROR( INDEX($H$3:$H$54, MATCH(TRUE, EXACT($K4,$G$3:$G$54), 0)), "")</f>
        <v>ㄆ</v>
      </c>
      <c r="M4" s="335" t="str" cm="1">
        <f t="array" aca="1" ref="M4" ca="1" xml:space="preserve"> IFERROR( INDEX($C$3:$C$54, MATCH(TRUE, EXACT($K4,$D$3:$D$54), 0)), "")</f>
        <v>P</v>
      </c>
      <c r="N4" s="339" t="s">
        <v>24</v>
      </c>
      <c r="P4" s="321">
        <f t="shared" ref="P4:P54" si="6" xml:space="preserve"> ROW() - 2</f>
        <v>2</v>
      </c>
      <c r="Q4" s="345" t="str">
        <f t="shared" ca="1" si="0"/>
        <v>q</v>
      </c>
      <c r="R4" s="347" t="str">
        <f t="shared" ca="1" si="1"/>
        <v>ㄆ</v>
      </c>
      <c r="S4" s="345" t="str">
        <f t="shared" ca="1" si="2"/>
        <v>P</v>
      </c>
      <c r="T4" s="343" t="str">
        <f t="shared" ref="T4:T54" si="7">N4</f>
        <v>ph</v>
      </c>
      <c r="V4" s="334"/>
      <c r="W4" s="332"/>
      <c r="X4" s="332"/>
      <c r="Y4" s="332"/>
      <c r="Z4" s="332"/>
      <c r="AA4" s="332"/>
      <c r="AB4" s="332"/>
      <c r="AC4" s="332"/>
      <c r="AD4" s="332"/>
      <c r="AE4" s="332"/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</row>
    <row r="5" spans="2:69">
      <c r="B5" s="321">
        <f t="shared" si="3"/>
        <v>3</v>
      </c>
      <c r="C5" s="348" t="s">
        <v>190</v>
      </c>
      <c r="D5" s="322" t="s">
        <v>394</v>
      </c>
      <c r="F5" s="321">
        <f t="shared" si="4"/>
        <v>3</v>
      </c>
      <c r="G5" s="324" t="s">
        <v>394</v>
      </c>
      <c r="H5" s="342" t="s">
        <v>27</v>
      </c>
      <c r="J5" s="321">
        <f t="shared" si="5"/>
        <v>3</v>
      </c>
      <c r="K5" s="327" t="str" cm="1">
        <f t="array" aca="1" ref="K5" ca="1" xml:space="preserve"> INDIRECT(ADDRESS(2+$F5,COLUMN(G:G)))</f>
        <v>!</v>
      </c>
      <c r="L5" s="336" t="str" cm="1">
        <f t="array" aca="1" ref="L5" ca="1" xml:space="preserve"> IFERROR( INDEX($H$3:$H$54, MATCH(TRUE, EXACT($K5,$G$3:$G$54), 0)), "")</f>
        <v>ㆠ</v>
      </c>
      <c r="M5" s="335" t="str" cm="1">
        <f t="array" aca="1" ref="M5" ca="1" xml:space="preserve"> IFERROR( INDEX($C$3:$C$54, MATCH(TRUE, EXACT($K5,$D$3:$D$54), 0)), "")</f>
        <v>b</v>
      </c>
      <c r="N5" s="339" t="s">
        <v>28</v>
      </c>
      <c r="P5" s="321">
        <f t="shared" si="6"/>
        <v>3</v>
      </c>
      <c r="Q5" s="346" t="str">
        <f t="shared" ca="1" si="0"/>
        <v>!</v>
      </c>
      <c r="R5" s="337" t="str">
        <f t="shared" ca="1" si="1"/>
        <v>ㆠ</v>
      </c>
      <c r="S5" s="346" t="str">
        <f t="shared" ca="1" si="2"/>
        <v>b</v>
      </c>
      <c r="T5" s="343" t="str">
        <f t="shared" si="7"/>
        <v>b</v>
      </c>
    </row>
    <row r="6" spans="2:69">
      <c r="B6" s="321">
        <f t="shared" si="3"/>
        <v>4</v>
      </c>
      <c r="C6" s="348" t="s">
        <v>143</v>
      </c>
      <c r="D6" s="322" t="s">
        <v>351</v>
      </c>
      <c r="F6" s="321">
        <f t="shared" si="4"/>
        <v>4</v>
      </c>
      <c r="G6" s="322" t="s">
        <v>351</v>
      </c>
      <c r="H6" s="342" t="s">
        <v>83</v>
      </c>
      <c r="J6" s="321">
        <f t="shared" si="5"/>
        <v>4</v>
      </c>
      <c r="K6" s="327" t="str" cm="1">
        <f t="array" aca="1" ref="K6" ca="1" xml:space="preserve"> INDIRECT(ADDRESS(2+$F6,COLUMN(G:G)))</f>
        <v>a</v>
      </c>
      <c r="L6" s="336" t="str" cm="1">
        <f t="array" aca="1" ref="L6" ca="1" xml:space="preserve"> IFERROR( INDEX($H$3:$H$54, MATCH(TRUE, EXACT($K6,$G$3:$G$54), 0)), "")</f>
        <v>ㄇ</v>
      </c>
      <c r="M6" s="335" t="str" cm="1">
        <f t="array" aca="1" ref="M6" ca="1" xml:space="preserve"> IFERROR( INDEX($C$3:$C$54, MATCH(TRUE, EXACT($K6,$D$3:$D$54), 0)), "")</f>
        <v>m</v>
      </c>
      <c r="N6" s="339" t="s">
        <v>84</v>
      </c>
      <c r="P6" s="321">
        <f t="shared" si="6"/>
        <v>4</v>
      </c>
      <c r="Q6" s="345" t="str">
        <f t="shared" ca="1" si="0"/>
        <v>a</v>
      </c>
      <c r="R6" s="347" t="str">
        <f t="shared" ca="1" si="1"/>
        <v>ㄇ</v>
      </c>
      <c r="S6" s="345" t="str">
        <f t="shared" ca="1" si="2"/>
        <v>m</v>
      </c>
      <c r="T6" s="343" t="str">
        <f t="shared" si="7"/>
        <v>m</v>
      </c>
    </row>
    <row r="7" spans="2:69">
      <c r="B7" s="321">
        <f t="shared" si="3"/>
        <v>5</v>
      </c>
      <c r="C7" s="348" t="s">
        <v>30</v>
      </c>
      <c r="D7" s="322" t="s">
        <v>347</v>
      </c>
      <c r="F7" s="321">
        <f t="shared" si="4"/>
        <v>5</v>
      </c>
      <c r="G7" s="322" t="s">
        <v>347</v>
      </c>
      <c r="H7" s="342" t="s">
        <v>29</v>
      </c>
      <c r="J7" s="321">
        <f t="shared" si="5"/>
        <v>5</v>
      </c>
      <c r="K7" s="327" t="str" cm="1">
        <f t="array" aca="1" ref="K7" ca="1" xml:space="preserve"> INDIRECT(ADDRESS(2+$F7,COLUMN(G:G)))</f>
        <v>2</v>
      </c>
      <c r="L7" s="336" t="str" cm="1">
        <f t="array" aca="1" ref="L7" ca="1" xml:space="preserve"> IFERROR( INDEX($H$3:$H$54, MATCH(TRUE, EXACT($K7,$G$3:$G$54), 0)), "")</f>
        <v>ㄉ</v>
      </c>
      <c r="M7" s="335" t="str" cm="1">
        <f t="array" aca="1" ref="M7" ca="1" xml:space="preserve"> IFERROR( INDEX($C$3:$C$54, MATCH(TRUE, EXACT($K7,$D$3:$D$54), 0)), "")</f>
        <v>t</v>
      </c>
      <c r="N7" s="339" t="s">
        <v>340</v>
      </c>
      <c r="P7" s="321">
        <f t="shared" si="6"/>
        <v>5</v>
      </c>
      <c r="Q7" s="345" t="str">
        <f t="shared" ca="1" si="0"/>
        <v>2</v>
      </c>
      <c r="R7" s="347" t="str">
        <f t="shared" ca="1" si="1"/>
        <v>ㄉ</v>
      </c>
      <c r="S7" s="345" t="str">
        <f t="shared" ca="1" si="2"/>
        <v>t</v>
      </c>
      <c r="T7" s="343" t="str">
        <f t="shared" si="7"/>
        <v>t</v>
      </c>
      <c r="V7" s="330" t="s">
        <v>586</v>
      </c>
    </row>
    <row r="8" spans="2:69">
      <c r="B8" s="321">
        <f t="shared" si="3"/>
        <v>6</v>
      </c>
      <c r="C8" s="348" t="s">
        <v>408</v>
      </c>
      <c r="D8" s="322" t="s">
        <v>341</v>
      </c>
      <c r="F8" s="321">
        <f t="shared" si="4"/>
        <v>6</v>
      </c>
      <c r="G8" s="322" t="s">
        <v>341</v>
      </c>
      <c r="H8" s="342" t="s">
        <v>31</v>
      </c>
      <c r="J8" s="321">
        <f t="shared" si="5"/>
        <v>6</v>
      </c>
      <c r="K8" s="327" t="str" cm="1">
        <f t="array" aca="1" ref="K8" ca="1" xml:space="preserve"> INDIRECT(ADDRESS(2+$F8,COLUMN(G:G)))</f>
        <v>w</v>
      </c>
      <c r="L8" s="336" t="str" cm="1">
        <f t="array" aca="1" ref="L8" ca="1" xml:space="preserve"> IFERROR( INDEX($H$3:$H$54, MATCH(TRUE, EXACT($K8,$G$3:$G$54), 0)), "")</f>
        <v>ㄊ</v>
      </c>
      <c r="M8" s="335" t="str" cm="1">
        <f t="array" aca="1" ref="M8" ca="1" xml:space="preserve"> IFERROR( INDEX($C$3:$C$54, MATCH(TRUE, EXACT($K8,$D$3:$D$54), 0)), "")</f>
        <v>T</v>
      </c>
      <c r="N8" s="339" t="s">
        <v>604</v>
      </c>
      <c r="P8" s="321">
        <f t="shared" si="6"/>
        <v>6</v>
      </c>
      <c r="Q8" s="345" t="str">
        <f t="shared" ca="1" si="0"/>
        <v>w</v>
      </c>
      <c r="R8" s="347" t="str">
        <f t="shared" ca="1" si="1"/>
        <v>ㄊ</v>
      </c>
      <c r="S8" s="345" t="str">
        <f t="shared" ca="1" si="2"/>
        <v>T</v>
      </c>
      <c r="T8" s="343" t="str">
        <f t="shared" si="7"/>
        <v>th</v>
      </c>
      <c r="V8" s="331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332"/>
      <c r="BB8" s="332"/>
      <c r="BC8" s="332"/>
      <c r="BD8" s="332"/>
      <c r="BE8" s="332"/>
      <c r="BF8" s="332"/>
      <c r="BG8" s="332"/>
      <c r="BH8" s="332"/>
      <c r="BI8" s="332"/>
      <c r="BJ8" s="332"/>
      <c r="BK8" s="332"/>
      <c r="BL8" s="332"/>
      <c r="BM8" s="332"/>
      <c r="BN8" s="333"/>
      <c r="BO8" s="333"/>
      <c r="BP8" s="333"/>
      <c r="BQ8" s="333"/>
    </row>
    <row r="9" spans="2:69">
      <c r="B9" s="321">
        <f t="shared" si="3"/>
        <v>7</v>
      </c>
      <c r="C9" s="348" t="s">
        <v>34</v>
      </c>
      <c r="D9" s="322" t="s">
        <v>338</v>
      </c>
      <c r="F9" s="321">
        <f t="shared" si="4"/>
        <v>7</v>
      </c>
      <c r="G9" s="322" t="s">
        <v>338</v>
      </c>
      <c r="H9" s="342" t="s">
        <v>33</v>
      </c>
      <c r="J9" s="321">
        <f t="shared" si="5"/>
        <v>7</v>
      </c>
      <c r="K9" s="327" t="str" cm="1">
        <f t="array" aca="1" ref="K9" ca="1" xml:space="preserve"> INDIRECT(ADDRESS(2+$F9,COLUMN(G:G)))</f>
        <v>s</v>
      </c>
      <c r="L9" s="336" t="str" cm="1">
        <f t="array" aca="1" ref="L9" ca="1" xml:space="preserve"> IFERROR( INDEX($H$3:$H$54, MATCH(TRUE, EXACT($K9,$G$3:$G$54), 0)), "")</f>
        <v>ㄋ</v>
      </c>
      <c r="M9" s="335" t="str" cm="1">
        <f t="array" aca="1" ref="M9" ca="1" xml:space="preserve"> IFERROR( INDEX($C$3:$C$54, MATCH(TRUE, EXACT($K9,$D$3:$D$54), 0)), "")</f>
        <v>n</v>
      </c>
      <c r="N9" s="339" t="s">
        <v>610</v>
      </c>
      <c r="P9" s="321">
        <f t="shared" si="6"/>
        <v>7</v>
      </c>
      <c r="Q9" s="345" t="str">
        <f t="shared" ca="1" si="0"/>
        <v>s</v>
      </c>
      <c r="R9" s="347" t="str">
        <f t="shared" ca="1" si="1"/>
        <v>ㄋ</v>
      </c>
      <c r="S9" s="345" t="str">
        <f t="shared" ca="1" si="2"/>
        <v>n</v>
      </c>
      <c r="T9" s="343" t="str">
        <f t="shared" si="7"/>
        <v>n-</v>
      </c>
    </row>
    <row r="10" spans="2:69">
      <c r="B10" s="321">
        <f t="shared" si="3"/>
        <v>8</v>
      </c>
      <c r="C10" s="348" t="s">
        <v>309</v>
      </c>
      <c r="D10" s="322" t="s">
        <v>332</v>
      </c>
      <c r="F10" s="321">
        <f t="shared" si="4"/>
        <v>8</v>
      </c>
      <c r="G10" s="322" t="s">
        <v>332</v>
      </c>
      <c r="H10" s="342" t="s">
        <v>85</v>
      </c>
      <c r="J10" s="321">
        <f t="shared" si="5"/>
        <v>8</v>
      </c>
      <c r="K10" s="327" t="str" cm="1">
        <f t="array" aca="1" ref="K10" ca="1" xml:space="preserve"> INDIRECT(ADDRESS(2+$F10,COLUMN(G:G)))</f>
        <v>x</v>
      </c>
      <c r="L10" s="336" t="str" cm="1">
        <f t="array" aca="1" ref="L10" ca="1" xml:space="preserve"> IFERROR( INDEX($H$3:$H$54, MATCH(TRUE, EXACT($K10,$G$3:$G$54), 0)), "")</f>
        <v>ㄌ</v>
      </c>
      <c r="M10" s="335" t="str" cm="1">
        <f t="array" aca="1" ref="M10" ca="1" xml:space="preserve"> IFERROR( INDEX($C$3:$C$54, MATCH(TRUE, EXACT($K10,$D$3:$D$54), 0)), "")</f>
        <v>d</v>
      </c>
      <c r="N10" s="339" t="s">
        <v>496</v>
      </c>
      <c r="P10" s="321">
        <f t="shared" si="6"/>
        <v>8</v>
      </c>
      <c r="Q10" s="345" t="str">
        <f t="shared" ca="1" si="0"/>
        <v>x</v>
      </c>
      <c r="R10" s="347" t="str">
        <f t="shared" ca="1" si="1"/>
        <v>ㄌ</v>
      </c>
      <c r="S10" s="345" t="str">
        <f t="shared" ca="1" si="2"/>
        <v>d</v>
      </c>
      <c r="T10" s="343" t="str">
        <f t="shared" si="7"/>
        <v>l</v>
      </c>
    </row>
    <row r="11" spans="2:69">
      <c r="B11" s="321">
        <f t="shared" si="3"/>
        <v>9</v>
      </c>
      <c r="C11" s="348" t="s">
        <v>37</v>
      </c>
      <c r="D11" s="322" t="s">
        <v>329</v>
      </c>
      <c r="F11" s="321">
        <f t="shared" si="4"/>
        <v>9</v>
      </c>
      <c r="G11" s="322" t="s">
        <v>329</v>
      </c>
      <c r="H11" s="342" t="s">
        <v>36</v>
      </c>
      <c r="J11" s="321">
        <f t="shared" si="5"/>
        <v>9</v>
      </c>
      <c r="K11" s="327" t="str" cm="1">
        <f t="array" aca="1" ref="K11" ca="1" xml:space="preserve"> INDIRECT(ADDRESS(2+$F11,COLUMN(G:G)))</f>
        <v>e</v>
      </c>
      <c r="L11" s="336" t="str" cm="1">
        <f t="array" aca="1" ref="L11" ca="1" xml:space="preserve"> IFERROR( INDEX($H$3:$H$54, MATCH(TRUE, EXACT($K11,$G$3:$G$54), 0)), "")</f>
        <v>ㄍ</v>
      </c>
      <c r="M11" s="335" t="str" cm="1">
        <f t="array" aca="1" ref="M11" ca="1" xml:space="preserve"> IFERROR( INDEX($C$3:$C$54, MATCH(TRUE, EXACT($K11,$D$3:$D$54), 0)), "")</f>
        <v>k</v>
      </c>
      <c r="N11" s="339" t="s">
        <v>321</v>
      </c>
      <c r="P11" s="321">
        <f t="shared" si="6"/>
        <v>9</v>
      </c>
      <c r="Q11" s="345" t="str">
        <f t="shared" ca="1" si="0"/>
        <v>e</v>
      </c>
      <c r="R11" s="347" t="str">
        <f t="shared" ca="1" si="1"/>
        <v>ㄍ</v>
      </c>
      <c r="S11" s="345" t="str">
        <f t="shared" ca="1" si="2"/>
        <v>k</v>
      </c>
      <c r="T11" s="343" t="str">
        <f t="shared" si="7"/>
        <v>k</v>
      </c>
      <c r="V11" s="330" t="s">
        <v>587</v>
      </c>
    </row>
    <row r="12" spans="2:69">
      <c r="B12" s="321">
        <f t="shared" si="3"/>
        <v>10</v>
      </c>
      <c r="C12" s="348" t="s">
        <v>425</v>
      </c>
      <c r="D12" s="322" t="s">
        <v>309</v>
      </c>
      <c r="F12" s="321">
        <f t="shared" si="4"/>
        <v>10</v>
      </c>
      <c r="G12" s="322" t="s">
        <v>309</v>
      </c>
      <c r="H12" s="342" t="s">
        <v>38</v>
      </c>
      <c r="J12" s="321">
        <f t="shared" si="5"/>
        <v>10</v>
      </c>
      <c r="K12" s="327" t="str" cm="1">
        <f t="array" aca="1" ref="K12" ca="1" xml:space="preserve"> INDIRECT(ADDRESS(2+$F12,COLUMN(G:G)))</f>
        <v>d</v>
      </c>
      <c r="L12" s="336" t="str" cm="1">
        <f t="array" aca="1" ref="L12" ca="1" xml:space="preserve"> IFERROR( INDEX($H$3:$H$54, MATCH(TRUE, EXACT($K12,$G$3:$G$54), 0)), "")</f>
        <v>ㄎ</v>
      </c>
      <c r="M12" s="335" t="str" cm="1">
        <f t="array" aca="1" ref="M12" ca="1" xml:space="preserve"> IFERROR( INDEX($C$3:$C$54, MATCH(TRUE, EXACT($K12,$D$3:$D$54), 0)), "")</f>
        <v>K</v>
      </c>
      <c r="N12" s="339" t="s">
        <v>39</v>
      </c>
      <c r="P12" s="321">
        <f t="shared" si="6"/>
        <v>10</v>
      </c>
      <c r="Q12" s="345" t="str">
        <f t="shared" ca="1" si="0"/>
        <v>d</v>
      </c>
      <c r="R12" s="347" t="str">
        <f t="shared" ca="1" si="1"/>
        <v>ㄎ</v>
      </c>
      <c r="S12" s="345" t="str">
        <f t="shared" ca="1" si="2"/>
        <v>K</v>
      </c>
      <c r="T12" s="343" t="str">
        <f t="shared" si="7"/>
        <v>kh</v>
      </c>
      <c r="V12" s="331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332"/>
      <c r="BB12" s="332"/>
      <c r="BC12" s="332"/>
      <c r="BD12" s="332"/>
      <c r="BE12" s="332"/>
      <c r="BF12" s="332"/>
      <c r="BG12" s="332"/>
      <c r="BH12" s="332"/>
      <c r="BI12" s="332"/>
      <c r="BJ12" s="332"/>
      <c r="BK12" s="332"/>
      <c r="BL12" s="332"/>
      <c r="BM12" s="332"/>
      <c r="BN12" s="333"/>
      <c r="BO12" s="333"/>
      <c r="BP12" s="333"/>
      <c r="BQ12" s="333"/>
    </row>
    <row r="13" spans="2:69">
      <c r="B13" s="321">
        <f t="shared" si="3"/>
        <v>11</v>
      </c>
      <c r="C13" s="348" t="s">
        <v>184</v>
      </c>
      <c r="D13" s="322" t="s">
        <v>322</v>
      </c>
      <c r="F13" s="321">
        <f t="shared" si="4"/>
        <v>11</v>
      </c>
      <c r="G13" s="322" t="s">
        <v>322</v>
      </c>
      <c r="H13" s="342" t="s">
        <v>41</v>
      </c>
      <c r="J13" s="321">
        <f t="shared" si="5"/>
        <v>11</v>
      </c>
      <c r="K13" s="327" t="str" cm="1">
        <f t="array" aca="1" ref="K13" ca="1" xml:space="preserve"> INDIRECT(ADDRESS(2+$F13,COLUMN(G:G)))</f>
        <v>E</v>
      </c>
      <c r="L13" s="336" t="str" cm="1">
        <f t="array" aca="1" ref="L13" ca="1" xml:space="preserve"> IFERROR( INDEX($H$3:$H$54, MATCH(TRUE, EXACT($K13,$G$3:$G$54), 0)), "")</f>
        <v>ㆣ</v>
      </c>
      <c r="M13" s="335" t="str" cm="1">
        <f t="array" aca="1" ref="M13" ca="1" xml:space="preserve"> IFERROR( INDEX($C$3:$C$54, MATCH(TRUE, EXACT($K13,$D$3:$D$54), 0)), "")</f>
        <v>g</v>
      </c>
      <c r="N13" s="339" t="s">
        <v>42</v>
      </c>
      <c r="P13" s="321">
        <f t="shared" si="6"/>
        <v>11</v>
      </c>
      <c r="Q13" s="346" t="str">
        <f t="shared" ca="1" si="0"/>
        <v>E</v>
      </c>
      <c r="R13" s="337" t="str">
        <f t="shared" ca="1" si="1"/>
        <v>ㆣ</v>
      </c>
      <c r="S13" s="346" t="str">
        <f t="shared" ca="1" si="2"/>
        <v>g</v>
      </c>
      <c r="T13" s="343" t="str">
        <f t="shared" si="7"/>
        <v>g</v>
      </c>
    </row>
    <row r="14" spans="2:69">
      <c r="B14" s="321">
        <f t="shared" si="3"/>
        <v>12</v>
      </c>
      <c r="C14" s="348" t="s">
        <v>422</v>
      </c>
      <c r="D14" s="322" t="s">
        <v>305</v>
      </c>
      <c r="F14" s="321">
        <f t="shared" si="4"/>
        <v>12</v>
      </c>
      <c r="G14" s="322" t="s">
        <v>305</v>
      </c>
      <c r="H14" s="342" t="s">
        <v>52</v>
      </c>
      <c r="J14" s="321">
        <f t="shared" si="5"/>
        <v>12</v>
      </c>
      <c r="K14" s="327" t="str" cm="1">
        <f t="array" aca="1" ref="K14" ca="1" xml:space="preserve"> INDIRECT(ADDRESS(2+$F14,COLUMN(G:G)))</f>
        <v>c</v>
      </c>
      <c r="L14" s="336" t="str" cm="1">
        <f t="array" aca="1" ref="L14" ca="1" xml:space="preserve"> IFERROR( INDEX($H$3:$H$54, MATCH(TRUE, EXACT($K14,$G$3:$G$54), 0)), "")</f>
        <v>ㄏ</v>
      </c>
      <c r="M14" s="335" t="str" cm="1">
        <f t="array" aca="1" ref="M14" ca="1" xml:space="preserve"> IFERROR( INDEX($C$3:$C$54, MATCH(TRUE, EXACT($K14,$D$3:$D$54), 0)), "")</f>
        <v>h</v>
      </c>
      <c r="N14" s="339" t="s">
        <v>53</v>
      </c>
      <c r="P14" s="321">
        <f t="shared" si="6"/>
        <v>12</v>
      </c>
      <c r="Q14" s="345" t="str">
        <f t="shared" ca="1" si="0"/>
        <v>c</v>
      </c>
      <c r="R14" s="347" t="str">
        <f t="shared" ca="1" si="1"/>
        <v>ㄏ</v>
      </c>
      <c r="S14" s="345" t="str">
        <f t="shared" ca="1" si="2"/>
        <v>h</v>
      </c>
      <c r="T14" s="343" t="str">
        <f t="shared" si="7"/>
        <v>h</v>
      </c>
    </row>
    <row r="15" spans="2:69">
      <c r="B15" s="321">
        <f t="shared" si="3"/>
        <v>13</v>
      </c>
      <c r="C15" s="348" t="s">
        <v>179</v>
      </c>
      <c r="D15" s="322" t="s">
        <v>589</v>
      </c>
      <c r="F15" s="321">
        <f t="shared" si="4"/>
        <v>13</v>
      </c>
      <c r="G15" s="322" t="s">
        <v>589</v>
      </c>
      <c r="H15" s="341" t="s">
        <v>43</v>
      </c>
      <c r="J15" s="321">
        <f t="shared" si="5"/>
        <v>13</v>
      </c>
      <c r="K15" s="327" t="str" cm="1">
        <f t="array" aca="1" ref="K15" ca="1" xml:space="preserve"> INDIRECT(ADDRESS(2+$F15,COLUMN(G:G)))</f>
        <v>y</v>
      </c>
      <c r="L15" s="336" t="str" cm="1">
        <f t="array" aca="1" ref="L15" ca="1" xml:space="preserve"> IFERROR( INDEX($H$3:$H$54, MATCH(TRUE, EXACT($K15,$G$3:$G$54), 0)), "")</f>
        <v>ㄗ</v>
      </c>
      <c r="M15" s="335" t="str" cm="1">
        <f t="array" aca="1" ref="M15" ca="1" xml:space="preserve"> IFERROR( INDEX($C$3:$C$54, MATCH(TRUE, EXACT($K15,$D$3:$D$54), 0)), "")</f>
        <v>z</v>
      </c>
      <c r="N15" s="339" t="s">
        <v>366</v>
      </c>
      <c r="P15" s="321">
        <f t="shared" si="6"/>
        <v>13</v>
      </c>
      <c r="Q15" s="345" t="str">
        <f t="shared" ca="1" si="0"/>
        <v>y</v>
      </c>
      <c r="R15" s="347" t="str">
        <f t="shared" ca="1" si="1"/>
        <v>ㄗ</v>
      </c>
      <c r="S15" s="345" t="str">
        <f t="shared" ca="1" si="2"/>
        <v>z</v>
      </c>
      <c r="T15" s="343" t="str">
        <f t="shared" si="7"/>
        <v>z</v>
      </c>
      <c r="V15" s="330" t="s">
        <v>588</v>
      </c>
    </row>
    <row r="16" spans="2:69">
      <c r="B16" s="321">
        <f t="shared" si="3"/>
        <v>14</v>
      </c>
      <c r="C16" s="348" t="s">
        <v>305</v>
      </c>
      <c r="D16" s="322" t="s">
        <v>422</v>
      </c>
      <c r="F16" s="321">
        <f t="shared" si="4"/>
        <v>14</v>
      </c>
      <c r="G16" s="322" t="s">
        <v>422</v>
      </c>
      <c r="H16" s="342" t="s">
        <v>46</v>
      </c>
      <c r="J16" s="321">
        <f t="shared" si="5"/>
        <v>14</v>
      </c>
      <c r="K16" s="327" t="str" cm="1">
        <f t="array" aca="1" ref="K16" ca="1" xml:space="preserve"> INDIRECT(ADDRESS(2+$F16,COLUMN(G:G)))</f>
        <v>h</v>
      </c>
      <c r="L16" s="336" t="str" cm="1">
        <f t="array" aca="1" ref="L16" ca="1" xml:space="preserve"> IFERROR( INDEX($H$3:$H$54, MATCH(TRUE, EXACT($K16,$G$3:$G$54), 0)), "")</f>
        <v>ㄘ</v>
      </c>
      <c r="M16" s="335" t="str" cm="1">
        <f t="array" aca="1" ref="M16" ca="1" xml:space="preserve"> IFERROR( INDEX($C$3:$C$54, MATCH(TRUE, EXACT($K16,$D$3:$D$54), 0)), "")</f>
        <v>c</v>
      </c>
      <c r="N16" s="339" t="s">
        <v>287</v>
      </c>
      <c r="P16" s="321">
        <f t="shared" si="6"/>
        <v>14</v>
      </c>
      <c r="Q16" s="345" t="str">
        <f t="shared" ca="1" si="0"/>
        <v>h</v>
      </c>
      <c r="R16" s="347" t="str">
        <f t="shared" ca="1" si="1"/>
        <v>ㄘ</v>
      </c>
      <c r="S16" s="345" t="str">
        <f t="shared" ca="1" si="2"/>
        <v>c</v>
      </c>
      <c r="T16" s="343" t="str">
        <f t="shared" si="7"/>
        <v>c</v>
      </c>
      <c r="V16" s="331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332"/>
      <c r="BB16" s="332"/>
      <c r="BC16" s="332"/>
      <c r="BD16" s="332"/>
      <c r="BE16" s="332"/>
      <c r="BF16" s="332"/>
      <c r="BG16" s="332"/>
      <c r="BH16" s="332"/>
      <c r="BI16" s="332"/>
      <c r="BJ16" s="332"/>
      <c r="BK16" s="332"/>
      <c r="BL16" s="332"/>
      <c r="BM16" s="332"/>
      <c r="BN16" s="333"/>
      <c r="BO16" s="333"/>
      <c r="BP16" s="333"/>
      <c r="BQ16" s="333"/>
    </row>
    <row r="17" spans="2:21">
      <c r="B17" s="321">
        <f t="shared" si="3"/>
        <v>15</v>
      </c>
      <c r="C17" s="348" t="s">
        <v>338</v>
      </c>
      <c r="D17" s="322" t="s">
        <v>34</v>
      </c>
      <c r="F17" s="321">
        <f t="shared" si="4"/>
        <v>15</v>
      </c>
      <c r="G17" s="322" t="s">
        <v>34</v>
      </c>
      <c r="H17" s="342" t="s">
        <v>50</v>
      </c>
      <c r="J17" s="321">
        <f t="shared" si="5"/>
        <v>15</v>
      </c>
      <c r="K17" s="327" t="str" cm="1">
        <f t="array" aca="1" ref="K17" ca="1" xml:space="preserve"> INDIRECT(ADDRESS(2+$F17,COLUMN(G:G)))</f>
        <v>n</v>
      </c>
      <c r="L17" s="336" t="str" cm="1">
        <f t="array" aca="1" ref="L17" ca="1" xml:space="preserve"> IFERROR( INDEX($H$3:$H$54, MATCH(TRUE, EXACT($K17,$G$3:$G$54), 0)), "")</f>
        <v>ㄙ</v>
      </c>
      <c r="M17" s="335" t="str" cm="1">
        <f t="array" aca="1" ref="M17" ca="1" xml:space="preserve"> IFERROR( INDEX($C$3:$C$54, MATCH(TRUE, EXACT($K17,$D$3:$D$54), 0)), "")</f>
        <v>s</v>
      </c>
      <c r="N17" s="339" t="s">
        <v>51</v>
      </c>
      <c r="P17" s="321">
        <f t="shared" si="6"/>
        <v>15</v>
      </c>
      <c r="Q17" s="345" t="str">
        <f t="shared" ca="1" si="0"/>
        <v>n</v>
      </c>
      <c r="R17" s="347" t="str">
        <f t="shared" ca="1" si="1"/>
        <v>ㄙ</v>
      </c>
      <c r="S17" s="345" t="str">
        <f t="shared" ca="1" si="2"/>
        <v>s</v>
      </c>
      <c r="T17" s="343" t="str">
        <f t="shared" si="7"/>
        <v>s</v>
      </c>
    </row>
    <row r="18" spans="2:21">
      <c r="B18" s="321">
        <f t="shared" si="3"/>
        <v>16</v>
      </c>
      <c r="C18" s="348" t="s">
        <v>254</v>
      </c>
      <c r="D18" s="322" t="s">
        <v>374</v>
      </c>
      <c r="F18" s="321">
        <f t="shared" si="4"/>
        <v>16</v>
      </c>
      <c r="G18" s="322" t="s">
        <v>374</v>
      </c>
      <c r="H18" s="341" t="s">
        <v>48</v>
      </c>
      <c r="J18" s="321">
        <f t="shared" si="5"/>
        <v>16</v>
      </c>
      <c r="K18" s="327" t="str" cm="1">
        <f t="array" aca="1" ref="K18" ca="1" xml:space="preserve"> INDIRECT(ADDRESS(2+$F18,COLUMN(G:G)))</f>
        <v>Y</v>
      </c>
      <c r="L18" s="336" t="str" cm="1">
        <f t="array" aca="1" ref="L18" ca="1" xml:space="preserve"> IFERROR( INDEX($H$3:$H$54, MATCH(TRUE, EXACT($K18,$G$3:$G$54), 0)), "")</f>
        <v>ㆡ</v>
      </c>
      <c r="M18" s="335" t="str" cm="1">
        <f t="array" aca="1" ref="M18" ca="1" xml:space="preserve"> IFERROR( INDEX($C$3:$C$54, MATCH(TRUE, EXACT($K18,$D$3:$D$54), 0)), "")</f>
        <v>j</v>
      </c>
      <c r="N18" s="339" t="s">
        <v>49</v>
      </c>
      <c r="P18" s="321">
        <f t="shared" si="6"/>
        <v>16</v>
      </c>
      <c r="Q18" s="345" t="str">
        <f t="shared" ca="1" si="0"/>
        <v>Y</v>
      </c>
      <c r="R18" s="347" t="str">
        <f t="shared" ca="1" si="1"/>
        <v>ㆡ</v>
      </c>
      <c r="S18" s="345" t="str">
        <f t="shared" ca="1" si="2"/>
        <v>j</v>
      </c>
      <c r="T18" s="343" t="str">
        <f t="shared" si="7"/>
        <v>j</v>
      </c>
    </row>
    <row r="19" spans="2:21">
      <c r="B19" s="321">
        <f t="shared" si="3"/>
        <v>17</v>
      </c>
      <c r="C19" s="348" t="s">
        <v>367</v>
      </c>
      <c r="D19" s="322" t="s">
        <v>435</v>
      </c>
      <c r="F19" s="321">
        <f t="shared" si="4"/>
        <v>17</v>
      </c>
      <c r="G19" s="322" t="s">
        <v>283</v>
      </c>
      <c r="H19" s="342" t="s">
        <v>89</v>
      </c>
      <c r="J19" s="321">
        <f t="shared" si="5"/>
        <v>17</v>
      </c>
      <c r="K19" s="327" t="str" cm="1">
        <f t="array" aca="1" ref="K19" ca="1" xml:space="preserve"> INDIRECT(ADDRESS(2+$F19,COLUMN(G:G)))</f>
        <v>r</v>
      </c>
      <c r="L19" s="336" t="str" cm="1">
        <f t="array" aca="1" ref="L19" ca="1" xml:space="preserve"> IFERROR( INDEX($H$3:$H$54, MATCH(TRUE, EXACT($K19,$G$3:$G$54), 0)), "")</f>
        <v>ㄐ</v>
      </c>
      <c r="M19" s="335" t="str" cm="1">
        <f t="array" aca="1" ref="M19" ca="1" xml:space="preserve"> IFERROR( INDEX($C$3:$C$54, MATCH(TRUE, EXACT($K19,$D$3:$D$54), 0)), "")</f>
        <v>Z</v>
      </c>
      <c r="N19" s="339" t="s">
        <v>450</v>
      </c>
      <c r="P19" s="321">
        <f t="shared" si="6"/>
        <v>17</v>
      </c>
      <c r="Q19" s="345" t="str">
        <f t="shared" ca="1" si="0"/>
        <v>r</v>
      </c>
      <c r="R19" s="347" t="str">
        <f t="shared" ca="1" si="1"/>
        <v>ㄐ</v>
      </c>
      <c r="S19" s="345" t="str">
        <f t="shared" ca="1" si="2"/>
        <v>Z</v>
      </c>
      <c r="T19" s="343" t="str">
        <f t="shared" si="7"/>
        <v>zi-</v>
      </c>
    </row>
    <row r="20" spans="2:21">
      <c r="B20" s="321">
        <f t="shared" si="3"/>
        <v>18</v>
      </c>
      <c r="C20" s="348" t="s">
        <v>286</v>
      </c>
      <c r="D20" s="322" t="s">
        <v>438</v>
      </c>
      <c r="F20" s="321">
        <f t="shared" si="4"/>
        <v>18</v>
      </c>
      <c r="G20" s="322" t="s">
        <v>601</v>
      </c>
      <c r="H20" s="342" t="s">
        <v>91</v>
      </c>
      <c r="J20" s="321">
        <f t="shared" si="5"/>
        <v>18</v>
      </c>
      <c r="K20" s="327" t="str" cm="1">
        <f t="array" aca="1" ref="K20" ca="1" xml:space="preserve"> INDIRECT(ADDRESS(2+$F20,COLUMN(G:G)))</f>
        <v>f</v>
      </c>
      <c r="L20" s="336" t="str" cm="1">
        <f t="array" aca="1" ref="L20" ca="1" xml:space="preserve"> IFERROR( INDEX($H$3:$H$54, MATCH(TRUE, EXACT($K20,$G$3:$G$54), 0)), "")</f>
        <v>ㄑ</v>
      </c>
      <c r="M20" s="335" t="str" cm="1">
        <f t="array" aca="1" ref="M20" ca="1" xml:space="preserve"> IFERROR( INDEX($C$3:$C$54, MATCH(TRUE, EXACT($K20,$D$3:$D$54), 0)), "")</f>
        <v>C</v>
      </c>
      <c r="N20" s="339" t="s">
        <v>457</v>
      </c>
      <c r="P20" s="321">
        <f t="shared" si="6"/>
        <v>18</v>
      </c>
      <c r="Q20" s="345" t="str">
        <f t="shared" ca="1" si="0"/>
        <v>f</v>
      </c>
      <c r="R20" s="347" t="str">
        <f t="shared" ca="1" si="1"/>
        <v>ㄑ</v>
      </c>
      <c r="S20" s="345" t="str">
        <f t="shared" ca="1" si="2"/>
        <v>C</v>
      </c>
      <c r="T20" s="343" t="str">
        <f t="shared" si="7"/>
        <v>ci-</v>
      </c>
    </row>
    <row r="21" spans="2:21">
      <c r="B21" s="321">
        <f t="shared" si="3"/>
        <v>19</v>
      </c>
      <c r="C21" s="348" t="s">
        <v>369</v>
      </c>
      <c r="D21" s="322" t="s">
        <v>443</v>
      </c>
      <c r="F21" s="321">
        <f t="shared" si="4"/>
        <v>19</v>
      </c>
      <c r="G21" s="322" t="s">
        <v>602</v>
      </c>
      <c r="H21" s="342" t="s">
        <v>284</v>
      </c>
      <c r="J21" s="321">
        <f t="shared" si="5"/>
        <v>19</v>
      </c>
      <c r="K21" s="327" t="str" cm="1">
        <f t="array" aca="1" ref="K21" ca="1" xml:space="preserve"> INDIRECT(ADDRESS(2+$F21,COLUMN(G:G)))</f>
        <v>v</v>
      </c>
      <c r="L21" s="336" t="str" cm="1">
        <f t="array" aca="1" ref="L21" ca="1" xml:space="preserve"> IFERROR( INDEX($H$3:$H$54, MATCH(TRUE, EXACT($K21,$G$3:$G$54), 0)), "")</f>
        <v>ㄒ</v>
      </c>
      <c r="M21" s="335" t="str" cm="1">
        <f t="array" aca="1" ref="M21" ca="1" xml:space="preserve"> IFERROR( INDEX($C$3:$C$54, MATCH(TRUE, EXACT($K21,$D$3:$D$54), 0)), "")</f>
        <v>S</v>
      </c>
      <c r="N21" s="339" t="s">
        <v>605</v>
      </c>
      <c r="P21" s="321">
        <f t="shared" si="6"/>
        <v>19</v>
      </c>
      <c r="Q21" s="346" t="str">
        <f t="shared" ca="1" si="0"/>
        <v>v</v>
      </c>
      <c r="R21" s="337" t="str">
        <f t="shared" ca="1" si="1"/>
        <v>ㄒ</v>
      </c>
      <c r="S21" s="346" t="str">
        <f t="shared" ca="1" si="2"/>
        <v>S</v>
      </c>
      <c r="T21" s="343" t="str">
        <f t="shared" si="7"/>
        <v>si-</v>
      </c>
    </row>
    <row r="22" spans="2:21">
      <c r="B22" s="321">
        <f t="shared" si="3"/>
        <v>20</v>
      </c>
      <c r="C22" s="348" t="s">
        <v>368</v>
      </c>
      <c r="D22" s="322" t="s">
        <v>28</v>
      </c>
      <c r="F22" s="321">
        <f t="shared" si="4"/>
        <v>20</v>
      </c>
      <c r="G22" s="322" t="s">
        <v>28</v>
      </c>
      <c r="H22" s="342" t="s">
        <v>109</v>
      </c>
      <c r="J22" s="321">
        <f t="shared" si="5"/>
        <v>20</v>
      </c>
      <c r="K22" s="327" t="str" cm="1">
        <f t="array" aca="1" ref="K22" ca="1" xml:space="preserve"> INDIRECT(ADDRESS(2+$F22,COLUMN(G:G)))</f>
        <v>b</v>
      </c>
      <c r="L22" s="336" t="str" cm="1">
        <f t="array" aca="1" ref="L22" ca="1" xml:space="preserve"> IFERROR( INDEX($H$3:$H$54, MATCH(TRUE, EXACT($K22,$G$3:$G$54), 0)), "")</f>
        <v>ㆢ</v>
      </c>
      <c r="M22" s="335" t="str" cm="1">
        <f t="array" aca="1" ref="M22" ca="1" xml:space="preserve"> IFERROR( INDEX($C$3:$C$54, MATCH(TRUE, EXACT($K22,$D$3:$D$54), 0)), "")</f>
        <v>J</v>
      </c>
      <c r="N22" s="339" t="s">
        <v>582</v>
      </c>
      <c r="P22" s="321">
        <f t="shared" si="6"/>
        <v>20</v>
      </c>
      <c r="Q22" s="346" t="str">
        <f t="shared" ca="1" si="0"/>
        <v>b</v>
      </c>
      <c r="R22" s="337" t="str">
        <f t="shared" ca="1" si="1"/>
        <v>ㆢ</v>
      </c>
      <c r="S22" s="346" t="str">
        <f t="shared" ca="1" si="2"/>
        <v>J</v>
      </c>
      <c r="T22" s="343" t="str">
        <f t="shared" si="7"/>
        <v>ji-</v>
      </c>
    </row>
    <row r="23" spans="2:21">
      <c r="B23" s="321">
        <f t="shared" si="3"/>
        <v>21</v>
      </c>
      <c r="C23" s="348" t="s">
        <v>279</v>
      </c>
      <c r="D23" s="322" t="s">
        <v>196</v>
      </c>
      <c r="F23" s="321">
        <f t="shared" si="4"/>
        <v>21</v>
      </c>
      <c r="G23" s="322" t="s">
        <v>196</v>
      </c>
      <c r="H23" s="342" t="s">
        <v>54</v>
      </c>
      <c r="J23" s="321">
        <f t="shared" si="5"/>
        <v>21</v>
      </c>
      <c r="K23" s="327" t="str" cm="1">
        <f t="array" aca="1" ref="K23" ca="1" xml:space="preserve"> INDIRECT(ADDRESS(2+$F23,COLUMN(G:G)))</f>
        <v>u</v>
      </c>
      <c r="L23" s="336" t="str" cm="1">
        <f t="array" aca="1" ref="L23" ca="1" xml:space="preserve"> IFERROR( INDEX($H$3:$H$54, MATCH(TRUE, EXACT($K23,$G$3:$G$54), 0)), "")</f>
        <v>ㄧ</v>
      </c>
      <c r="M23" s="335" t="str" cm="1">
        <f t="array" aca="1" ref="M23" ca="1" xml:space="preserve"> IFERROR( INDEX($C$3:$C$54, MATCH(TRUE, EXACT($K23,$D$3:$D$54), 0)), "")</f>
        <v>i</v>
      </c>
      <c r="N23" s="339" t="s">
        <v>55</v>
      </c>
      <c r="P23" s="321">
        <f t="shared" si="6"/>
        <v>21</v>
      </c>
      <c r="Q23" s="345" t="str">
        <f t="shared" ca="1" si="0"/>
        <v>u</v>
      </c>
      <c r="R23" s="347" t="str">
        <f t="shared" ca="1" si="1"/>
        <v>ㄧ</v>
      </c>
      <c r="S23" s="345" t="str">
        <f t="shared" ca="1" si="2"/>
        <v>i</v>
      </c>
      <c r="T23" s="343" t="str">
        <f t="shared" si="7"/>
        <v>i</v>
      </c>
    </row>
    <row r="24" spans="2:21">
      <c r="B24" s="321">
        <f t="shared" si="3"/>
        <v>22</v>
      </c>
      <c r="C24" s="348" t="s">
        <v>239</v>
      </c>
      <c r="D24" s="322" t="s">
        <v>230</v>
      </c>
      <c r="F24" s="321">
        <f t="shared" si="4"/>
        <v>22</v>
      </c>
      <c r="G24" s="322" t="s">
        <v>230</v>
      </c>
      <c r="H24" s="342" t="s">
        <v>111</v>
      </c>
      <c r="J24" s="321">
        <f t="shared" si="5"/>
        <v>22</v>
      </c>
      <c r="K24" s="327" t="str" cm="1">
        <f t="array" aca="1" ref="K24" ca="1" xml:space="preserve"> INDIRECT(ADDRESS(2+$F24,COLUMN(G:G)))</f>
        <v>U</v>
      </c>
      <c r="L24" s="336" t="str" cm="1">
        <f t="array" aca="1" ref="L24" ca="1" xml:space="preserve"> IFERROR( INDEX($H$3:$H$54, MATCH(TRUE, EXACT($K24,$G$3:$G$54), 0)), "")</f>
        <v>ㆪ</v>
      </c>
      <c r="M24" s="335" t="str" cm="1">
        <f t="array" aca="1" ref="M24" ca="1" xml:space="preserve"> IFERROR( INDEX($C$3:$C$54, MATCH(TRUE, EXACT($K24,$D$3:$D$54), 0)), "")</f>
        <v>I</v>
      </c>
      <c r="N24" s="339" t="s">
        <v>112</v>
      </c>
      <c r="P24" s="321">
        <f t="shared" si="6"/>
        <v>22</v>
      </c>
      <c r="Q24" s="346" t="str">
        <f t="shared" ca="1" si="0"/>
        <v>U</v>
      </c>
      <c r="R24" s="337" t="str">
        <f t="shared" ca="1" si="1"/>
        <v>ㆪ</v>
      </c>
      <c r="S24" s="346" t="str">
        <f t="shared" ca="1" si="2"/>
        <v>I</v>
      </c>
      <c r="T24" s="343" t="str">
        <f t="shared" si="7"/>
        <v>inn</v>
      </c>
    </row>
    <row r="25" spans="2:21">
      <c r="B25" s="321">
        <f t="shared" si="3"/>
        <v>23</v>
      </c>
      <c r="C25" s="348" t="s">
        <v>196</v>
      </c>
      <c r="D25" s="322" t="s">
        <v>254</v>
      </c>
      <c r="F25" s="321">
        <f t="shared" si="4"/>
        <v>23</v>
      </c>
      <c r="G25" s="322" t="s">
        <v>254</v>
      </c>
      <c r="H25" s="342" t="s">
        <v>56</v>
      </c>
      <c r="J25" s="321">
        <f t="shared" si="5"/>
        <v>23</v>
      </c>
      <c r="K25" s="327" t="str" cm="1">
        <f t="array" aca="1" ref="K25" ca="1" xml:space="preserve"> INDIRECT(ADDRESS(2+$F25,COLUMN(G:G)))</f>
        <v>j</v>
      </c>
      <c r="L25" s="336" t="str" cm="1">
        <f t="array" aca="1" ref="L25" ca="1" xml:space="preserve"> IFERROR( INDEX($H$3:$H$54, MATCH(TRUE, EXACT($K25,$G$3:$G$54), 0)), "")</f>
        <v>ㄨ</v>
      </c>
      <c r="M25" s="335" t="str" cm="1">
        <f t="array" aca="1" ref="M25" ca="1" xml:space="preserve"> IFERROR( INDEX($C$3:$C$54, MATCH(TRUE, EXACT($K25,$D$3:$D$54), 0)), "")</f>
        <v>u</v>
      </c>
      <c r="N25" s="339" t="s">
        <v>57</v>
      </c>
      <c r="P25" s="321">
        <f t="shared" si="6"/>
        <v>23</v>
      </c>
      <c r="Q25" s="345" t="str">
        <f t="shared" ca="1" si="0"/>
        <v>j</v>
      </c>
      <c r="R25" s="347" t="str">
        <f t="shared" ca="1" si="1"/>
        <v>ㄨ</v>
      </c>
      <c r="S25" s="345" t="str">
        <f t="shared" ca="1" si="2"/>
        <v>u</v>
      </c>
      <c r="T25" s="343" t="str">
        <f t="shared" si="7"/>
        <v>u</v>
      </c>
      <c r="U25" s="320"/>
    </row>
    <row r="26" spans="2:21">
      <c r="B26" s="321">
        <f t="shared" si="3"/>
        <v>24</v>
      </c>
      <c r="C26" s="348" t="s">
        <v>230</v>
      </c>
      <c r="D26" s="322" t="s">
        <v>368</v>
      </c>
      <c r="F26" s="321">
        <f t="shared" si="4"/>
        <v>24</v>
      </c>
      <c r="G26" s="322" t="s">
        <v>368</v>
      </c>
      <c r="H26" s="342" t="s">
        <v>113</v>
      </c>
      <c r="J26" s="321">
        <f t="shared" si="5"/>
        <v>24</v>
      </c>
      <c r="K26" s="327" t="str" cm="1">
        <f t="array" aca="1" ref="K26" ca="1" xml:space="preserve"> INDIRECT(ADDRESS(2+$F26,COLUMN(G:G)))</f>
        <v>J</v>
      </c>
      <c r="L26" s="336" t="str" cm="1">
        <f t="array" aca="1" ref="L26" ca="1" xml:space="preserve"> IFERROR( INDEX($H$3:$H$54, MATCH(TRUE, EXACT($K26,$G$3:$G$54), 0)), "")</f>
        <v>ㆫ</v>
      </c>
      <c r="M26" s="335" t="str" cm="1">
        <f t="array" aca="1" ref="M26" ca="1" xml:space="preserve"> IFERROR( INDEX($C$3:$C$54, MATCH(TRUE, EXACT($K26,$D$3:$D$54), 0)), "")</f>
        <v>U</v>
      </c>
      <c r="N26" s="339" t="s">
        <v>114</v>
      </c>
      <c r="P26" s="321">
        <f t="shared" si="6"/>
        <v>24</v>
      </c>
      <c r="Q26" s="346" t="str">
        <f t="shared" ca="1" si="0"/>
        <v>J</v>
      </c>
      <c r="R26" s="337" t="str">
        <f t="shared" ca="1" si="1"/>
        <v>ㆫ</v>
      </c>
      <c r="S26" s="346" t="str">
        <f t="shared" ca="1" si="2"/>
        <v>U</v>
      </c>
      <c r="T26" s="343" t="str">
        <f t="shared" si="7"/>
        <v>unn</v>
      </c>
      <c r="U26" s="320"/>
    </row>
    <row r="27" spans="2:21">
      <c r="B27" s="321">
        <f t="shared" si="3"/>
        <v>25</v>
      </c>
      <c r="C27" s="348" t="s">
        <v>144</v>
      </c>
      <c r="D27" s="322" t="s">
        <v>143</v>
      </c>
      <c r="F27" s="321">
        <f t="shared" si="4"/>
        <v>25</v>
      </c>
      <c r="G27" s="322" t="s">
        <v>143</v>
      </c>
      <c r="H27" s="342" t="s">
        <v>145</v>
      </c>
      <c r="J27" s="321">
        <f t="shared" si="5"/>
        <v>25</v>
      </c>
      <c r="K27" s="327" t="str" cm="1">
        <f t="array" aca="1" ref="K27" ca="1" xml:space="preserve"> INDIRECT(ADDRESS(2+$F27,COLUMN(G:G)))</f>
        <v>m</v>
      </c>
      <c r="L27" s="336" t="str" cm="1">
        <f t="array" aca="1" ref="L27" ca="1" xml:space="preserve"> IFERROR( INDEX($H$3:$H$54, MATCH(TRUE, EXACT($K27,$G$3:$G$54), 0)), "")</f>
        <v>ㆬ</v>
      </c>
      <c r="M27" s="335" t="str" cm="1">
        <f t="array" aca="1" ref="M27" ca="1" xml:space="preserve"> IFERROR( INDEX($C$3:$C$54, MATCH(TRUE, EXACT($K27,$D$3:$D$54), 0)), "")</f>
        <v>B</v>
      </c>
      <c r="N27" s="340" t="s">
        <v>79</v>
      </c>
      <c r="P27" s="321">
        <f t="shared" si="6"/>
        <v>25</v>
      </c>
      <c r="Q27" s="345" t="str">
        <f t="shared" ca="1" si="0"/>
        <v>m</v>
      </c>
      <c r="R27" s="347" t="str">
        <f t="shared" ca="1" si="1"/>
        <v>ㆬ</v>
      </c>
      <c r="S27" s="345" t="str">
        <f t="shared" ca="1" si="2"/>
        <v>B</v>
      </c>
      <c r="T27" s="343" t="str">
        <f t="shared" si="7"/>
        <v>-m</v>
      </c>
      <c r="U27" s="320"/>
    </row>
    <row r="28" spans="2:21">
      <c r="B28" s="321">
        <f t="shared" si="3"/>
        <v>26</v>
      </c>
      <c r="C28" s="348" t="s">
        <v>351</v>
      </c>
      <c r="D28" s="322" t="s">
        <v>590</v>
      </c>
      <c r="F28" s="321">
        <f t="shared" si="4"/>
        <v>26</v>
      </c>
      <c r="G28" s="322" t="s">
        <v>590</v>
      </c>
      <c r="H28" s="342" t="s">
        <v>58</v>
      </c>
      <c r="J28" s="321">
        <f t="shared" si="5"/>
        <v>26</v>
      </c>
      <c r="K28" s="327" t="str" cm="1">
        <f t="array" aca="1" ref="K28" ca="1" xml:space="preserve"> INDIRECT(ADDRESS(2+$F28,COLUMN(G:G)))</f>
        <v>8</v>
      </c>
      <c r="L28" s="336" t="str" cm="1">
        <f t="array" aca="1" ref="L28" ca="1" xml:space="preserve"> IFERROR( INDEX($H$3:$H$54, MATCH(TRUE, EXACT($K28,$G$3:$G$54), 0)), "")</f>
        <v>ㄚ</v>
      </c>
      <c r="M28" s="335" t="str" cm="1">
        <f t="array" aca="1" ref="M28" ca="1" xml:space="preserve"> IFERROR( INDEX($C$3:$C$54, MATCH(TRUE, EXACT($K28,$D$3:$D$54), 0)), "")</f>
        <v>a</v>
      </c>
      <c r="N28" s="339" t="s">
        <v>59</v>
      </c>
      <c r="P28" s="321">
        <f t="shared" si="6"/>
        <v>26</v>
      </c>
      <c r="Q28" s="345" t="str">
        <f t="shared" ca="1" si="0"/>
        <v>8</v>
      </c>
      <c r="R28" s="347" t="str">
        <f t="shared" ca="1" si="1"/>
        <v>ㄚ</v>
      </c>
      <c r="S28" s="345" t="str">
        <f t="shared" ca="1" si="2"/>
        <v>a</v>
      </c>
      <c r="T28" s="343" t="str">
        <f t="shared" si="7"/>
        <v>a</v>
      </c>
      <c r="U28" s="320"/>
    </row>
    <row r="29" spans="2:21">
      <c r="B29" s="321">
        <f t="shared" si="3"/>
        <v>27</v>
      </c>
      <c r="C29" s="348" t="s">
        <v>401</v>
      </c>
      <c r="D29" s="322" t="s">
        <v>484</v>
      </c>
      <c r="F29" s="321">
        <f t="shared" si="4"/>
        <v>27</v>
      </c>
      <c r="G29" s="322" t="s">
        <v>484</v>
      </c>
      <c r="H29" s="342" t="s">
        <v>115</v>
      </c>
      <c r="J29" s="321">
        <f t="shared" si="5"/>
        <v>27</v>
      </c>
      <c r="K29" s="327" t="str" cm="1">
        <f t="array" aca="1" ref="K29" ca="1" xml:space="preserve"> INDIRECT(ADDRESS(2+$F29,COLUMN(G:G)))</f>
        <v>*</v>
      </c>
      <c r="L29" s="336" t="str" cm="1">
        <f t="array" aca="1" ref="L29" ca="1" xml:space="preserve"> IFERROR( INDEX($H$3:$H$54, MATCH(TRUE, EXACT($K29,$G$3:$G$54), 0)), "")</f>
        <v>ㆩ</v>
      </c>
      <c r="M29" s="335" t="str" cm="1">
        <f t="array" aca="1" ref="M29" ca="1" xml:space="preserve"> IFERROR( INDEX($C$3:$C$54, MATCH(TRUE, EXACT($K29,$D$3:$D$54), 0)), "")</f>
        <v>A</v>
      </c>
      <c r="N29" s="339" t="s">
        <v>116</v>
      </c>
      <c r="P29" s="321">
        <f t="shared" si="6"/>
        <v>27</v>
      </c>
      <c r="Q29" s="346" t="str">
        <f t="shared" ca="1" si="0"/>
        <v>*</v>
      </c>
      <c r="R29" s="337" t="str">
        <f t="shared" ca="1" si="1"/>
        <v>ㆩ</v>
      </c>
      <c r="S29" s="346" t="str">
        <f t="shared" ca="1" si="2"/>
        <v>A</v>
      </c>
      <c r="T29" s="343" t="str">
        <f t="shared" si="7"/>
        <v>ann</v>
      </c>
    </row>
    <row r="30" spans="2:21">
      <c r="B30" s="321">
        <f t="shared" si="3"/>
        <v>28</v>
      </c>
      <c r="C30" s="348" t="s">
        <v>69</v>
      </c>
      <c r="D30" s="322" t="s">
        <v>279</v>
      </c>
      <c r="F30" s="321">
        <f t="shared" si="4"/>
        <v>28</v>
      </c>
      <c r="G30" s="322" t="s">
        <v>279</v>
      </c>
      <c r="H30" s="342" t="s">
        <v>67</v>
      </c>
      <c r="J30" s="321">
        <f t="shared" si="5"/>
        <v>28</v>
      </c>
      <c r="K30" s="327" t="str" cm="1">
        <f t="array" aca="1" ref="K30" ca="1" xml:space="preserve"> INDIRECT(ADDRESS(2+$F30,COLUMN(G:G)))</f>
        <v>i</v>
      </c>
      <c r="L30" s="336" t="str" cm="1">
        <f t="array" aca="1" ref="L30" ca="1" xml:space="preserve"> IFERROR( INDEX($H$3:$H$54, MATCH(TRUE, EXACT($K30,$G$3:$G$54), 0)), "")</f>
        <v>ㆦ</v>
      </c>
      <c r="M30" s="335" t="str" cm="1">
        <f t="array" aca="1" ref="M30" ca="1" xml:space="preserve"> IFERROR( INDEX($C$3:$C$54, MATCH(TRUE, EXACT($K30,$D$3:$D$54), 0)), "")</f>
        <v>O</v>
      </c>
      <c r="N30" s="339" t="s">
        <v>68</v>
      </c>
      <c r="P30" s="321">
        <f t="shared" si="6"/>
        <v>28</v>
      </c>
      <c r="Q30" s="345" t="str">
        <f t="shared" ca="1" si="0"/>
        <v>i</v>
      </c>
      <c r="R30" s="347" t="str">
        <f t="shared" ca="1" si="1"/>
        <v>ㆦ</v>
      </c>
      <c r="S30" s="345" t="str">
        <f t="shared" ca="1" si="2"/>
        <v>O</v>
      </c>
      <c r="T30" s="343" t="str">
        <f t="shared" si="7"/>
        <v>oo</v>
      </c>
      <c r="U30" s="320"/>
    </row>
    <row r="31" spans="2:21">
      <c r="B31" s="321">
        <f t="shared" si="3"/>
        <v>29</v>
      </c>
      <c r="C31" s="348" t="s">
        <v>397</v>
      </c>
      <c r="D31" s="322" t="s">
        <v>239</v>
      </c>
      <c r="F31" s="321">
        <f t="shared" si="4"/>
        <v>29</v>
      </c>
      <c r="G31" s="322" t="s">
        <v>239</v>
      </c>
      <c r="H31" s="342" t="s">
        <v>596</v>
      </c>
      <c r="J31" s="321">
        <f t="shared" si="5"/>
        <v>29</v>
      </c>
      <c r="K31" s="327" t="str" cm="1">
        <f t="array" aca="1" ref="K31" ca="1" xml:space="preserve"> INDIRECT(ADDRESS(2+$F31,COLUMN(G:G)))</f>
        <v>I</v>
      </c>
      <c r="L31" s="336" t="str" cm="1">
        <f t="array" aca="1" ref="L31" ca="1" xml:space="preserve"> IFERROR( INDEX($H$3:$H$54, MATCH(TRUE, EXACT($K31,$G$3:$G$54), 0)), "")</f>
        <v>ㆧ</v>
      </c>
      <c r="M31" s="335" t="str" cm="1">
        <f t="array" aca="1" ref="M31" ca="1" xml:space="preserve"> IFERROR( INDEX($C$3:$C$54, MATCH(TRUE, EXACT($K31,$D$3:$D$54), 0)), "")</f>
        <v>Q</v>
      </c>
      <c r="N31" s="339" t="s">
        <v>122</v>
      </c>
      <c r="P31" s="321">
        <f t="shared" si="6"/>
        <v>29</v>
      </c>
      <c r="Q31" s="346" t="str">
        <f t="shared" ca="1" si="0"/>
        <v>I</v>
      </c>
      <c r="R31" s="337" t="str">
        <f t="shared" ca="1" si="1"/>
        <v>ㆧ</v>
      </c>
      <c r="S31" s="346" t="str">
        <f t="shared" ca="1" si="2"/>
        <v>Q</v>
      </c>
      <c r="T31" s="343" t="str">
        <f t="shared" si="7"/>
        <v>onn</v>
      </c>
      <c r="U31" s="320"/>
    </row>
    <row r="32" spans="2:21">
      <c r="B32" s="321">
        <f t="shared" si="3"/>
        <v>30</v>
      </c>
      <c r="C32" s="348" t="s">
        <v>66</v>
      </c>
      <c r="D32" s="322" t="s">
        <v>37</v>
      </c>
      <c r="F32" s="321">
        <f t="shared" si="4"/>
        <v>30</v>
      </c>
      <c r="G32" s="322" t="s">
        <v>37</v>
      </c>
      <c r="H32" s="342" t="s">
        <v>473</v>
      </c>
      <c r="J32" s="321">
        <f t="shared" si="5"/>
        <v>30</v>
      </c>
      <c r="K32" s="327" t="str" cm="1">
        <f t="array" aca="1" ref="K32" ca="1" xml:space="preserve"> INDIRECT(ADDRESS(2+$F32,COLUMN(G:G)))</f>
        <v>k</v>
      </c>
      <c r="L32" s="336" t="str" cm="1">
        <f t="array" aca="1" ref="L32" ca="1" xml:space="preserve"> IFERROR( INDEX($H$3:$H$54, MATCH(TRUE, EXACT($K32,$G$3:$G$54), 0)), "")</f>
        <v>ㄜ</v>
      </c>
      <c r="M32" s="335" t="str" cm="1">
        <f t="array" aca="1" ref="M32" ca="1" xml:space="preserve"> IFERROR( INDEX($C$3:$C$54, MATCH(TRUE, EXACT($K32,$D$3:$D$54), 0)), "")</f>
        <v>o</v>
      </c>
      <c r="N32" s="339" t="s">
        <v>66</v>
      </c>
      <c r="P32" s="321">
        <f t="shared" si="6"/>
        <v>30</v>
      </c>
      <c r="Q32" s="345" t="str">
        <f t="shared" ca="1" si="0"/>
        <v>k</v>
      </c>
      <c r="R32" s="347" t="str">
        <f t="shared" ca="1" si="1"/>
        <v>ㄜ</v>
      </c>
      <c r="S32" s="345" t="str">
        <f t="shared" ca="1" si="2"/>
        <v>o</v>
      </c>
      <c r="T32" s="343" t="str">
        <f t="shared" si="7"/>
        <v>o</v>
      </c>
      <c r="U32" s="320"/>
    </row>
    <row r="33" spans="2:21">
      <c r="B33" s="321">
        <f t="shared" si="3"/>
        <v>31</v>
      </c>
      <c r="C33" s="348" t="s">
        <v>62</v>
      </c>
      <c r="D33" s="322" t="s">
        <v>225</v>
      </c>
      <c r="F33" s="321">
        <f t="shared" si="4"/>
        <v>31</v>
      </c>
      <c r="G33" s="322" t="s">
        <v>225</v>
      </c>
      <c r="H33" s="342" t="s">
        <v>61</v>
      </c>
      <c r="J33" s="321">
        <f t="shared" si="5"/>
        <v>31</v>
      </c>
      <c r="K33" s="327" t="str" cm="1">
        <f t="array" aca="1" ref="K33" ca="1" xml:space="preserve"> INDIRECT(ADDRESS(2+$F33,COLUMN(G:G)))</f>
        <v>,</v>
      </c>
      <c r="L33" s="336" t="str" cm="1">
        <f t="array" aca="1" ref="L33" ca="1" xml:space="preserve"> IFERROR( INDEX($H$3:$H$54, MATCH(TRUE, EXACT($K33,$G$3:$G$54), 0)), "")</f>
        <v>ㆤ</v>
      </c>
      <c r="M33" s="335" t="str" cm="1">
        <f t="array" aca="1" ref="M33" ca="1" xml:space="preserve"> IFERROR( INDEX($C$3:$C$54, MATCH(TRUE, EXACT($K33,$D$3:$D$54), 0)), "")</f>
        <v>e</v>
      </c>
      <c r="N33" s="339" t="s">
        <v>62</v>
      </c>
      <c r="P33" s="321">
        <f t="shared" si="6"/>
        <v>31</v>
      </c>
      <c r="Q33" s="345" t="str">
        <f t="shared" ca="1" si="0"/>
        <v>,</v>
      </c>
      <c r="R33" s="347" t="str">
        <f t="shared" ca="1" si="1"/>
        <v>ㆤ</v>
      </c>
      <c r="S33" s="345" t="str">
        <f t="shared" ca="1" si="2"/>
        <v>e</v>
      </c>
      <c r="T33" s="343" t="str">
        <f t="shared" si="7"/>
        <v>e</v>
      </c>
      <c r="U33" s="320"/>
    </row>
    <row r="34" spans="2:21">
      <c r="B34" s="321">
        <f t="shared" si="3"/>
        <v>32</v>
      </c>
      <c r="C34" s="348" t="s">
        <v>421</v>
      </c>
      <c r="D34" s="322" t="s">
        <v>597</v>
      </c>
      <c r="F34" s="321">
        <f t="shared" si="4"/>
        <v>32</v>
      </c>
      <c r="G34" s="322" t="s">
        <v>597</v>
      </c>
      <c r="H34" s="342" t="s">
        <v>119</v>
      </c>
      <c r="J34" s="321">
        <f t="shared" si="5"/>
        <v>32</v>
      </c>
      <c r="K34" s="327" t="str" cm="1">
        <f t="array" aca="1" ref="K34" ca="1" xml:space="preserve"> INDIRECT(ADDRESS(2+$F34,COLUMN(G:G)))</f>
        <v>&lt;</v>
      </c>
      <c r="L34" s="336" t="str" cm="1">
        <f t="array" aca="1" ref="L34" ca="1" xml:space="preserve"> IFERROR( INDEX($H$3:$H$54, MATCH(TRUE, EXACT($K34,$G$3:$G$54), 0)), "")</f>
        <v>ㆥ</v>
      </c>
      <c r="M34" s="335" t="str" cm="1">
        <f t="array" aca="1" ref="M34" ca="1" xml:space="preserve"> IFERROR( INDEX($C$3:$C$54, MATCH(TRUE, EXACT($K34,$D$3:$D$54), 0)), "")</f>
        <v>E</v>
      </c>
      <c r="N34" s="339" t="s">
        <v>120</v>
      </c>
      <c r="P34" s="321">
        <f t="shared" si="6"/>
        <v>32</v>
      </c>
      <c r="Q34" s="346" t="str">
        <f t="shared" ca="1" si="0"/>
        <v>&lt;</v>
      </c>
      <c r="R34" s="337" t="str">
        <f t="shared" ca="1" si="1"/>
        <v>ㆥ</v>
      </c>
      <c r="S34" s="346" t="str">
        <f t="shared" ca="1" si="2"/>
        <v>E</v>
      </c>
      <c r="T34" s="343" t="str">
        <f t="shared" si="7"/>
        <v>enn</v>
      </c>
      <c r="U34" s="320"/>
    </row>
    <row r="35" spans="2:21">
      <c r="B35" s="321">
        <f t="shared" si="3"/>
        <v>33</v>
      </c>
      <c r="C35" s="348" t="s">
        <v>275</v>
      </c>
      <c r="D35" s="322" t="s">
        <v>264</v>
      </c>
      <c r="F35" s="321">
        <f t="shared" si="4"/>
        <v>33</v>
      </c>
      <c r="G35" s="322" t="s">
        <v>264</v>
      </c>
      <c r="H35" s="342" t="s">
        <v>241</v>
      </c>
      <c r="J35" s="321">
        <f t="shared" si="5"/>
        <v>33</v>
      </c>
      <c r="K35" s="327" t="str" cm="1">
        <f t="array" aca="1" ref="K35" ca="1" xml:space="preserve"> INDIRECT(ADDRESS(2+$F35,COLUMN(G:G)))</f>
        <v>9</v>
      </c>
      <c r="L35" s="336" t="str" cm="1">
        <f t="array" aca="1" ref="L35" ca="1" xml:space="preserve"> IFERROR( INDEX($H$3:$H$54, MATCH(TRUE, EXACT($K35,$G$3:$G$54), 0)), "")</f>
        <v>ㄞ</v>
      </c>
      <c r="M35" s="335" t="str" cm="1">
        <f t="array" aca="1" ref="M35" ca="1" xml:space="preserve"> IFERROR( INDEX($C$3:$C$54, MATCH(TRUE, EXACT($K35,$D$3:$D$54), 0)), "")</f>
        <v>I</v>
      </c>
      <c r="N35" s="339" t="s">
        <v>71</v>
      </c>
      <c r="P35" s="321">
        <f t="shared" si="6"/>
        <v>33</v>
      </c>
      <c r="Q35" s="345" t="str">
        <f t="shared" ref="Q35:Q54" ca="1" si="8">K35</f>
        <v>9</v>
      </c>
      <c r="R35" s="347" t="str">
        <f t="shared" ref="R35:R54" ca="1" si="9">L35</f>
        <v>ㄞ</v>
      </c>
      <c r="S35" s="345" t="str">
        <f t="shared" ref="S35:S54" ca="1" si="10">M35</f>
        <v>I</v>
      </c>
      <c r="T35" s="343" t="str">
        <f t="shared" si="7"/>
        <v>ai</v>
      </c>
    </row>
    <row r="36" spans="2:21">
      <c r="B36" s="321">
        <f t="shared" si="3"/>
        <v>34</v>
      </c>
      <c r="C36" s="348" t="s">
        <v>374</v>
      </c>
      <c r="D36" s="322" t="s">
        <v>491</v>
      </c>
      <c r="F36" s="321">
        <f t="shared" si="4"/>
        <v>34</v>
      </c>
      <c r="G36" s="322" t="s">
        <v>491</v>
      </c>
      <c r="H36" s="342" t="s">
        <v>117</v>
      </c>
      <c r="J36" s="321">
        <f t="shared" si="5"/>
        <v>34</v>
      </c>
      <c r="K36" s="327" t="str" cm="1">
        <f t="array" aca="1" ref="K36" ca="1" xml:space="preserve"> INDIRECT(ADDRESS(2+$F36,COLUMN(G:G)))</f>
        <v>(</v>
      </c>
      <c r="L36" s="336" t="str" cm="1">
        <f t="array" aca="1" ref="L36" ca="1" xml:space="preserve"> IFERROR( INDEX($H$3:$H$54, MATCH(TRUE, EXACT($K36,$G$3:$G$54), 0)), "")</f>
        <v>ㆮ</v>
      </c>
      <c r="M36" s="335" t="str" cm="1">
        <f t="array" aca="1" ref="M36" ca="1" xml:space="preserve"> IFERROR( INDEX($C$3:$C$54, MATCH(TRUE, EXACT($K36,$D$3:$D$54), 0)), "")</f>
        <v>Y</v>
      </c>
      <c r="N36" s="339" t="s">
        <v>118</v>
      </c>
      <c r="P36" s="321">
        <f t="shared" si="6"/>
        <v>34</v>
      </c>
      <c r="Q36" s="346" t="str">
        <f t="shared" ca="1" si="8"/>
        <v>(</v>
      </c>
      <c r="R36" s="337" t="str">
        <f t="shared" ca="1" si="9"/>
        <v>ㆮ</v>
      </c>
      <c r="S36" s="346" t="str">
        <f t="shared" ca="1" si="10"/>
        <v>Y</v>
      </c>
      <c r="T36" s="343" t="str">
        <f t="shared" si="7"/>
        <v>ainn</v>
      </c>
      <c r="U36" s="320"/>
    </row>
    <row r="37" spans="2:21">
      <c r="B37" s="321">
        <f t="shared" si="3"/>
        <v>35</v>
      </c>
      <c r="C37" s="348" t="s">
        <v>259</v>
      </c>
      <c r="D37" s="322" t="s">
        <v>86</v>
      </c>
      <c r="F37" s="321">
        <f t="shared" si="4"/>
        <v>35</v>
      </c>
      <c r="G37" s="322" t="s">
        <v>86</v>
      </c>
      <c r="H37" s="342" t="s">
        <v>72</v>
      </c>
      <c r="J37" s="321">
        <f t="shared" si="5"/>
        <v>35</v>
      </c>
      <c r="K37" s="327" t="str" cm="1">
        <f t="array" aca="1" ref="K37" ca="1" xml:space="preserve"> INDIRECT(ADDRESS(2+$F37,COLUMN(G:G)))</f>
        <v>l</v>
      </c>
      <c r="L37" s="336" t="str" cm="1">
        <f t="array" aca="1" ref="L37" ca="1" xml:space="preserve"> IFERROR( INDEX($H$3:$H$54, MATCH(TRUE, EXACT($K37,$G$3:$G$54), 0)), "")</f>
        <v>ㄠ</v>
      </c>
      <c r="M37" s="335" t="str" cm="1">
        <f t="array" aca="1" ref="M37" ca="1" xml:space="preserve"> IFERROR( INDEX($C$3:$C$54, MATCH(TRUE, EXACT($K37,$D$3:$D$54), 0)), "")</f>
        <v>U</v>
      </c>
      <c r="N37" s="339" t="s">
        <v>73</v>
      </c>
      <c r="P37" s="321">
        <f t="shared" si="6"/>
        <v>35</v>
      </c>
      <c r="Q37" s="345" t="str">
        <f t="shared" ca="1" si="8"/>
        <v>l</v>
      </c>
      <c r="R37" s="347" t="str">
        <f t="shared" ca="1" si="9"/>
        <v>ㄠ</v>
      </c>
      <c r="S37" s="345" t="str">
        <f t="shared" ca="1" si="10"/>
        <v>U</v>
      </c>
      <c r="T37" s="343" t="str">
        <f t="shared" si="7"/>
        <v>au</v>
      </c>
    </row>
    <row r="38" spans="2:21">
      <c r="B38" s="321">
        <f t="shared" si="3"/>
        <v>36</v>
      </c>
      <c r="C38" s="348" t="s">
        <v>414</v>
      </c>
      <c r="D38" s="322" t="s">
        <v>497</v>
      </c>
      <c r="F38" s="321">
        <f t="shared" si="4"/>
        <v>36</v>
      </c>
      <c r="G38" s="322" t="s">
        <v>497</v>
      </c>
      <c r="H38" s="342" t="s">
        <v>123</v>
      </c>
      <c r="J38" s="321">
        <f t="shared" si="5"/>
        <v>36</v>
      </c>
      <c r="K38" s="327" t="str" cm="1">
        <f t="array" aca="1" ref="K38" ca="1" xml:space="preserve"> INDIRECT(ADDRESS(2+$F38,COLUMN(G:G)))</f>
        <v>L</v>
      </c>
      <c r="L38" s="336" t="str" cm="1">
        <f t="array" aca="1" ref="L38" ca="1" xml:space="preserve"> IFERROR( INDEX($H$3:$H$54, MATCH(TRUE, EXACT($K38,$G$3:$G$54), 0)), "")</f>
        <v>ㆯ</v>
      </c>
      <c r="M38" s="335" t="str" cm="1">
        <f t="array" aca="1" ref="M38" ca="1" xml:space="preserve"> IFERROR( INDEX($C$3:$C$54, MATCH(TRUE, EXACT($K38,$D$3:$D$54), 0)), "")</f>
        <v>X</v>
      </c>
      <c r="N38" s="339" t="s">
        <v>124</v>
      </c>
      <c r="P38" s="321">
        <f t="shared" si="6"/>
        <v>36</v>
      </c>
      <c r="Q38" s="346" t="str">
        <f t="shared" ca="1" si="8"/>
        <v>L</v>
      </c>
      <c r="R38" s="337" t="str">
        <f t="shared" ca="1" si="9"/>
        <v>ㆯ</v>
      </c>
      <c r="S38" s="346" t="str">
        <f t="shared" ca="1" si="10"/>
        <v>X</v>
      </c>
      <c r="T38" s="343" t="str">
        <f t="shared" si="7"/>
        <v>aunn</v>
      </c>
    </row>
    <row r="39" spans="2:21">
      <c r="B39" s="321">
        <f t="shared" si="3"/>
        <v>37</v>
      </c>
      <c r="C39" s="348" t="s">
        <v>404</v>
      </c>
      <c r="D39" s="322" t="s">
        <v>219</v>
      </c>
      <c r="F39" s="321">
        <f t="shared" si="4"/>
        <v>37</v>
      </c>
      <c r="G39" s="322">
        <v>0</v>
      </c>
      <c r="H39" s="342" t="s">
        <v>97</v>
      </c>
      <c r="J39" s="321">
        <f t="shared" si="5"/>
        <v>37</v>
      </c>
      <c r="K39" s="327" cm="1">
        <f t="array" aca="1" ref="K39" ca="1" xml:space="preserve"> INDIRECT(ADDRESS(2+$F39,COLUMN(G:G)))</f>
        <v>0</v>
      </c>
      <c r="L39" s="336" t="str" cm="1">
        <f t="array" aca="1" ref="L39" ca="1" xml:space="preserve"> IFERROR( INDEX($H$3:$H$54, MATCH(TRUE, EXACT($K39,$G$3:$G$54), 0)), "")</f>
        <v>ㄢ</v>
      </c>
      <c r="M39" s="335" t="str" cm="1">
        <f t="array" aca="1" ref="M39" ca="1" xml:space="preserve"> IFERROR( INDEX($C$3:$C$54, MATCH(TRUE, EXACT($K39,$D$3:$D$54), 0)), "")</f>
        <v>@</v>
      </c>
      <c r="N39" s="339" t="s">
        <v>98</v>
      </c>
      <c r="P39" s="321">
        <f t="shared" si="6"/>
        <v>37</v>
      </c>
      <c r="Q39" s="345">
        <f t="shared" ca="1" si="8"/>
        <v>0</v>
      </c>
      <c r="R39" s="347" t="str">
        <f t="shared" ca="1" si="9"/>
        <v>ㄢ</v>
      </c>
      <c r="S39" s="345" t="str">
        <f t="shared" ca="1" si="10"/>
        <v>@</v>
      </c>
      <c r="T39" s="343" t="str">
        <f t="shared" si="7"/>
        <v>an</v>
      </c>
    </row>
    <row r="40" spans="2:21">
      <c r="B40" s="321">
        <f t="shared" si="3"/>
        <v>38</v>
      </c>
      <c r="C40" s="348" t="s">
        <v>189</v>
      </c>
      <c r="D40" s="322" t="s">
        <v>217</v>
      </c>
      <c r="F40" s="321">
        <f t="shared" si="4"/>
        <v>38</v>
      </c>
      <c r="G40" s="322" t="s">
        <v>217</v>
      </c>
      <c r="H40" s="342" t="s">
        <v>76</v>
      </c>
      <c r="J40" s="321">
        <f t="shared" si="5"/>
        <v>38</v>
      </c>
      <c r="K40" s="327" t="str" cm="1">
        <f t="array" aca="1" ref="K40" ca="1" xml:space="preserve"> INDIRECT(ADDRESS(2+$F40,COLUMN(G:G)))</f>
        <v>p</v>
      </c>
      <c r="L40" s="336" t="str" cm="1">
        <f t="array" aca="1" ref="L40" ca="1" xml:space="preserve"> IFERROR( INDEX($H$3:$H$54, MATCH(TRUE, EXACT($K40,$G$3:$G$54), 0)), "")</f>
        <v>ㄣ</v>
      </c>
      <c r="M40" s="335" t="str" cm="1">
        <f t="array" aca="1" ref="M40" ca="1" xml:space="preserve"> IFERROR( INDEX($C$3:$C$54, MATCH(TRUE, EXACT($K40,$D$3:$D$54), 0)), "")</f>
        <v>D</v>
      </c>
      <c r="N40" s="340" t="s">
        <v>77</v>
      </c>
      <c r="P40" s="321">
        <f t="shared" si="6"/>
        <v>38</v>
      </c>
      <c r="Q40" s="345" t="str">
        <f t="shared" ca="1" si="8"/>
        <v>p</v>
      </c>
      <c r="R40" s="347" t="str">
        <f t="shared" ca="1" si="9"/>
        <v>ㄣ</v>
      </c>
      <c r="S40" s="345" t="str">
        <f t="shared" ca="1" si="10"/>
        <v>D</v>
      </c>
      <c r="T40" s="343" t="str">
        <f t="shared" si="7"/>
        <v>-n</v>
      </c>
    </row>
    <row r="41" spans="2:21">
      <c r="B41" s="321">
        <f t="shared" si="3"/>
        <v>39</v>
      </c>
      <c r="C41" s="348" t="s">
        <v>375</v>
      </c>
      <c r="D41" s="322" t="s">
        <v>512</v>
      </c>
      <c r="F41" s="321">
        <f t="shared" si="4"/>
        <v>39</v>
      </c>
      <c r="G41" s="322" t="s">
        <v>512</v>
      </c>
      <c r="H41" s="342" t="s">
        <v>95</v>
      </c>
      <c r="J41" s="321">
        <f t="shared" si="5"/>
        <v>39</v>
      </c>
      <c r="K41" s="327" t="str" cm="1">
        <f t="array" aca="1" ref="K41" ca="1" xml:space="preserve"> INDIRECT(ADDRESS(2+$F41,COLUMN(G:G)))</f>
        <v>;</v>
      </c>
      <c r="L41" s="336" t="str" cm="1">
        <f t="array" aca="1" ref="L41" ca="1" xml:space="preserve"> IFERROR( INDEX($H$3:$H$54, MATCH(TRUE, EXACT($K41,$G$3:$G$54), 0)), "")</f>
        <v>ㄤ</v>
      </c>
      <c r="M41" s="335" t="str" cm="1">
        <f t="array" aca="1" ref="M41" ca="1" xml:space="preserve"> IFERROR( INDEX($C$3:$C$54, MATCH(TRUE, EXACT($K41,$D$3:$D$54), 0)), "")</f>
        <v>H</v>
      </c>
      <c r="N41" s="339" t="s">
        <v>96</v>
      </c>
      <c r="P41" s="321">
        <f t="shared" si="6"/>
        <v>39</v>
      </c>
      <c r="Q41" s="345" t="str">
        <f t="shared" ca="1" si="8"/>
        <v>;</v>
      </c>
      <c r="R41" s="347" t="str">
        <f t="shared" ca="1" si="9"/>
        <v>ㄤ</v>
      </c>
      <c r="S41" s="345" t="str">
        <f t="shared" ca="1" si="10"/>
        <v>H</v>
      </c>
      <c r="T41" s="343" t="str">
        <f t="shared" si="7"/>
        <v>ang</v>
      </c>
    </row>
    <row r="42" spans="2:21">
      <c r="B42" s="321">
        <f t="shared" si="3"/>
        <v>40</v>
      </c>
      <c r="C42" s="348" t="s">
        <v>439</v>
      </c>
      <c r="D42" s="322" t="s">
        <v>206</v>
      </c>
      <c r="F42" s="321">
        <f t="shared" si="4"/>
        <v>40</v>
      </c>
      <c r="G42" s="322" t="s">
        <v>206</v>
      </c>
      <c r="H42" s="342" t="s">
        <v>101</v>
      </c>
      <c r="J42" s="321">
        <f t="shared" si="5"/>
        <v>40</v>
      </c>
      <c r="K42" s="327" t="str" cm="1">
        <f t="array" aca="1" ref="K42" ca="1" xml:space="preserve"> INDIRECT(ADDRESS(2+$F42,COLUMN(G:G)))</f>
        <v>:</v>
      </c>
      <c r="L42" s="336" t="str" cm="1">
        <f t="array" aca="1" ref="L42" ca="1" xml:space="preserve"> IFERROR( INDEX($H$3:$H$54, MATCH(TRUE, EXACT($K42,$G$3:$G$54), 0)), "")</f>
        <v>ㆲ</v>
      </c>
      <c r="M42" s="335" t="str" cm="1">
        <f t="array" aca="1" ref="M42" ca="1" xml:space="preserve"> IFERROR( INDEX($C$3:$C$54, MATCH(TRUE, EXACT($K42,$D$3:$D$54), 0)), "")</f>
        <v>F</v>
      </c>
      <c r="N42" s="339" t="s">
        <v>102</v>
      </c>
      <c r="P42" s="321">
        <f t="shared" si="6"/>
        <v>40</v>
      </c>
      <c r="Q42" s="345" t="str">
        <f t="shared" ca="1" si="8"/>
        <v>:</v>
      </c>
      <c r="R42" s="347" t="str">
        <f t="shared" ca="1" si="9"/>
        <v>ㆲ</v>
      </c>
      <c r="S42" s="345" t="str">
        <f t="shared" ca="1" si="10"/>
        <v>F</v>
      </c>
      <c r="T42" s="343" t="str">
        <f t="shared" si="7"/>
        <v>ong</v>
      </c>
    </row>
    <row r="43" spans="2:21">
      <c r="B43" s="321">
        <f t="shared" si="3"/>
        <v>41</v>
      </c>
      <c r="C43" s="348" t="s">
        <v>559</v>
      </c>
      <c r="D43" s="322" t="s">
        <v>202</v>
      </c>
      <c r="F43" s="321">
        <f t="shared" si="4"/>
        <v>41</v>
      </c>
      <c r="G43" s="322" t="s">
        <v>202</v>
      </c>
      <c r="H43" s="342" t="s">
        <v>74</v>
      </c>
      <c r="J43" s="321">
        <f t="shared" si="5"/>
        <v>41</v>
      </c>
      <c r="K43" s="327" t="str" cm="1">
        <f t="array" aca="1" ref="K43" ca="1" xml:space="preserve"> INDIRECT(ADDRESS(2+$F43,COLUMN(G:G)))</f>
        <v>/</v>
      </c>
      <c r="L43" s="336" t="str" cm="1">
        <f t="array" aca="1" ref="L43" ca="1" xml:space="preserve"> IFERROR( INDEX($H$3:$H$54, MATCH(TRUE, EXACT($K43,$G$3:$G$54), 0)), "")</f>
        <v>ㆭ</v>
      </c>
      <c r="M43" s="335" t="str" cm="1">
        <f t="array" aca="1" ref="M43" ca="1" xml:space="preserve"> IFERROR( INDEX($C$3:$C$54, MATCH(TRUE, EXACT($K43,$D$3:$D$54), 0)), "")</f>
        <v>W</v>
      </c>
      <c r="N43" s="340" t="s">
        <v>75</v>
      </c>
      <c r="P43" s="321">
        <f t="shared" si="6"/>
        <v>41</v>
      </c>
      <c r="Q43" s="345" t="str">
        <f t="shared" ca="1" si="8"/>
        <v>/</v>
      </c>
      <c r="R43" s="347" t="str">
        <f t="shared" ca="1" si="9"/>
        <v>ㆭ</v>
      </c>
      <c r="S43" s="345" t="str">
        <f t="shared" ca="1" si="10"/>
        <v>W</v>
      </c>
      <c r="T43" s="343" t="str">
        <f t="shared" si="7"/>
        <v>-ng</v>
      </c>
    </row>
    <row r="44" spans="2:21">
      <c r="B44" s="321">
        <f t="shared" si="3"/>
        <v>42</v>
      </c>
      <c r="C44" s="348" t="s">
        <v>341</v>
      </c>
      <c r="D44" s="322" t="s">
        <v>429</v>
      </c>
      <c r="F44" s="321">
        <f t="shared" si="4"/>
        <v>42</v>
      </c>
      <c r="G44" s="322" t="s">
        <v>429</v>
      </c>
      <c r="H44" s="342" t="s">
        <v>87</v>
      </c>
      <c r="J44" s="321">
        <f t="shared" si="5"/>
        <v>42</v>
      </c>
      <c r="K44" s="327" t="str" cm="1">
        <f t="array" aca="1" ref="K44" ca="1" xml:space="preserve"> INDIRECT(ADDRESS(2+$F44,COLUMN(G:G)))</f>
        <v>?</v>
      </c>
      <c r="L44" s="336" t="str" cm="1">
        <f t="array" aca="1" ref="L44" ca="1" xml:space="preserve"> IFERROR( INDEX($H$3:$H$54, MATCH(TRUE, EXACT($K44,$G$3:$G$54), 0)), "")</f>
        <v>ㄫ</v>
      </c>
      <c r="M44" s="335" t="str" cm="1">
        <f t="array" aca="1" ref="M44" ca="1" xml:space="preserve"> IFERROR( INDEX($C$3:$C$54, MATCH(TRUE, EXACT($K44,$D$3:$D$54), 0)), "")</f>
        <v>w</v>
      </c>
      <c r="N44" s="339" t="s">
        <v>598</v>
      </c>
      <c r="P44" s="321">
        <f t="shared" si="6"/>
        <v>42</v>
      </c>
      <c r="Q44" s="345" t="str">
        <f t="shared" ca="1" si="8"/>
        <v>?</v>
      </c>
      <c r="R44" s="347" t="str">
        <f t="shared" ca="1" si="9"/>
        <v>ㄫ</v>
      </c>
      <c r="S44" s="345" t="str">
        <f t="shared" ca="1" si="10"/>
        <v>w</v>
      </c>
      <c r="T44" s="343" t="str">
        <f t="shared" si="7"/>
        <v>ng-</v>
      </c>
    </row>
    <row r="45" spans="2:21">
      <c r="B45" s="321">
        <f t="shared" si="3"/>
        <v>43</v>
      </c>
      <c r="C45" s="348" t="s">
        <v>560</v>
      </c>
      <c r="D45" s="322" t="s">
        <v>198</v>
      </c>
      <c r="F45" s="321">
        <f t="shared" si="4"/>
        <v>43</v>
      </c>
      <c r="G45" s="322" t="s">
        <v>198</v>
      </c>
      <c r="H45" s="342" t="s">
        <v>592</v>
      </c>
      <c r="J45" s="321">
        <f t="shared" si="5"/>
        <v>43</v>
      </c>
      <c r="K45" s="327" t="str" cm="1">
        <f t="array" aca="1" ref="K45" ca="1" xml:space="preserve"> INDIRECT(ADDRESS(2+$F45,COLUMN(G:G)))</f>
        <v>-</v>
      </c>
      <c r="L45" s="336" t="str" cm="1">
        <f t="array" aca="1" ref="L45" ca="1" xml:space="preserve"> IFERROR( INDEX($H$3:$H$54, MATCH(TRUE, EXACT($K45,$G$3:$G$54), 0)), "")</f>
        <v>ㆨ</v>
      </c>
      <c r="M45" s="335" t="str" cm="1">
        <f t="array" aca="1" ref="M45" ca="1" xml:space="preserve"> IFERROR( INDEX($C$3:$C$54, MATCH(TRUE, EXACT($K45,$D$3:$D$54), 0)), "")</f>
        <v>R</v>
      </c>
      <c r="N45" s="339" t="s">
        <v>599</v>
      </c>
      <c r="P45" s="321">
        <f t="shared" si="6"/>
        <v>43</v>
      </c>
      <c r="Q45" s="345" t="str">
        <f t="shared" ca="1" si="8"/>
        <v>-</v>
      </c>
      <c r="R45" s="347" t="str">
        <f t="shared" ca="1" si="9"/>
        <v>ㆨ</v>
      </c>
      <c r="S45" s="345" t="str">
        <f t="shared" ca="1" si="10"/>
        <v>R</v>
      </c>
      <c r="T45" s="343" t="str">
        <f t="shared" si="7"/>
        <v>ir</v>
      </c>
    </row>
    <row r="46" spans="2:21">
      <c r="B46" s="321">
        <f t="shared" si="3"/>
        <v>44</v>
      </c>
      <c r="C46" s="348" t="s">
        <v>444</v>
      </c>
      <c r="D46" s="322" t="s">
        <v>401</v>
      </c>
      <c r="F46" s="321">
        <f t="shared" si="4"/>
        <v>44</v>
      </c>
      <c r="G46" s="322" t="s">
        <v>401</v>
      </c>
      <c r="H46" s="342" t="s">
        <v>99</v>
      </c>
      <c r="J46" s="321">
        <f t="shared" si="5"/>
        <v>44</v>
      </c>
      <c r="K46" s="327" t="str" cm="1">
        <f t="array" aca="1" ref="K46" ca="1" xml:space="preserve"> INDIRECT(ADDRESS(2+$F46,COLUMN(G:G)))</f>
        <v>A</v>
      </c>
      <c r="L46" s="336" t="str" cm="1">
        <f t="array" aca="1" ref="L46" ca="1" xml:space="preserve"> IFERROR( INDEX($H$3:$H$54, MATCH(TRUE, EXACT($K46,$G$3:$G$54), 0)), "")</f>
        <v>ㆰ</v>
      </c>
      <c r="M46" s="335" t="str" cm="1">
        <f t="array" aca="1" ref="M46" ca="1" xml:space="preserve"> IFERROR( INDEX($C$3:$C$54, MATCH(TRUE, EXACT($K46,$D$3:$D$54), 0)), "")</f>
        <v>V</v>
      </c>
      <c r="N46" s="339" t="s">
        <v>100</v>
      </c>
      <c r="P46" s="321">
        <f t="shared" si="6"/>
        <v>44</v>
      </c>
      <c r="Q46" s="345" t="str">
        <f t="shared" ca="1" si="8"/>
        <v>A</v>
      </c>
      <c r="R46" s="347" t="str">
        <f t="shared" ca="1" si="9"/>
        <v>ㆰ</v>
      </c>
      <c r="S46" s="345" t="str">
        <f t="shared" ca="1" si="10"/>
        <v>V</v>
      </c>
      <c r="T46" s="343" t="str">
        <f t="shared" si="7"/>
        <v>am</v>
      </c>
    </row>
    <row r="47" spans="2:21">
      <c r="B47" s="321">
        <f t="shared" si="3"/>
        <v>45</v>
      </c>
      <c r="C47" s="348" t="s">
        <v>497</v>
      </c>
      <c r="D47" s="322" t="s">
        <v>69</v>
      </c>
      <c r="F47" s="321">
        <f t="shared" si="4"/>
        <v>45</v>
      </c>
      <c r="G47" s="322" t="s">
        <v>69</v>
      </c>
      <c r="H47" s="342" t="s">
        <v>125</v>
      </c>
      <c r="J47" s="321">
        <f t="shared" si="5"/>
        <v>45</v>
      </c>
      <c r="K47" s="327" t="str" cm="1">
        <f t="array" aca="1" ref="K47" ca="1" xml:space="preserve"> INDIRECT(ADDRESS(2+$F47,COLUMN(G:G)))</f>
        <v>O</v>
      </c>
      <c r="L47" s="336" t="str" cm="1">
        <f t="array" aca="1" ref="L47" ca="1" xml:space="preserve"> IFERROR( INDEX($H$3:$H$54, MATCH(TRUE, EXACT($K47,$G$3:$G$54), 0)), "")</f>
        <v>ㆱ</v>
      </c>
      <c r="M47" s="335" t="str" cm="1">
        <f t="array" aca="1" ref="M47" ca="1" xml:space="preserve"> IFERROR( INDEX($C$3:$C$54, MATCH(TRUE, EXACT($K47,$D$3:$D$54), 0)), "")</f>
        <v>L</v>
      </c>
      <c r="N47" s="339" t="s">
        <v>126</v>
      </c>
      <c r="P47" s="321">
        <f t="shared" si="6"/>
        <v>45</v>
      </c>
      <c r="Q47" s="345" t="str">
        <f t="shared" ca="1" si="8"/>
        <v>O</v>
      </c>
      <c r="R47" s="347" t="str">
        <f t="shared" ca="1" si="9"/>
        <v>ㆱ</v>
      </c>
      <c r="S47" s="345" t="str">
        <f t="shared" ca="1" si="10"/>
        <v>L</v>
      </c>
      <c r="T47" s="343" t="str">
        <f t="shared" si="7"/>
        <v>om</v>
      </c>
    </row>
    <row r="48" spans="2:21">
      <c r="B48" s="321">
        <f t="shared" si="3"/>
        <v>46</v>
      </c>
      <c r="C48" s="348" t="s">
        <v>570</v>
      </c>
      <c r="D48" s="322" t="s">
        <v>595</v>
      </c>
      <c r="F48" s="321">
        <f t="shared" si="4"/>
        <v>46</v>
      </c>
      <c r="G48" s="324" t="s">
        <v>595</v>
      </c>
      <c r="H48" s="342" t="s">
        <v>593</v>
      </c>
      <c r="I48" s="323"/>
      <c r="J48" s="321">
        <f t="shared" si="5"/>
        <v>46</v>
      </c>
      <c r="K48" s="327" t="str" cm="1">
        <f t="array" aca="1" ref="K48" ca="1" xml:space="preserve"> INDIRECT(ADDRESS(2+$F48,COLUMN(G:G)))</f>
        <v>.</v>
      </c>
      <c r="L48" s="336" t="str" cm="1">
        <f t="array" aca="1" ref="L48" ca="1" xml:space="preserve"> IFERROR( INDEX($H$3:$H$54, MATCH(TRUE, EXACT($K48,$G$3:$G$54), 0)), "")</f>
        <v>ｎ</v>
      </c>
      <c r="M48" s="335" t="str" cm="1">
        <f t="array" aca="1" ref="M48" ca="1" xml:space="preserve"> IFERROR( INDEX($C$3:$C$54, MATCH(TRUE, EXACT($K48,$D$3:$D$54), 0)), "")</f>
        <v>N</v>
      </c>
      <c r="N48" s="340" t="s">
        <v>600</v>
      </c>
      <c r="P48" s="321">
        <f t="shared" si="6"/>
        <v>46</v>
      </c>
      <c r="Q48" s="345" t="str">
        <f t="shared" ca="1" si="8"/>
        <v>.</v>
      </c>
      <c r="R48" s="347" t="str">
        <f t="shared" ca="1" si="9"/>
        <v>ｎ</v>
      </c>
      <c r="S48" s="345" t="str">
        <f t="shared" ca="1" si="10"/>
        <v>N</v>
      </c>
      <c r="T48" s="343" t="str">
        <f t="shared" si="7"/>
        <v>-nn</v>
      </c>
    </row>
    <row r="49" spans="2:20">
      <c r="B49" s="321">
        <f t="shared" si="3"/>
        <v>47</v>
      </c>
      <c r="C49" s="348" t="s">
        <v>361</v>
      </c>
      <c r="D49" s="322" t="str">
        <f xml:space="preserve"> CHAR(32)</f>
        <v xml:space="preserve"> </v>
      </c>
      <c r="E49" s="325" t="s">
        <v>591</v>
      </c>
      <c r="F49" s="321">
        <f t="shared" si="4"/>
        <v>47</v>
      </c>
      <c r="G49" s="322" t="str">
        <f xml:space="preserve"> CHAR(32)</f>
        <v xml:space="preserve"> </v>
      </c>
      <c r="H49" s="342" t="s">
        <v>532</v>
      </c>
      <c r="J49" s="321">
        <f t="shared" si="5"/>
        <v>47</v>
      </c>
      <c r="K49" s="327" t="str" cm="1">
        <f t="array" aca="1" ref="K49" ca="1" xml:space="preserve"> INDIRECT(ADDRESS(2+$F49,COLUMN(G:G)))</f>
        <v xml:space="preserve"> </v>
      </c>
      <c r="L49" s="336" t="str" cm="1">
        <f t="array" aca="1" ref="L49" ca="1" xml:space="preserve"> IFERROR( INDEX($H$3:$H$54, MATCH(TRUE, EXACT($K49,$G$3:$G$54), 0)), "")</f>
        <v>ˉ</v>
      </c>
      <c r="M49" s="335" t="str" cm="1">
        <f t="array" aca="1" ref="M49" ca="1" xml:space="preserve"> IFERROR( INDEX($C$3:$C$54, MATCH(TRUE, EXACT($K49,$D$3:$D$54), 0)), "")</f>
        <v>1</v>
      </c>
      <c r="N49" s="339">
        <v>1</v>
      </c>
      <c r="P49" s="321">
        <f t="shared" si="6"/>
        <v>47</v>
      </c>
      <c r="Q49" s="322" t="str">
        <f t="shared" ca="1" si="8"/>
        <v xml:space="preserve"> </v>
      </c>
      <c r="R49" s="347" t="str">
        <f t="shared" ca="1" si="9"/>
        <v>ˉ</v>
      </c>
      <c r="S49" s="345" t="str">
        <f t="shared" ca="1" si="10"/>
        <v>1</v>
      </c>
      <c r="T49" s="343">
        <f t="shared" si="7"/>
        <v>1</v>
      </c>
    </row>
    <row r="50" spans="2:20">
      <c r="B50" s="321">
        <f t="shared" si="3"/>
        <v>48</v>
      </c>
      <c r="C50" s="348" t="s">
        <v>347</v>
      </c>
      <c r="D50" s="322" t="s">
        <v>193</v>
      </c>
      <c r="F50" s="321">
        <f t="shared" si="4"/>
        <v>48</v>
      </c>
      <c r="G50" s="322" t="s">
        <v>193</v>
      </c>
      <c r="H50" s="342" t="s">
        <v>104</v>
      </c>
      <c r="J50" s="321">
        <f t="shared" si="5"/>
        <v>48</v>
      </c>
      <c r="K50" s="327" t="str" cm="1">
        <f t="array" aca="1" ref="K50" ca="1" xml:space="preserve"> INDIRECT(ADDRESS(2+$F50,COLUMN(G:G)))</f>
        <v>4</v>
      </c>
      <c r="L50" s="336" t="str" cm="1">
        <f t="array" aca="1" ref="L50" ca="1" xml:space="preserve"> IFERROR( INDEX($H$3:$H$54, MATCH(TRUE, EXACT($K50,$G$3:$G$54), 0)), "")</f>
        <v>ˋ</v>
      </c>
      <c r="M50" s="335" t="str" cm="1">
        <f t="array" aca="1" ref="M50" ca="1" xml:space="preserve"> IFERROR( INDEX($C$3:$C$54, MATCH(TRUE, EXACT($K50,$D$3:$D$54), 0)), "")</f>
        <v>2</v>
      </c>
      <c r="N50" s="339">
        <v>2</v>
      </c>
      <c r="P50" s="321">
        <f t="shared" si="6"/>
        <v>48</v>
      </c>
      <c r="Q50" s="345" t="str">
        <f t="shared" ca="1" si="8"/>
        <v>4</v>
      </c>
      <c r="R50" s="347" t="str">
        <f t="shared" ca="1" si="9"/>
        <v>ˋ</v>
      </c>
      <c r="S50" s="345" t="str">
        <f t="shared" ca="1" si="10"/>
        <v>2</v>
      </c>
      <c r="T50" s="343">
        <f t="shared" si="7"/>
        <v>2</v>
      </c>
    </row>
    <row r="51" spans="2:20">
      <c r="B51" s="321">
        <f t="shared" si="3"/>
        <v>49</v>
      </c>
      <c r="C51" s="348" t="s">
        <v>191</v>
      </c>
      <c r="D51" s="322" t="s">
        <v>191</v>
      </c>
      <c r="F51" s="321">
        <f t="shared" si="4"/>
        <v>49</v>
      </c>
      <c r="G51" s="324" t="s">
        <v>191</v>
      </c>
      <c r="H51" s="342" t="s">
        <v>105</v>
      </c>
      <c r="J51" s="321">
        <f t="shared" si="5"/>
        <v>49</v>
      </c>
      <c r="K51" s="327" t="str" cm="1">
        <f t="array" aca="1" ref="K51" ca="1" xml:space="preserve"> INDIRECT(ADDRESS(2+$F51,COLUMN(G:G)))</f>
        <v>3</v>
      </c>
      <c r="L51" s="336" t="str" cm="1">
        <f t="array" aca="1" ref="L51" ca="1" xml:space="preserve"> IFERROR( INDEX($H$3:$H$54, MATCH(TRUE, EXACT($K51,$G$3:$G$54), 0)), "")</f>
        <v>˪</v>
      </c>
      <c r="M51" s="335" t="str" cm="1">
        <f t="array" aca="1" ref="M51" ca="1" xml:space="preserve"> IFERROR( INDEX($C$3:$C$54, MATCH(TRUE, EXACT($K51,$D$3:$D$54), 0)), "")</f>
        <v>3</v>
      </c>
      <c r="N51" s="339">
        <v>3</v>
      </c>
      <c r="P51" s="321">
        <f t="shared" si="6"/>
        <v>49</v>
      </c>
      <c r="Q51" s="345" t="str">
        <f t="shared" ca="1" si="8"/>
        <v>3</v>
      </c>
      <c r="R51" s="347" t="str">
        <f t="shared" ca="1" si="9"/>
        <v>˪</v>
      </c>
      <c r="S51" s="345" t="str">
        <f t="shared" ca="1" si="10"/>
        <v>3</v>
      </c>
      <c r="T51" s="343">
        <f t="shared" si="7"/>
        <v>3</v>
      </c>
    </row>
    <row r="52" spans="2:20">
      <c r="B52" s="321">
        <f t="shared" si="3"/>
        <v>50</v>
      </c>
      <c r="C52" s="348" t="s">
        <v>170</v>
      </c>
      <c r="D52" s="324" t="s">
        <v>175</v>
      </c>
      <c r="F52" s="321">
        <f t="shared" si="4"/>
        <v>50</v>
      </c>
      <c r="G52" s="322" t="s">
        <v>175</v>
      </c>
      <c r="H52" s="341" t="s">
        <v>106</v>
      </c>
      <c r="J52" s="321">
        <f t="shared" si="5"/>
        <v>50</v>
      </c>
      <c r="K52" s="327" t="str" cm="1">
        <f t="array" aca="1" ref="K52" ca="1" xml:space="preserve"> INDIRECT(ADDRESS(2+$F52,COLUMN(G:G)))</f>
        <v>6</v>
      </c>
      <c r="L52" s="336" t="str" cm="1">
        <f t="array" aca="1" ref="L52" ca="1" xml:space="preserve"> IFERROR( INDEX($H$3:$H$54, MATCH(TRUE, EXACT($K52,$G$3:$G$54), 0)), "")</f>
        <v>ˊ</v>
      </c>
      <c r="M52" s="335" t="str" cm="1">
        <f t="array" aca="1" ref="M52" ca="1" xml:space="preserve"> IFERROR( INDEX($C$3:$C$54, MATCH(TRUE, EXACT($K52,$D$3:$D$54), 0)), "")</f>
        <v>5</v>
      </c>
      <c r="N52" s="339">
        <v>5</v>
      </c>
      <c r="P52" s="321">
        <f t="shared" si="6"/>
        <v>50</v>
      </c>
      <c r="Q52" s="345" t="str">
        <f t="shared" ca="1" si="8"/>
        <v>6</v>
      </c>
      <c r="R52" s="347" t="str">
        <f t="shared" ca="1" si="9"/>
        <v>ˊ</v>
      </c>
      <c r="S52" s="345" t="str">
        <f t="shared" ca="1" si="10"/>
        <v>5</v>
      </c>
      <c r="T52" s="343">
        <f t="shared" si="7"/>
        <v>5</v>
      </c>
    </row>
    <row r="53" spans="2:20">
      <c r="B53" s="321">
        <f t="shared" si="3"/>
        <v>51</v>
      </c>
      <c r="C53" s="348" t="s">
        <v>166</v>
      </c>
      <c r="D53" s="326" t="s">
        <v>170</v>
      </c>
      <c r="F53" s="321">
        <f t="shared" si="4"/>
        <v>51</v>
      </c>
      <c r="G53" s="326" t="s">
        <v>170</v>
      </c>
      <c r="H53" s="342" t="s">
        <v>107</v>
      </c>
      <c r="J53" s="321">
        <f t="shared" si="5"/>
        <v>51</v>
      </c>
      <c r="K53" s="327" t="str" cm="1">
        <f t="array" aca="1" ref="K53" ca="1" xml:space="preserve"> INDIRECT(ADDRESS(2+$F53,COLUMN(G:G)))</f>
        <v>5</v>
      </c>
      <c r="L53" s="336" t="str" cm="1">
        <f t="array" aca="1" ref="L53" ca="1" xml:space="preserve"> IFERROR( INDEX($H$3:$H$54, MATCH(TRUE, EXACT($K53,$G$3:$G$54), 0)), "")</f>
        <v>˫</v>
      </c>
      <c r="M53" s="335" t="str" cm="1">
        <f t="array" aca="1" ref="M53" ca="1" xml:space="preserve"> IFERROR( INDEX($C$3:$C$54, MATCH(TRUE, EXACT($K53,$D$3:$D$54), 0)), "")</f>
        <v>7</v>
      </c>
      <c r="N53" s="339">
        <v>7</v>
      </c>
      <c r="P53" s="321">
        <f t="shared" si="6"/>
        <v>51</v>
      </c>
      <c r="Q53" s="345" t="str">
        <f t="shared" ca="1" si="8"/>
        <v>5</v>
      </c>
      <c r="R53" s="347" t="str">
        <f t="shared" ca="1" si="9"/>
        <v>˫</v>
      </c>
      <c r="S53" s="345" t="str">
        <f t="shared" ca="1" si="10"/>
        <v>7</v>
      </c>
      <c r="T53" s="343">
        <f t="shared" si="7"/>
        <v>7</v>
      </c>
    </row>
    <row r="54" spans="2:20">
      <c r="B54" s="321">
        <f t="shared" si="3"/>
        <v>52</v>
      </c>
      <c r="C54" s="348" t="s">
        <v>219</v>
      </c>
      <c r="D54" s="322">
        <v>7</v>
      </c>
      <c r="F54" s="321">
        <f t="shared" si="4"/>
        <v>52</v>
      </c>
      <c r="G54" s="322" t="s">
        <v>166</v>
      </c>
      <c r="H54" s="342" t="s">
        <v>530</v>
      </c>
      <c r="J54" s="321">
        <f t="shared" si="5"/>
        <v>52</v>
      </c>
      <c r="K54" s="327" t="str" cm="1">
        <f t="array" aca="1" ref="K54" ca="1" xml:space="preserve"> INDIRECT(ADDRESS(2+$F54,COLUMN(G:G)))</f>
        <v>7</v>
      </c>
      <c r="L54" s="336" t="str" cm="1">
        <f t="array" aca="1" ref="L54" ca="1" xml:space="preserve"> IFERROR( INDEX($H$3:$H$54, MATCH(TRUE, EXACT($K54,$G$3:$G$54), 0)), "")</f>
        <v>．</v>
      </c>
      <c r="M54" s="335" t="str" cm="1">
        <f t="array" aca="1" ref="M54" ca="1" xml:space="preserve"> IFERROR( INDEX($C$3:$C$54, MATCH(TRUE, EXACT($K54,$D$3:$D$54), 0)), "")</f>
        <v>0</v>
      </c>
      <c r="N54" s="339" t="s">
        <v>609</v>
      </c>
      <c r="P54" s="321">
        <f t="shared" si="6"/>
        <v>52</v>
      </c>
      <c r="Q54" s="345" t="str">
        <f t="shared" ca="1" si="8"/>
        <v>7</v>
      </c>
      <c r="R54" s="347" t="str">
        <f t="shared" ca="1" si="9"/>
        <v>．</v>
      </c>
      <c r="S54" s="345" t="str">
        <f t="shared" ca="1" si="10"/>
        <v>0</v>
      </c>
      <c r="T54" s="343" t="str">
        <f t="shared" si="7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20"/>
      <c r="D61" s="320"/>
    </row>
    <row r="62" spans="2:20">
      <c r="C62" s="320"/>
      <c r="D62" s="320"/>
    </row>
    <row r="63" spans="2:20">
      <c r="C63" s="320"/>
      <c r="D63" s="320"/>
    </row>
    <row r="64" spans="2:20">
      <c r="C64" s="320"/>
      <c r="D64" s="320"/>
    </row>
    <row r="65" spans="3:4">
      <c r="C65" s="320"/>
      <c r="D65" s="320"/>
    </row>
    <row r="66" spans="3:4">
      <c r="C66" s="320"/>
      <c r="D66" s="320"/>
    </row>
    <row r="67" spans="3:4">
      <c r="C67" s="320"/>
      <c r="D67" s="320"/>
    </row>
    <row r="68" spans="3:4">
      <c r="C68" s="320"/>
      <c r="D68" s="320"/>
    </row>
    <row r="69" spans="3:4">
      <c r="C69" s="320"/>
      <c r="D69" s="320"/>
    </row>
    <row r="70" spans="3:4">
      <c r="C70" s="320"/>
      <c r="D70" s="320"/>
    </row>
    <row r="71" spans="3:4">
      <c r="C71" s="320"/>
      <c r="D71" s="320"/>
    </row>
    <row r="72" spans="3:4">
      <c r="C72" s="320"/>
      <c r="D72" s="320"/>
    </row>
    <row r="73" spans="3:4">
      <c r="C73" s="320"/>
      <c r="D73" s="320"/>
    </row>
    <row r="74" spans="3:4">
      <c r="C74" s="320"/>
      <c r="D74" s="320"/>
    </row>
    <row r="75" spans="3:4">
      <c r="C75" s="320"/>
      <c r="D75" s="320"/>
    </row>
    <row r="76" spans="3:4">
      <c r="C76" s="320"/>
      <c r="D76" s="320"/>
    </row>
    <row r="77" spans="3:4">
      <c r="C77" s="320"/>
      <c r="D77" s="320"/>
    </row>
    <row r="78" spans="3:4">
      <c r="C78" s="320"/>
      <c r="D78" s="320"/>
    </row>
    <row r="79" spans="3:4">
      <c r="C79" s="320"/>
      <c r="D79" s="320"/>
    </row>
    <row r="80" spans="3:4">
      <c r="C80" s="320"/>
      <c r="D80" s="320"/>
    </row>
    <row r="81" spans="3:4">
      <c r="C81" s="320"/>
      <c r="D81" s="320"/>
    </row>
    <row r="82" spans="3:4">
      <c r="C82" s="320"/>
      <c r="D82" s="320"/>
    </row>
    <row r="83" spans="3:4">
      <c r="C83" s="320"/>
      <c r="D83" s="320"/>
    </row>
    <row r="84" spans="3:4">
      <c r="C84" s="320"/>
      <c r="D84" s="320"/>
    </row>
    <row r="85" spans="3:4">
      <c r="C85" s="320"/>
      <c r="D85" s="320"/>
    </row>
    <row r="86" spans="3:4">
      <c r="C86" s="320"/>
      <c r="D86" s="320"/>
    </row>
    <row r="87" spans="3:4">
      <c r="C87" s="320"/>
      <c r="D87" s="320"/>
    </row>
    <row r="88" spans="3:4">
      <c r="C88" s="320"/>
      <c r="D88" s="320"/>
    </row>
    <row r="89" spans="3:4">
      <c r="C89" s="320"/>
      <c r="D89" s="320"/>
    </row>
    <row r="90" spans="3:4">
      <c r="C90" s="320"/>
      <c r="D90" s="320"/>
    </row>
    <row r="91" spans="3:4">
      <c r="C91" s="320"/>
      <c r="D91" s="320"/>
    </row>
    <row r="92" spans="3:4">
      <c r="C92" s="320"/>
      <c r="D92" s="320"/>
    </row>
    <row r="93" spans="3:4">
      <c r="C93" s="320"/>
      <c r="D93" s="320"/>
    </row>
    <row r="94" spans="3:4">
      <c r="C94" s="320"/>
      <c r="D94" s="320"/>
    </row>
    <row r="95" spans="3:4">
      <c r="C95" s="320"/>
      <c r="D95" s="320"/>
    </row>
    <row r="96" spans="3:4">
      <c r="C96" s="320"/>
      <c r="D96" s="320"/>
    </row>
    <row r="97" spans="3:4">
      <c r="C97" s="320"/>
      <c r="D97" s="320"/>
    </row>
    <row r="98" spans="3:4">
      <c r="C98" s="320"/>
      <c r="D98" s="320"/>
    </row>
    <row r="99" spans="3:4">
      <c r="C99" s="320"/>
      <c r="D99" s="320"/>
    </row>
    <row r="100" spans="3:4">
      <c r="C100" s="320"/>
      <c r="D100" s="320"/>
    </row>
    <row r="101" spans="3:4">
      <c r="C101" s="320"/>
      <c r="D101" s="320"/>
    </row>
    <row r="102" spans="3:4">
      <c r="C102" s="320"/>
      <c r="D102" s="320"/>
    </row>
    <row r="103" spans="3:4">
      <c r="C103" s="320"/>
      <c r="D103" s="320"/>
    </row>
    <row r="104" spans="3:4">
      <c r="C104" s="320"/>
      <c r="D104" s="320"/>
    </row>
    <row r="105" spans="3:4">
      <c r="C105" s="320"/>
      <c r="D105" s="320"/>
    </row>
    <row r="106" spans="3:4">
      <c r="C106" s="320"/>
      <c r="D106" s="320"/>
    </row>
    <row r="107" spans="3:4">
      <c r="C107" s="320"/>
      <c r="D107" s="320"/>
    </row>
    <row r="108" spans="3:4">
      <c r="C108" s="320"/>
      <c r="D108" s="320"/>
    </row>
    <row r="109" spans="3:4">
      <c r="C109" s="320"/>
      <c r="D109" s="320"/>
    </row>
    <row r="110" spans="3:4">
      <c r="C110" s="320"/>
      <c r="D110" s="320"/>
    </row>
    <row r="111" spans="3:4">
      <c r="C111" s="320"/>
      <c r="D111" s="320"/>
    </row>
    <row r="112" spans="3:4">
      <c r="C112" s="320"/>
      <c r="D112" s="320"/>
    </row>
    <row r="113" spans="3:4">
      <c r="C113" s="320"/>
      <c r="D113" s="320"/>
    </row>
    <row r="114" spans="3:4">
      <c r="C114" s="320"/>
      <c r="D114" s="320"/>
    </row>
    <row r="115" spans="3:4">
      <c r="C115" s="320"/>
      <c r="D115" s="320"/>
    </row>
    <row r="116" spans="3:4">
      <c r="C116" s="320"/>
      <c r="D116" s="320"/>
    </row>
  </sheetData>
  <autoFilter ref="P2:T54" xr:uid="{5071FD87-44AE-4789-9C3B-6156A4BF1897}"/>
  <phoneticPr fontId="9" type="noConversion"/>
  <conditionalFormatting sqref="D3:D54 G3:G54 K3:L54 Q3:R54">
    <cfRule type="cellIs" dxfId="1" priority="1" operator="equal">
      <formula xml:space="preserve"> CHAR(32)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K15" sqref="K15"/>
    </sheetView>
    <sheetView workbookViewId="1"/>
  </sheetViews>
  <sheetFormatPr defaultRowHeight="27.75"/>
  <cols>
    <col min="1" max="1" width="8.796875" style="409"/>
    <col min="2" max="8" width="18.296875" style="409" customWidth="1"/>
    <col min="9" max="16384" width="8.796875" style="409"/>
  </cols>
  <sheetData>
    <row r="1" spans="2:8">
      <c r="B1" s="409" t="s">
        <v>691</v>
      </c>
    </row>
    <row r="3" spans="2:8">
      <c r="B3" s="413" t="s">
        <v>725</v>
      </c>
      <c r="C3" s="414" t="s">
        <v>692</v>
      </c>
      <c r="D3" s="414" t="s">
        <v>693</v>
      </c>
      <c r="E3" s="414" t="s">
        <v>694</v>
      </c>
      <c r="F3" s="414" t="s">
        <v>695</v>
      </c>
      <c r="G3" s="414" t="s">
        <v>696</v>
      </c>
      <c r="H3" s="415" t="s">
        <v>697</v>
      </c>
    </row>
    <row r="4" spans="2:8">
      <c r="B4" s="410" t="s">
        <v>698</v>
      </c>
      <c r="C4" s="420" t="s">
        <v>699</v>
      </c>
      <c r="D4" s="420" t="s">
        <v>700</v>
      </c>
      <c r="E4" s="420" t="s">
        <v>701</v>
      </c>
      <c r="F4" s="420" t="s">
        <v>702</v>
      </c>
      <c r="G4" s="420"/>
      <c r="H4" s="421"/>
    </row>
    <row r="5" spans="2:8">
      <c r="B5" s="410" t="s">
        <v>703</v>
      </c>
      <c r="C5" s="420" t="s">
        <v>704</v>
      </c>
      <c r="D5" s="420" t="s">
        <v>705</v>
      </c>
      <c r="E5" s="420"/>
      <c r="F5" s="420" t="s">
        <v>706</v>
      </c>
      <c r="G5" s="420"/>
      <c r="H5" s="421" t="s">
        <v>707</v>
      </c>
    </row>
    <row r="6" spans="2:8">
      <c r="B6" s="410" t="s">
        <v>708</v>
      </c>
      <c r="C6" s="420" t="s">
        <v>709</v>
      </c>
      <c r="D6" s="420" t="s">
        <v>710</v>
      </c>
      <c r="E6" s="420" t="s">
        <v>711</v>
      </c>
      <c r="F6" s="420"/>
      <c r="G6" s="420" t="s">
        <v>712</v>
      </c>
      <c r="H6" s="421"/>
    </row>
    <row r="7" spans="2:8">
      <c r="B7" s="410" t="s">
        <v>713</v>
      </c>
      <c r="C7" s="420" t="s">
        <v>714</v>
      </c>
      <c r="D7" s="420" t="s">
        <v>715</v>
      </c>
      <c r="E7" s="420" t="s">
        <v>716</v>
      </c>
      <c r="F7" s="420"/>
      <c r="G7" s="420" t="s">
        <v>717</v>
      </c>
      <c r="H7" s="421"/>
    </row>
    <row r="8" spans="2:8">
      <c r="B8" s="410" t="s">
        <v>718</v>
      </c>
      <c r="C8" s="420" t="s">
        <v>719</v>
      </c>
      <c r="D8" s="420" t="s">
        <v>720</v>
      </c>
      <c r="E8" s="420" t="s">
        <v>721</v>
      </c>
      <c r="F8" s="420" t="s">
        <v>722</v>
      </c>
      <c r="G8" s="420"/>
      <c r="H8" s="421"/>
    </row>
    <row r="9" spans="2:8">
      <c r="B9" s="412" t="s">
        <v>723</v>
      </c>
      <c r="C9" s="422"/>
      <c r="D9" s="422"/>
      <c r="E9" s="422"/>
      <c r="F9" s="422"/>
      <c r="G9" s="422" t="s">
        <v>724</v>
      </c>
      <c r="H9" s="423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  <sheetView workbookViewId="1"/>
  </sheetViews>
  <sheetFormatPr defaultRowHeight="27.75"/>
  <cols>
    <col min="1" max="1" width="2.19921875" style="409" customWidth="1"/>
    <col min="2" max="2" width="9.09765625" style="409" customWidth="1"/>
    <col min="3" max="21" width="9.19921875" style="409" customWidth="1"/>
    <col min="22" max="16384" width="8.796875" style="409"/>
  </cols>
  <sheetData>
    <row r="1" spans="2:21">
      <c r="B1" s="409" t="s">
        <v>726</v>
      </c>
    </row>
    <row r="3" spans="2:21" ht="30">
      <c r="B3" s="411" t="s">
        <v>727</v>
      </c>
      <c r="C3" s="481" t="s">
        <v>351</v>
      </c>
      <c r="D3" s="481" t="s">
        <v>797</v>
      </c>
      <c r="E3" s="481" t="s">
        <v>798</v>
      </c>
      <c r="F3" s="481" t="s">
        <v>329</v>
      </c>
      <c r="G3" s="481" t="s">
        <v>279</v>
      </c>
      <c r="H3" s="481" t="s">
        <v>799</v>
      </c>
      <c r="I3" s="483" t="s">
        <v>802</v>
      </c>
      <c r="J3" s="481" t="s">
        <v>800</v>
      </c>
      <c r="K3" s="481" t="s">
        <v>737</v>
      </c>
      <c r="L3" s="481" t="s">
        <v>318</v>
      </c>
      <c r="M3" s="481" t="s">
        <v>728</v>
      </c>
      <c r="N3" s="481" t="s">
        <v>738</v>
      </c>
      <c r="O3" s="481" t="s">
        <v>196</v>
      </c>
      <c r="P3" s="481" t="s">
        <v>295</v>
      </c>
      <c r="Q3" s="481" t="s">
        <v>739</v>
      </c>
      <c r="R3" s="481" t="s">
        <v>292</v>
      </c>
      <c r="S3" s="481" t="s">
        <v>298</v>
      </c>
      <c r="T3" s="481" t="s">
        <v>729</v>
      </c>
      <c r="U3" s="482" t="s">
        <v>801</v>
      </c>
    </row>
    <row r="4" spans="2:21">
      <c r="B4" s="410" t="s">
        <v>730</v>
      </c>
      <c r="C4" s="416" t="s">
        <v>58</v>
      </c>
      <c r="D4" s="416" t="s">
        <v>241</v>
      </c>
      <c r="E4" s="416" t="s">
        <v>72</v>
      </c>
      <c r="F4" s="416" t="s">
        <v>61</v>
      </c>
      <c r="G4" s="416" t="s">
        <v>54</v>
      </c>
      <c r="H4" s="416" t="s">
        <v>315</v>
      </c>
      <c r="I4" s="416" t="s">
        <v>304</v>
      </c>
      <c r="J4" s="416" t="s">
        <v>308</v>
      </c>
      <c r="K4" s="416" t="s">
        <v>731</v>
      </c>
      <c r="L4" s="416" t="s">
        <v>320</v>
      </c>
      <c r="M4" s="416" t="s">
        <v>473</v>
      </c>
      <c r="N4" s="416" t="s">
        <v>67</v>
      </c>
      <c r="O4" s="416" t="s">
        <v>56</v>
      </c>
      <c r="P4" s="416" t="s">
        <v>297</v>
      </c>
      <c r="Q4" s="416" t="s">
        <v>291</v>
      </c>
      <c r="R4" s="416" t="s">
        <v>732</v>
      </c>
      <c r="S4" s="416" t="s">
        <v>300</v>
      </c>
      <c r="T4" s="416" t="s">
        <v>145</v>
      </c>
      <c r="U4" s="417" t="s">
        <v>74</v>
      </c>
    </row>
    <row r="5" spans="2:21">
      <c r="B5" s="410" t="s">
        <v>733</v>
      </c>
      <c r="C5" s="416" t="s">
        <v>115</v>
      </c>
      <c r="D5" s="416" t="s">
        <v>117</v>
      </c>
      <c r="E5" s="416"/>
      <c r="F5" s="416" t="s">
        <v>119</v>
      </c>
      <c r="G5" s="416" t="s">
        <v>111</v>
      </c>
      <c r="H5" s="416" t="s">
        <v>258</v>
      </c>
      <c r="I5" s="416" t="s">
        <v>248</v>
      </c>
      <c r="J5" s="416"/>
      <c r="K5" s="416" t="s">
        <v>252</v>
      </c>
      <c r="L5" s="416" t="s">
        <v>262</v>
      </c>
      <c r="M5" s="416"/>
      <c r="N5" s="416" t="s">
        <v>121</v>
      </c>
      <c r="O5" s="416"/>
      <c r="P5" s="416" t="s">
        <v>238</v>
      </c>
      <c r="Q5" s="416" t="s">
        <v>229</v>
      </c>
      <c r="R5" s="416"/>
      <c r="S5" s="416"/>
      <c r="T5" s="416"/>
      <c r="U5" s="417"/>
    </row>
    <row r="6" spans="2:21">
      <c r="B6" s="424" t="s">
        <v>79</v>
      </c>
      <c r="C6" s="416" t="s">
        <v>99</v>
      </c>
      <c r="D6" s="416"/>
      <c r="E6" s="416"/>
      <c r="F6" s="416"/>
      <c r="G6" s="416" t="s">
        <v>734</v>
      </c>
      <c r="H6" s="416" t="s">
        <v>735</v>
      </c>
      <c r="I6" s="416"/>
      <c r="J6" s="416"/>
      <c r="K6" s="416"/>
      <c r="L6" s="416"/>
      <c r="M6" s="416"/>
      <c r="N6" s="416" t="s">
        <v>125</v>
      </c>
      <c r="O6" s="416"/>
      <c r="P6" s="416"/>
      <c r="Q6" s="416"/>
      <c r="R6" s="416"/>
      <c r="S6" s="416"/>
      <c r="T6" s="416"/>
      <c r="U6" s="417"/>
    </row>
    <row r="7" spans="2:21">
      <c r="B7" s="424" t="s">
        <v>77</v>
      </c>
      <c r="C7" s="416" t="s">
        <v>97</v>
      </c>
      <c r="D7" s="416"/>
      <c r="E7" s="416"/>
      <c r="F7" s="416"/>
      <c r="G7" s="416" t="s">
        <v>187</v>
      </c>
      <c r="H7" s="416" t="s">
        <v>173</v>
      </c>
      <c r="I7" s="416"/>
      <c r="J7" s="416"/>
      <c r="K7" s="416"/>
      <c r="L7" s="416"/>
      <c r="M7" s="416"/>
      <c r="N7" s="416"/>
      <c r="O7" s="416" t="s">
        <v>182</v>
      </c>
      <c r="P7" s="416" t="s">
        <v>169</v>
      </c>
      <c r="Q7" s="416"/>
      <c r="R7" s="416"/>
      <c r="S7" s="416"/>
      <c r="T7" s="416"/>
      <c r="U7" s="417"/>
    </row>
    <row r="8" spans="2:21">
      <c r="B8" s="425" t="s">
        <v>736</v>
      </c>
      <c r="C8" s="418" t="s">
        <v>95</v>
      </c>
      <c r="D8" s="418"/>
      <c r="E8" s="418"/>
      <c r="F8" s="418"/>
      <c r="G8" s="418" t="s">
        <v>156</v>
      </c>
      <c r="H8" s="418" t="s">
        <v>159</v>
      </c>
      <c r="I8" s="418"/>
      <c r="J8" s="418"/>
      <c r="K8" s="418" t="s">
        <v>154</v>
      </c>
      <c r="L8" s="418"/>
      <c r="M8" s="418"/>
      <c r="N8" s="418" t="s">
        <v>101</v>
      </c>
      <c r="O8" s="418"/>
      <c r="P8" s="418"/>
      <c r="Q8" s="418"/>
      <c r="R8" s="418"/>
      <c r="S8" s="418"/>
      <c r="T8" s="418"/>
      <c r="U8" s="419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具名範圍</vt:lpstr>
      </vt:variant>
      <vt:variant>
        <vt:i4>10</vt:i4>
      </vt:variant>
    </vt:vector>
  </HeadingPairs>
  <TitlesOfParts>
    <vt:vector size="26" baseType="lpstr">
      <vt:lpstr>使用按鍵解析</vt:lpstr>
      <vt:lpstr>注音編碼對照表</vt:lpstr>
      <vt:lpstr>方音符號表</vt:lpstr>
      <vt:lpstr>台語音標符號表</vt:lpstr>
      <vt:lpstr>RIME設定解析</vt:lpstr>
      <vt:lpstr> 所有入聲韻</vt:lpstr>
      <vt:lpstr>方音鍵盤</vt:lpstr>
      <vt:lpstr>台語音標注音鍵盤</vt:lpstr>
      <vt:lpstr>拼音鍵盤</vt:lpstr>
      <vt:lpstr>注音符號、電腦鍵盤與音標編碼</vt:lpstr>
      <vt:lpstr>台語方音字典編碼</vt:lpstr>
      <vt:lpstr>RIME對映編碼 (台語方音)</vt:lpstr>
      <vt:lpstr>參考鍵盤</vt:lpstr>
      <vt:lpstr>方音符號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2024-11-26T09:48:35Z</dcterms:modified>
</cp:coreProperties>
</file>