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D1BE469-3CA7-4548-ABAE-6D910F7BEEA6}" xr6:coauthVersionLast="47" xr6:coauthVersionMax="47" xr10:uidLastSave="{00000000-0000-0000-0000-000000000000}"/>
  <bookViews>
    <workbookView xWindow="-28920" yWindow="-120" windowWidth="29040" windowHeight="15720" activeTab="1" xr2:uid="{E87E5C8B-EACA-42E9-8621-62DDB8F02212}"/>
  </bookViews>
  <sheets>
    <sheet name="使用按鍵解析" sheetId="9" r:id="rId1"/>
    <sheet name="RIME設定解析" sheetId="10" r:id="rId2"/>
    <sheet name="方音符號V2" sheetId="8" r:id="rId3"/>
    <sheet name="方音符號" sheetId="7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</sheets>
  <externalReferences>
    <externalReference r:id="rId10"/>
    <externalReference r:id="rId11"/>
  </externalReferences>
  <definedNames>
    <definedName name="_xlnm._FilterDatabase" localSheetId="3" hidden="1">方音符號!$P$2:$T$54</definedName>
    <definedName name="_xlnm._FilterDatabase" localSheetId="5" hidden="1">'注音符號、電腦鍵盤與音標編碼'!$B$2:$K$56</definedName>
    <definedName name="方音符號" localSheetId="1">RIME設定解析!$V$3:$V$54</definedName>
    <definedName name="方音符號" localSheetId="7">'RIME對映編碼 (台語方音)'!$U$3:$U$44</definedName>
    <definedName name="方音符號" localSheetId="3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1">RIME設定解析!$V$3:$V$54</definedName>
    <definedName name="注音符號" localSheetId="3">#REF!</definedName>
    <definedName name="注音符號">#REF!</definedName>
    <definedName name="注音編碼" localSheetId="1">RIME設定解析!$W$3:$W$54</definedName>
    <definedName name="注音編碼" localSheetId="0">[2]RIME設定解析!$W$3:$W$54</definedName>
    <definedName name="注音編碼">方音符號V2!$V$2:$V$53</definedName>
    <definedName name="拼音字母" localSheetId="1">RIME設定解析!$X$3:$X$54</definedName>
    <definedName name="拼音字母" localSheetId="7">'RIME對映編碼 (台語方音)'!#REF!</definedName>
    <definedName name="拼音字母" localSheetId="3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1">RIME設定解析!$W$3:$W$54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1">RIME設定解析!$U$3:$U$54</definedName>
    <definedName name="鍵盤位置" localSheetId="7">'RIME對映編碼 (台語方音)'!$S$3:$S$44</definedName>
    <definedName name="鍵盤位置" localSheetId="3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1">RIME設定解析!$U$3:$U$54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0" l="1"/>
  <c r="AF5" i="10"/>
  <c r="AF4" i="10"/>
  <c r="AH15" i="10"/>
  <c r="AH14" i="10"/>
  <c r="AH19" i="10"/>
  <c r="AH18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3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AH10" i="10"/>
  <c r="Z49" i="10"/>
  <c r="H49" i="10"/>
  <c r="D49" i="10"/>
  <c r="Z48" i="10"/>
  <c r="H48" i="10"/>
  <c r="D48" i="10"/>
  <c r="Z47" i="10"/>
  <c r="H47" i="10"/>
  <c r="D47" i="10"/>
  <c r="Z46" i="10"/>
  <c r="H46" i="10"/>
  <c r="Z45" i="10"/>
  <c r="H45" i="10"/>
  <c r="Z44" i="10"/>
  <c r="H44" i="10"/>
  <c r="Z43" i="10"/>
  <c r="H43" i="10"/>
  <c r="Z42" i="10"/>
  <c r="H42" i="10"/>
  <c r="Z41" i="10"/>
  <c r="H41" i="10"/>
  <c r="Z40" i="10"/>
  <c r="H40" i="10"/>
  <c r="Z39" i="10"/>
  <c r="H39" i="10"/>
  <c r="Z38" i="10"/>
  <c r="H38" i="10"/>
  <c r="Z37" i="10"/>
  <c r="H37" i="10"/>
  <c r="Z36" i="10"/>
  <c r="H36" i="10"/>
  <c r="Z35" i="10"/>
  <c r="H35" i="10"/>
  <c r="Z34" i="10"/>
  <c r="H34" i="10"/>
  <c r="Z33" i="10"/>
  <c r="H33" i="10"/>
  <c r="Z32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16" i="10" l="1"/>
  <c r="Q26" i="10"/>
  <c r="Q9" i="10"/>
  <c r="B15" i="10"/>
  <c r="Q18" i="10"/>
  <c r="Q41" i="10"/>
  <c r="B48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AG10" i="10"/>
  <c r="Q38" i="10"/>
  <c r="AG14" i="10"/>
  <c r="C7" i="9"/>
  <c r="J53" i="10" l="1"/>
  <c r="J51" i="10"/>
  <c r="J22" i="10"/>
  <c r="M22" i="10" s="1"/>
  <c r="J38" i="10"/>
  <c r="J35" i="10"/>
  <c r="J32" i="10"/>
  <c r="J29" i="10"/>
  <c r="J26" i="10"/>
  <c r="J10" i="10"/>
  <c r="J9" i="10"/>
  <c r="J41" i="10"/>
  <c r="J46" i="10"/>
  <c r="J20" i="10"/>
  <c r="M20" i="10" s="1"/>
  <c r="J44" i="10"/>
  <c r="J19" i="10"/>
  <c r="J6" i="10"/>
  <c r="J3" i="10"/>
  <c r="J36" i="10"/>
  <c r="J33" i="10"/>
  <c r="J30" i="10"/>
  <c r="J27" i="10"/>
  <c r="J18" i="10"/>
  <c r="J15" i="10"/>
  <c r="J12" i="10"/>
  <c r="J54" i="10"/>
  <c r="J52" i="10"/>
  <c r="J50" i="10"/>
  <c r="J47" i="10"/>
  <c r="J39" i="10"/>
  <c r="J17" i="10"/>
  <c r="J14" i="10"/>
  <c r="J7" i="10"/>
  <c r="J5" i="10"/>
  <c r="J4" i="10"/>
  <c r="J42" i="10"/>
  <c r="J16" i="10"/>
  <c r="J13" i="10"/>
  <c r="J48" i="10"/>
  <c r="J24" i="10"/>
  <c r="J45" i="10"/>
  <c r="J37" i="10"/>
  <c r="J34" i="10"/>
  <c r="J31" i="10"/>
  <c r="J28" i="10"/>
  <c r="C7" i="10"/>
  <c r="J40" i="10"/>
  <c r="J23" i="10"/>
  <c r="J11" i="10"/>
  <c r="J25" i="10"/>
  <c r="J21" i="10"/>
  <c r="M21" i="10" s="1"/>
  <c r="J8" i="10"/>
  <c r="J49" i="10"/>
  <c r="J43" i="10"/>
  <c r="I49" i="10"/>
  <c r="I43" i="10"/>
  <c r="I53" i="10"/>
  <c r="I51" i="10"/>
  <c r="I22" i="10"/>
  <c r="I38" i="10"/>
  <c r="I35" i="10"/>
  <c r="I32" i="10"/>
  <c r="I29" i="10"/>
  <c r="I26" i="10"/>
  <c r="I41" i="10"/>
  <c r="I21" i="10"/>
  <c r="I11" i="10"/>
  <c r="I46" i="10"/>
  <c r="I20" i="10"/>
  <c r="I3" i="10"/>
  <c r="I44" i="10"/>
  <c r="I19" i="10"/>
  <c r="I6" i="10"/>
  <c r="I36" i="10"/>
  <c r="I33" i="10"/>
  <c r="I30" i="10"/>
  <c r="I27" i="10"/>
  <c r="I18" i="10"/>
  <c r="I15" i="10"/>
  <c r="I12" i="10"/>
  <c r="I54" i="10"/>
  <c r="I52" i="10"/>
  <c r="I50" i="10"/>
  <c r="I47" i="10"/>
  <c r="I39" i="10"/>
  <c r="I17" i="10"/>
  <c r="I14" i="10"/>
  <c r="I7" i="10"/>
  <c r="C6" i="10"/>
  <c r="I5" i="10"/>
  <c r="I4" i="10"/>
  <c r="I42" i="10"/>
  <c r="I16" i="10"/>
  <c r="I13" i="10"/>
  <c r="I48" i="10"/>
  <c r="I24" i="10"/>
  <c r="I10" i="10"/>
  <c r="I40" i="10"/>
  <c r="I28" i="10"/>
  <c r="I23" i="10"/>
  <c r="I9" i="10"/>
  <c r="I34" i="10"/>
  <c r="I31" i="10"/>
  <c r="I25" i="10"/>
  <c r="I8" i="10"/>
  <c r="I37" i="10"/>
  <c r="I45" i="10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C50" i="9"/>
  <c r="C44" i="9"/>
  <c r="C38" i="9"/>
  <c r="C32" i="9"/>
  <c r="C26" i="9"/>
  <c r="C20" i="9"/>
  <c r="C14" i="9"/>
  <c r="C15" i="9"/>
  <c r="C61" i="9"/>
  <c r="C55" i="9"/>
  <c r="C49" i="9"/>
  <c r="C43" i="9"/>
  <c r="C37" i="9"/>
  <c r="C31" i="9"/>
  <c r="C25" i="9"/>
  <c r="C19" i="9"/>
  <c r="C13" i="9"/>
  <c r="C27" i="9"/>
  <c r="C60" i="9"/>
  <c r="C54" i="9"/>
  <c r="C48" i="9"/>
  <c r="C42" i="9"/>
  <c r="C36" i="9"/>
  <c r="C30" i="9"/>
  <c r="C24" i="9"/>
  <c r="C18" i="9"/>
  <c r="C12" i="9"/>
  <c r="C21" i="9"/>
  <c r="C33" i="9"/>
  <c r="C59" i="9"/>
  <c r="C53" i="9"/>
  <c r="C47" i="9"/>
  <c r="C41" i="9"/>
  <c r="C35" i="9"/>
  <c r="C29" i="9"/>
  <c r="C23" i="9"/>
  <c r="C17" i="9"/>
  <c r="C11" i="9"/>
  <c r="C39" i="9"/>
  <c r="C57" i="9"/>
  <c r="C58" i="9"/>
  <c r="C52" i="9"/>
  <c r="C46" i="9"/>
  <c r="C40" i="9"/>
  <c r="C34" i="9"/>
  <c r="C28" i="9"/>
  <c r="C22" i="9"/>
  <c r="C16" i="9"/>
  <c r="C8" i="9"/>
  <c r="C45" i="9"/>
  <c r="C51" i="9"/>
  <c r="V54" i="10" l="1" a="1"/>
  <c r="V54" i="10" s="1"/>
  <c r="V52" i="10" a="1"/>
  <c r="V52" i="10" s="1"/>
  <c r="V47" i="10" a="1"/>
  <c r="V47" i="10" s="1"/>
  <c r="V24" i="10" a="1"/>
  <c r="V24" i="10" s="1"/>
  <c r="E49" i="10"/>
  <c r="V37" i="10" a="1"/>
  <c r="V37" i="10" s="1"/>
  <c r="V34" i="10" a="1"/>
  <c r="V34" i="10" s="1"/>
  <c r="V31" i="10" a="1"/>
  <c r="V31" i="10" s="1"/>
  <c r="V28" i="10" a="1"/>
  <c r="V28" i="10" s="1"/>
  <c r="V45" i="10" a="1"/>
  <c r="V45" i="10" s="1"/>
  <c r="V43" i="10" a="1"/>
  <c r="V43" i="10" s="1"/>
  <c r="V11" i="10" a="1"/>
  <c r="V11" i="10" s="1"/>
  <c r="V53" i="10" a="1"/>
  <c r="V53" i="10" s="1"/>
  <c r="V51" i="10" a="1"/>
  <c r="V51" i="10" s="1"/>
  <c r="V41" i="10" a="1"/>
  <c r="V41" i="10" s="1"/>
  <c r="V21" i="10" a="1"/>
  <c r="V21" i="10" s="1"/>
  <c r="E54" i="10"/>
  <c r="E52" i="10"/>
  <c r="V46" i="10" a="1"/>
  <c r="V46" i="10" s="1"/>
  <c r="V36" i="10" a="1"/>
  <c r="V36" i="10" s="1"/>
  <c r="V27" i="10" a="1"/>
  <c r="V27" i="10" s="1"/>
  <c r="V15" i="10" a="1"/>
  <c r="V15" i="10" s="1"/>
  <c r="E58" i="10"/>
  <c r="V33" i="10" a="1"/>
  <c r="V33" i="10" s="1"/>
  <c r="V12" i="10" a="1"/>
  <c r="V12" i="10" s="1"/>
  <c r="V19" i="10" a="1"/>
  <c r="V19" i="10" s="1"/>
  <c r="V18" i="10" a="1"/>
  <c r="V18" i="10" s="1"/>
  <c r="E61" i="10"/>
  <c r="V30" i="10" a="1"/>
  <c r="V30" i="10" s="1"/>
  <c r="V13" i="10" a="1"/>
  <c r="V13" i="10" s="1"/>
  <c r="V14" i="10" a="1"/>
  <c r="V14" i="10" s="1"/>
  <c r="E56" i="10"/>
  <c r="V16" i="10" a="1"/>
  <c r="V16" i="10" s="1"/>
  <c r="V49" i="10" a="1"/>
  <c r="V49" i="10" s="1"/>
  <c r="E63" i="10"/>
  <c r="E76" i="10"/>
  <c r="V10" i="10" a="1"/>
  <c r="V10" i="10" s="1"/>
  <c r="E68" i="10"/>
  <c r="E47" i="10"/>
  <c r="V6" i="10" a="1"/>
  <c r="V6" i="10" s="1"/>
  <c r="V42" i="10" a="1"/>
  <c r="V42" i="10" s="1"/>
  <c r="E62" i="10"/>
  <c r="E67" i="10"/>
  <c r="E80" i="10"/>
  <c r="E73" i="10"/>
  <c r="E70" i="10"/>
  <c r="E75" i="10"/>
  <c r="E79" i="10"/>
  <c r="E82" i="10"/>
  <c r="E87" i="10"/>
  <c r="V50" i="10" a="1"/>
  <c r="V50" i="10" s="1"/>
  <c r="V40" i="10" a="1"/>
  <c r="V40" i="10" s="1"/>
  <c r="E50" i="10"/>
  <c r="E72" i="10"/>
  <c r="E81" i="10"/>
  <c r="V3" i="10" a="1"/>
  <c r="V3" i="10" s="1"/>
  <c r="V25" i="10" a="1"/>
  <c r="V25" i="10" s="1"/>
  <c r="E66" i="10"/>
  <c r="E71" i="10"/>
  <c r="E84" i="10"/>
  <c r="V7" i="10" a="1"/>
  <c r="V7" i="10" s="1"/>
  <c r="E88" i="10"/>
  <c r="E57" i="10"/>
  <c r="E59" i="10"/>
  <c r="E86" i="10"/>
  <c r="V4" i="10" a="1"/>
  <c r="V4" i="10" s="1"/>
  <c r="E77" i="10"/>
  <c r="V20" i="10" a="1"/>
  <c r="V20" i="10" s="1"/>
  <c r="V9" i="10" a="1"/>
  <c r="V9" i="10" s="1"/>
  <c r="E74" i="10"/>
  <c r="E48" i="10"/>
  <c r="V38" i="10" a="1"/>
  <c r="V38" i="10" s="1"/>
  <c r="V5" i="10" a="1"/>
  <c r="V5" i="10" s="1"/>
  <c r="E85" i="10"/>
  <c r="V17" i="10" a="1"/>
  <c r="V17" i="10" s="1"/>
  <c r="E78" i="10"/>
  <c r="E83" i="10"/>
  <c r="V8" i="10" a="1"/>
  <c r="V8" i="10" s="1"/>
  <c r="E53" i="10"/>
  <c r="E55" i="10"/>
  <c r="V35" i="10" a="1"/>
  <c r="V35" i="10" s="1"/>
  <c r="E69" i="10"/>
  <c r="V39" i="10" a="1"/>
  <c r="V39" i="10" s="1"/>
  <c r="V23" i="10" a="1"/>
  <c r="V23" i="10" s="1"/>
  <c r="V26" i="10" a="1"/>
  <c r="V26" i="10" s="1"/>
  <c r="E64" i="10"/>
  <c r="V44" i="10" a="1"/>
  <c r="V44" i="10" s="1"/>
  <c r="E51" i="10"/>
  <c r="E65" i="10"/>
  <c r="V29" i="10" a="1"/>
  <c r="V29" i="10" s="1"/>
  <c r="V22" i="10" a="1"/>
  <c r="V22" i="10" s="1"/>
  <c r="E60" i="10"/>
  <c r="V32" i="10" a="1"/>
  <c r="V32" i="10" s="1"/>
  <c r="V48" i="10" a="1"/>
  <c r="V48" i="10" s="1"/>
  <c r="W54" i="10" a="1"/>
  <c r="W54" i="10" s="1"/>
  <c r="W23" i="10" a="1"/>
  <c r="W23" i="10" s="1"/>
  <c r="W37" i="10" a="1"/>
  <c r="W37" i="10" s="1"/>
  <c r="W34" i="10" a="1"/>
  <c r="W34" i="10" s="1"/>
  <c r="W31" i="10" a="1"/>
  <c r="W31" i="10" s="1"/>
  <c r="W28" i="10" a="1"/>
  <c r="W28" i="10" s="1"/>
  <c r="F49" i="10"/>
  <c r="W48" i="10" a="1"/>
  <c r="W48" i="10" s="1"/>
  <c r="W40" i="10" a="1"/>
  <c r="W40" i="10" s="1"/>
  <c r="W25" i="10" a="1"/>
  <c r="W25" i="10" s="1"/>
  <c r="F53" i="10"/>
  <c r="F51" i="10"/>
  <c r="W45" i="10" a="1"/>
  <c r="W45" i="10" s="1"/>
  <c r="W43" i="10" a="1"/>
  <c r="W43" i="10" s="1"/>
  <c r="W21" i="10" a="1"/>
  <c r="W21" i="10" s="1"/>
  <c r="W11" i="10" a="1"/>
  <c r="W11" i="10" s="1"/>
  <c r="W46" i="10" a="1"/>
  <c r="W46" i="10" s="1"/>
  <c r="W36" i="10" a="1"/>
  <c r="W36" i="10" s="1"/>
  <c r="W33" i="10" a="1"/>
  <c r="W33" i="10" s="1"/>
  <c r="W30" i="10" a="1"/>
  <c r="W30" i="10" s="1"/>
  <c r="W27" i="10" a="1"/>
  <c r="W27" i="10" s="1"/>
  <c r="W18" i="10" a="1"/>
  <c r="W18" i="10" s="1"/>
  <c r="W15" i="10" a="1"/>
  <c r="W15" i="10" s="1"/>
  <c r="W12" i="10" a="1"/>
  <c r="W12" i="10" s="1"/>
  <c r="W4" i="10" a="1"/>
  <c r="W4" i="10" s="1"/>
  <c r="W7" i="10" a="1"/>
  <c r="W7" i="10" s="1"/>
  <c r="W42" i="10" a="1"/>
  <c r="W42" i="10" s="1"/>
  <c r="F48" i="10"/>
  <c r="W8" i="10" a="1"/>
  <c r="W8" i="10" s="1"/>
  <c r="W5" i="10" a="1"/>
  <c r="W5" i="10" s="1"/>
  <c r="W39" i="10" a="1"/>
  <c r="W39" i="10" s="1"/>
  <c r="W17" i="10" a="1"/>
  <c r="W17" i="10" s="1"/>
  <c r="W14" i="10" a="1"/>
  <c r="W14" i="10" s="1"/>
  <c r="F70" i="10"/>
  <c r="W51" i="10" a="1"/>
  <c r="W51" i="10" s="1"/>
  <c r="F58" i="10"/>
  <c r="W29" i="10" a="1"/>
  <c r="W29" i="10" s="1"/>
  <c r="F65" i="10"/>
  <c r="W35" i="10" a="1"/>
  <c r="W35" i="10" s="1"/>
  <c r="F71" i="10"/>
  <c r="F87" i="10"/>
  <c r="W6" i="10" a="1"/>
  <c r="W6" i="10" s="1"/>
  <c r="W24" i="10" a="1"/>
  <c r="W24" i="10" s="1"/>
  <c r="F81" i="10"/>
  <c r="F78" i="10"/>
  <c r="F63" i="10"/>
  <c r="W53" i="10" a="1"/>
  <c r="W53" i="10" s="1"/>
  <c r="F66" i="10"/>
  <c r="F88" i="10"/>
  <c r="F52" i="10"/>
  <c r="W41" i="10" a="1"/>
  <c r="W41" i="10" s="1"/>
  <c r="W9" i="10" a="1"/>
  <c r="W9" i="10" s="1"/>
  <c r="W3" i="10" a="1"/>
  <c r="W3" i="10" s="1"/>
  <c r="F73" i="10"/>
  <c r="F64" i="10"/>
  <c r="F76" i="10"/>
  <c r="W38" i="10" a="1"/>
  <c r="W38" i="10" s="1"/>
  <c r="W47" i="10" a="1"/>
  <c r="W47" i="10" s="1"/>
  <c r="F59" i="10"/>
  <c r="F79" i="10"/>
  <c r="W16" i="10" a="1"/>
  <c r="W16" i="10" s="1"/>
  <c r="F77" i="10"/>
  <c r="F56" i="10"/>
  <c r="W20" i="10" a="1"/>
  <c r="W20" i="10" s="1"/>
  <c r="F84" i="10"/>
  <c r="F82" i="10"/>
  <c r="F62" i="10"/>
  <c r="F67" i="10"/>
  <c r="F85" i="10"/>
  <c r="W19" i="10" a="1"/>
  <c r="W19" i="10" s="1"/>
  <c r="F47" i="10"/>
  <c r="F68" i="10"/>
  <c r="W50" i="10" a="1"/>
  <c r="W50" i="10" s="1"/>
  <c r="W44" i="10" a="1"/>
  <c r="W44" i="10" s="1"/>
  <c r="F60" i="10"/>
  <c r="W13" i="10" a="1"/>
  <c r="W13" i="10" s="1"/>
  <c r="W22" i="10" a="1"/>
  <c r="W22" i="10" s="1"/>
  <c r="F72" i="10"/>
  <c r="W52" i="10" a="1"/>
  <c r="W52" i="10" s="1"/>
  <c r="F57" i="10"/>
  <c r="F50" i="10"/>
  <c r="F75" i="10"/>
  <c r="F69" i="10"/>
  <c r="W49" i="10" a="1"/>
  <c r="W49" i="10" s="1"/>
  <c r="F83" i="10"/>
  <c r="W10" i="10" a="1"/>
  <c r="W10" i="10" s="1"/>
  <c r="F80" i="10"/>
  <c r="W26" i="10" a="1"/>
  <c r="W26" i="10" s="1"/>
  <c r="F74" i="10"/>
  <c r="F54" i="10"/>
  <c r="F55" i="10"/>
  <c r="F86" i="10"/>
  <c r="W32" i="10" a="1"/>
  <c r="W32" i="10" s="1"/>
  <c r="F61" i="10"/>
  <c r="AH9" i="10" l="1"/>
  <c r="AC55" i="10"/>
  <c r="AC56" i="10"/>
  <c r="AC57" i="10"/>
  <c r="AC58" i="10"/>
  <c r="AA57" i="10"/>
  <c r="AA55" i="10"/>
  <c r="AA58" i="10"/>
  <c r="AA56" i="10"/>
  <c r="AG18" i="10" l="1"/>
  <c r="AG9" i="10"/>
  <c r="AQ10" i="10" s="1"/>
  <c r="AH8" i="10"/>
  <c r="AW9" i="10"/>
  <c r="AV10" i="10" s="1"/>
  <c r="AV14" i="10" s="1"/>
  <c r="AW14" i="10" s="1"/>
  <c r="AW18" i="10" l="1"/>
  <c r="AG19" i="10"/>
  <c r="AV19" i="10"/>
  <c r="AV15" i="10"/>
  <c r="AG15" i="10"/>
  <c r="AH13" i="10"/>
  <c r="AH17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16" i="7" a="1"/>
  <c r="K23" i="7" a="1"/>
  <c r="K24" i="7" a="1"/>
  <c r="K19" i="7" a="1"/>
  <c r="K27" i="7" a="1"/>
  <c r="K3" i="7" a="1"/>
  <c r="K31" i="7" a="1"/>
  <c r="K22" i="7" a="1"/>
  <c r="K29" i="7" a="1"/>
  <c r="K28" i="7" a="1"/>
  <c r="K35" i="7" a="1"/>
  <c r="K36" i="7" a="1"/>
  <c r="K34" i="7" a="1"/>
  <c r="K41" i="7" a="1"/>
  <c r="K42" i="7" a="1"/>
  <c r="K37" i="7" a="1"/>
  <c r="K40" i="7" a="1"/>
  <c r="K47" i="7" a="1"/>
  <c r="K48" i="7" a="1"/>
  <c r="K43" i="7" a="1"/>
  <c r="K46" i="7" a="1"/>
  <c r="K53" i="7" a="1"/>
  <c r="K54" i="7" a="1"/>
  <c r="K49" i="7" a="1"/>
  <c r="K38" i="7" a="1"/>
  <c r="K52" i="7" a="1"/>
  <c r="K15" i="7" a="1"/>
  <c r="K44" i="7" a="1"/>
  <c r="K32" i="7" a="1"/>
  <c r="K6" i="7" a="1"/>
  <c r="K33" i="7" a="1"/>
  <c r="K51" i="7" a="1"/>
  <c r="K21" i="7" a="1"/>
  <c r="K9" i="7" a="1"/>
  <c r="K26" i="7" a="1"/>
  <c r="K8" i="7" a="1"/>
  <c r="K39" i="7" a="1"/>
  <c r="K50" i="7" a="1"/>
  <c r="K45" i="7" a="1"/>
  <c r="K5" i="7" a="1"/>
  <c r="K4" i="7" a="1"/>
  <c r="K11" i="7" a="1"/>
  <c r="K12" i="7" a="1"/>
  <c r="K7" i="7" a="1"/>
  <c r="K14" i="7" a="1"/>
  <c r="K30" i="7" a="1"/>
  <c r="K10" i="7" a="1"/>
  <c r="K17" i="7" a="1"/>
  <c r="K18" i="7" a="1"/>
  <c r="K13" i="7" a="1"/>
  <c r="K20" i="7" a="1"/>
  <c r="K25" i="7" a="1"/>
  <c r="K27" i="7" l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K13" i="7"/>
  <c r="K7" i="7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K10" i="7"/>
  <c r="Q10" i="7" s="1"/>
  <c r="K4" i="7"/>
  <c r="Q4" i="7" s="1"/>
  <c r="Q27" i="7"/>
  <c r="Q13" i="7"/>
  <c r="Q24" i="7"/>
  <c r="Q18" i="7"/>
  <c r="Q7" i="7"/>
  <c r="Q23" i="7"/>
  <c r="Q20" i="7"/>
  <c r="Q19" i="7"/>
  <c r="Q16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Z17" i="5" a="1"/>
  <c r="AX17" i="5" a="1"/>
  <c r="AU17" i="5" a="1"/>
  <c r="U17" i="5" a="1"/>
  <c r="X17" i="5" a="1"/>
  <c r="AF17" i="5" a="1"/>
  <c r="AK17" i="5" a="1"/>
  <c r="M17" i="5" a="1"/>
  <c r="T17" i="5" a="1"/>
  <c r="AO17" i="5" a="1"/>
  <c r="AG17" i="5" a="1"/>
  <c r="AY17" i="5" a="1"/>
  <c r="AS17" i="5" a="1"/>
  <c r="AW17" i="5" a="1"/>
  <c r="H17" i="5" a="1"/>
  <c r="AT17" i="5" a="1"/>
  <c r="N17" i="5" a="1"/>
  <c r="AP17" i="5" a="1"/>
  <c r="AC17" i="5" a="1"/>
  <c r="E17" i="5" a="1"/>
  <c r="I17" i="5" a="1"/>
  <c r="BC17" i="5" a="1"/>
  <c r="F17" i="5" a="1"/>
  <c r="AZ17" i="5" a="1"/>
  <c r="AD17" i="5" a="1"/>
  <c r="J17" i="5" a="1"/>
  <c r="AQ17" i="5" a="1"/>
  <c r="AN17" i="5" a="1"/>
  <c r="K17" i="5" a="1"/>
  <c r="O17" i="5" a="1"/>
  <c r="L17" i="5" a="1"/>
  <c r="AL17" i="5" a="1"/>
  <c r="BA17" i="5" a="1"/>
  <c r="Y17" i="5" a="1"/>
  <c r="R17" i="5" a="1"/>
  <c r="W17" i="5" a="1"/>
  <c r="AJ17" i="5" a="1"/>
  <c r="D17" i="5" a="1"/>
  <c r="AI17" i="5" a="1"/>
  <c r="G17" i="5" a="1"/>
  <c r="V17" i="5" a="1"/>
  <c r="Q17" i="5" a="1"/>
  <c r="AH17" i="5" a="1"/>
  <c r="S17" i="5" a="1"/>
  <c r="P17" i="5" a="1"/>
  <c r="AM17" i="5" a="1"/>
  <c r="AB17" i="5" a="1"/>
  <c r="AE17" i="5" a="1"/>
  <c r="AA17" i="5" a="1"/>
  <c r="AV17" i="5" a="1"/>
  <c r="AR17" i="5" a="1"/>
  <c r="BB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S20" i="5" a="1"/>
  <c r="S20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AF12" i="5"/>
  <c r="D10" i="5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E4" i="5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S9" i="5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S13" i="5"/>
  <c r="Q13" i="5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AL3" i="3" a="1"/>
  <c r="AR3" i="3" a="1"/>
  <c r="BM6" i="3" a="1"/>
  <c r="AV6" i="3" a="1"/>
  <c r="BX5" i="3" a="1"/>
  <c r="AT3" i="3" a="1"/>
  <c r="BS4" i="3" a="1"/>
  <c r="AJ5" i="3" a="1"/>
  <c r="AX4" i="3" a="1"/>
  <c r="BI6" i="3" a="1"/>
  <c r="AO6" i="3" a="1"/>
  <c r="BV6" i="3" a="1"/>
  <c r="X6" i="3" a="1"/>
  <c r="AT4" i="3" a="1"/>
  <c r="AN3" i="3" a="1"/>
  <c r="AC6" i="3" a="1"/>
  <c r="BC3" i="3" a="1"/>
  <c r="AE3" i="3" a="1"/>
  <c r="AR5" i="3" a="1"/>
  <c r="BW4" i="3" a="1"/>
  <c r="Z6" i="3" a="1"/>
  <c r="BJ4" i="3" a="1"/>
  <c r="BA6" i="3" a="1"/>
  <c r="AP4" i="3" a="1"/>
  <c r="BU4" i="3" a="1"/>
  <c r="AC3" i="3" a="1"/>
  <c r="BQ6" i="3" a="1"/>
  <c r="BB6" i="3" a="1"/>
  <c r="BV5" i="3" a="1"/>
  <c r="BC5" i="3" a="1"/>
  <c r="BH5" i="3" a="1"/>
  <c r="X4" i="3" a="1"/>
  <c r="AG3" i="3" a="1"/>
  <c r="AC5" i="3" a="1"/>
  <c r="BB4" i="3" a="1"/>
  <c r="AP5" i="3" a="1"/>
  <c r="AQ3" i="3" a="1"/>
  <c r="AL4" i="3" a="1"/>
  <c r="AS4" i="3" a="1"/>
  <c r="BG4" i="3" a="1"/>
  <c r="AD5" i="3" a="1"/>
  <c r="BH6" i="3" a="1"/>
  <c r="X3" i="3" a="1"/>
  <c r="AS3" i="3" a="1"/>
  <c r="AH6" i="3" a="1"/>
  <c r="BJ6" i="3" a="1"/>
  <c r="AY4" i="3" a="1"/>
  <c r="AS5" i="3" a="1"/>
  <c r="Z5" i="3" a="1"/>
  <c r="V6" i="3" a="1"/>
  <c r="AQ6" i="3" a="1"/>
  <c r="AW6" i="3" a="1"/>
  <c r="BM4" i="3" a="1"/>
  <c r="V3" i="3" a="1"/>
  <c r="BE5" i="3" a="1"/>
  <c r="BW6" i="3" a="1"/>
  <c r="AZ5" i="3" a="1"/>
  <c r="BE6" i="3" a="1"/>
  <c r="BR4" i="3" a="1"/>
  <c r="AU4" i="3" a="1"/>
  <c r="AY6" i="3" a="1"/>
  <c r="BU3" i="3" a="1"/>
  <c r="AA4" i="3" a="1"/>
  <c r="AK3" i="3" a="1"/>
  <c r="AV5" i="3" a="1"/>
  <c r="AM5" i="3" a="1"/>
  <c r="AK5" i="3" a="1"/>
  <c r="AI4" i="3" a="1"/>
  <c r="AF6" i="3" a="1"/>
  <c r="AX3" i="3" a="1"/>
  <c r="V4" i="3" a="1"/>
  <c r="BD5" i="3" a="1"/>
  <c r="AV3" i="3" a="1"/>
  <c r="V5" i="3" a="1"/>
  <c r="AS6" i="3" a="1"/>
  <c r="BK3" i="3" a="1"/>
  <c r="AE5" i="3" a="1"/>
  <c r="AK6" i="3" a="1"/>
  <c r="Z3" i="3" a="1"/>
  <c r="BH4" i="3" a="1"/>
  <c r="BN5" i="3" a="1"/>
  <c r="BA3" i="3" a="1"/>
  <c r="BV3" i="3" a="1"/>
  <c r="AA6" i="3" a="1"/>
  <c r="BL5" i="3" a="1"/>
  <c r="BI4" i="3" a="1"/>
  <c r="AB4" i="3" a="1"/>
  <c r="W4" i="3" a="1"/>
  <c r="BE4" i="3" a="1"/>
  <c r="AI3" i="3" a="1"/>
  <c r="BA5" i="3" a="1"/>
  <c r="BW5" i="3" a="1"/>
  <c r="AD3" i="3" a="1"/>
  <c r="AE4" i="3" a="1"/>
  <c r="AB5" i="3" a="1"/>
  <c r="BD4" i="3" a="1"/>
  <c r="BB3" i="3" a="1"/>
  <c r="AX6" i="3" a="1"/>
  <c r="AZ3" i="3" a="1"/>
  <c r="BJ5" i="3" a="1"/>
  <c r="AN4" i="3" a="1"/>
  <c r="BC4" i="3" a="1"/>
  <c r="BP4" i="3" a="1"/>
  <c r="AG5" i="3" a="1"/>
  <c r="AW5" i="3" a="1"/>
  <c r="BS5" i="3" a="1"/>
  <c r="BQ5" i="3" a="1"/>
  <c r="AR4" i="3" a="1"/>
  <c r="Y6" i="3" a="1"/>
  <c r="AU3" i="3" a="1"/>
  <c r="BK5" i="3" a="1"/>
  <c r="AC4" i="3" a="1"/>
  <c r="BU5" i="3" a="1"/>
  <c r="AF4" i="3" a="1"/>
  <c r="BD6" i="3" a="1"/>
  <c r="BP6" i="3" a="1"/>
  <c r="BW3" i="3" a="1"/>
  <c r="AM4" i="3" a="1"/>
  <c r="AJ4" i="3" a="1"/>
  <c r="Y4" i="3" a="1"/>
  <c r="BQ4" i="3" a="1"/>
  <c r="BP3" i="3" a="1"/>
  <c r="BX3" i="3" a="1"/>
  <c r="BS3" i="3" a="1"/>
  <c r="BH3" i="3" a="1"/>
  <c r="AQ4" i="3" a="1"/>
  <c r="X5" i="3" a="1"/>
  <c r="AT5" i="3" a="1"/>
  <c r="AH4" i="3" a="1"/>
  <c r="AD4" i="3" a="1"/>
  <c r="BX4" i="3" a="1"/>
  <c r="Y5" i="3" a="1"/>
  <c r="BJ3" i="3" a="1"/>
  <c r="BV4" i="3" a="1"/>
  <c r="BB5" i="3" a="1"/>
  <c r="AX5" i="3" a="1"/>
  <c r="AF5" i="3" a="1"/>
  <c r="BK4" i="3" a="1"/>
  <c r="BT3" i="3" a="1"/>
  <c r="BO5" i="3" a="1"/>
  <c r="AB3" i="3" a="1"/>
  <c r="AH5" i="3" a="1"/>
  <c r="BT4" i="3" a="1"/>
  <c r="BG6" i="3" a="1"/>
  <c r="W3" i="3" a="1"/>
  <c r="BF3" i="3" a="1"/>
  <c r="AB6" i="3" a="1"/>
  <c r="AK4" i="3" a="1"/>
  <c r="BQ3" i="3" a="1"/>
  <c r="AG6" i="3" a="1"/>
  <c r="AI6" i="3" a="1"/>
  <c r="BT6" i="3" a="1"/>
  <c r="AR6" i="3" a="1"/>
  <c r="BT5" i="3" a="1"/>
  <c r="AF3" i="3" a="1"/>
  <c r="AA5" i="3" a="1"/>
  <c r="BU6" i="3" a="1"/>
  <c r="BN6" i="3" a="1"/>
  <c r="AT6" i="3" a="1"/>
  <c r="AL5" i="3" a="1"/>
  <c r="AN5" i="3" a="1"/>
  <c r="BF5" i="3" a="1"/>
  <c r="BR3" i="3" a="1"/>
  <c r="AN6" i="3" a="1"/>
  <c r="BO6" i="3" a="1"/>
  <c r="BE3" i="3" a="1"/>
  <c r="W5" i="3" a="1"/>
  <c r="BR5" i="3" a="1"/>
  <c r="BS6" i="3" a="1"/>
  <c r="AM6" i="3" a="1"/>
  <c r="AO5" i="3" a="1"/>
  <c r="AH3" i="3" a="1"/>
  <c r="BI5" i="3" a="1"/>
  <c r="BX6" i="3" a="1"/>
  <c r="BN3" i="3" a="1"/>
  <c r="AO3" i="3" a="1"/>
  <c r="W6" i="3" a="1"/>
  <c r="AD6" i="3" a="1"/>
  <c r="AP6" i="3" a="1"/>
  <c r="BM3" i="3" a="1"/>
  <c r="AU6" i="3" a="1"/>
  <c r="AG4" i="3" a="1"/>
  <c r="AQ5" i="3" a="1"/>
  <c r="BF6" i="3" a="1"/>
  <c r="BA4" i="3" a="1"/>
  <c r="BL4" i="3" a="1"/>
  <c r="BR6" i="3" a="1"/>
  <c r="BC6" i="3" a="1"/>
  <c r="BG5" i="3" a="1"/>
  <c r="BF4" i="3" a="1"/>
  <c r="BG3" i="3" a="1"/>
  <c r="BO4" i="3" a="1"/>
  <c r="AJ3" i="3" a="1"/>
  <c r="AP3" i="3" a="1"/>
  <c r="AZ6" i="3" a="1"/>
  <c r="Y3" i="3" a="1"/>
  <c r="AI5" i="3" a="1"/>
  <c r="AO4" i="3" a="1"/>
  <c r="AV4" i="3" a="1"/>
  <c r="BL3" i="3" a="1"/>
  <c r="BK6" i="3" a="1"/>
  <c r="AY5" i="3" a="1"/>
  <c r="BM5" i="3" a="1"/>
  <c r="BN4" i="3" a="1"/>
  <c r="BO3" i="3" a="1"/>
  <c r="AY3" i="3" a="1"/>
  <c r="BL6" i="3" a="1"/>
  <c r="AJ6" i="3" a="1"/>
  <c r="AW3" i="3" a="1"/>
  <c r="AW4" i="3" a="1"/>
  <c r="BI3" i="3" a="1"/>
  <c r="BP5" i="3" a="1"/>
  <c r="AL6" i="3" a="1"/>
  <c r="AU5" i="3" a="1"/>
  <c r="AE6" i="3" a="1"/>
  <c r="AA3" i="3" a="1"/>
  <c r="AZ4" i="3" a="1"/>
  <c r="Z4" i="3" a="1"/>
  <c r="BD3" i="3" a="1"/>
  <c r="AM3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<sst xmlns="http://schemas.openxmlformats.org/spreadsheetml/2006/main" count="2027" uniqueCount="653">
  <si>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</si>
  <si>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</si>
  <si>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</si>
  <si>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</si>
  <si>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</si>
  <si>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</si>
  <si>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</si>
  <si>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</si>
  <si>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</si>
  <si>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</si>
  <si>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</si>
  <si>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</si>
  <si>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</si>
  <si>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</si>
  <si>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</si>
  <si>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</si>
  <si>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</si>
  <si>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</si>
  <si>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</si>
  <si>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</si>
  <si>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</si>
  <si>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</si>
  <si>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</si>
  <si>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</si>
  <si>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</si>
  <si>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</si>
  <si>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</si>
  <si>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</si>
  <si>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</si>
  <si>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</si>
  <si>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</si>
  <si>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</si>
  <si>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</si>
  <si>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</si>
  <si>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</si>
  <si>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</si>
  <si>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</si>
  <si>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</si>
  <si>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</si>
  <si>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</si>
  <si>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</si>
  <si>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</si>
  <si>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</si>
  <si>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</si>
  <si>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</si>
  <si>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</si>
  <si>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</si>
  <si>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</si>
  <si>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</si>
  <si>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</si>
  <si>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</si>
  <si>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</si>
  <si>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</si>
  <si>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</si>
  <si>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</si>
  <si>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</si>
  <si>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</si>
  <si>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</si>
  <si>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</si>
  <si>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</si>
  <si>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</si>
  <si>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</si>
  <si>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</si>
  <si>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</si>
  <si>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</si>
  <si>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</si>
  <si>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</si>
  <si>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</si>
  <si>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</si>
  <si>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</si>
  <si>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</si>
  <si>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</si>
  <si>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</si>
  <si>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</si>
  <si>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</si>
  <si>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</si>
  <si>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</si>
  <si>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</si>
  <si>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</si>
  <si>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</si>
  <si>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</si>
  <si>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</si>
  <si>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</si>
  <si>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</si>
  <si>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</si>
  <si>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</si>
  <si>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</si>
  <si>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</si>
  <si>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</si>
  <si>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</si>
  <si>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</si>
  <si>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</si>
  <si>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</si>
  <si>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</si>
  <si>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</si>
  <si>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</si>
  <si>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</si>
  <si>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</si>
  <si>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</si>
  <si>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</si>
  <si>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</si>
  <si>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</si>
  <si>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</si>
  <si>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</si>
  <si>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</si>
  <si>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</si>
  <si>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</si>
  <si>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</si>
  <si>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</si>
  <si>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</si>
  <si>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</si>
  <si>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</si>
  <si>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</si>
  <si>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</si>
  <si>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</si>
  <si>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</si>
  <si>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</si>
  <si>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</si>
  <si>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</si>
  <si>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</si>
  <si>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</si>
  <si>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</si>
  <si>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</si>
  <si>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</si>
  <si>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</si>
  <si>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</si>
  <si>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</si>
  <si>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</si>
  <si>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</si>
  <si>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</si>
  <si>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</si>
  <si>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</si>
  <si>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</si>
  <si>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</si>
  <si>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</si>
  <si>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</si>
  <si>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</si>
  <si>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</si>
  <si>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</si>
  <si>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</si>
  <si>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</si>
  <si>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</si>
  <si>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</si>
  <si>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</si>
  <si>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</si>
  <si>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</si>
  <si>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</si>
  <si>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</si>
  <si>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</si>
  <si>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</si>
  <si>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</si>
  <si>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</si>
  <si>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</si>
  <si>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</si>
  <si>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</si>
  <si>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</si>
  <si>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</si>
  <si>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</si>
  <si>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</si>
  <si>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</si>
  <si>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</si>
  <si>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</si>
  <si>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</si>
  <si>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</si>
  <si>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</si>
  <si>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</si>
  <si>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</si>
  <si>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</si>
  <si>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</si>
  <si>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</si>
  <si>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</si>
  <si>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</si>
  <si>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</si>
  <si>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</si>
  <si>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</si>
  <si>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</si>
  <si>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</si>
  <si>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</si>
  <si>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</si>
  <si>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</si>
  <si>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</si>
  <si>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</si>
  <si>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</si>
  <si>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</si>
  <si>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</si>
  <si>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</si>
  <si>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</si>
  <si>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</si>
  <si>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</si>
  <si>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</si>
  <si>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</si>
  <si>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</si>
  <si>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</si>
  <si>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</si>
  <si>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</si>
  <si>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</si>
  <si>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</si>
  <si>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</si>
  <si>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</si>
  <si>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</si>
  <si>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</si>
  <si>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</si>
  <si>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</si>
  <si>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</si>
  <si>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</si>
  <si>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</si>
  <si>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</si>
  <si>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</si>
  <si>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</si>
  <si>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</si>
  <si>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</si>
  <si>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</si>
  <si>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</si>
  <si>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</si>
  <si>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</si>
  <si>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</si>
  <si>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</si>
  <si>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</si>
  <si>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</si>
  <si>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</si>
  <si>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</si>
  <si>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</si>
  <si>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</si>
  <si>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</si>
  <si>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</si>
  <si>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</si>
  <si>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</si>
  <si>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</si>
  <si>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</si>
  <si>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</si>
  <si>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</si>
  <si>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</si>
  <si>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</si>
  <si>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</si>
  <si>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</si>
  <si>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</si>
  <si>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</si>
  <si>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</si>
  <si>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</si>
  <si>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</si>
  <si>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</si>
  <si>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</si>
  <si>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</si>
  <si>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</si>
  <si>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</si>
  <si>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</si>
  <si>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</si>
  <si>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</si>
  <si>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</si>
  <si>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</si>
  <si>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</si>
  <si>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</si>
  <si>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</si>
  <si>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</si>
  <si>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</si>
  <si>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</si>
  <si>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</si>
  <si>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</si>
  <si>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</si>
  <si>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</si>
  <si>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</si>
  <si>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</si>
  <si>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</si>
  <si>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</si>
  <si>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</si>
  <si>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</si>
  <si>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</si>
  <si>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</si>
  <si>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</si>
  <si>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</si>
  <si>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</si>
  <si>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</si>
  <si>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</si>
  <si>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</si>
  <si>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</si>
  <si>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</si>
  <si>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</si>
  <si>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</si>
  <si>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</si>
  <si>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</si>
  <si>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</si>
  <si>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</si>
  <si>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</si>
  <si>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</si>
  <si>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</si>
  <si>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</si>
  <si>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</si>
  <si>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</si>
  <si>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</si>
  <si>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</si>
  <si>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</si>
  <si>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</si>
  <si>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</si>
  <si>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</si>
  <si>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</si>
  <si>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</si>
  <si>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</si>
  <si>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</si>
  <si>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</si>
  <si>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</si>
  <si>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</si>
  <si>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</si>
  <si>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</si>
  <si>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</si>
  <si>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</si>
  <si>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</si>
  <si>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</si>
  <si>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</si>
  <si>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</si>
  <si>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</si>
  <si>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</si>
  <si>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</si>
  <si>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</si>
  <si>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</si>
  <si>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</si>
  <si>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</si>
  <si>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</si>
  <si>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</si>
  <si>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</si>
  <si>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</si>
  <si>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</si>
  <si>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</si>
  <si>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</si>
  <si>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</si>
  <si>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</si>
  <si>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</si>
  <si>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</si>
  <si>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</si>
  <si>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</si>
  <si>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</si>
  <si>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</si>
  <si>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</si>
  <si>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</si>
  <si>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</si>
  <si>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</si>
  <si>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</si>
  <si>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</si>
  <si>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</si>
  <si>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</si>
  <si>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</si>
  <si>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</si>
  <si>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</si>
  <si>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</si>
  <si>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</si>
  <si>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</si>
  <si>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</si>
  <si>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</si>
  <si>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</si>
  <si>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</si>
  <si>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</si>
  <si>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</si>
  <si>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</si>
  <si>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</si>
  <si>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</si>
  <si>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</si>
  <si>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</si>
  <si>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</si>
  <si>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</si>
  <si>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</si>
  <si>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</si>
  <si>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</si>
  <si>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</si>
  <si>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</si>
  <si>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</si>
  <si>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</si>
  <si>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</si>
  <si>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</si>
  <si>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</si>
  <si>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</si>
  <si>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</si>
  <si>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</si>
  <si>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</si>
  <si>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</si>
  <si>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</si>
  <si>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</si>
  <si>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</si>
  <si>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</si>
  <si>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</si>
  <si>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</si>
  <si>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</si>
  <si>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</si>
  <si>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</si>
  <si>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</si>
  <si>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</si>
  <si>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</si>
  <si>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</si>
  <si>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</si>
  <si>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</si>
  <si>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</si>
  <si>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</si>
  <si>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</si>
  <si>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</si>
  <si>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</si>
  <si>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</si>
  <si>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</si>
  <si>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</si>
  <si>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</si>
  <si>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</si>
  <si>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</si>
  <si>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</si>
  <si>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</si>
  <si>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</si>
  <si>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</si>
  <si>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</si>
  <si>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</si>
  <si>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</si>
  <si>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</si>
  <si>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</si>
  <si>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</si>
  <si>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</si>
  <si>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</si>
  <si>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</si>
  <si>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</si>
  <si>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</si>
  <si>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</si>
  <si>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</si>
  <si>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</si>
  <si>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</si>
  <si>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</si>
  <si>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</si>
  <si>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</si>
  <si>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</si>
  <si>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</si>
  <si>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</si>
  <si>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</si>
  <si>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</si>
  <si>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</si>
  <si>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</si>
  <si>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</si>
  <si>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</si>
  <si>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</si>
  <si>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</si>
  <si>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</si>
  <si>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</si>
  <si>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</si>
  <si>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</si>
  <si>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</si>
  <si>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</si>
  <si>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</si>
  <si>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</si>
  <si>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</si>
  <si>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</si>
  <si>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</si>
  <si>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</si>
  <si>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</si>
  <si>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</si>
  <si>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</si>
  <si>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</si>
  <si>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</si>
  <si>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</si>
  <si>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</si>
  <si>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</si>
  <si>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</si>
  <si>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</si>
  <si>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</si>
  <si>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</si>
  <si>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</si>
  <si>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</si>
  <si>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</si>
  <si>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</si>
  <si>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</si>
  <si>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</si>
  <si>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</si>
  <si>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</si>
  <si>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</si>
  <si>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</si>
  <si>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</si>
  <si>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</si>
  <si>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</si>
  <si>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</si>
  <si>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</si>
  <si>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</si>
  <si>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</si>
  <si>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</si>
  <si>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</si>
  <si>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</si>
  <si>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</si>
  <si>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</si>
  <si>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</si>
  <si>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</si>
  <si>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</si>
  <si>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</si>
  <si>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</si>
  <si>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</si>
  <si>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</si>
  <si>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</si>
  <si>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</si>
  <si>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</si>
  <si>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</si>
  <si>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</si>
  <si>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</si>
  <si>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</si>
  <si>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</si>
  <si>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</si>
  <si>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</si>
  <si>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</si>
  <si>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</si>
  <si>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</si>
  <si>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</si>
  <si>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</si>
  <si>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</si>
  <si>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</si>
  <si>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</si>
  <si>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</si>
  <si>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</si>
  <si>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</si>
  <si>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</si>
  <si>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</si>
  <si>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</si>
  <si>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</si>
  <si>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</si>
  <si>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</si>
  <si>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</si>
  <si>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</si>
  <si>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</si>
  <si>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</si>
  <si>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</si>
  <si>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</si>
  <si>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</si>
  <si>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</si>
  <si>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</si>
  <si>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</si>
  <si>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</si>
  <si>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</si>
  <si>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</si>
  <si>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</si>
  <si>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</si>
  <si>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</si>
  <si>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</si>
  <si>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</si>
  <si>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</si>
  <si>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</si>
  <si>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</si>
  <si>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</si>
  <si>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</si>
  <si>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</si>
  <si>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</si>
  <si>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</si>
  <si>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</si>
  <si>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</si>
  <si>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</si>
  <si>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</si>
  <si>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</si>
  <si>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</si>
  <si>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</si>
  <si>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</si>
  <si>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</si>
  <si>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</si>
  <si>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</si>
  <si>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</si>
  <si>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</si>
  <si>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</si>
  <si>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</si>
  <si>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</si>
  <si>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</si>
  <si>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</si>
  <si>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</si>
  <si>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</si>
  <si>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</si>
  <si>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</si>
  <si>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</si>
  <si>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</si>
  <si>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</si>
  <si>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</si>
  <si>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</si>
  <si>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</si>
  <si>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</si>
  <si>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</si>
  <si>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</si>
  <si>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</si>
  <si>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</si>
  <si>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</si>
  <si>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</si>
  <si>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</si>
  <si>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</si>
  <si>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</si>
  <si>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</si>
  <si>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</si>
  <si>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</si>
  <si>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</si>
  <si>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</si>
  <si>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</si>
  <si>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</si>
  <si>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</si>
  <si>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</si>
  <si>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</si>
  <si>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</si>
  <si>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</si>
  <si>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</si>
  <si>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</si>
  <si>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</si>
  <si>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</si>
  <si>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</si>
  <si>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</si>
  <si>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</si>
  <si>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</si>
  <si>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</si>
  <si>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</si>
  <si>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</si>
  <si>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</si>
  <si>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</si>
  <si>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</si>
  <si>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</si>
  <si>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</si>
  <si>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</si>
  <si>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</si>
  <si>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</si>
  <si>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</si>
  <si>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</si>
  <si>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</si>
  <si>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</si>
  <si>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</si>
  <si>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</si>
  <si>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</si>
  <si>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</si>
  <si>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</si>
  <si>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</si>
  <si>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</si>
  <si>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</si>
  <si>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</si>
  <si>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</si>
  <si>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</si>
  <si>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</si>
  <si>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</si>
  <si>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</si>
  <si>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</si>
  <si>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</si>
  <si>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</si>
  <si>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</si>
  <si>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</si>
  <si>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</si>
  <si>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</si>
  <si>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</si>
  <si>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</si>
  <si>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 xml:space="preserve">  alphabet: '1!qa2wsxeEdcbyhnBYHN?ujm8ik,9l.0p;/-UJ*I&lt;(LOA: 43657'</t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</si>
  <si>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</si>
  <si>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</si>
  <si>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</si>
  <si>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</si>
  <si>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</si>
  <si>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- "xlit|pbPmtTnlkgKhjzcsJZCSwiuMaOoeyxB@N[WRIUAQEYX}{]123570|1!qa2wsxeEdcbyhnBYHN?ujm8ik,9l.0p;/-UJ*I&lt;(LOA: 43657|"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</si>
  <si>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</si>
  <si>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</si>
  <si>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</si>
  <si>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r>
      <t>- "xlit|1!qa2wsxeEdcbyhnBYHN?ujm8ik,9l.0p;/-UJ*I&lt;(LOA:43657|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ㆪㆫㆩㆧㆥㆮㆯㆱㆰㆲˋˇˊ</t>
    </r>
    <r>
      <rPr>
        <b/>
        <sz val="12"/>
        <color rgb="FFFF0000"/>
        <rFont val="Arial"/>
        <family val="2"/>
      </rPr>
      <t>+˙|"</t>
    </r>
    <phoneticPr fontId="9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</si>
  <si>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</si>
  <si>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</si>
  <si>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</si>
  <si>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</si>
  <si>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= co</t>
    <phoneticPr fontId="9" type="noConversion"/>
  </si>
  <si>
    <t xml:space="preserve"> </t>
    <phoneticPr fontId="9" type="noConversion"/>
  </si>
  <si>
    <t>zi-</t>
  </si>
  <si>
    <t>ci-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</si>
</sst>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58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Iansui 094"/>
    </font>
    <font>
      <sz val="18"/>
      <name val="細明體"/>
      <family val="3"/>
      <charset val="136"/>
    </font>
    <font>
      <b/>
      <sz val="11"/>
      <color rgb="FFFF0000"/>
      <name val="Iansui 094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68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NumberFormat="1" applyFont="1" applyFill="1"/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20" fillId="0" borderId="0" xfId="1" quotePrefix="1" applyFont="1" applyAlignment="1">
      <alignment horizontal="left" vertical="center" indent="1"/>
    </xf>
    <xf numFmtId="0" fontId="150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52" fillId="2" borderId="0" xfId="1" applyFont="1" applyFill="1"/>
    <xf numFmtId="0" fontId="143" fillId="3" borderId="15" xfId="0" applyFont="1" applyFill="1" applyBorder="1" applyAlignment="1">
      <alignment horizontal="center" vertical="center"/>
    </xf>
    <xf numFmtId="0" fontId="15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4" fillId="0" borderId="0" xfId="1" applyFont="1" applyAlignment="1">
      <alignment horizontal="left"/>
    </xf>
    <xf numFmtId="0" fontId="151" fillId="0" borderId="0" xfId="1" applyFont="1" applyAlignment="1">
      <alignment vertical="center"/>
    </xf>
    <xf numFmtId="0" fontId="151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5" fillId="4" borderId="0" xfId="0" applyFont="1" applyFill="1" applyAlignment="1">
      <alignment horizontal="center" vertical="center"/>
    </xf>
    <xf numFmtId="0" fontId="156" fillId="6" borderId="0" xfId="0" applyFont="1" applyFill="1" applyAlignment="1">
      <alignment horizontal="center" vertical="center"/>
    </xf>
    <xf numFmtId="0" fontId="15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7" fillId="16" borderId="0" xfId="0" applyFont="1" applyFill="1" applyAlignment="1">
      <alignment horizontal="center" vertical="center"/>
    </xf>
    <xf numFmtId="0" fontId="157" fillId="16" borderId="0" xfId="0" applyFont="1" applyFill="1" applyAlignment="1">
      <alignment horizontal="left" vertical="center" indent="1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19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3" dataDxfId="8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7">
      <calculatedColumnFormula xml:space="preserve"> 使用按鍵解析!C11</calculatedColumnFormula>
    </tableColumn>
    <tableColumn id="2" xr3:uid="{DAFEC160-B656-4EE0-9837-61A87BB277BC}" name="注音符號" dataDxfId="6" dataCellStyle="一般 4">
      <calculatedColumnFormula array="1" xml:space="preserve"> INDEX($N$3:$N$53, MATCH(TRUE, EXACT(表格1_33411[[#This Row],[鍵盤按鍵]], $M$3:$M$53), 0))</calculatedColumnFormula>
    </tableColumn>
    <tableColumn id="4" xr3:uid="{7407D282-3312-489C-B29B-19D43E4E79D6}" name="注音編碼" dataDxfId="5" dataCellStyle="一般 4">
      <calculatedColumnFormula array="1" xml:space="preserve"> INDEX($I$3:$I$54, MATCH(TRUE, EXACT(表格1_33411[[#This Row],[鍵盤按鍵]], $J$3:$J$54), 0))</calculatedColumnFormula>
    </tableColumn>
    <tableColumn id="3" xr3:uid="{716636BA-FE9C-4F70-80B3-61C875130210}" name="拼音字母" dataDxfId="4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8">
  <autoFilter ref="C4:G56" xr:uid="{CBD99B6E-1695-45CA-A35A-919D424705A0}"/>
  <tableColumns count="5">
    <tableColumn id="1" xr3:uid="{23C441A4-A9BF-4AF3-9A00-C54EFA849863}" name="按鍵字元" dataDxfId="17"/>
    <tableColumn id="2" xr3:uid="{BF68382C-29B0-42B3-B1E7-6BBFB43FDBF8}" name="注音符號" dataDxfId="16"/>
    <tableColumn id="3" xr3:uid="{53638260-1BF6-4965-A4AE-956982740802}" name="方音符號" dataDxfId="15"/>
    <tableColumn id="4" xr3:uid="{DCF6B5DB-F2BF-4A75-8F81-445A20F5EFEC}" name="音標編碼" dataDxfId="14"/>
    <tableColumn id="5" xr3:uid="{138EEA27-F029-4B76-B6E7-B073EAAE87F1}" name="台語音標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12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11">
      <calculatedColumnFormula>H3</calculatedColumnFormula>
    </tableColumn>
    <tableColumn id="4" xr3:uid="{52141FD4-4282-4655-8FDB-25D018179FEA}" name="字典編碼" dataDxfId="10" dataCellStyle="一般 4">
      <calculatedColumnFormula>G3</calculatedColumnFormula>
    </tableColumn>
    <tableColumn id="2" xr3:uid="{59B967E3-C71C-4CF6-991D-C8F093BAB101}" name="方音符號" dataDxfId="9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workbookViewId="0">
      <selection activeCell="C11" sqref="C11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26" t="s">
        <v>634</v>
      </c>
      <c r="D2" s="426"/>
      <c r="E2" s="426"/>
      <c r="F2" s="426"/>
      <c r="G2" s="426"/>
      <c r="H2" s="426"/>
      <c r="I2" s="426"/>
      <c r="J2" s="426"/>
    </row>
    <row r="4" spans="2:10">
      <c r="B4" t="s">
        <v>635</v>
      </c>
      <c r="C4" s="427" t="s">
        <v>526</v>
      </c>
    </row>
    <row r="5" spans="2:10" ht="23.25">
      <c r="B5" t="s">
        <v>636</v>
      </c>
      <c r="C5" s="11">
        <f xml:space="preserve"> SEARCH($C$4,$C$2,1) + 1</f>
        <v>14</v>
      </c>
      <c r="D5" s="2"/>
    </row>
    <row r="6" spans="2:10" ht="23.25">
      <c r="B6" t="s">
        <v>637</v>
      </c>
      <c r="C6" s="11">
        <f xml:space="preserve"> SEARCH($C$4,$C$2,C5+1) - 1</f>
        <v>65</v>
      </c>
      <c r="D6" s="2"/>
    </row>
    <row r="7" spans="2:10">
      <c r="B7" t="s">
        <v>638</v>
      </c>
      <c r="C7" s="426" t="str">
        <f xml:space="preserve"> MID(C2, C5, C6-C5+1)</f>
        <v>1!qa2wsxeEdcbyhnBYHN?ujm8ik,9l.0p;/-UJ*I&lt;(LOA: 43657</v>
      </c>
      <c r="D7" s="426"/>
      <c r="E7" s="426"/>
      <c r="F7" s="426"/>
      <c r="G7" s="426"/>
      <c r="H7" s="426"/>
      <c r="I7" s="426"/>
      <c r="J7" s="426"/>
    </row>
    <row r="8" spans="2:10" ht="25.5">
      <c r="B8" t="s">
        <v>639</v>
      </c>
      <c r="C8" s="428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3">
      <c r="B49" s="237">
        <f t="shared" si="0"/>
        <v>39</v>
      </c>
      <c r="C49" s="375" t="str">
        <f t="shared" si="1"/>
        <v>*</v>
      </c>
    </row>
    <row r="50" spans="2:3">
      <c r="B50" s="237">
        <f t="shared" si="0"/>
        <v>40</v>
      </c>
      <c r="C50" s="375" t="str">
        <f t="shared" si="1"/>
        <v>I</v>
      </c>
    </row>
    <row r="51" spans="2:3">
      <c r="B51" s="237">
        <f t="shared" si="0"/>
        <v>41</v>
      </c>
      <c r="C51" s="375" t="str">
        <f t="shared" si="1"/>
        <v>&lt;</v>
      </c>
    </row>
    <row r="52" spans="2:3">
      <c r="B52" s="237">
        <f t="shared" si="0"/>
        <v>42</v>
      </c>
      <c r="C52" s="375" t="str">
        <f t="shared" si="1"/>
        <v>(</v>
      </c>
    </row>
    <row r="53" spans="2:3">
      <c r="B53" s="237">
        <f t="shared" si="0"/>
        <v>43</v>
      </c>
      <c r="C53" s="375" t="str">
        <f t="shared" si="1"/>
        <v>L</v>
      </c>
    </row>
    <row r="54" spans="2:3">
      <c r="B54" s="237">
        <f t="shared" si="0"/>
        <v>44</v>
      </c>
      <c r="C54" s="375" t="str">
        <f t="shared" si="1"/>
        <v>O</v>
      </c>
    </row>
    <row r="55" spans="2:3">
      <c r="B55" s="237">
        <f t="shared" si="0"/>
        <v>45</v>
      </c>
      <c r="C55" s="375" t="str">
        <f t="shared" si="1"/>
        <v>A</v>
      </c>
    </row>
    <row r="56" spans="2:3">
      <c r="B56" s="237">
        <f t="shared" si="0"/>
        <v>46</v>
      </c>
      <c r="C56" s="375" t="str">
        <f t="shared" si="1"/>
        <v>:</v>
      </c>
    </row>
    <row r="57" spans="2:3">
      <c r="B57" s="237">
        <f t="shared" si="0"/>
        <v>47</v>
      </c>
      <c r="C57" s="375" t="str">
        <f t="shared" si="1"/>
        <v xml:space="preserve"> </v>
      </c>
    </row>
    <row r="58" spans="2:3">
      <c r="B58" s="237">
        <f t="shared" si="0"/>
        <v>48</v>
      </c>
      <c r="C58" s="375" t="str">
        <f t="shared" si="1"/>
        <v>4</v>
      </c>
    </row>
    <row r="59" spans="2:3">
      <c r="B59" s="237">
        <f t="shared" si="0"/>
        <v>49</v>
      </c>
      <c r="C59" s="375" t="str">
        <f t="shared" si="1"/>
        <v>3</v>
      </c>
    </row>
    <row r="60" spans="2:3">
      <c r="B60" s="237">
        <f t="shared" si="0"/>
        <v>50</v>
      </c>
      <c r="C60" s="375" t="str">
        <f t="shared" si="1"/>
        <v>6</v>
      </c>
    </row>
    <row r="61" spans="2:3">
      <c r="B61" s="237">
        <f t="shared" si="0"/>
        <v>51</v>
      </c>
      <c r="C61" s="375" t="str">
        <f t="shared" si="1"/>
        <v>5</v>
      </c>
    </row>
    <row r="62" spans="2:3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AW99"/>
  <sheetViews>
    <sheetView tabSelected="1" topLeftCell="R1" zoomScaleNormal="100" workbookViewId="0">
      <pane ySplit="2" topLeftCell="A36" activePane="bottomLeft" state="frozen"/>
      <selection activeCell="W1" sqref="W1"/>
      <selection pane="bottomLeft" activeCell="AG42" sqref="AG42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/>
    <col min="16" max="16" width="4.69921875" style="2" customWidth="1"/>
    <col min="17" max="17" width="10.09765625" style="2" customWidth="1"/>
    <col min="18" max="18" width="10.09765625" style="5" customWidth="1"/>
    <col min="19" max="19" width="8.796875" style="2"/>
    <col min="20" max="20" width="4.69921875" style="2" customWidth="1"/>
    <col min="21" max="23" width="9.796875" style="2" customWidth="1"/>
    <col min="24" max="24" width="9.796875" style="429" customWidth="1"/>
    <col min="26" max="26" width="6.3984375" style="2" customWidth="1"/>
    <col min="27" max="29" width="10.59765625" style="446" customWidth="1"/>
    <col min="30" max="30" width="10.59765625" style="429" customWidth="1"/>
    <col min="31" max="31" width="11.69921875" style="2" customWidth="1"/>
    <col min="32" max="32" width="13.5" style="446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16384" width="8.796875" style="2"/>
  </cols>
  <sheetData>
    <row r="1" spans="2:49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49" ht="26.25" thickBot="1">
      <c r="B2" s="430" t="s">
        <v>640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641</v>
      </c>
      <c r="U2" s="445" t="s">
        <v>11</v>
      </c>
      <c r="V2" s="445" t="s">
        <v>642</v>
      </c>
      <c r="W2" s="445" t="s">
        <v>643</v>
      </c>
      <c r="X2" s="445" t="s">
        <v>383</v>
      </c>
      <c r="Y2" s="445"/>
      <c r="Z2" s="444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49" ht="33" thickTop="1">
      <c r="B3" s="2">
        <f xml:space="preserve"> SEARCH("|",$B$2,1)</f>
        <v>8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31" t="str">
        <f xml:space="preserve"> 使用按鍵解析!C11</f>
        <v>1</v>
      </c>
      <c r="V3" s="432" t="str" cm="1">
        <f t="array" ref="V3" xml:space="preserve"> INDEX($N$3:$N$53, MATCH(TRUE, EXACT(表格1_33411[[#This Row],[鍵盤按鍵]], $M$3:$M$53), 0))</f>
        <v>ㄅ</v>
      </c>
      <c r="W3" s="433" t="str" cm="1">
        <f t="array" ref="W3" xml:space="preserve"> INDEX($I$3:$I$54, MATCH(TRUE, EXACT(表格1_33411[[#This Row],[鍵盤按鍵]], $J$3:$J$54), 0))</f>
        <v>p</v>
      </c>
      <c r="X3" s="434" t="s">
        <v>21</v>
      </c>
      <c r="Y3" s="24"/>
      <c r="Z3" s="435">
        <f>ROW() - 2</f>
        <v>1</v>
      </c>
      <c r="AA3" s="71" t="s">
        <v>361</v>
      </c>
      <c r="AB3" s="32" t="s">
        <v>20</v>
      </c>
      <c r="AC3" s="379" t="s">
        <v>217</v>
      </c>
      <c r="AD3" s="455" t="s">
        <v>217</v>
      </c>
      <c r="AF3" s="361" t="str">
        <f xml:space="preserve"> "  alphabet: '" &amp; _xlfn.CONCAT(AA$3:AA$54) &amp; "'"</f>
        <v xml:space="preserve">  alphabet: '1q!a2wsxedE?cyhnbYHNBuj8ik,9l.UJ*I&lt;(Lmp/OA0;:- 43657'</v>
      </c>
      <c r="AG3" s="463"/>
      <c r="AH3" s="463"/>
      <c r="AI3" s="463"/>
      <c r="AJ3" s="463"/>
      <c r="AK3" s="463"/>
      <c r="AL3" s="463"/>
      <c r="AM3" s="463"/>
      <c r="AN3" s="463"/>
      <c r="AV3" s="11"/>
      <c r="AW3" s="2"/>
    </row>
    <row r="4" spans="2:49" ht="32.25">
      <c r="B4" s="2">
        <f xml:space="preserve"> SEARCH("|",$B$2,B3+1)</f>
        <v>61</v>
      </c>
      <c r="H4" s="2">
        <f t="shared" ref="H4:H54" si="0" xml:space="preserve"> ROW() - 2</f>
        <v>2</v>
      </c>
      <c r="I4" s="136" t="str">
        <f t="shared" ref="I4:I54" si="1" xml:space="preserve"> IFERROR( MID($B$6, $H4, 1), "")</f>
        <v>b</v>
      </c>
      <c r="J4" s="136" t="str">
        <f t="shared" ref="J4:J54" si="2" xml:space="preserve"> IFERROR( MID($B$7, $H4, 1), "")</f>
        <v>!</v>
      </c>
      <c r="L4" s="2">
        <v>2</v>
      </c>
      <c r="M4" s="21" t="str">
        <f t="shared" ref="M4:M54" si="3" xml:space="preserve"> IFERROR( MID($B$15, $H4, 1), "")</f>
        <v>!</v>
      </c>
      <c r="N4" s="21" t="str">
        <f t="shared" ref="N4:N54" si="4" xml:space="preserve"> IFERROR( MID($B$16, $H4, 1), "")</f>
        <v>ㆠ</v>
      </c>
      <c r="P4" s="2">
        <v>2</v>
      </c>
      <c r="Q4" s="22" t="str">
        <f t="shared" ref="Q4:Q44" si="5" xml:space="preserve"> IFERROR( MID($B$25, $P4, 1), "")</f>
        <v>P</v>
      </c>
      <c r="R4" s="22" t="str">
        <f t="shared" ref="R4:R44" si="6" xml:space="preserve"> IFERROR( MID($B$26, $P4, 1), "")</f>
        <v>ㄆ</v>
      </c>
      <c r="T4" s="2">
        <v>2</v>
      </c>
      <c r="U4" s="431" t="str">
        <f xml:space="preserve"> 使用按鍵解析!C12</f>
        <v>!</v>
      </c>
      <c r="V4" s="432" t="str" cm="1">
        <f t="array" ref="V4" xml:space="preserve"> INDEX($N$3:$N$53, MATCH(TRUE, EXACT(表格1_33411[[#This Row],[鍵盤按鍵]], $M$3:$M$53), 0))</f>
        <v>ㆠ</v>
      </c>
      <c r="W4" s="433" t="str" cm="1">
        <f t="array" ref="W4" xml:space="preserve"> INDEX($I$3:$I$54, MATCH(TRUE, EXACT(表格1_33411[[#This Row],[鍵盤按鍵]], $J$3:$J$54), 0))</f>
        <v>b</v>
      </c>
      <c r="X4" s="434" t="s">
        <v>28</v>
      </c>
      <c r="Y4" s="24"/>
      <c r="Z4" s="435">
        <f t="shared" ref="Z4:Z58" si="7">ROW() - 2</f>
        <v>2</v>
      </c>
      <c r="AA4" s="71" t="s">
        <v>353</v>
      </c>
      <c r="AB4" s="32" t="s">
        <v>23</v>
      </c>
      <c r="AC4" s="379" t="s">
        <v>400</v>
      </c>
      <c r="AD4" s="455" t="s">
        <v>392</v>
      </c>
      <c r="AF4" s="361" t="str">
        <f xml:space="preserve"> "  initials: '" &amp; _xlfn.CONCAT(AA$3:AA$48) &amp; "'"</f>
        <v xml:space="preserve">  initials: '1q!a2wsxedE?cyhnbYHNBuj8ik,9l.UJ*I&lt;(Lmp/OA0;:-'</v>
      </c>
      <c r="AG4" s="463"/>
      <c r="AH4" s="463"/>
      <c r="AI4" s="463"/>
      <c r="AJ4" s="463"/>
      <c r="AK4" s="463"/>
      <c r="AL4" s="463"/>
      <c r="AM4" s="463"/>
      <c r="AN4" s="463"/>
      <c r="AV4" s="11"/>
      <c r="AW4" s="2"/>
    </row>
    <row r="5" spans="2:49" ht="32.25">
      <c r="B5" s="2">
        <f xml:space="preserve"> SEARCH("|",$B$2,B4+1)</f>
        <v>114</v>
      </c>
      <c r="H5" s="2">
        <f t="shared" si="0"/>
        <v>3</v>
      </c>
      <c r="I5" s="136" t="str">
        <f t="shared" si="1"/>
        <v>P</v>
      </c>
      <c r="J5" s="136" t="str">
        <f t="shared" si="2"/>
        <v>q</v>
      </c>
      <c r="L5" s="2">
        <v>3</v>
      </c>
      <c r="M5" s="21" t="str">
        <f t="shared" si="3"/>
        <v>q</v>
      </c>
      <c r="N5" s="21" t="str">
        <f t="shared" si="4"/>
        <v>ㄆ</v>
      </c>
      <c r="P5" s="2">
        <v>3</v>
      </c>
      <c r="Q5" s="22" t="str">
        <f t="shared" si="5"/>
        <v>b</v>
      </c>
      <c r="R5" s="22" t="str">
        <f t="shared" si="6"/>
        <v>ㆠ</v>
      </c>
      <c r="T5" s="2">
        <v>3</v>
      </c>
      <c r="U5" s="431" t="str">
        <f xml:space="preserve"> 使用按鍵解析!C13</f>
        <v>q</v>
      </c>
      <c r="V5" s="432" t="str" cm="1">
        <f t="array" ref="V5" xml:space="preserve"> INDEX($N$3:$N$53, MATCH(TRUE, EXACT(表格1_33411[[#This Row],[鍵盤按鍵]], $M$3:$M$53), 0))</f>
        <v>ㄆ</v>
      </c>
      <c r="W5" s="433" t="str" cm="1">
        <f t="array" ref="W5" xml:space="preserve"> INDEX($I$3:$I$54, MATCH(TRUE, EXACT(表格1_33411[[#This Row],[鍵盤按鍵]], $J$3:$J$54), 0))</f>
        <v>P</v>
      </c>
      <c r="X5" s="434" t="s">
        <v>24</v>
      </c>
      <c r="Y5" s="24"/>
      <c r="Z5" s="435">
        <f t="shared" si="7"/>
        <v>3</v>
      </c>
      <c r="AA5" s="71" t="s">
        <v>394</v>
      </c>
      <c r="AB5" s="32" t="s">
        <v>27</v>
      </c>
      <c r="AC5" s="379" t="s">
        <v>190</v>
      </c>
      <c r="AD5" s="455" t="s">
        <v>190</v>
      </c>
      <c r="AF5" s="361" t="str">
        <f xml:space="preserve"> "  finals:   '" &amp; _xlfn.CONCAT(AA$49:AA$54) &amp; "'"</f>
        <v xml:space="preserve">  finals:   ' 43657'</v>
      </c>
      <c r="AG5" s="463"/>
      <c r="AH5" s="463"/>
      <c r="AI5" s="463"/>
      <c r="AJ5" s="463"/>
      <c r="AK5" s="463"/>
      <c r="AL5" s="463"/>
      <c r="AM5" s="463"/>
      <c r="AN5" s="463"/>
      <c r="AV5" s="11"/>
      <c r="AW5" s="2"/>
    </row>
    <row r="6" spans="2:49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0"/>
        <v>4</v>
      </c>
      <c r="I6" s="136" t="str">
        <f t="shared" si="1"/>
        <v>m</v>
      </c>
      <c r="J6" s="136" t="str">
        <f t="shared" si="2"/>
        <v>a</v>
      </c>
      <c r="L6" s="2">
        <v>4</v>
      </c>
      <c r="M6" s="21" t="str">
        <f t="shared" si="3"/>
        <v>a</v>
      </c>
      <c r="N6" s="21" t="str">
        <f t="shared" si="4"/>
        <v>ㄇ</v>
      </c>
      <c r="P6" s="2">
        <v>4</v>
      </c>
      <c r="Q6" s="22" t="str">
        <f t="shared" si="5"/>
        <v>t</v>
      </c>
      <c r="R6" s="22" t="str">
        <f t="shared" si="6"/>
        <v>ㄉ</v>
      </c>
      <c r="T6" s="2">
        <v>4</v>
      </c>
      <c r="U6" s="431" t="str">
        <f xml:space="preserve"> 使用按鍵解析!C14</f>
        <v>a</v>
      </c>
      <c r="V6" s="432" t="str" cm="1">
        <f t="array" ref="V6" xml:space="preserve"> INDEX($N$3:$N$53, MATCH(TRUE, EXACT(表格1_33411[[#This Row],[鍵盤按鍵]], $M$3:$M$53), 0))</f>
        <v>ㄇ</v>
      </c>
      <c r="W6" s="433" t="str" cm="1">
        <f t="array" ref="W6" xml:space="preserve"> INDEX($I$3:$I$54, MATCH(TRUE, EXACT(表格1_33411[[#This Row],[鍵盤按鍵]], $J$3:$J$54), 0))</f>
        <v>m</v>
      </c>
      <c r="X6" s="434" t="s">
        <v>84</v>
      </c>
      <c r="Y6" s="24"/>
      <c r="Z6" s="435">
        <f t="shared" si="7"/>
        <v>4</v>
      </c>
      <c r="AA6" s="71" t="s">
        <v>351</v>
      </c>
      <c r="AB6" s="32" t="s">
        <v>83</v>
      </c>
      <c r="AC6" s="379" t="s">
        <v>143</v>
      </c>
      <c r="AD6" s="455" t="s">
        <v>143</v>
      </c>
      <c r="AV6" s="11"/>
      <c r="AW6" s="2"/>
    </row>
    <row r="7" spans="2:49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0"/>
        <v>5</v>
      </c>
      <c r="I7" s="136" t="str">
        <f t="shared" si="1"/>
        <v>t</v>
      </c>
      <c r="J7" s="136" t="str">
        <f t="shared" si="2"/>
        <v>2</v>
      </c>
      <c r="L7" s="2">
        <v>5</v>
      </c>
      <c r="M7" s="21" t="str">
        <f t="shared" si="3"/>
        <v>2</v>
      </c>
      <c r="N7" s="21" t="str">
        <f t="shared" si="4"/>
        <v>ㄉ</v>
      </c>
      <c r="P7" s="2">
        <v>5</v>
      </c>
      <c r="Q7" s="22" t="str">
        <f t="shared" si="5"/>
        <v>T</v>
      </c>
      <c r="R7" s="22" t="str">
        <f t="shared" si="6"/>
        <v>ㄊ</v>
      </c>
      <c r="T7" s="2">
        <v>5</v>
      </c>
      <c r="U7" s="431" t="str">
        <f xml:space="preserve"> 使用按鍵解析!C15</f>
        <v>2</v>
      </c>
      <c r="V7" s="432" t="str" cm="1">
        <f t="array" ref="V7" xml:space="preserve"> INDEX($N$3:$N$53, MATCH(TRUE, EXACT(表格1_33411[[#This Row],[鍵盤按鍵]], $M$3:$M$53), 0))</f>
        <v>ㄉ</v>
      </c>
      <c r="W7" s="433" t="str" cm="1">
        <f t="array" ref="W7" xml:space="preserve"> INDEX($I$3:$I$54, MATCH(TRUE, EXACT(表格1_33411[[#This Row],[鍵盤按鍵]], $J$3:$J$54), 0))</f>
        <v>t</v>
      </c>
      <c r="X7" s="434" t="s">
        <v>340</v>
      </c>
      <c r="Y7" s="24"/>
      <c r="Z7" s="435">
        <f t="shared" si="7"/>
        <v>5</v>
      </c>
      <c r="AA7" s="71" t="s">
        <v>347</v>
      </c>
      <c r="AB7" s="32" t="s">
        <v>29</v>
      </c>
      <c r="AC7" s="379" t="s">
        <v>30</v>
      </c>
      <c r="AD7" s="455" t="s">
        <v>30</v>
      </c>
      <c r="AV7" s="11"/>
      <c r="AW7" s="2"/>
    </row>
    <row r="8" spans="2:49" ht="32.25">
      <c r="H8" s="2">
        <f t="shared" si="0"/>
        <v>6</v>
      </c>
      <c r="I8" s="136" t="str">
        <f t="shared" si="1"/>
        <v>T</v>
      </c>
      <c r="J8" s="136" t="str">
        <f t="shared" si="2"/>
        <v>w</v>
      </c>
      <c r="L8" s="2">
        <v>6</v>
      </c>
      <c r="M8" s="21" t="str">
        <f t="shared" si="3"/>
        <v>w</v>
      </c>
      <c r="N8" s="21" t="str">
        <f t="shared" si="4"/>
        <v>ㄊ</v>
      </c>
      <c r="P8" s="2">
        <v>6</v>
      </c>
      <c r="Q8" s="22" t="str">
        <f t="shared" si="5"/>
        <v>d</v>
      </c>
      <c r="R8" s="22" t="str">
        <f t="shared" si="6"/>
        <v>ㄌ</v>
      </c>
      <c r="T8" s="2">
        <v>6</v>
      </c>
      <c r="U8" s="431" t="str">
        <f xml:space="preserve"> 使用按鍵解析!C16</f>
        <v>w</v>
      </c>
      <c r="V8" s="432" t="str" cm="1">
        <f t="array" ref="V8" xml:space="preserve"> INDEX($N$3:$N$53, MATCH(TRUE, EXACT(表格1_33411[[#This Row],[鍵盤按鍵]], $M$3:$M$53), 0))</f>
        <v>ㄊ</v>
      </c>
      <c r="W8" s="433" t="str" cm="1">
        <f t="array" ref="W8" xml:space="preserve"> INDEX($I$3:$I$54, MATCH(TRUE, EXACT(表格1_33411[[#This Row],[鍵盤按鍵]], $J$3:$J$54), 0))</f>
        <v>T</v>
      </c>
      <c r="X8" s="434" t="s">
        <v>605</v>
      </c>
      <c r="Y8" s="24"/>
      <c r="Z8" s="435">
        <f t="shared" si="7"/>
        <v>6</v>
      </c>
      <c r="AA8" s="71" t="s">
        <v>341</v>
      </c>
      <c r="AB8" s="32" t="s">
        <v>31</v>
      </c>
      <c r="AC8" s="379" t="s">
        <v>408</v>
      </c>
      <c r="AD8" s="455" t="s">
        <v>32</v>
      </c>
      <c r="AF8" s="447" t="s">
        <v>22</v>
      </c>
      <c r="AH8" s="137" t="str">
        <f xml:space="preserve"> "- xlit|" &amp; AH9 &amp; "|" &amp; AH10 &amp; "|"</f>
        <v>- xlit|pPbmtTnlkKgwhzcsjZCSJiuaOoeyxBIUAQEYXMNW}{@[]R123570|1q!a2wsxedE?cyhnbYHNBuj8ik,9l.UJ*I&lt;(Lmp/OA0;:- 43657|</v>
      </c>
      <c r="AI8" s="47"/>
      <c r="AJ8" s="47"/>
      <c r="AK8" s="47"/>
      <c r="AL8" s="47"/>
      <c r="AM8" s="47"/>
      <c r="AN8" s="47"/>
      <c r="AO8" s="47"/>
      <c r="AP8" s="47"/>
      <c r="AQ8" s="47"/>
      <c r="AV8" s="11"/>
      <c r="AW8" s="2"/>
    </row>
    <row r="9" spans="2:49" ht="32.25">
      <c r="H9" s="2">
        <f t="shared" si="0"/>
        <v>7</v>
      </c>
      <c r="I9" s="136" t="str">
        <f t="shared" si="1"/>
        <v>n</v>
      </c>
      <c r="J9" s="136" t="str">
        <f t="shared" si="2"/>
        <v>s</v>
      </c>
      <c r="L9" s="2">
        <v>7</v>
      </c>
      <c r="M9" s="21" t="str">
        <f t="shared" si="3"/>
        <v>s</v>
      </c>
      <c r="N9" s="21" t="str">
        <f t="shared" si="4"/>
        <v>ㄋ</v>
      </c>
      <c r="P9" s="2">
        <v>7</v>
      </c>
      <c r="Q9" s="22" t="str">
        <f t="shared" si="5"/>
        <v>k</v>
      </c>
      <c r="R9" s="22" t="str">
        <f t="shared" si="6"/>
        <v>ㄍ</v>
      </c>
      <c r="T9" s="2">
        <v>7</v>
      </c>
      <c r="U9" s="431" t="str">
        <f xml:space="preserve"> 使用按鍵解析!C17</f>
        <v>s</v>
      </c>
      <c r="V9" s="432" t="str" cm="1">
        <f t="array" ref="V9" xml:space="preserve"> INDEX($N$3:$N$53, MATCH(TRUE, EXACT(表格1_33411[[#This Row],[鍵盤按鍵]], $M$3:$M$53), 0))</f>
        <v>ㄋ</v>
      </c>
      <c r="W9" s="433" t="str" cm="1">
        <f t="array" ref="W9" xml:space="preserve"> INDEX($I$3:$I$54, MATCH(TRUE, EXACT(表格1_33411[[#This Row],[鍵盤按鍵]], $J$3:$J$54), 0))</f>
        <v>n</v>
      </c>
      <c r="X9" s="434" t="s">
        <v>372</v>
      </c>
      <c r="Y9" s="24"/>
      <c r="Z9" s="435">
        <f t="shared" si="7"/>
        <v>7</v>
      </c>
      <c r="AA9" s="71" t="s">
        <v>338</v>
      </c>
      <c r="AB9" s="32" t="s">
        <v>33</v>
      </c>
      <c r="AC9" s="379" t="s">
        <v>34</v>
      </c>
      <c r="AD9" s="455" t="s">
        <v>34</v>
      </c>
      <c r="AF9" s="448" t="s">
        <v>643</v>
      </c>
      <c r="AG9" s="1">
        <f xml:space="preserve"> LEN(AH9)</f>
        <v>52</v>
      </c>
      <c r="AH9" s="37" t="str">
        <f xml:space="preserve"> _xlfn.CONCAT(AC$3:AC$54)</f>
        <v>pPbmtTnlkKgwhzcsjZCSJiuaOoeyxBIUAQEYXMNW}{@[]R123570</v>
      </c>
      <c r="AU9" s="38" t="s">
        <v>25</v>
      </c>
      <c r="AV9" s="39" t="s">
        <v>365</v>
      </c>
      <c r="AW9" s="40">
        <f xml:space="preserve"> FIND(AV9, AH9)</f>
        <v>51</v>
      </c>
    </row>
    <row r="10" spans="2:49" ht="32.25">
      <c r="B10" s="1" t="s">
        <v>2</v>
      </c>
      <c r="H10" s="2">
        <f t="shared" si="0"/>
        <v>8</v>
      </c>
      <c r="I10" s="136" t="str">
        <f t="shared" si="1"/>
        <v>l</v>
      </c>
      <c r="J10" s="136" t="str">
        <f t="shared" si="2"/>
        <v>x</v>
      </c>
      <c r="L10" s="2">
        <v>8</v>
      </c>
      <c r="M10" s="21" t="str">
        <f t="shared" si="3"/>
        <v>x</v>
      </c>
      <c r="N10" s="21" t="str">
        <f t="shared" si="4"/>
        <v>ㄌ</v>
      </c>
      <c r="P10" s="2">
        <v>8</v>
      </c>
      <c r="Q10" s="22" t="str">
        <f t="shared" si="5"/>
        <v>K</v>
      </c>
      <c r="R10" s="22" t="str">
        <f t="shared" si="6"/>
        <v>ㄎ</v>
      </c>
      <c r="T10" s="2">
        <v>8</v>
      </c>
      <c r="U10" s="431" t="str">
        <f xml:space="preserve"> 使用按鍵解析!C18</f>
        <v>x</v>
      </c>
      <c r="V10" s="432" t="str" cm="1">
        <f t="array" ref="V10" xml:space="preserve"> INDEX($N$3:$N$53, MATCH(TRUE, EXACT(表格1_33411[[#This Row],[鍵盤按鍵]], $M$3:$M$53), 0))</f>
        <v>ㄌ</v>
      </c>
      <c r="W10" s="433" t="str" cm="1">
        <f t="array" ref="W10" xml:space="preserve"> INDEX($I$3:$I$54, MATCH(TRUE, EXACT(表格1_33411[[#This Row],[鍵盤按鍵]], $J$3:$J$54), 0))</f>
        <v>l</v>
      </c>
      <c r="X10" s="434" t="s">
        <v>496</v>
      </c>
      <c r="Y10" s="24"/>
      <c r="Z10" s="435">
        <f t="shared" si="7"/>
        <v>8</v>
      </c>
      <c r="AA10" s="71" t="s">
        <v>332</v>
      </c>
      <c r="AB10" s="32" t="s">
        <v>85</v>
      </c>
      <c r="AC10" s="379" t="s">
        <v>86</v>
      </c>
      <c r="AD10" s="455" t="s">
        <v>86</v>
      </c>
      <c r="AF10" s="449" t="s">
        <v>11</v>
      </c>
      <c r="AG10" s="1">
        <f xml:space="preserve"> LEN(AH10)</f>
        <v>52</v>
      </c>
      <c r="AH10" s="37" t="str">
        <f>_xlfn.CONCAT(AA3:AA54)</f>
        <v>1q!a2wsxedE?cyhnbYHNBuj8ik,9l.UJ*I&lt;(Lmp/OA0;:- 43657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</row>
    <row r="11" spans="2:49" ht="32.25">
      <c r="B11" s="430" t="s">
        <v>644</v>
      </c>
      <c r="H11" s="2">
        <f t="shared" si="0"/>
        <v>9</v>
      </c>
      <c r="I11" s="136" t="str">
        <f t="shared" si="1"/>
        <v>k</v>
      </c>
      <c r="J11" s="136" t="str">
        <f t="shared" si="2"/>
        <v>e</v>
      </c>
      <c r="L11" s="2">
        <v>9</v>
      </c>
      <c r="M11" s="21" t="str">
        <f t="shared" si="3"/>
        <v>e</v>
      </c>
      <c r="N11" s="21" t="str">
        <f t="shared" si="4"/>
        <v>ㄍ</v>
      </c>
      <c r="P11" s="2">
        <v>9</v>
      </c>
      <c r="Q11" s="22" t="str">
        <f t="shared" si="5"/>
        <v>g</v>
      </c>
      <c r="R11" s="22" t="str">
        <f t="shared" si="6"/>
        <v>ㆣ</v>
      </c>
      <c r="T11" s="2">
        <v>9</v>
      </c>
      <c r="U11" s="431" t="str">
        <f xml:space="preserve"> 使用按鍵解析!C19</f>
        <v>e</v>
      </c>
      <c r="V11" s="432" t="str" cm="1">
        <f t="array" ref="V11" xml:space="preserve"> INDEX($N$3:$N$53, MATCH(TRUE, EXACT(表格1_33411[[#This Row],[鍵盤按鍵]], $M$3:$M$53), 0))</f>
        <v>ㄍ</v>
      </c>
      <c r="W11" s="433" t="str" cm="1">
        <f t="array" ref="W11" xml:space="preserve"> INDEX($I$3:$I$54, MATCH(TRUE, EXACT(表格1_33411[[#This Row],[鍵盤按鍵]], $J$3:$J$54), 0))</f>
        <v>k</v>
      </c>
      <c r="X11" s="434" t="s">
        <v>321</v>
      </c>
      <c r="Y11" s="24"/>
      <c r="Z11" s="435">
        <f t="shared" si="7"/>
        <v>9</v>
      </c>
      <c r="AA11" s="71" t="s">
        <v>329</v>
      </c>
      <c r="AB11" s="32" t="s">
        <v>36</v>
      </c>
      <c r="AC11" s="379" t="s">
        <v>37</v>
      </c>
      <c r="AD11" s="455" t="s">
        <v>37</v>
      </c>
      <c r="AF11" s="450"/>
      <c r="AG11" s="37"/>
      <c r="AH11" s="37"/>
      <c r="AQ11" s="48"/>
      <c r="AV11" s="11"/>
      <c r="AW11" s="2"/>
    </row>
    <row r="12" spans="2:49" ht="32.25">
      <c r="B12" s="2">
        <f xml:space="preserve"> SEARCH("|",$B$11,1)</f>
        <v>8</v>
      </c>
      <c r="H12" s="2">
        <f t="shared" si="0"/>
        <v>10</v>
      </c>
      <c r="I12" s="136" t="str">
        <f t="shared" si="1"/>
        <v>g</v>
      </c>
      <c r="J12" s="136" t="str">
        <f t="shared" si="2"/>
        <v>E</v>
      </c>
      <c r="L12" s="2">
        <v>10</v>
      </c>
      <c r="M12" s="21" t="str">
        <f t="shared" si="3"/>
        <v>E</v>
      </c>
      <c r="N12" s="21" t="str">
        <f t="shared" si="4"/>
        <v>ㆣ</v>
      </c>
      <c r="P12" s="2">
        <v>10</v>
      </c>
      <c r="Q12" s="22" t="str">
        <f t="shared" si="5"/>
        <v>c</v>
      </c>
      <c r="R12" s="22" t="str">
        <f t="shared" si="6"/>
        <v>ㄗ</v>
      </c>
      <c r="T12" s="2">
        <v>10</v>
      </c>
      <c r="U12" s="431" t="str">
        <f xml:space="preserve"> 使用按鍵解析!C20</f>
        <v>E</v>
      </c>
      <c r="V12" s="432" t="str" cm="1">
        <f t="array" ref="V12" xml:space="preserve"> INDEX($N$3:$N$53, MATCH(TRUE, EXACT(表格1_33411[[#This Row],[鍵盤按鍵]], $M$3:$M$53), 0))</f>
        <v>ㆣ</v>
      </c>
      <c r="W12" s="433" t="str" cm="1">
        <f t="array" ref="W12" xml:space="preserve"> INDEX($I$3:$I$54, MATCH(TRUE, EXACT(表格1_33411[[#This Row],[鍵盤按鍵]], $J$3:$J$54), 0))</f>
        <v>g</v>
      </c>
      <c r="X12" s="434" t="s">
        <v>42</v>
      </c>
      <c r="Y12" s="24"/>
      <c r="Z12" s="435">
        <f t="shared" si="7"/>
        <v>10</v>
      </c>
      <c r="AA12" s="71" t="s">
        <v>309</v>
      </c>
      <c r="AB12" s="32" t="s">
        <v>38</v>
      </c>
      <c r="AC12" s="379" t="s">
        <v>425</v>
      </c>
      <c r="AD12" s="455" t="s">
        <v>418</v>
      </c>
      <c r="AH12" s="48"/>
      <c r="AV12" s="11"/>
      <c r="AW12" s="2"/>
    </row>
    <row r="13" spans="2:49" ht="32.25">
      <c r="B13" s="2">
        <f xml:space="preserve"> SEARCH("|",$B$11,B12+1)</f>
        <v>60</v>
      </c>
      <c r="H13" s="2">
        <f t="shared" si="0"/>
        <v>11</v>
      </c>
      <c r="I13" s="136" t="str">
        <f t="shared" si="1"/>
        <v>K</v>
      </c>
      <c r="J13" s="136" t="str">
        <f t="shared" si="2"/>
        <v>d</v>
      </c>
      <c r="L13" s="2">
        <v>11</v>
      </c>
      <c r="M13" s="21" t="str">
        <f t="shared" si="3"/>
        <v>d</v>
      </c>
      <c r="N13" s="21" t="str">
        <f t="shared" si="4"/>
        <v>ㄎ</v>
      </c>
      <c r="P13" s="2">
        <v>11</v>
      </c>
      <c r="Q13" s="22" t="str">
        <f t="shared" si="5"/>
        <v>C</v>
      </c>
      <c r="R13" s="22" t="str">
        <f t="shared" si="6"/>
        <v>ㄘ</v>
      </c>
      <c r="T13" s="2">
        <v>11</v>
      </c>
      <c r="U13" s="431" t="str">
        <f xml:space="preserve"> 使用按鍵解析!C21</f>
        <v>d</v>
      </c>
      <c r="V13" s="432" t="str" cm="1">
        <f t="array" ref="V13" xml:space="preserve"> INDEX($N$3:$N$53, MATCH(TRUE, EXACT(表格1_33411[[#This Row],[鍵盤按鍵]], $M$3:$M$53), 0))</f>
        <v>ㄎ</v>
      </c>
      <c r="W13" s="433" t="str" cm="1">
        <f t="array" ref="W13" xml:space="preserve"> INDEX($I$3:$I$54, MATCH(TRUE, EXACT(表格1_33411[[#This Row],[鍵盤按鍵]], $J$3:$J$54), 0))</f>
        <v>K</v>
      </c>
      <c r="X13" s="434" t="s">
        <v>39</v>
      </c>
      <c r="Y13" s="24"/>
      <c r="Z13" s="435">
        <f t="shared" si="7"/>
        <v>11</v>
      </c>
      <c r="AA13" s="71" t="s">
        <v>322</v>
      </c>
      <c r="AB13" s="32" t="s">
        <v>41</v>
      </c>
      <c r="AC13" s="379" t="s">
        <v>184</v>
      </c>
      <c r="AD13" s="455" t="s">
        <v>184</v>
      </c>
      <c r="AF13" s="447" t="s">
        <v>35</v>
      </c>
      <c r="AH13" s="443" t="str">
        <f xml:space="preserve"> "- xlit|" &amp; AH14 &amp; "|" &amp; AH15 &amp; "|"</f>
        <v>- xlit|1q!a2wsxedE?cyhnbYHNBuj8ik,9l.UJ*I&lt;(Lmp/OA0;:-43657|ㄅㄆㆠㄇㄉㄊㄋㄌㄍㄎㆣㄥㄏㄗㄘㄙㆡㄐㄑㄒㆢㄧㄨㄚㆦㄜㆤㄞㄠｎㆪㆫㆩㆧㆥㆮㆯㆬㄣㆭㆱㆰㄢㄤㆲㆨˋ˪ˊ˫˙|</v>
      </c>
      <c r="AI13" s="47"/>
      <c r="AJ13" s="47"/>
      <c r="AK13" s="47"/>
      <c r="AL13" s="47"/>
      <c r="AM13" s="47"/>
      <c r="AN13" s="47"/>
      <c r="AO13" s="47"/>
      <c r="AP13" s="47"/>
      <c r="AQ13" s="47"/>
      <c r="AV13" s="11"/>
      <c r="AW13" s="2"/>
    </row>
    <row r="14" spans="2:49" ht="32.25">
      <c r="B14" s="2">
        <f xml:space="preserve"> SEARCH("|",$B$11,B13+1)</f>
        <v>112</v>
      </c>
      <c r="H14" s="2">
        <f t="shared" si="0"/>
        <v>12</v>
      </c>
      <c r="I14" s="136" t="str">
        <f t="shared" si="1"/>
        <v>h</v>
      </c>
      <c r="J14" s="136" t="str">
        <f t="shared" si="2"/>
        <v>c</v>
      </c>
      <c r="L14" s="2">
        <v>12</v>
      </c>
      <c r="M14" s="21" t="str">
        <f t="shared" si="3"/>
        <v>c</v>
      </c>
      <c r="N14" s="21" t="str">
        <f t="shared" si="4"/>
        <v>ㄏ</v>
      </c>
      <c r="P14" s="2">
        <v>12</v>
      </c>
      <c r="Q14" s="22" t="str">
        <f t="shared" si="5"/>
        <v>z</v>
      </c>
      <c r="R14" s="22" t="str">
        <f t="shared" si="6"/>
        <v>ㆡ</v>
      </c>
      <c r="T14" s="2">
        <v>12</v>
      </c>
      <c r="U14" s="431" t="str">
        <f xml:space="preserve"> 使用按鍵解析!C22</f>
        <v>c</v>
      </c>
      <c r="V14" s="432" t="str" cm="1">
        <f t="array" ref="V14" xml:space="preserve"> INDEX($N$3:$N$53, MATCH(TRUE, EXACT(表格1_33411[[#This Row],[鍵盤按鍵]], $M$3:$M$53), 0))</f>
        <v>ㄏ</v>
      </c>
      <c r="W14" s="433" t="str" cm="1">
        <f t="array" ref="W14" xml:space="preserve"> INDEX($I$3:$I$54, MATCH(TRUE, EXACT(表格1_33411[[#This Row],[鍵盤按鍵]], $J$3:$J$54), 0))</f>
        <v>h</v>
      </c>
      <c r="X14" s="434" t="s">
        <v>53</v>
      </c>
      <c r="Y14" s="24"/>
      <c r="Z14" s="435">
        <f t="shared" si="7"/>
        <v>12</v>
      </c>
      <c r="AA14" s="384" t="s">
        <v>429</v>
      </c>
      <c r="AB14" s="385" t="s">
        <v>127</v>
      </c>
      <c r="AC14" s="387" t="s">
        <v>341</v>
      </c>
      <c r="AD14" s="456" t="s">
        <v>613</v>
      </c>
      <c r="AF14" s="449" t="s">
        <v>11</v>
      </c>
      <c r="AG14" s="1">
        <f xml:space="preserve"> LEN(AH14)</f>
        <v>51</v>
      </c>
      <c r="AH14" s="37" t="str">
        <f xml:space="preserve"> _xlfn.CONCAT(AA$3:AA$48,AA$50:AA$54)</f>
        <v>1q!a2wsxedE?cyhnbYHNBuj8ik,9l.UJ*I&lt;(Lmp/OA0;:-43657</v>
      </c>
      <c r="AU14" s="38" t="s">
        <v>25</v>
      </c>
      <c r="AV14" s="52" t="str">
        <f>AV10</f>
        <v>5</v>
      </c>
      <c r="AW14" s="40">
        <f xml:space="preserve"> FIND(AV14, AH14)</f>
        <v>50</v>
      </c>
    </row>
    <row r="15" spans="2:49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0"/>
        <v>13</v>
      </c>
      <c r="I15" s="136" t="str">
        <f t="shared" si="1"/>
        <v>j</v>
      </c>
      <c r="J15" s="436" t="str">
        <f t="shared" si="2"/>
        <v>b</v>
      </c>
      <c r="L15" s="2">
        <v>13</v>
      </c>
      <c r="M15" s="437" t="str">
        <f t="shared" si="3"/>
        <v>b</v>
      </c>
      <c r="N15" s="21" t="str">
        <f t="shared" si="4"/>
        <v>ㆡ</v>
      </c>
      <c r="P15" s="2">
        <v>13</v>
      </c>
      <c r="Q15" s="22" t="str">
        <f t="shared" si="5"/>
        <v>s</v>
      </c>
      <c r="R15" s="22" t="str">
        <f t="shared" si="6"/>
        <v>ㄙ</v>
      </c>
      <c r="T15" s="2">
        <v>13</v>
      </c>
      <c r="U15" s="431" t="str">
        <f xml:space="preserve"> 使用按鍵解析!C23</f>
        <v>b</v>
      </c>
      <c r="V15" s="432" t="str" cm="1">
        <f t="array" ref="V15" xml:space="preserve"> INDEX($N$3:$N$53, MATCH(TRUE, EXACT(表格1_33411[[#This Row],[鍵盤按鍵]], $M$3:$M$53), 0))</f>
        <v>ㆡ</v>
      </c>
      <c r="W15" s="433" t="str" cm="1">
        <f t="array" ref="W15" xml:space="preserve"> INDEX($I$3:$I$54, MATCH(TRUE, EXACT(表格1_33411[[#This Row],[鍵盤按鍵]], $J$3:$J$54), 0))</f>
        <v>j</v>
      </c>
      <c r="X15" s="434" t="s">
        <v>49</v>
      </c>
      <c r="Y15" s="24"/>
      <c r="Z15" s="435">
        <f t="shared" si="7"/>
        <v>13</v>
      </c>
      <c r="AA15" s="71" t="s">
        <v>305</v>
      </c>
      <c r="AB15" s="32" t="s">
        <v>52</v>
      </c>
      <c r="AC15" s="379" t="s">
        <v>422</v>
      </c>
      <c r="AD15" s="455" t="s">
        <v>422</v>
      </c>
      <c r="AF15" s="451" t="s">
        <v>13</v>
      </c>
      <c r="AG15" s="1">
        <f xml:space="preserve"> LEN(AH15)</f>
        <v>51</v>
      </c>
      <c r="AH15" s="442" t="str">
        <f xml:space="preserve"> _xlfn.CONCAT(AB$3:AB$48,AB$50:AB$54)</f>
        <v>ㄅㄆㆠㄇㄉㄊㄋㄌㄍㄎㆣㄥㄏㄗㄘㄙㆡㄐㄑㄒㆢㄧㄨㄚㆦㄜㆤㄞㄠｎㆪㆫㆩㆧㆥㆮㆯㆬㄣㆭㆱㆰㄢㄤㆲㆨˋ˪ˊ˫˙</v>
      </c>
      <c r="AV15" s="49" t="str">
        <f xml:space="preserve"> MID(AH15, AW14, 1)</f>
        <v>˫</v>
      </c>
      <c r="AW15" s="40"/>
    </row>
    <row r="16" spans="2:49" ht="32.25">
      <c r="B16" s="438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0"/>
        <v>14</v>
      </c>
      <c r="I16" s="136" t="str">
        <f t="shared" si="1"/>
        <v>z</v>
      </c>
      <c r="J16" s="136" t="str">
        <f t="shared" si="2"/>
        <v>y</v>
      </c>
      <c r="L16" s="2">
        <v>14</v>
      </c>
      <c r="M16" s="21" t="str">
        <f t="shared" si="3"/>
        <v>y</v>
      </c>
      <c r="N16" s="21" t="str">
        <f t="shared" si="4"/>
        <v>ㄗ</v>
      </c>
      <c r="P16" s="2">
        <v>14</v>
      </c>
      <c r="Q16" s="22" t="str">
        <f t="shared" si="5"/>
        <v>h</v>
      </c>
      <c r="R16" s="22" t="str">
        <f t="shared" si="6"/>
        <v>ㄏ</v>
      </c>
      <c r="T16" s="2">
        <v>14</v>
      </c>
      <c r="U16" s="431" t="str">
        <f xml:space="preserve"> 使用按鍵解析!C24</f>
        <v>y</v>
      </c>
      <c r="V16" s="432" t="str" cm="1">
        <f t="array" ref="V16" xml:space="preserve"> INDEX($N$3:$N$53, MATCH(TRUE, EXACT(表格1_33411[[#This Row],[鍵盤按鍵]], $M$3:$M$53), 0))</f>
        <v>ㄗ</v>
      </c>
      <c r="W16" s="433" t="str" cm="1">
        <f t="array" ref="W16" xml:space="preserve"> INDEX($I$3:$I$54, MATCH(TRUE, EXACT(表格1_33411[[#This Row],[鍵盤按鍵]], $J$3:$J$54), 0))</f>
        <v>z</v>
      </c>
      <c r="X16" s="434" t="s">
        <v>366</v>
      </c>
      <c r="Y16" s="24"/>
      <c r="Z16" s="435">
        <f t="shared" si="7"/>
        <v>14</v>
      </c>
      <c r="AA16" s="380" t="s">
        <v>590</v>
      </c>
      <c r="AB16" s="381" t="s">
        <v>43</v>
      </c>
      <c r="AC16" s="383" t="s">
        <v>179</v>
      </c>
      <c r="AD16" s="457" t="s">
        <v>366</v>
      </c>
      <c r="AI16" s="54"/>
      <c r="AV16" s="11"/>
      <c r="AW16" s="2"/>
    </row>
    <row r="17" spans="2:49" ht="32.25">
      <c r="H17" s="2">
        <f t="shared" si="0"/>
        <v>15</v>
      </c>
      <c r="I17" s="136" t="str">
        <f t="shared" si="1"/>
        <v>c</v>
      </c>
      <c r="J17" s="136" t="str">
        <f t="shared" si="2"/>
        <v>h</v>
      </c>
      <c r="L17" s="2">
        <v>15</v>
      </c>
      <c r="M17" s="21" t="str">
        <f t="shared" si="3"/>
        <v>h</v>
      </c>
      <c r="N17" s="21" t="str">
        <f t="shared" si="4"/>
        <v>ㄘ</v>
      </c>
      <c r="P17" s="2">
        <v>15</v>
      </c>
      <c r="Q17" s="22" t="str">
        <f t="shared" si="5"/>
        <v>i</v>
      </c>
      <c r="R17" s="22" t="str">
        <f t="shared" si="6"/>
        <v>ㄧ</v>
      </c>
      <c r="T17" s="2">
        <v>15</v>
      </c>
      <c r="U17" s="431" t="str">
        <f xml:space="preserve"> 使用按鍵解析!C25</f>
        <v>h</v>
      </c>
      <c r="V17" s="432" t="str" cm="1">
        <f t="array" ref="V17" xml:space="preserve"> INDEX($N$3:$N$53, MATCH(TRUE, EXACT(表格1_33411[[#This Row],[鍵盤按鍵]], $M$3:$M$53), 0))</f>
        <v>ㄘ</v>
      </c>
      <c r="W17" s="433" t="str" cm="1">
        <f t="array" ref="W17" xml:space="preserve"> INDEX($I$3:$I$54, MATCH(TRUE, EXACT(表格1_33411[[#This Row],[鍵盤按鍵]], $J$3:$J$54), 0))</f>
        <v>c</v>
      </c>
      <c r="X17" s="434" t="s">
        <v>287</v>
      </c>
      <c r="Y17" s="24"/>
      <c r="Z17" s="435">
        <f t="shared" si="7"/>
        <v>15</v>
      </c>
      <c r="AA17" s="380" t="s">
        <v>422</v>
      </c>
      <c r="AB17" s="381" t="s">
        <v>46</v>
      </c>
      <c r="AC17" s="383" t="s">
        <v>305</v>
      </c>
      <c r="AD17" s="457" t="s">
        <v>287</v>
      </c>
      <c r="AF17" s="447" t="s">
        <v>45</v>
      </c>
      <c r="AH17" s="137" t="str">
        <f xml:space="preserve"> "- xlit|" &amp; AH18 &amp; "|" &amp; AH19 &amp; "|"</f>
        <v>- xlit|pPbmtTnlkKgwhzcsjZCSJiuaOoeyxBIUAQEYXMNW}{@[]R123570|ㄅㄆㆠㄇㄉㄊㄋㄌㄍㄎㆣㄥㄏㄗㄘㄙㆡㄐㄑㄒㆢㄧㄨㄚㆦㄜㆤㄞㄠｎㆪㆫㆩㆧㆥㆮㆯㆬㄣㆭㆱㆰㄢㄤㆲㆨˉˋ˪ˊ˫˙|</v>
      </c>
      <c r="AI17" s="47"/>
      <c r="AJ17" s="47"/>
      <c r="AK17" s="47"/>
      <c r="AL17" s="47"/>
      <c r="AM17" s="47"/>
      <c r="AN17" s="47"/>
      <c r="AO17" s="47"/>
      <c r="AP17" s="47"/>
      <c r="AQ17" s="47"/>
      <c r="AV17" s="11"/>
      <c r="AW17" s="2"/>
    </row>
    <row r="18" spans="2:49" ht="32.25">
      <c r="H18" s="2">
        <f t="shared" si="0"/>
        <v>16</v>
      </c>
      <c r="I18" s="136" t="str">
        <f t="shared" si="1"/>
        <v>s</v>
      </c>
      <c r="J18" s="136" t="str">
        <f t="shared" si="2"/>
        <v>n</v>
      </c>
      <c r="L18" s="2">
        <v>16</v>
      </c>
      <c r="M18" s="21" t="str">
        <f t="shared" si="3"/>
        <v>n</v>
      </c>
      <c r="N18" s="21" t="str">
        <f t="shared" si="4"/>
        <v>ㄙ</v>
      </c>
      <c r="P18" s="2">
        <v>16</v>
      </c>
      <c r="Q18" s="22" t="str">
        <f t="shared" si="5"/>
        <v>u</v>
      </c>
      <c r="R18" s="22" t="str">
        <f t="shared" si="6"/>
        <v>ㄨ</v>
      </c>
      <c r="T18" s="2">
        <v>16</v>
      </c>
      <c r="U18" s="431" t="str">
        <f xml:space="preserve"> 使用按鍵解析!C26</f>
        <v>n</v>
      </c>
      <c r="V18" s="432" t="str" cm="1">
        <f t="array" ref="V18" xml:space="preserve"> INDEX($N$3:$N$53, MATCH(TRUE, EXACT(表格1_33411[[#This Row],[鍵盤按鍵]], $M$3:$M$53), 0))</f>
        <v>ㄙ</v>
      </c>
      <c r="W18" s="433" t="str" cm="1">
        <f t="array" ref="W18" xml:space="preserve"> INDEX($I$3:$I$54, MATCH(TRUE, EXACT(表格1_33411[[#This Row],[鍵盤按鍵]], $J$3:$J$54), 0))</f>
        <v>s</v>
      </c>
      <c r="X18" s="434" t="s">
        <v>51</v>
      </c>
      <c r="Y18" s="24"/>
      <c r="Z18" s="435">
        <f t="shared" si="7"/>
        <v>16</v>
      </c>
      <c r="AA18" s="380" t="s">
        <v>34</v>
      </c>
      <c r="AB18" s="381" t="s">
        <v>50</v>
      </c>
      <c r="AC18" s="383" t="s">
        <v>338</v>
      </c>
      <c r="AD18" s="457" t="s">
        <v>338</v>
      </c>
      <c r="AF18" s="448" t="s">
        <v>585</v>
      </c>
      <c r="AG18" s="1">
        <f xml:space="preserve"> LEN(AH18)</f>
        <v>52</v>
      </c>
      <c r="AH18" s="37" t="str">
        <f xml:space="preserve"> _xlfn.CONCAT(AC$3:AC$54)</f>
        <v>pPbmtTnlkKgwhzcsjZCSJiuaOoeyxBIUAQEYXMNW}{@[]R123570</v>
      </c>
      <c r="AU18" s="38" t="s">
        <v>25</v>
      </c>
      <c r="AV18" s="52" t="str">
        <f>AV9</f>
        <v>7</v>
      </c>
      <c r="AW18" s="40">
        <f xml:space="preserve"> FIND(AV18, AH18)</f>
        <v>51</v>
      </c>
    </row>
    <row r="19" spans="2:49" ht="32.25">
      <c r="H19" s="2">
        <f t="shared" si="0"/>
        <v>17</v>
      </c>
      <c r="I19" s="136" t="str">
        <f t="shared" si="1"/>
        <v>J</v>
      </c>
      <c r="J19" s="436" t="str">
        <f t="shared" si="2"/>
        <v>B</v>
      </c>
      <c r="L19" s="2">
        <v>17</v>
      </c>
      <c r="M19" s="437" t="str">
        <f t="shared" si="3"/>
        <v>B</v>
      </c>
      <c r="N19" s="21" t="str">
        <f t="shared" si="4"/>
        <v>ㆢ</v>
      </c>
      <c r="P19" s="2">
        <v>17</v>
      </c>
      <c r="Q19" s="22" t="str">
        <f t="shared" si="5"/>
        <v>a</v>
      </c>
      <c r="R19" s="22" t="str">
        <f t="shared" si="6"/>
        <v>ㄚ</v>
      </c>
      <c r="T19" s="2">
        <v>17</v>
      </c>
      <c r="U19" s="431" t="str">
        <f xml:space="preserve"> 使用按鍵解析!C27</f>
        <v>B</v>
      </c>
      <c r="V19" s="432" t="str" cm="1">
        <f t="array" ref="V19" xml:space="preserve"> INDEX($N$3:$N$53, MATCH(TRUE, EXACT(表格1_33411[[#This Row],[鍵盤按鍵]], $M$3:$M$53), 0))</f>
        <v>ㆢ</v>
      </c>
      <c r="W19" s="433" t="str" cm="1">
        <f t="array" ref="W19" xml:space="preserve"> INDEX($I$3:$I$54, MATCH(TRUE, EXACT(表格1_33411[[#This Row],[鍵盤按鍵]], $J$3:$J$54), 0))</f>
        <v>J</v>
      </c>
      <c r="X19" s="434" t="s">
        <v>583</v>
      </c>
      <c r="Y19" s="24"/>
      <c r="Z19" s="435">
        <f t="shared" si="7"/>
        <v>17</v>
      </c>
      <c r="AA19" s="71" t="s">
        <v>28</v>
      </c>
      <c r="AB19" s="32" t="s">
        <v>48</v>
      </c>
      <c r="AC19" s="379" t="s">
        <v>254</v>
      </c>
      <c r="AD19" s="455" t="s">
        <v>254</v>
      </c>
      <c r="AF19" s="451" t="s">
        <v>642</v>
      </c>
      <c r="AG19" s="1">
        <f xml:space="preserve"> LEN(AH19)</f>
        <v>52</v>
      </c>
      <c r="AH19" s="452" t="str">
        <f xml:space="preserve"> _xlfn.CONCAT(AB3:AB54)</f>
        <v>ㄅㄆㆠㄇㄉㄊㄋㄌㄍㄎㆣㄥㄏㄗㄘㄙㆡㄐㄑㄒㆢㄧㄨㄚㆦㄜㆤㄞㄠｎㆪㆫㆩㆧㆥㆮㆯㆬㄣㆭㆱㆰㄢㄤㆲㆨˉˋ˪ˊ˫˙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0"/>
        <v>18</v>
      </c>
      <c r="I20" s="136" t="str">
        <f t="shared" si="1"/>
        <v>Z</v>
      </c>
      <c r="J20" s="436" t="str">
        <f t="shared" si="2"/>
        <v>Y</v>
      </c>
      <c r="L20" s="2">
        <v>18</v>
      </c>
      <c r="M20" s="437" t="str">
        <f t="shared" ref="M20:M22" si="8">J20</f>
        <v>Y</v>
      </c>
      <c r="N20" s="21" t="str">
        <f t="shared" si="4"/>
        <v>ㄐ</v>
      </c>
      <c r="P20" s="2">
        <v>18</v>
      </c>
      <c r="Q20" s="22" t="str">
        <f t="shared" si="5"/>
        <v>o</v>
      </c>
      <c r="R20" s="22" t="str">
        <f t="shared" si="6"/>
        <v>ㆦ</v>
      </c>
      <c r="T20" s="2">
        <v>18</v>
      </c>
      <c r="U20" s="431" t="str">
        <f xml:space="preserve"> 使用按鍵解析!C28</f>
        <v>Y</v>
      </c>
      <c r="V20" s="432" t="str" cm="1">
        <f t="array" ref="V20" xml:space="preserve"> INDEX($N$3:$N$53, MATCH(TRUE, EXACT(表格1_33411[[#This Row],[鍵盤按鍵]], $M$3:$M$53), 0))</f>
        <v>ㄐ</v>
      </c>
      <c r="W20" s="433" t="str" cm="1">
        <f t="array" ref="W20" xml:space="preserve"> INDEX($I$3:$I$54, MATCH(TRUE, EXACT(表格1_33411[[#This Row],[鍵盤按鍵]], $J$3:$J$54), 0))</f>
        <v>Z</v>
      </c>
      <c r="X20" s="434" t="s">
        <v>450</v>
      </c>
      <c r="Y20" s="24"/>
      <c r="Z20" s="435">
        <f t="shared" si="7"/>
        <v>18</v>
      </c>
      <c r="AA20" s="384" t="s">
        <v>374</v>
      </c>
      <c r="AB20" s="385" t="s">
        <v>89</v>
      </c>
      <c r="AC20" s="387" t="s">
        <v>449</v>
      </c>
      <c r="AD20" s="456" t="s">
        <v>651</v>
      </c>
      <c r="AV20" s="11"/>
      <c r="AW20" s="2"/>
    </row>
    <row r="21" spans="2:49" ht="32.25">
      <c r="B21" s="12" t="s">
        <v>63</v>
      </c>
      <c r="H21" s="2">
        <f t="shared" si="0"/>
        <v>19</v>
      </c>
      <c r="I21" s="136" t="str">
        <f t="shared" si="1"/>
        <v>C</v>
      </c>
      <c r="J21" s="436" t="str">
        <f t="shared" si="2"/>
        <v>H</v>
      </c>
      <c r="L21" s="2">
        <v>19</v>
      </c>
      <c r="M21" s="437" t="str">
        <f t="shared" si="8"/>
        <v>H</v>
      </c>
      <c r="N21" s="21" t="str">
        <f t="shared" si="4"/>
        <v>ㄑ</v>
      </c>
      <c r="P21" s="2">
        <v>19</v>
      </c>
      <c r="Q21" s="22" t="str">
        <f t="shared" si="5"/>
        <v>ø</v>
      </c>
      <c r="R21" s="22" t="str">
        <f t="shared" si="6"/>
        <v>ㄜ</v>
      </c>
      <c r="T21" s="2">
        <v>19</v>
      </c>
      <c r="U21" s="431" t="str">
        <f xml:space="preserve"> 使用按鍵解析!C29</f>
        <v>H</v>
      </c>
      <c r="V21" s="432" t="str" cm="1">
        <f t="array" ref="V21" xml:space="preserve"> INDEX($N$3:$N$53, MATCH(TRUE, EXACT(表格1_33411[[#This Row],[鍵盤按鍵]], $M$3:$M$53), 0))</f>
        <v>ㄑ</v>
      </c>
      <c r="W21" s="433" t="str" cm="1">
        <f t="array" ref="W21" xml:space="preserve"> INDEX($I$3:$I$54, MATCH(TRUE, EXACT(表格1_33411[[#This Row],[鍵盤按鍵]], $J$3:$J$54), 0))</f>
        <v>C</v>
      </c>
      <c r="X21" s="434" t="s">
        <v>457</v>
      </c>
      <c r="Y21" s="24"/>
      <c r="Z21" s="435">
        <f t="shared" si="7"/>
        <v>19</v>
      </c>
      <c r="AA21" s="384" t="s">
        <v>375</v>
      </c>
      <c r="AB21" s="385" t="s">
        <v>91</v>
      </c>
      <c r="AC21" s="388" t="s">
        <v>456</v>
      </c>
      <c r="AD21" s="456" t="s">
        <v>652</v>
      </c>
      <c r="AV21" s="11"/>
      <c r="AW21" s="2"/>
    </row>
    <row r="22" spans="2:49" ht="32.25">
      <c r="B22" s="2">
        <f xml:space="preserve"> SEARCH("|",B21,1)</f>
        <v>7</v>
      </c>
      <c r="H22" s="2">
        <f t="shared" si="0"/>
        <v>20</v>
      </c>
      <c r="I22" s="136" t="str">
        <f t="shared" si="1"/>
        <v>S</v>
      </c>
      <c r="J22" s="436" t="str">
        <f t="shared" si="2"/>
        <v>N</v>
      </c>
      <c r="L22" s="2">
        <v>20</v>
      </c>
      <c r="M22" s="437" t="str">
        <f t="shared" si="8"/>
        <v>N</v>
      </c>
      <c r="N22" s="21" t="str">
        <f t="shared" si="4"/>
        <v>ㄒ</v>
      </c>
      <c r="P22" s="2">
        <v>20</v>
      </c>
      <c r="Q22" s="22" t="str">
        <f t="shared" si="5"/>
        <v>e</v>
      </c>
      <c r="R22" s="22" t="str">
        <f t="shared" si="6"/>
        <v>ㆤ</v>
      </c>
      <c r="T22" s="2">
        <v>20</v>
      </c>
      <c r="U22" s="431" t="str">
        <f xml:space="preserve"> 使用按鍵解析!C30</f>
        <v>N</v>
      </c>
      <c r="V22" s="432" t="str" cm="1">
        <f t="array" ref="V22" xml:space="preserve"> INDEX($N$3:$N$53, MATCH(TRUE, EXACT(表格1_33411[[#This Row],[鍵盤按鍵]], $M$3:$M$53), 0))</f>
        <v>ㄒ</v>
      </c>
      <c r="W22" s="433" t="str" cm="1">
        <f t="array" ref="W22" xml:space="preserve"> INDEX($I$3:$I$54, MATCH(TRUE, EXACT(表格1_33411[[#This Row],[鍵盤按鍵]], $J$3:$J$54), 0))</f>
        <v>S</v>
      </c>
      <c r="X22" s="434" t="s">
        <v>606</v>
      </c>
      <c r="Y22" s="24"/>
      <c r="Z22" s="435">
        <f t="shared" si="7"/>
        <v>20</v>
      </c>
      <c r="AA22" s="384" t="s">
        <v>26</v>
      </c>
      <c r="AB22" s="385" t="s">
        <v>284</v>
      </c>
      <c r="AC22" s="388" t="s">
        <v>460</v>
      </c>
      <c r="AD22" s="456" t="s">
        <v>461</v>
      </c>
      <c r="AV22" s="11"/>
      <c r="AW22" s="2"/>
    </row>
    <row r="23" spans="2:49" ht="32.25">
      <c r="B23" s="2">
        <f xml:space="preserve"> SEARCH("|",B21,B22+1)</f>
        <v>34</v>
      </c>
      <c r="H23" s="2">
        <f t="shared" si="0"/>
        <v>21</v>
      </c>
      <c r="I23" s="136" t="str">
        <f t="shared" si="1"/>
        <v>w</v>
      </c>
      <c r="J23" s="136" t="str">
        <f t="shared" si="2"/>
        <v>?</v>
      </c>
      <c r="L23" s="2">
        <v>21</v>
      </c>
      <c r="M23" s="21" t="str">
        <f t="shared" ref="M23:M73" si="9" xml:space="preserve"> IFERROR( MID($B$15, $H23, 1), "")</f>
        <v>?</v>
      </c>
      <c r="N23" s="21" t="str">
        <f t="shared" si="4"/>
        <v>ㄥ</v>
      </c>
      <c r="P23" s="2">
        <v>21</v>
      </c>
      <c r="Q23" s="22" t="str">
        <f t="shared" si="5"/>
        <v>I</v>
      </c>
      <c r="R23" s="22" t="str">
        <f t="shared" si="6"/>
        <v>ㄞ</v>
      </c>
      <c r="T23" s="2">
        <v>21</v>
      </c>
      <c r="U23" s="431" t="str">
        <f xml:space="preserve"> 使用按鍵解析!C31</f>
        <v>?</v>
      </c>
      <c r="V23" s="432" t="str" cm="1">
        <f t="array" ref="V23" xml:space="preserve"> INDEX($N$3:$N$53, MATCH(TRUE, EXACT(表格1_33411[[#This Row],[鍵盤按鍵]], $M$3:$M$53), 0))</f>
        <v>ㄥ</v>
      </c>
      <c r="W23" s="433" t="str" cm="1">
        <f t="array" ref="W23" xml:space="preserve"> INDEX($I$3:$I$54, MATCH(TRUE, EXACT(表格1_33411[[#This Row],[鍵盤按鍵]], $J$3:$J$54), 0))</f>
        <v>w</v>
      </c>
      <c r="X23" s="439" t="s">
        <v>599</v>
      </c>
      <c r="Y23" s="24"/>
      <c r="Z23" s="435">
        <f t="shared" si="7"/>
        <v>21</v>
      </c>
      <c r="AA23" s="380" t="s">
        <v>218</v>
      </c>
      <c r="AB23" s="381" t="s">
        <v>109</v>
      </c>
      <c r="AC23" s="383" t="s">
        <v>249</v>
      </c>
      <c r="AD23" s="457" t="s">
        <v>607</v>
      </c>
      <c r="AV23" s="11"/>
      <c r="AW23" s="2"/>
    </row>
    <row r="24" spans="2:49" ht="32.25">
      <c r="B24" s="2">
        <f xml:space="preserve"> SEARCH("|",B21,B23+1)</f>
        <v>61</v>
      </c>
      <c r="H24" s="2">
        <f t="shared" si="0"/>
        <v>22</v>
      </c>
      <c r="I24" s="136" t="str">
        <f t="shared" si="1"/>
        <v>i</v>
      </c>
      <c r="J24" s="136" t="str">
        <f t="shared" si="2"/>
        <v>u</v>
      </c>
      <c r="L24" s="2">
        <v>22</v>
      </c>
      <c r="M24" s="21" t="str">
        <f t="shared" si="9"/>
        <v>u</v>
      </c>
      <c r="N24" s="21" t="str">
        <f t="shared" si="4"/>
        <v>ㄧ</v>
      </c>
      <c r="P24" s="2">
        <v>22</v>
      </c>
      <c r="Q24" s="22" t="str">
        <f t="shared" si="5"/>
        <v>U</v>
      </c>
      <c r="R24" s="22" t="str">
        <f t="shared" si="6"/>
        <v>ㄠ</v>
      </c>
      <c r="T24" s="2">
        <v>22</v>
      </c>
      <c r="U24" s="431" t="str">
        <f xml:space="preserve"> 使用按鍵解析!C32</f>
        <v>u</v>
      </c>
      <c r="V24" s="432" t="str" cm="1">
        <f t="array" ref="V24" xml:space="preserve"> INDEX($N$3:$N$53, MATCH(TRUE, EXACT(表格1_33411[[#This Row],[鍵盤按鍵]], $M$3:$M$53), 0))</f>
        <v>ㄧ</v>
      </c>
      <c r="W24" s="433" t="str" cm="1">
        <f t="array" ref="W24" xml:space="preserve"> INDEX($I$3:$I$54, MATCH(TRUE, EXACT(表格1_33411[[#This Row],[鍵盤按鍵]], $J$3:$J$54), 0))</f>
        <v>i</v>
      </c>
      <c r="X24" s="434" t="s">
        <v>55</v>
      </c>
      <c r="Y24" s="24"/>
      <c r="Z24" s="98">
        <f t="shared" si="7"/>
        <v>22</v>
      </c>
      <c r="AA24" s="71" t="s">
        <v>57</v>
      </c>
      <c r="AB24" s="32" t="s">
        <v>54</v>
      </c>
      <c r="AC24" s="379" t="s">
        <v>279</v>
      </c>
      <c r="AD24" s="455" t="s">
        <v>279</v>
      </c>
      <c r="AV24" s="11"/>
      <c r="AW24" s="2"/>
    </row>
    <row r="25" spans="2:4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0"/>
        <v>23</v>
      </c>
      <c r="I25" s="136" t="str">
        <f t="shared" si="1"/>
        <v>u</v>
      </c>
      <c r="J25" s="136" t="str">
        <f t="shared" si="2"/>
        <v>j</v>
      </c>
      <c r="L25" s="2">
        <v>23</v>
      </c>
      <c r="M25" s="21" t="str">
        <f t="shared" si="9"/>
        <v>j</v>
      </c>
      <c r="N25" s="21" t="str">
        <f t="shared" si="4"/>
        <v>ㄨ</v>
      </c>
      <c r="P25" s="2">
        <v>23</v>
      </c>
      <c r="Q25" s="22" t="str">
        <f t="shared" si="5"/>
        <v>B</v>
      </c>
      <c r="R25" s="22" t="str">
        <f t="shared" si="6"/>
        <v>ㆬ</v>
      </c>
      <c r="T25" s="2">
        <v>23</v>
      </c>
      <c r="U25" s="431" t="str">
        <f xml:space="preserve"> 使用按鍵解析!C33</f>
        <v>j</v>
      </c>
      <c r="V25" s="432" t="str" cm="1">
        <f t="array" ref="V25" xml:space="preserve"> INDEX($N$3:$N$53, MATCH(TRUE, EXACT(表格1_33411[[#This Row],[鍵盤按鍵]], $M$3:$M$53), 0))</f>
        <v>ㄨ</v>
      </c>
      <c r="W25" s="433" t="str" cm="1">
        <f t="array" ref="W25" xml:space="preserve"> INDEX($I$3:$I$54, MATCH(TRUE, EXACT(表格1_33411[[#This Row],[鍵盤按鍵]], $J$3:$J$54), 0))</f>
        <v>u</v>
      </c>
      <c r="X25" s="434" t="s">
        <v>57</v>
      </c>
      <c r="Y25" s="24"/>
      <c r="Z25" s="98">
        <f t="shared" si="7"/>
        <v>23</v>
      </c>
      <c r="AA25" s="389" t="s">
        <v>254</v>
      </c>
      <c r="AB25" s="32" t="s">
        <v>56</v>
      </c>
      <c r="AC25" s="390" t="s">
        <v>196</v>
      </c>
      <c r="AD25" s="455" t="s">
        <v>196</v>
      </c>
      <c r="AV25" s="11"/>
      <c r="AW25" s="2"/>
    </row>
    <row r="26" spans="2:4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0"/>
        <v>24</v>
      </c>
      <c r="I26" s="136" t="str">
        <f t="shared" si="1"/>
        <v>M</v>
      </c>
      <c r="J26" s="136" t="str">
        <f t="shared" si="2"/>
        <v>m</v>
      </c>
      <c r="L26" s="2">
        <v>24</v>
      </c>
      <c r="M26" s="21" t="str">
        <f t="shared" si="9"/>
        <v>m</v>
      </c>
      <c r="N26" s="21" t="str">
        <f t="shared" si="4"/>
        <v>ㄇ</v>
      </c>
      <c r="P26" s="2">
        <v>24</v>
      </c>
      <c r="Q26" s="22" t="str">
        <f t="shared" si="5"/>
        <v>D</v>
      </c>
      <c r="R26" s="22" t="str">
        <f t="shared" si="6"/>
        <v>ㄣ</v>
      </c>
      <c r="T26" s="2">
        <v>24</v>
      </c>
      <c r="U26" s="431" t="str">
        <f xml:space="preserve"> 使用按鍵解析!C34</f>
        <v>m</v>
      </c>
      <c r="V26" s="432" t="str" cm="1">
        <f t="array" ref="V26" xml:space="preserve"> INDEX($N$3:$N$53, MATCH(TRUE, EXACT(表格1_33411[[#This Row],[鍵盤按鍵]], $M$3:$M$53), 0))</f>
        <v>ㄇ</v>
      </c>
      <c r="W26" s="433" t="str" cm="1">
        <f t="array" ref="W26" xml:space="preserve"> INDEX($I$3:$I$54, MATCH(TRUE, EXACT(表格1_33411[[#This Row],[鍵盤按鍵]], $J$3:$J$54), 0))</f>
        <v>M</v>
      </c>
      <c r="X26" s="439" t="s">
        <v>79</v>
      </c>
      <c r="Y26" s="24"/>
      <c r="Z26" s="98">
        <f t="shared" si="7"/>
        <v>24</v>
      </c>
      <c r="AA26" s="71" t="s">
        <v>591</v>
      </c>
      <c r="AB26" s="32" t="s">
        <v>58</v>
      </c>
      <c r="AC26" s="379" t="s">
        <v>351</v>
      </c>
      <c r="AD26" s="455" t="s">
        <v>351</v>
      </c>
      <c r="AV26" s="11"/>
      <c r="AW26" s="2"/>
    </row>
    <row r="27" spans="2:49" ht="32.25">
      <c r="H27" s="2">
        <f t="shared" si="0"/>
        <v>25</v>
      </c>
      <c r="I27" s="136" t="str">
        <f t="shared" si="1"/>
        <v>a</v>
      </c>
      <c r="J27" s="136" t="str">
        <f t="shared" si="2"/>
        <v>8</v>
      </c>
      <c r="L27" s="2">
        <v>25</v>
      </c>
      <c r="M27" s="21" t="str">
        <f t="shared" si="9"/>
        <v>8</v>
      </c>
      <c r="N27" s="21" t="str">
        <f t="shared" si="4"/>
        <v>ㄚ</v>
      </c>
      <c r="P27" s="2">
        <v>25</v>
      </c>
      <c r="Q27" s="22" t="str">
        <f t="shared" si="5"/>
        <v>G</v>
      </c>
      <c r="R27" s="22" t="str">
        <f t="shared" si="6"/>
        <v>ㆭ</v>
      </c>
      <c r="T27" s="2">
        <v>25</v>
      </c>
      <c r="U27" s="431" t="str">
        <f xml:space="preserve"> 使用按鍵解析!C35</f>
        <v>8</v>
      </c>
      <c r="V27" s="432" t="str" cm="1">
        <f t="array" ref="V27" xml:space="preserve"> INDEX($N$3:$N$53, MATCH(TRUE, EXACT(表格1_33411[[#This Row],[鍵盤按鍵]], $M$3:$M$53), 0))</f>
        <v>ㄚ</v>
      </c>
      <c r="W27" s="433" t="str" cm="1">
        <f t="array" ref="W27" xml:space="preserve"> INDEX($I$3:$I$54, MATCH(TRUE, EXACT(表格1_33411[[#This Row],[鍵盤按鍵]], $J$3:$J$54), 0))</f>
        <v>a</v>
      </c>
      <c r="X27" s="434" t="s">
        <v>59</v>
      </c>
      <c r="Y27" s="24"/>
      <c r="Z27" s="98">
        <f t="shared" si="7"/>
        <v>25</v>
      </c>
      <c r="AA27" s="71" t="s">
        <v>279</v>
      </c>
      <c r="AB27" s="32" t="s">
        <v>67</v>
      </c>
      <c r="AC27" s="379" t="s">
        <v>267</v>
      </c>
      <c r="AD27" s="455" t="s">
        <v>346</v>
      </c>
      <c r="AV27" s="11"/>
      <c r="AW27" s="2"/>
    </row>
    <row r="28" spans="2:49" ht="32.25">
      <c r="H28" s="2">
        <f t="shared" si="0"/>
        <v>26</v>
      </c>
      <c r="I28" s="136" t="str">
        <f t="shared" si="1"/>
        <v>O</v>
      </c>
      <c r="J28" s="136" t="str">
        <f t="shared" si="2"/>
        <v>i</v>
      </c>
      <c r="L28" s="2">
        <v>26</v>
      </c>
      <c r="M28" s="21" t="str">
        <f t="shared" si="9"/>
        <v>i</v>
      </c>
      <c r="N28" s="21" t="str">
        <f t="shared" si="4"/>
        <v>ㄛ</v>
      </c>
      <c r="P28" s="2">
        <v>26</v>
      </c>
      <c r="Q28" s="22" t="str">
        <f t="shared" si="5"/>
        <v>N</v>
      </c>
      <c r="R28" s="22" t="str">
        <f t="shared" si="6"/>
        <v>ｎ</v>
      </c>
      <c r="T28" s="2">
        <v>26</v>
      </c>
      <c r="U28" s="431" t="str">
        <f xml:space="preserve"> 使用按鍵解析!C36</f>
        <v>i</v>
      </c>
      <c r="V28" s="432" t="str" cm="1">
        <f t="array" ref="V28" xml:space="preserve"> INDEX($N$3:$N$53, MATCH(TRUE, EXACT(表格1_33411[[#This Row],[鍵盤按鍵]], $M$3:$M$53), 0))</f>
        <v>ㄛ</v>
      </c>
      <c r="W28" s="433" t="str" cm="1">
        <f t="array" ref="W28" xml:space="preserve"> INDEX($I$3:$I$54, MATCH(TRUE, EXACT(表格1_33411[[#This Row],[鍵盤按鍵]], $J$3:$J$54), 0))</f>
        <v>O</v>
      </c>
      <c r="X28" s="434" t="s">
        <v>68</v>
      </c>
      <c r="Y28" s="24"/>
      <c r="Z28" s="98">
        <f t="shared" si="7"/>
        <v>26</v>
      </c>
      <c r="AA28" s="71" t="s">
        <v>37</v>
      </c>
      <c r="AB28" s="32" t="s">
        <v>473</v>
      </c>
      <c r="AC28" s="379" t="s">
        <v>65</v>
      </c>
      <c r="AD28" s="455" t="s">
        <v>65</v>
      </c>
      <c r="AV28" s="11"/>
      <c r="AW28" s="2"/>
    </row>
    <row r="29" spans="2:49" ht="32.25">
      <c r="H29" s="2">
        <f t="shared" si="0"/>
        <v>27</v>
      </c>
      <c r="I29" s="136" t="str">
        <f t="shared" si="1"/>
        <v>o</v>
      </c>
      <c r="J29" s="136" t="str">
        <f t="shared" si="2"/>
        <v>k</v>
      </c>
      <c r="L29" s="2">
        <v>27</v>
      </c>
      <c r="M29" s="21" t="str">
        <f t="shared" si="9"/>
        <v>k</v>
      </c>
      <c r="N29" s="21" t="str">
        <f t="shared" si="4"/>
        <v>ㄜ</v>
      </c>
      <c r="P29" s="2">
        <v>27</v>
      </c>
      <c r="Q29" s="22" t="str">
        <f t="shared" si="5"/>
        <v/>
      </c>
      <c r="R29" s="22" t="str">
        <f t="shared" si="6"/>
        <v/>
      </c>
      <c r="T29" s="2">
        <v>27</v>
      </c>
      <c r="U29" s="431" t="str">
        <f xml:space="preserve"> 使用按鍵解析!C37</f>
        <v>k</v>
      </c>
      <c r="V29" s="432" t="str" cm="1">
        <f t="array" ref="V29" xml:space="preserve"> INDEX($N$3:$N$53, MATCH(TRUE, EXACT(表格1_33411[[#This Row],[鍵盤按鍵]], $M$3:$M$53), 0))</f>
        <v>ㄜ</v>
      </c>
      <c r="W29" s="433" t="str" cm="1">
        <f t="array" ref="W29" xml:space="preserve"> INDEX($I$3:$I$54, MATCH(TRUE, EXACT(表格1_33411[[#This Row],[鍵盤按鍵]], $J$3:$J$54), 0))</f>
        <v>o</v>
      </c>
      <c r="X29" s="434" t="s">
        <v>66</v>
      </c>
      <c r="Y29" s="24"/>
      <c r="Z29" s="98">
        <f t="shared" si="7"/>
        <v>27</v>
      </c>
      <c r="AA29" s="71" t="s">
        <v>225</v>
      </c>
      <c r="AB29" s="32" t="s">
        <v>61</v>
      </c>
      <c r="AC29" s="379" t="s">
        <v>329</v>
      </c>
      <c r="AD29" s="455" t="s">
        <v>329</v>
      </c>
      <c r="AV29" s="11"/>
      <c r="AW29" s="2"/>
    </row>
    <row r="30" spans="2:49" ht="32.25">
      <c r="H30" s="2">
        <f t="shared" si="0"/>
        <v>28</v>
      </c>
      <c r="I30" s="136" t="str">
        <f t="shared" si="1"/>
        <v>e</v>
      </c>
      <c r="J30" s="136" t="str">
        <f t="shared" si="2"/>
        <v>,</v>
      </c>
      <c r="L30" s="2">
        <v>28</v>
      </c>
      <c r="M30" s="21" t="str">
        <f t="shared" si="9"/>
        <v>,</v>
      </c>
      <c r="N30" s="21" t="str">
        <f t="shared" si="4"/>
        <v>ㄝ</v>
      </c>
      <c r="P30" s="2">
        <v>28</v>
      </c>
      <c r="Q30" s="22" t="str">
        <f t="shared" si="5"/>
        <v/>
      </c>
      <c r="R30" s="22" t="str">
        <f t="shared" si="6"/>
        <v/>
      </c>
      <c r="T30" s="2">
        <v>28</v>
      </c>
      <c r="U30" s="431" t="str">
        <f xml:space="preserve"> 使用按鍵解析!C38</f>
        <v>,</v>
      </c>
      <c r="V30" s="432" t="str" cm="1">
        <f t="array" ref="V30" xml:space="preserve"> INDEX($N$3:$N$53, MATCH(TRUE, EXACT(表格1_33411[[#This Row],[鍵盤按鍵]], $M$3:$M$53), 0))</f>
        <v>ㄝ</v>
      </c>
      <c r="W30" s="433" t="str" cm="1">
        <f t="array" ref="W30" xml:space="preserve"> INDEX($I$3:$I$54, MATCH(TRUE, EXACT(表格1_33411[[#This Row],[鍵盤按鍵]], $J$3:$J$54), 0))</f>
        <v>e</v>
      </c>
      <c r="X30" s="434" t="s">
        <v>62</v>
      </c>
      <c r="Y30" s="24"/>
      <c r="Z30" s="98">
        <f t="shared" si="7"/>
        <v>28</v>
      </c>
      <c r="AA30" s="459" t="s">
        <v>264</v>
      </c>
      <c r="AB30" s="460" t="s">
        <v>241</v>
      </c>
      <c r="AC30" s="461" t="s">
        <v>590</v>
      </c>
      <c r="AD30" s="462" t="s">
        <v>330</v>
      </c>
      <c r="AV30" s="11"/>
      <c r="AW30" s="2"/>
    </row>
    <row r="31" spans="2:49" ht="32.25">
      <c r="H31" s="2">
        <f t="shared" si="0"/>
        <v>29</v>
      </c>
      <c r="I31" s="136" t="str">
        <f t="shared" si="1"/>
        <v>y</v>
      </c>
      <c r="J31" s="136" t="str">
        <f t="shared" si="2"/>
        <v>9</v>
      </c>
      <c r="L31" s="2">
        <v>29</v>
      </c>
      <c r="M31" s="21" t="str">
        <f t="shared" si="9"/>
        <v>9</v>
      </c>
      <c r="N31" s="21" t="str">
        <f t="shared" si="4"/>
        <v>ㄞ</v>
      </c>
      <c r="P31" s="2">
        <v>29</v>
      </c>
      <c r="Q31" s="22" t="str">
        <f t="shared" si="5"/>
        <v/>
      </c>
      <c r="R31" s="22" t="str">
        <f t="shared" si="6"/>
        <v/>
      </c>
      <c r="T31" s="2">
        <v>29</v>
      </c>
      <c r="U31" s="431" t="str">
        <f xml:space="preserve"> 使用按鍵解析!C39</f>
        <v>9</v>
      </c>
      <c r="V31" s="432" t="str" cm="1">
        <f t="array" ref="V31" xml:space="preserve"> INDEX($N$3:$N$53, MATCH(TRUE, EXACT(表格1_33411[[#This Row],[鍵盤按鍵]], $M$3:$M$53), 0))</f>
        <v>ㄞ</v>
      </c>
      <c r="W31" s="433" t="str" cm="1">
        <f t="array" ref="W31" xml:space="preserve"> INDEX($I$3:$I$54, MATCH(TRUE, EXACT(表格1_33411[[#This Row],[鍵盤按鍵]], $J$3:$J$54), 0))</f>
        <v>y</v>
      </c>
      <c r="X31" s="434" t="s">
        <v>71</v>
      </c>
      <c r="Y31" s="24"/>
      <c r="Z31" s="98">
        <f t="shared" si="7"/>
        <v>29</v>
      </c>
      <c r="AA31" s="459" t="s">
        <v>86</v>
      </c>
      <c r="AB31" s="460" t="s">
        <v>72</v>
      </c>
      <c r="AC31" s="461" t="s">
        <v>332</v>
      </c>
      <c r="AD31" s="462" t="s">
        <v>326</v>
      </c>
      <c r="AV31" s="11"/>
      <c r="AW31" s="2"/>
    </row>
    <row r="32" spans="2:49" ht="32.25">
      <c r="H32" s="2">
        <f t="shared" si="0"/>
        <v>30</v>
      </c>
      <c r="I32" s="136" t="str">
        <f t="shared" si="1"/>
        <v>x</v>
      </c>
      <c r="J32" s="136" t="str">
        <f t="shared" si="2"/>
        <v>l</v>
      </c>
      <c r="L32" s="2">
        <v>30</v>
      </c>
      <c r="M32" s="21" t="str">
        <f t="shared" si="9"/>
        <v>l</v>
      </c>
      <c r="N32" s="21" t="str">
        <f t="shared" si="4"/>
        <v>ㄠ</v>
      </c>
      <c r="P32" s="2">
        <v>30</v>
      </c>
      <c r="Q32" s="22" t="str">
        <f t="shared" si="5"/>
        <v/>
      </c>
      <c r="R32" s="22" t="str">
        <f t="shared" si="6"/>
        <v/>
      </c>
      <c r="T32" s="2">
        <v>30</v>
      </c>
      <c r="U32" s="431" t="str">
        <f xml:space="preserve"> 使用按鍵解析!C40</f>
        <v>l</v>
      </c>
      <c r="V32" s="432" t="str" cm="1">
        <f t="array" ref="V32" xml:space="preserve"> INDEX($N$3:$N$53, MATCH(TRUE, EXACT(表格1_33411[[#This Row],[鍵盤按鍵]], $M$3:$M$53), 0))</f>
        <v>ㄠ</v>
      </c>
      <c r="W32" s="433" t="str" cm="1">
        <f t="array" ref="W32" xml:space="preserve"> INDEX($I$3:$I$54, MATCH(TRUE, EXACT(表格1_33411[[#This Row],[鍵盤按鍵]], $J$3:$J$54), 0))</f>
        <v>x</v>
      </c>
      <c r="X32" s="434" t="s">
        <v>73</v>
      </c>
      <c r="Y32" s="24"/>
      <c r="Z32" s="98">
        <f t="shared" si="7"/>
        <v>30</v>
      </c>
      <c r="AA32" s="71" t="s">
        <v>500</v>
      </c>
      <c r="AB32" s="32" t="s">
        <v>594</v>
      </c>
      <c r="AC32" s="379" t="s">
        <v>144</v>
      </c>
      <c r="AD32" s="455" t="s">
        <v>623</v>
      </c>
      <c r="AV32" s="11"/>
      <c r="AW32" s="2"/>
    </row>
    <row r="33" spans="2:49" ht="32.25">
      <c r="H33" s="2">
        <f t="shared" si="0"/>
        <v>31</v>
      </c>
      <c r="I33" s="136" t="str">
        <f t="shared" si="1"/>
        <v>B</v>
      </c>
      <c r="J33" s="136" t="str">
        <f t="shared" si="2"/>
        <v>.</v>
      </c>
      <c r="L33" s="2">
        <v>31</v>
      </c>
      <c r="M33" s="21" t="str">
        <f t="shared" si="9"/>
        <v>.</v>
      </c>
      <c r="N33" s="21" t="str">
        <f t="shared" si="4"/>
        <v>ｎ</v>
      </c>
      <c r="P33" s="2">
        <v>31</v>
      </c>
      <c r="Q33" s="22" t="str">
        <f t="shared" si="5"/>
        <v/>
      </c>
      <c r="R33" s="22" t="str">
        <f t="shared" si="6"/>
        <v/>
      </c>
      <c r="T33" s="2">
        <v>31</v>
      </c>
      <c r="U33" s="431" t="str">
        <f xml:space="preserve"> 使用按鍵解析!C41</f>
        <v>.</v>
      </c>
      <c r="V33" s="440" t="str" cm="1">
        <f t="array" ref="V33" xml:space="preserve"> INDEX($N$3:$N$53, MATCH(TRUE, EXACT(表格1_33411[[#This Row],[鍵盤按鍵]], $M$3:$M$53), 0))</f>
        <v>ｎ</v>
      </c>
      <c r="W33" s="433" t="str" cm="1">
        <f t="array" ref="W33" xml:space="preserve"> INDEX($I$3:$I$54, MATCH(TRUE, EXACT(表格1_33411[[#This Row],[鍵盤按鍵]], $J$3:$J$54), 0))</f>
        <v>B</v>
      </c>
      <c r="X33" s="439" t="s">
        <v>601</v>
      </c>
      <c r="Y33" s="24"/>
      <c r="Z33" s="98">
        <f t="shared" si="7"/>
        <v>31</v>
      </c>
      <c r="AA33" s="71" t="s">
        <v>259</v>
      </c>
      <c r="AB33" s="32" t="s">
        <v>111</v>
      </c>
      <c r="AC33" s="379" t="s">
        <v>275</v>
      </c>
      <c r="AD33" s="455" t="s">
        <v>513</v>
      </c>
      <c r="AV33" s="11"/>
      <c r="AW33" s="2"/>
    </row>
    <row r="34" spans="2:49" ht="32.25">
      <c r="H34" s="2">
        <f t="shared" si="0"/>
        <v>32</v>
      </c>
      <c r="I34" s="136" t="str">
        <f t="shared" si="1"/>
        <v>@</v>
      </c>
      <c r="J34" s="136" t="str">
        <f t="shared" si="2"/>
        <v>0</v>
      </c>
      <c r="L34" s="2">
        <v>32</v>
      </c>
      <c r="M34" s="21" t="str">
        <f t="shared" si="9"/>
        <v>0</v>
      </c>
      <c r="N34" s="21" t="str">
        <f t="shared" si="4"/>
        <v>ㄢ</v>
      </c>
      <c r="P34" s="2">
        <v>32</v>
      </c>
      <c r="Q34" s="22" t="str">
        <f t="shared" si="5"/>
        <v/>
      </c>
      <c r="R34" s="22" t="str">
        <f t="shared" si="6"/>
        <v/>
      </c>
      <c r="T34" s="2">
        <v>32</v>
      </c>
      <c r="U34" s="431" t="str">
        <f xml:space="preserve"> 使用按鍵解析!C42</f>
        <v>0</v>
      </c>
      <c r="V34" s="432" t="str" cm="1">
        <f t="array" ref="V34" xml:space="preserve"> INDEX($N$3:$N$53, MATCH(TRUE, EXACT(表格1_33411[[#This Row],[鍵盤按鍵]], $M$3:$M$53), 0))</f>
        <v>ㄢ</v>
      </c>
      <c r="W34" s="433" t="str" cm="1">
        <f t="array" ref="W34" xml:space="preserve"> INDEX($I$3:$I$54, MATCH(TRUE, EXACT(表格1_33411[[#This Row],[鍵盤按鍵]], $J$3:$J$54), 0))</f>
        <v>@</v>
      </c>
      <c r="X34" s="434" t="s">
        <v>98</v>
      </c>
      <c r="Y34" s="24"/>
      <c r="Z34" s="98">
        <f t="shared" si="7"/>
        <v>32</v>
      </c>
      <c r="AA34" s="71" t="s">
        <v>249</v>
      </c>
      <c r="AB34" s="32" t="s">
        <v>113</v>
      </c>
      <c r="AC34" s="379" t="s">
        <v>259</v>
      </c>
      <c r="AD34" s="455" t="s">
        <v>518</v>
      </c>
      <c r="AV34" s="11"/>
      <c r="AW34" s="2"/>
    </row>
    <row r="35" spans="2:49" ht="32.25">
      <c r="H35" s="2">
        <f t="shared" si="0"/>
        <v>33</v>
      </c>
      <c r="I35" s="136" t="str">
        <f t="shared" si="1"/>
        <v>N</v>
      </c>
      <c r="J35" s="136" t="str">
        <f t="shared" si="2"/>
        <v>p</v>
      </c>
      <c r="L35" s="2">
        <v>33</v>
      </c>
      <c r="M35" s="21" t="str">
        <f t="shared" si="9"/>
        <v>p</v>
      </c>
      <c r="N35" s="21" t="str">
        <f t="shared" si="4"/>
        <v>ㄣ</v>
      </c>
      <c r="P35" s="2">
        <v>33</v>
      </c>
      <c r="Q35" s="22" t="str">
        <f t="shared" si="5"/>
        <v/>
      </c>
      <c r="R35" s="22" t="str">
        <f t="shared" si="6"/>
        <v/>
      </c>
      <c r="T35" s="2">
        <v>33</v>
      </c>
      <c r="U35" s="431" t="str">
        <f xml:space="preserve"> 使用按鍵解析!C43</f>
        <v>p</v>
      </c>
      <c r="V35" s="432" t="str" cm="1">
        <f t="array" ref="V35" xml:space="preserve"> INDEX($N$3:$N$53, MATCH(TRUE, EXACT(表格1_33411[[#This Row],[鍵盤按鍵]], $M$3:$M$53), 0))</f>
        <v>ㄣ</v>
      </c>
      <c r="W35" s="433" t="str" cm="1">
        <f t="array" ref="W35" xml:space="preserve"> INDEX($I$3:$I$54, MATCH(TRUE, EXACT(表格1_33411[[#This Row],[鍵盤按鍵]], $J$3:$J$54), 0))</f>
        <v>N</v>
      </c>
      <c r="X35" s="439" t="s">
        <v>77</v>
      </c>
      <c r="Y35" s="24"/>
      <c r="Z35" s="98">
        <f t="shared" si="7"/>
        <v>33</v>
      </c>
      <c r="AA35" s="71" t="s">
        <v>281</v>
      </c>
      <c r="AB35" s="32" t="s">
        <v>115</v>
      </c>
      <c r="AC35" s="379" t="s">
        <v>612</v>
      </c>
      <c r="AD35" s="455" t="s">
        <v>276</v>
      </c>
      <c r="AV35" s="11"/>
      <c r="AW35" s="2"/>
    </row>
    <row r="36" spans="2:49" ht="32.25">
      <c r="H36" s="2">
        <f t="shared" si="0"/>
        <v>34</v>
      </c>
      <c r="I36" s="136" t="str">
        <f t="shared" si="1"/>
        <v>[</v>
      </c>
      <c r="J36" s="136" t="str">
        <f t="shared" si="2"/>
        <v>;</v>
      </c>
      <c r="L36" s="2">
        <v>34</v>
      </c>
      <c r="M36" s="21" t="str">
        <f t="shared" si="9"/>
        <v>;</v>
      </c>
      <c r="N36" s="21" t="str">
        <f t="shared" si="4"/>
        <v>ㄤ</v>
      </c>
      <c r="P36" s="2">
        <v>34</v>
      </c>
      <c r="Q36" s="22" t="str">
        <f t="shared" si="5"/>
        <v/>
      </c>
      <c r="R36" s="22" t="str">
        <f t="shared" si="6"/>
        <v/>
      </c>
      <c r="T36" s="2">
        <v>34</v>
      </c>
      <c r="U36" s="431" t="str">
        <f xml:space="preserve"> 使用按鍵解析!C44</f>
        <v>;</v>
      </c>
      <c r="V36" s="432" t="str" cm="1">
        <f t="array" ref="V36" xml:space="preserve"> INDEX($N$3:$N$53, MATCH(TRUE, EXACT(表格1_33411[[#This Row],[鍵盤按鍵]], $M$3:$M$53), 0))</f>
        <v>ㄤ</v>
      </c>
      <c r="W36" s="433" t="str" cm="1">
        <f t="array" ref="W36" xml:space="preserve"> INDEX($I$3:$I$54, MATCH(TRUE, EXACT(表格1_33411[[#This Row],[鍵盤按鍵]], $J$3:$J$54), 0))</f>
        <v>[</v>
      </c>
      <c r="X36" s="434" t="s">
        <v>96</v>
      </c>
      <c r="Y36" s="24"/>
      <c r="Z36" s="98">
        <f t="shared" si="7"/>
        <v>34</v>
      </c>
      <c r="AA36" s="71" t="s">
        <v>275</v>
      </c>
      <c r="AB36" s="32" t="s">
        <v>121</v>
      </c>
      <c r="AC36" s="379" t="s">
        <v>558</v>
      </c>
      <c r="AD36" s="455" t="s">
        <v>273</v>
      </c>
      <c r="AV36" s="11"/>
      <c r="AW36" s="2"/>
    </row>
    <row r="37" spans="2:49" ht="32.25">
      <c r="H37" s="2">
        <f t="shared" si="0"/>
        <v>35</v>
      </c>
      <c r="I37" s="136" t="str">
        <f t="shared" si="1"/>
        <v>W</v>
      </c>
      <c r="J37" s="136" t="str">
        <f t="shared" si="2"/>
        <v>/</v>
      </c>
      <c r="L37" s="2">
        <v>35</v>
      </c>
      <c r="M37" s="21" t="str">
        <f t="shared" si="9"/>
        <v>/</v>
      </c>
      <c r="N37" s="21" t="str">
        <f t="shared" si="4"/>
        <v>ㄥ</v>
      </c>
      <c r="P37" s="2">
        <v>35</v>
      </c>
      <c r="Q37" s="22" t="str">
        <f t="shared" si="5"/>
        <v/>
      </c>
      <c r="R37" s="22" t="str">
        <f t="shared" si="6"/>
        <v/>
      </c>
      <c r="T37" s="2">
        <v>35</v>
      </c>
      <c r="U37" s="431" t="str">
        <f xml:space="preserve"> 使用按鍵解析!C45</f>
        <v>/</v>
      </c>
      <c r="V37" s="432" t="str" cm="1">
        <f t="array" ref="V37" xml:space="preserve"> INDEX($N$3:$N$53, MATCH(TRUE, EXACT(表格1_33411[[#This Row],[鍵盤按鍵]], $M$3:$M$53), 0))</f>
        <v>ㄥ</v>
      </c>
      <c r="W37" s="433" t="str" cm="1">
        <f t="array" ref="W37" xml:space="preserve"> INDEX($I$3:$I$54, MATCH(TRUE, EXACT(表格1_33411[[#This Row],[鍵盤按鍵]], $J$3:$J$54), 0))</f>
        <v>W</v>
      </c>
      <c r="X37" s="439" t="s">
        <v>75</v>
      </c>
      <c r="Y37" s="24"/>
      <c r="Z37" s="98">
        <f t="shared" si="7"/>
        <v>35</v>
      </c>
      <c r="AA37" s="71" t="s">
        <v>223</v>
      </c>
      <c r="AB37" s="32" t="s">
        <v>119</v>
      </c>
      <c r="AC37" s="379" t="s">
        <v>322</v>
      </c>
      <c r="AD37" s="455" t="s">
        <v>270</v>
      </c>
      <c r="AV37" s="11"/>
      <c r="AW37" s="2"/>
    </row>
    <row r="38" spans="2:49" ht="32.25">
      <c r="H38" s="2">
        <f t="shared" si="0"/>
        <v>36</v>
      </c>
      <c r="I38" s="136" t="str">
        <f t="shared" si="1"/>
        <v>R</v>
      </c>
      <c r="J38" s="136" t="str">
        <f t="shared" si="2"/>
        <v>-</v>
      </c>
      <c r="L38" s="2">
        <v>36</v>
      </c>
      <c r="M38" s="21" t="str">
        <f t="shared" si="9"/>
        <v>-</v>
      </c>
      <c r="N38" s="21" t="str">
        <f t="shared" si="4"/>
        <v>ㄦ</v>
      </c>
      <c r="P38" s="2">
        <v>36</v>
      </c>
      <c r="Q38" s="22" t="str">
        <f t="shared" si="5"/>
        <v/>
      </c>
      <c r="R38" s="22" t="str">
        <f t="shared" si="6"/>
        <v/>
      </c>
      <c r="T38" s="2">
        <v>36</v>
      </c>
      <c r="U38" s="431" t="str">
        <f xml:space="preserve"> 使用按鍵解析!C46</f>
        <v>-</v>
      </c>
      <c r="V38" s="432" t="str" cm="1">
        <f t="array" ref="V38" xml:space="preserve"> INDEX($N$3:$N$53, MATCH(TRUE, EXACT(表格1_33411[[#This Row],[鍵盤按鍵]], $M$3:$M$53), 0))</f>
        <v>ㄦ</v>
      </c>
      <c r="W38" s="433" t="str" cm="1">
        <f t="array" ref="W38" xml:space="preserve"> INDEX($I$3:$I$54, MATCH(TRUE, EXACT(表格1_33411[[#This Row],[鍵盤按鍵]], $J$3:$J$54), 0))</f>
        <v>R</v>
      </c>
      <c r="X38" s="434" t="s">
        <v>600</v>
      </c>
      <c r="Y38" s="24"/>
      <c r="Z38" s="98">
        <f t="shared" si="7"/>
        <v>36</v>
      </c>
      <c r="AA38" s="71" t="s">
        <v>240</v>
      </c>
      <c r="AB38" s="32" t="s">
        <v>117</v>
      </c>
      <c r="AC38" s="379" t="s">
        <v>447</v>
      </c>
      <c r="AD38" s="455" t="s">
        <v>268</v>
      </c>
      <c r="AV38" s="11"/>
      <c r="AW38" s="2"/>
    </row>
    <row r="39" spans="2:49" ht="32.25">
      <c r="H39" s="2">
        <f t="shared" si="0"/>
        <v>37</v>
      </c>
      <c r="I39" s="136" t="str">
        <f t="shared" si="1"/>
        <v>I</v>
      </c>
      <c r="J39" s="136" t="str">
        <f t="shared" si="2"/>
        <v>U</v>
      </c>
      <c r="L39" s="2">
        <v>37</v>
      </c>
      <c r="M39" s="21" t="str">
        <f t="shared" si="9"/>
        <v>U</v>
      </c>
      <c r="N39" s="21" t="str">
        <f t="shared" si="4"/>
        <v>ㆪ</v>
      </c>
      <c r="P39" s="2">
        <v>37</v>
      </c>
      <c r="Q39" s="22" t="str">
        <f t="shared" si="5"/>
        <v/>
      </c>
      <c r="R39" s="22" t="str">
        <f t="shared" si="6"/>
        <v/>
      </c>
      <c r="T39" s="2">
        <v>37</v>
      </c>
      <c r="U39" s="431" t="str">
        <f xml:space="preserve"> 使用按鍵解析!C47</f>
        <v>U</v>
      </c>
      <c r="V39" s="432" t="str" cm="1">
        <f t="array" ref="V39" xml:space="preserve"> INDEX($N$3:$N$53, MATCH(TRUE, EXACT(表格1_33411[[#This Row],[鍵盤按鍵]], $M$3:$M$53), 0))</f>
        <v>ㆪ</v>
      </c>
      <c r="W39" s="433" t="str" cm="1">
        <f t="array" ref="W39" xml:space="preserve"> INDEX($I$3:$I$54, MATCH(TRUE, EXACT(表格1_33411[[#This Row],[鍵盤按鍵]], $J$3:$J$54), 0))</f>
        <v>I</v>
      </c>
      <c r="X39" s="434" t="s">
        <v>112</v>
      </c>
      <c r="Y39" s="24"/>
      <c r="Z39" s="98">
        <f t="shared" si="7"/>
        <v>37</v>
      </c>
      <c r="AA39" s="71" t="s">
        <v>231</v>
      </c>
      <c r="AB39" s="32" t="s">
        <v>123</v>
      </c>
      <c r="AC39" s="379" t="s">
        <v>569</v>
      </c>
      <c r="AD39" s="455" t="s">
        <v>265</v>
      </c>
      <c r="AV39" s="11"/>
      <c r="AW39" s="2"/>
    </row>
    <row r="40" spans="2:49" ht="32.25">
      <c r="H40" s="2">
        <f t="shared" si="0"/>
        <v>38</v>
      </c>
      <c r="I40" s="136" t="str">
        <f t="shared" si="1"/>
        <v>U</v>
      </c>
      <c r="J40" s="136" t="str">
        <f t="shared" si="2"/>
        <v>J</v>
      </c>
      <c r="L40" s="2">
        <v>38</v>
      </c>
      <c r="M40" s="21" t="str">
        <f t="shared" si="9"/>
        <v>J</v>
      </c>
      <c r="N40" s="21" t="str">
        <f t="shared" si="4"/>
        <v>ㆫ</v>
      </c>
      <c r="P40" s="2">
        <v>38</v>
      </c>
      <c r="Q40" s="22" t="str">
        <f t="shared" si="5"/>
        <v/>
      </c>
      <c r="R40" s="22" t="str">
        <f t="shared" si="6"/>
        <v/>
      </c>
      <c r="T40" s="2">
        <v>38</v>
      </c>
      <c r="U40" s="431" t="str">
        <f xml:space="preserve"> 使用按鍵解析!C48</f>
        <v>J</v>
      </c>
      <c r="V40" s="432" t="str" cm="1">
        <f t="array" ref="V40" xml:space="preserve"> INDEX($N$3:$N$53, MATCH(TRUE, EXACT(表格1_33411[[#This Row],[鍵盤按鍵]], $M$3:$M$53), 0))</f>
        <v>ㆫ</v>
      </c>
      <c r="W40" s="433" t="str" cm="1">
        <f t="array" ref="W40" xml:space="preserve"> INDEX($I$3:$I$54, MATCH(TRUE, EXACT(表格1_33411[[#This Row],[鍵盤按鍵]], $J$3:$J$54), 0))</f>
        <v>U</v>
      </c>
      <c r="X40" s="434" t="s">
        <v>114</v>
      </c>
      <c r="Y40" s="24"/>
      <c r="Z40" s="98">
        <f t="shared" si="7"/>
        <v>38</v>
      </c>
      <c r="AA40" s="71" t="s">
        <v>143</v>
      </c>
      <c r="AB40" s="32" t="s">
        <v>145</v>
      </c>
      <c r="AC40" s="379" t="s">
        <v>525</v>
      </c>
      <c r="AD40" s="455" t="s">
        <v>608</v>
      </c>
      <c r="AV40" s="11"/>
      <c r="AW40" s="2"/>
    </row>
    <row r="41" spans="2:49" ht="32.25">
      <c r="H41" s="2">
        <f t="shared" si="0"/>
        <v>39</v>
      </c>
      <c r="I41" s="136" t="str">
        <f t="shared" si="1"/>
        <v>A</v>
      </c>
      <c r="J41" s="136" t="str">
        <f t="shared" si="2"/>
        <v>*</v>
      </c>
      <c r="L41" s="2">
        <v>39</v>
      </c>
      <c r="M41" s="21" t="str">
        <f t="shared" si="9"/>
        <v>*</v>
      </c>
      <c r="N41" s="21" t="str">
        <f t="shared" si="4"/>
        <v>ㆩ</v>
      </c>
      <c r="P41" s="2">
        <v>39</v>
      </c>
      <c r="Q41" s="22" t="str">
        <f t="shared" si="5"/>
        <v/>
      </c>
      <c r="R41" s="22" t="str">
        <f t="shared" si="6"/>
        <v/>
      </c>
      <c r="T41" s="2">
        <v>39</v>
      </c>
      <c r="U41" s="431" t="str">
        <f xml:space="preserve"> 使用按鍵解析!C49</f>
        <v>*</v>
      </c>
      <c r="V41" s="432" t="str" cm="1">
        <f t="array" ref="V41" xml:space="preserve"> INDEX($N$3:$N$53, MATCH(TRUE, EXACT(表格1_33411[[#This Row],[鍵盤按鍵]], $M$3:$M$53), 0))</f>
        <v>ㆩ</v>
      </c>
      <c r="W41" s="433" t="str" cm="1">
        <f t="array" ref="W41" xml:space="preserve"> INDEX($I$3:$I$54, MATCH(TRUE, EXACT(表格1_33411[[#This Row],[鍵盤按鍵]], $J$3:$J$54), 0))</f>
        <v>A</v>
      </c>
      <c r="X41" s="434" t="s">
        <v>116</v>
      </c>
      <c r="Y41" s="24"/>
      <c r="Z41" s="98">
        <f t="shared" si="7"/>
        <v>39</v>
      </c>
      <c r="AA41" s="71" t="s">
        <v>217</v>
      </c>
      <c r="AB41" s="32" t="s">
        <v>76</v>
      </c>
      <c r="AC41" s="379" t="s">
        <v>571</v>
      </c>
      <c r="AD41" s="455" t="s">
        <v>489</v>
      </c>
      <c r="AV41" s="11"/>
      <c r="AW41" s="2"/>
    </row>
    <row r="42" spans="2:49" ht="32.25">
      <c r="H42" s="2">
        <f t="shared" si="0"/>
        <v>40</v>
      </c>
      <c r="I42" s="136" t="str">
        <f t="shared" si="1"/>
        <v>Q</v>
      </c>
      <c r="J42" s="136" t="str">
        <f t="shared" si="2"/>
        <v>I</v>
      </c>
      <c r="L42" s="2">
        <v>40</v>
      </c>
      <c r="M42" s="21" t="str">
        <f t="shared" si="9"/>
        <v>I</v>
      </c>
      <c r="N42" s="21" t="str">
        <f t="shared" si="4"/>
        <v>ㆧ</v>
      </c>
      <c r="P42" s="2">
        <v>40</v>
      </c>
      <c r="Q42" s="22" t="str">
        <f t="shared" si="5"/>
        <v/>
      </c>
      <c r="R42" s="22" t="str">
        <f t="shared" si="6"/>
        <v/>
      </c>
      <c r="T42" s="2">
        <v>40</v>
      </c>
      <c r="U42" s="431" t="str">
        <f xml:space="preserve"> 使用按鍵解析!C50</f>
        <v>I</v>
      </c>
      <c r="V42" s="432" t="str" cm="1">
        <f t="array" ref="V42" xml:space="preserve"> INDEX($N$3:$N$53, MATCH(TRUE, EXACT(表格1_33411[[#This Row],[鍵盤按鍵]], $M$3:$M$53), 0))</f>
        <v>ㆧ</v>
      </c>
      <c r="W42" s="433" t="str" cm="1">
        <f t="array" ref="W42" xml:space="preserve"> INDEX($I$3:$I$54, MATCH(TRUE, EXACT(表格1_33411[[#This Row],[鍵盤按鍵]], $J$3:$J$54), 0))</f>
        <v>Q</v>
      </c>
      <c r="X42" s="434" t="s">
        <v>122</v>
      </c>
      <c r="Y42" s="24"/>
      <c r="Z42" s="98">
        <f t="shared" si="7"/>
        <v>40</v>
      </c>
      <c r="AA42" s="71" t="s">
        <v>202</v>
      </c>
      <c r="AB42" s="32" t="s">
        <v>74</v>
      </c>
      <c r="AC42" s="379" t="s">
        <v>559</v>
      </c>
      <c r="AD42" s="455" t="s">
        <v>494</v>
      </c>
      <c r="AV42" s="11"/>
      <c r="AW42" s="2"/>
    </row>
    <row r="43" spans="2:49" ht="32.25">
      <c r="H43" s="2">
        <f t="shared" si="0"/>
        <v>41</v>
      </c>
      <c r="I43" s="136" t="str">
        <f t="shared" si="1"/>
        <v>E</v>
      </c>
      <c r="J43" s="136" t="str">
        <f t="shared" si="2"/>
        <v>&lt;</v>
      </c>
      <c r="L43" s="2">
        <v>41</v>
      </c>
      <c r="M43" s="21" t="str">
        <f t="shared" si="9"/>
        <v>&lt;</v>
      </c>
      <c r="N43" s="21" t="str">
        <f t="shared" si="4"/>
        <v>ㆥ</v>
      </c>
      <c r="P43" s="2">
        <v>41</v>
      </c>
      <c r="Q43" s="22" t="str">
        <f t="shared" si="5"/>
        <v/>
      </c>
      <c r="R43" s="22" t="str">
        <f t="shared" si="6"/>
        <v/>
      </c>
      <c r="T43" s="2">
        <v>41</v>
      </c>
      <c r="U43" s="431" t="str">
        <f xml:space="preserve"> 使用按鍵解析!C51</f>
        <v>&lt;</v>
      </c>
      <c r="V43" s="432" t="str" cm="1">
        <f t="array" ref="V43" xml:space="preserve"> INDEX($N$3:$N$53, MATCH(TRUE, EXACT(表格1_33411[[#This Row],[鍵盤按鍵]], $M$3:$M$53), 0))</f>
        <v>ㆥ</v>
      </c>
      <c r="W43" s="433" t="str" cm="1">
        <f t="array" ref="W43" xml:space="preserve"> INDEX($I$3:$I$54, MATCH(TRUE, EXACT(表格1_33411[[#This Row],[鍵盤按鍵]], $J$3:$J$54), 0))</f>
        <v>E</v>
      </c>
      <c r="X43" s="434" t="s">
        <v>120</v>
      </c>
      <c r="Y43" s="24"/>
      <c r="Z43" s="98">
        <f t="shared" si="7"/>
        <v>41</v>
      </c>
      <c r="AA43" s="464" t="s">
        <v>267</v>
      </c>
      <c r="AB43" s="465" t="s">
        <v>125</v>
      </c>
      <c r="AC43" s="466" t="s">
        <v>621</v>
      </c>
      <c r="AD43" s="467" t="s">
        <v>203</v>
      </c>
      <c r="AE43" s="88"/>
      <c r="AV43" s="11"/>
      <c r="AW43" s="2"/>
    </row>
    <row r="44" spans="2:49" ht="32.25">
      <c r="H44" s="2">
        <f t="shared" si="0"/>
        <v>42</v>
      </c>
      <c r="I44" s="136" t="str">
        <f t="shared" si="1"/>
        <v>Y</v>
      </c>
      <c r="J44" s="136" t="str">
        <f t="shared" si="2"/>
        <v>(</v>
      </c>
      <c r="L44" s="2">
        <v>42</v>
      </c>
      <c r="M44" s="21" t="str">
        <f t="shared" si="9"/>
        <v>(</v>
      </c>
      <c r="N44" s="21" t="str">
        <f t="shared" si="4"/>
        <v>ㆮ</v>
      </c>
      <c r="P44" s="2">
        <v>42</v>
      </c>
      <c r="Q44" s="22" t="str">
        <f t="shared" si="5"/>
        <v/>
      </c>
      <c r="R44" s="22" t="str">
        <f t="shared" si="6"/>
        <v/>
      </c>
      <c r="T44" s="2">
        <v>42</v>
      </c>
      <c r="U44" s="431" t="str">
        <f xml:space="preserve"> 使用按鍵解析!C52</f>
        <v>(</v>
      </c>
      <c r="V44" s="432" t="str" cm="1">
        <f t="array" ref="V44" xml:space="preserve"> INDEX($N$3:$N$53, MATCH(TRUE, EXACT(表格1_33411[[#This Row],[鍵盤按鍵]], $M$3:$M$53), 0))</f>
        <v>ㆮ</v>
      </c>
      <c r="W44" s="433" t="str" cm="1">
        <f t="array" ref="W44" xml:space="preserve"> INDEX($I$3:$I$54, MATCH(TRUE, EXACT(表格1_33411[[#This Row],[鍵盤按鍵]], $J$3:$J$54), 0))</f>
        <v>Y</v>
      </c>
      <c r="X44" s="434" t="s">
        <v>118</v>
      </c>
      <c r="Y44" s="24"/>
      <c r="Z44" s="98">
        <f t="shared" si="7"/>
        <v>42</v>
      </c>
      <c r="AA44" s="464" t="s">
        <v>612</v>
      </c>
      <c r="AB44" s="465" t="s">
        <v>99</v>
      </c>
      <c r="AC44" s="466" t="s">
        <v>622</v>
      </c>
      <c r="AD44" s="467" t="s">
        <v>207</v>
      </c>
      <c r="AV44" s="11"/>
      <c r="AW44" s="2"/>
    </row>
    <row r="45" spans="2:49" ht="32.25">
      <c r="H45" s="2">
        <f t="shared" si="0"/>
        <v>43</v>
      </c>
      <c r="I45" s="136" t="str">
        <f t="shared" si="1"/>
        <v>X</v>
      </c>
      <c r="J45" s="136" t="str">
        <f t="shared" si="2"/>
        <v>L</v>
      </c>
      <c r="L45" s="2">
        <v>43</v>
      </c>
      <c r="M45" s="21" t="str">
        <f t="shared" si="9"/>
        <v>L</v>
      </c>
      <c r="N45" s="21" t="str">
        <f t="shared" si="4"/>
        <v>ㆯ</v>
      </c>
      <c r="R45" s="2"/>
      <c r="T45" s="2">
        <v>43</v>
      </c>
      <c r="U45" s="431" t="str">
        <f xml:space="preserve"> 使用按鍵解析!C53</f>
        <v>L</v>
      </c>
      <c r="V45" s="432" t="str" cm="1">
        <f t="array" ref="V45" xml:space="preserve"> INDEX($N$3:$N$53, MATCH(TRUE, EXACT(表格1_33411[[#This Row],[鍵盤按鍵]], $M$3:$M$53), 0))</f>
        <v>ㆯ</v>
      </c>
      <c r="W45" s="433" t="str" cm="1">
        <f t="array" ref="W45" xml:space="preserve"> INDEX($I$3:$I$54, MATCH(TRUE, EXACT(表格1_33411[[#This Row],[鍵盤按鍵]], $J$3:$J$54), 0))</f>
        <v>X</v>
      </c>
      <c r="X45" s="434" t="s">
        <v>124</v>
      </c>
      <c r="Y45" s="24"/>
      <c r="Z45" s="98">
        <f t="shared" si="7"/>
        <v>43</v>
      </c>
      <c r="AA45" s="71">
        <v>0</v>
      </c>
      <c r="AB45" s="32" t="s">
        <v>97</v>
      </c>
      <c r="AC45" s="379" t="s">
        <v>617</v>
      </c>
      <c r="AD45" s="455" t="s">
        <v>177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41"/>
      <c r="H46" s="2">
        <f t="shared" si="0"/>
        <v>44</v>
      </c>
      <c r="I46" s="136" t="str">
        <f t="shared" si="1"/>
        <v>}</v>
      </c>
      <c r="J46" s="136" t="str">
        <f t="shared" si="2"/>
        <v>O</v>
      </c>
      <c r="L46" s="2">
        <v>44</v>
      </c>
      <c r="M46" s="21" t="str">
        <f t="shared" si="9"/>
        <v>O</v>
      </c>
      <c r="N46" s="21" t="str">
        <f t="shared" si="4"/>
        <v>ㆱ</v>
      </c>
      <c r="R46" s="2"/>
      <c r="T46" s="2">
        <v>44</v>
      </c>
      <c r="U46" s="431" t="str">
        <f xml:space="preserve"> 使用按鍵解析!C54</f>
        <v>O</v>
      </c>
      <c r="V46" s="432" t="str" cm="1">
        <f t="array" ref="V46" xml:space="preserve"> INDEX($N$3:$N$53, MATCH(TRUE, EXACT(表格1_33411[[#This Row],[鍵盤按鍵]], $M$3:$M$53), 0))</f>
        <v>ㆱ</v>
      </c>
      <c r="W46" s="433" t="str" cm="1">
        <f t="array" ref="W46" xml:space="preserve"> INDEX($I$3:$I$54, MATCH(TRUE, EXACT(表格1_33411[[#This Row],[鍵盤按鍵]], $J$3:$J$54), 0))</f>
        <v>}</v>
      </c>
      <c r="X46" s="434" t="s">
        <v>126</v>
      </c>
      <c r="Y46" s="24"/>
      <c r="Z46" s="98">
        <f t="shared" si="7"/>
        <v>44</v>
      </c>
      <c r="AA46" s="71" t="s">
        <v>212</v>
      </c>
      <c r="AB46" s="32" t="s">
        <v>95</v>
      </c>
      <c r="AC46" s="379" t="s">
        <v>618</v>
      </c>
      <c r="AD46" s="455" t="s">
        <v>163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0" xml:space="preserve"> MID($B$47, $C47, 1)</f>
        <v>1</v>
      </c>
      <c r="E47" s="5" t="str">
        <f t="shared" ref="E47:E88" si="11" xml:space="preserve"> IFERROR( INDEX($N$3:$N$44, MATCH(D47, $M$3:$M$44, 0)), "")</f>
        <v>ㄅ</v>
      </c>
      <c r="F47" s="5" t="str">
        <f t="shared" ref="F47:F88" si="12" xml:space="preserve"> IFERROR( INDEX($I$3:$I$44, MATCH($D47, $J$3:$J$44, 0)), "")</f>
        <v>p</v>
      </c>
      <c r="G47" s="5"/>
      <c r="H47" s="2">
        <f t="shared" si="0"/>
        <v>45</v>
      </c>
      <c r="I47" s="136" t="str">
        <f t="shared" si="1"/>
        <v>{</v>
      </c>
      <c r="J47" s="136" t="str">
        <f t="shared" si="2"/>
        <v>A</v>
      </c>
      <c r="L47" s="2">
        <v>45</v>
      </c>
      <c r="M47" s="21" t="str">
        <f t="shared" si="9"/>
        <v>A</v>
      </c>
      <c r="N47" s="21" t="str">
        <f t="shared" si="4"/>
        <v>ㆰ</v>
      </c>
      <c r="R47" s="2"/>
      <c r="T47" s="2">
        <v>45</v>
      </c>
      <c r="U47" s="431" t="str">
        <f xml:space="preserve"> 使用按鍵解析!C55</f>
        <v>A</v>
      </c>
      <c r="V47" s="432" t="str" cm="1">
        <f t="array" ref="V47" xml:space="preserve"> INDEX($N$3:$N$53, MATCH(TRUE, EXACT(表格1_33411[[#This Row],[鍵盤按鍵]], $M$3:$M$53), 0))</f>
        <v>ㆰ</v>
      </c>
      <c r="W47" s="433" t="str" cm="1">
        <f t="array" ref="W47" xml:space="preserve"> INDEX($I$3:$I$54, MATCH(TRUE, EXACT(表格1_33411[[#This Row],[鍵盤按鍵]], $J$3:$J$54), 0))</f>
        <v>{</v>
      </c>
      <c r="X47" s="434" t="s">
        <v>100</v>
      </c>
      <c r="Y47" s="24"/>
      <c r="Z47" s="98">
        <f t="shared" si="7"/>
        <v>45</v>
      </c>
      <c r="AA47" s="71" t="s">
        <v>206</v>
      </c>
      <c r="AB47" s="32" t="s">
        <v>101</v>
      </c>
      <c r="AC47" s="379" t="s">
        <v>619</v>
      </c>
      <c r="AD47" s="455" t="s">
        <v>160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0"/>
        <v>q</v>
      </c>
      <c r="E48" s="5" t="str">
        <f t="shared" si="11"/>
        <v>ㄆ</v>
      </c>
      <c r="F48" s="5" t="str">
        <f t="shared" si="12"/>
        <v>P</v>
      </c>
      <c r="G48" s="5"/>
      <c r="H48" s="2">
        <f t="shared" si="0"/>
        <v>46</v>
      </c>
      <c r="I48" s="136" t="str">
        <f t="shared" si="1"/>
        <v>]</v>
      </c>
      <c r="J48" s="136" t="str">
        <f t="shared" si="2"/>
        <v>:</v>
      </c>
      <c r="L48" s="2">
        <v>46</v>
      </c>
      <c r="M48" s="21" t="str">
        <f t="shared" si="9"/>
        <v>:</v>
      </c>
      <c r="N48" s="21" t="str">
        <f t="shared" si="4"/>
        <v>ㆲ</v>
      </c>
      <c r="R48" s="2"/>
      <c r="T48" s="2">
        <v>46</v>
      </c>
      <c r="U48" s="431" t="str">
        <f xml:space="preserve"> 使用按鍵解析!C56</f>
        <v>:</v>
      </c>
      <c r="V48" s="432" t="str" cm="1">
        <f t="array" ref="V48" xml:space="preserve"> INDEX($N$3:$N$53, MATCH(TRUE, EXACT(表格1_33411[[#This Row],[鍵盤按鍵]], $M$3:$M$53), 0))</f>
        <v>ㆲ</v>
      </c>
      <c r="W48" s="433" t="str" cm="1">
        <f t="array" ref="W48" xml:space="preserve"> INDEX($I$3:$I$54, MATCH(TRUE, EXACT(表格1_33411[[#This Row],[鍵盤按鍵]], $J$3:$J$54), 0))</f>
        <v>]</v>
      </c>
      <c r="X48" s="434" t="s">
        <v>102</v>
      </c>
      <c r="Y48" s="24"/>
      <c r="Z48" s="98">
        <f t="shared" si="7"/>
        <v>46</v>
      </c>
      <c r="AA48" s="71" t="s">
        <v>198</v>
      </c>
      <c r="AB48" s="32" t="s">
        <v>593</v>
      </c>
      <c r="AC48" s="379" t="s">
        <v>560</v>
      </c>
      <c r="AD48" s="455" t="s">
        <v>522</v>
      </c>
      <c r="AV48" s="11"/>
      <c r="AW48" s="2"/>
    </row>
    <row r="49" spans="2:49" ht="32.25">
      <c r="C49" s="2">
        <v>3</v>
      </c>
      <c r="D49" s="21" t="str">
        <f t="shared" si="10"/>
        <v>a</v>
      </c>
      <c r="E49" s="5" t="str">
        <f t="shared" si="11"/>
        <v>ㄇ</v>
      </c>
      <c r="F49" s="5" t="str">
        <f t="shared" si="12"/>
        <v>m</v>
      </c>
      <c r="G49" s="5"/>
      <c r="H49" s="2">
        <f t="shared" si="0"/>
        <v>47</v>
      </c>
      <c r="I49" s="136" t="str">
        <f t="shared" si="1"/>
        <v>1</v>
      </c>
      <c r="J49" s="136" t="str">
        <f t="shared" si="2"/>
        <v xml:space="preserve"> </v>
      </c>
      <c r="L49" s="2">
        <v>47</v>
      </c>
      <c r="M49" s="21" t="str">
        <f t="shared" si="9"/>
        <v>4</v>
      </c>
      <c r="N49" s="21" t="str">
        <f t="shared" si="4"/>
        <v>ˋ</v>
      </c>
      <c r="R49" s="2"/>
      <c r="T49" s="2">
        <v>47</v>
      </c>
      <c r="U49" s="431" t="str">
        <f xml:space="preserve"> 使用按鍵解析!C57</f>
        <v xml:space="preserve"> </v>
      </c>
      <c r="V49" s="52" t="e" cm="1">
        <f t="array" ref="V49" xml:space="preserve"> INDEX($N$3:$N$53, MATCH(TRUE, EXACT(表格1_33411[[#This Row],[鍵盤按鍵]], $M$3:$M$53), 0))</f>
        <v>#N/A</v>
      </c>
      <c r="W49" s="433" t="str" cm="1">
        <f t="array" ref="W49" xml:space="preserve"> INDEX($I$3:$I$54, MATCH(TRUE, EXACT(表格1_33411[[#This Row],[鍵盤按鍵]], $J$3:$J$54), 0))</f>
        <v>1</v>
      </c>
      <c r="X49" s="434">
        <v>1</v>
      </c>
      <c r="Y49" s="24"/>
      <c r="Z49" s="98">
        <f t="shared" si="7"/>
        <v>47</v>
      </c>
      <c r="AA49" s="71" t="s">
        <v>194</v>
      </c>
      <c r="AB49" s="32" t="s">
        <v>532</v>
      </c>
      <c r="AC49" s="379" t="s">
        <v>361</v>
      </c>
      <c r="AD49" s="455">
        <v>1</v>
      </c>
      <c r="AV49" s="11"/>
      <c r="AW49" s="2"/>
    </row>
    <row r="50" spans="2:49" ht="32.25">
      <c r="C50" s="2">
        <v>4</v>
      </c>
      <c r="D50" s="21" t="str">
        <f t="shared" si="10"/>
        <v>z</v>
      </c>
      <c r="E50" s="5" t="str">
        <f t="shared" si="11"/>
        <v/>
      </c>
      <c r="F50" s="5" t="str">
        <f t="shared" si="12"/>
        <v/>
      </c>
      <c r="G50" s="5"/>
      <c r="H50" s="2">
        <f t="shared" si="0"/>
        <v>48</v>
      </c>
      <c r="I50" s="136" t="str">
        <f t="shared" si="1"/>
        <v>2</v>
      </c>
      <c r="J50" s="136" t="str">
        <f t="shared" si="2"/>
        <v>4</v>
      </c>
      <c r="L50" s="2">
        <v>48</v>
      </c>
      <c r="M50" s="21" t="str">
        <f t="shared" si="9"/>
        <v>3</v>
      </c>
      <c r="N50" s="21" t="str">
        <f t="shared" si="4"/>
        <v>ˇ</v>
      </c>
      <c r="R50" s="2"/>
      <c r="T50" s="2">
        <v>48</v>
      </c>
      <c r="U50" s="431" t="str">
        <f xml:space="preserve"> 使用按鍵解析!C58</f>
        <v>4</v>
      </c>
      <c r="V50" s="432" t="str" cm="1">
        <f t="array" ref="V50" xml:space="preserve"> INDEX($N$3:$N$53, MATCH(TRUE, EXACT(表格1_33411[[#This Row],[鍵盤按鍵]], $M$3:$M$53), 0))</f>
        <v>ˋ</v>
      </c>
      <c r="W50" s="433" t="str" cm="1">
        <f t="array" ref="W50" xml:space="preserve"> INDEX($I$3:$I$54, MATCH(TRUE, EXACT(表格1_33411[[#This Row],[鍵盤按鍵]], $J$3:$J$54), 0))</f>
        <v>2</v>
      </c>
      <c r="X50" s="434">
        <v>2</v>
      </c>
      <c r="Y50" s="24"/>
      <c r="Z50" s="98">
        <f t="shared" si="7"/>
        <v>48</v>
      </c>
      <c r="AA50" s="71" t="s">
        <v>193</v>
      </c>
      <c r="AB50" s="32" t="s">
        <v>104</v>
      </c>
      <c r="AC50" s="379" t="s">
        <v>347</v>
      </c>
      <c r="AD50" s="455">
        <v>2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0"/>
        <v>2</v>
      </c>
      <c r="E51" s="5" t="str">
        <f t="shared" si="11"/>
        <v>ㄉ</v>
      </c>
      <c r="F51" s="5" t="str">
        <f t="shared" si="12"/>
        <v>t</v>
      </c>
      <c r="G51" s="5"/>
      <c r="H51" s="2">
        <f t="shared" si="0"/>
        <v>49</v>
      </c>
      <c r="I51" s="136" t="str">
        <f t="shared" si="1"/>
        <v>3</v>
      </c>
      <c r="J51" s="136" t="str">
        <f t="shared" si="2"/>
        <v>3</v>
      </c>
      <c r="L51" s="2">
        <v>49</v>
      </c>
      <c r="M51" s="21" t="str">
        <f t="shared" si="9"/>
        <v>6</v>
      </c>
      <c r="N51" s="21" t="str">
        <f t="shared" si="4"/>
        <v>ˊ</v>
      </c>
      <c r="R51" s="2"/>
      <c r="T51" s="2">
        <v>49</v>
      </c>
      <c r="U51" s="431" t="str">
        <f xml:space="preserve"> 使用按鍵解析!C59</f>
        <v>3</v>
      </c>
      <c r="V51" s="432" t="str" cm="1">
        <f t="array" ref="V51" xml:space="preserve"> INDEX($N$3:$N$53, MATCH(TRUE, EXACT(表格1_33411[[#This Row],[鍵盤按鍵]], $M$3:$M$53), 0))</f>
        <v>ˇ</v>
      </c>
      <c r="W51" s="433" t="str" cm="1">
        <f t="array" ref="W51" xml:space="preserve"> INDEX($I$3:$I$54, MATCH(TRUE, EXACT(表格1_33411[[#This Row],[鍵盤按鍵]], $J$3:$J$54), 0))</f>
        <v>3</v>
      </c>
      <c r="X51" s="434">
        <v>3</v>
      </c>
      <c r="Y51" s="24"/>
      <c r="Z51" s="98">
        <f t="shared" si="7"/>
        <v>49</v>
      </c>
      <c r="AA51" s="71" t="s">
        <v>191</v>
      </c>
      <c r="AB51" s="32" t="s">
        <v>105</v>
      </c>
      <c r="AC51" s="379" t="s">
        <v>191</v>
      </c>
      <c r="AD51" s="455">
        <v>3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0"/>
        <v>w</v>
      </c>
      <c r="E52" s="5" t="str">
        <f t="shared" si="11"/>
        <v>ㄊ</v>
      </c>
      <c r="F52" s="5" t="str">
        <f t="shared" si="12"/>
        <v>T</v>
      </c>
      <c r="G52" s="5"/>
      <c r="H52" s="2">
        <f t="shared" si="0"/>
        <v>50</v>
      </c>
      <c r="I52" s="136" t="str">
        <f t="shared" si="1"/>
        <v>5</v>
      </c>
      <c r="J52" s="136" t="str">
        <f t="shared" si="2"/>
        <v>6</v>
      </c>
      <c r="L52" s="2">
        <v>50</v>
      </c>
      <c r="M52" s="21" t="str">
        <f t="shared" si="9"/>
        <v>5</v>
      </c>
      <c r="N52" s="21" t="str">
        <f t="shared" si="4"/>
        <v>+</v>
      </c>
      <c r="R52" s="2"/>
      <c r="T52" s="2">
        <v>50</v>
      </c>
      <c r="U52" s="431" t="str">
        <f xml:space="preserve"> 使用按鍵解析!C60</f>
        <v>6</v>
      </c>
      <c r="V52" s="432" t="str" cm="1">
        <f t="array" ref="V52" xml:space="preserve"> INDEX($N$3:$N$53, MATCH(TRUE, EXACT(表格1_33411[[#This Row],[鍵盤按鍵]], $M$3:$M$53), 0))</f>
        <v>ˊ</v>
      </c>
      <c r="W52" s="433" t="str" cm="1">
        <f t="array" ref="W52" xml:space="preserve"> INDEX($I$3:$I$54, MATCH(TRUE, EXACT(表格1_33411[[#This Row],[鍵盤按鍵]], $J$3:$J$54), 0))</f>
        <v>5</v>
      </c>
      <c r="X52" s="434">
        <v>5</v>
      </c>
      <c r="Y52" s="24"/>
      <c r="Z52" s="98">
        <f t="shared" si="7"/>
        <v>50</v>
      </c>
      <c r="AA52" s="71" t="s">
        <v>175</v>
      </c>
      <c r="AB52" s="32" t="s">
        <v>106</v>
      </c>
      <c r="AC52" s="379" t="s">
        <v>170</v>
      </c>
      <c r="AD52" s="455">
        <v>5</v>
      </c>
      <c r="AV52" s="11"/>
      <c r="AW52" s="2"/>
    </row>
    <row r="53" spans="2:49" ht="32.25">
      <c r="C53" s="2">
        <v>7</v>
      </c>
      <c r="D53" s="21" t="str">
        <f t="shared" si="10"/>
        <v>s</v>
      </c>
      <c r="E53" s="5" t="str">
        <f t="shared" si="11"/>
        <v>ㄋ</v>
      </c>
      <c r="F53" s="5" t="str">
        <f t="shared" si="12"/>
        <v>n</v>
      </c>
      <c r="G53" s="5"/>
      <c r="H53" s="2">
        <f t="shared" si="0"/>
        <v>51</v>
      </c>
      <c r="I53" s="136" t="str">
        <f t="shared" si="1"/>
        <v>7</v>
      </c>
      <c r="J53" s="136" t="str">
        <f t="shared" si="2"/>
        <v>5</v>
      </c>
      <c r="L53" s="2">
        <v>51</v>
      </c>
      <c r="M53" s="21" t="str">
        <f t="shared" si="9"/>
        <v>7</v>
      </c>
      <c r="N53" s="21" t="str">
        <f t="shared" si="4"/>
        <v>˙</v>
      </c>
      <c r="R53" s="2"/>
      <c r="T53" s="2">
        <v>51</v>
      </c>
      <c r="U53" s="431" t="str">
        <f xml:space="preserve"> 使用按鍵解析!C61</f>
        <v>5</v>
      </c>
      <c r="V53" s="432" t="str" cm="1">
        <f t="array" ref="V53" xml:space="preserve"> INDEX($N$3:$N$53, MATCH(TRUE, EXACT(表格1_33411[[#This Row],[鍵盤按鍵]], $M$3:$M$53), 0))</f>
        <v>+</v>
      </c>
      <c r="W53" s="433" t="str" cm="1">
        <f t="array" ref="W53" xml:space="preserve"> INDEX($I$3:$I$54, MATCH(TRUE, EXACT(表格1_33411[[#This Row],[鍵盤按鍵]], $J$3:$J$54), 0))</f>
        <v>7</v>
      </c>
      <c r="X53" s="434">
        <v>7</v>
      </c>
      <c r="Y53" s="24"/>
      <c r="Z53" s="98">
        <f t="shared" si="7"/>
        <v>51</v>
      </c>
      <c r="AA53" s="71" t="s">
        <v>170</v>
      </c>
      <c r="AB53" s="32" t="s">
        <v>107</v>
      </c>
      <c r="AC53" s="379" t="s">
        <v>166</v>
      </c>
      <c r="AD53" s="455">
        <v>7</v>
      </c>
      <c r="AV53" s="11"/>
      <c r="AW53" s="2"/>
    </row>
    <row r="54" spans="2:49" ht="32.25">
      <c r="C54" s="2">
        <v>8</v>
      </c>
      <c r="D54" s="21" t="str">
        <f t="shared" si="10"/>
        <v>x</v>
      </c>
      <c r="E54" s="5" t="str">
        <f t="shared" si="11"/>
        <v>ㄌ</v>
      </c>
      <c r="F54" s="5" t="str">
        <f t="shared" si="12"/>
        <v>l</v>
      </c>
      <c r="G54" s="5"/>
      <c r="H54" s="2">
        <f t="shared" si="0"/>
        <v>52</v>
      </c>
      <c r="I54" s="136" t="str">
        <f t="shared" si="1"/>
        <v>0</v>
      </c>
      <c r="J54" s="136" t="str">
        <f t="shared" si="2"/>
        <v>7</v>
      </c>
      <c r="L54" s="2">
        <v>52</v>
      </c>
      <c r="M54" s="21" t="str">
        <f t="shared" si="9"/>
        <v/>
      </c>
      <c r="N54" s="21" t="str">
        <f t="shared" si="4"/>
        <v/>
      </c>
      <c r="R54" s="2"/>
      <c r="T54" s="2">
        <v>52</v>
      </c>
      <c r="U54" s="431" t="str">
        <f xml:space="preserve"> 使用按鍵解析!C62</f>
        <v>7</v>
      </c>
      <c r="V54" s="432" t="str" cm="1">
        <f t="array" ref="V54" xml:space="preserve"> INDEX($N$3:$N$53, MATCH(TRUE, EXACT(表格1_33411[[#This Row],[鍵盤按鍵]], $M$3:$M$53), 0))</f>
        <v>˙</v>
      </c>
      <c r="W54" s="433" t="str" cm="1">
        <f t="array" ref="W54" xml:space="preserve"> INDEX($I$3:$I$54, MATCH(TRUE, EXACT(表格1_33411[[#This Row],[鍵盤按鍵]], $J$3:$J$54), 0))</f>
        <v>0</v>
      </c>
      <c r="X54" s="434" t="s">
        <v>610</v>
      </c>
      <c r="Y54" s="24"/>
      <c r="Z54" s="98">
        <f t="shared" si="7"/>
        <v>52</v>
      </c>
      <c r="AA54" s="71" t="s">
        <v>166</v>
      </c>
      <c r="AB54" s="32" t="s">
        <v>108</v>
      </c>
      <c r="AC54" s="379" t="s">
        <v>219</v>
      </c>
      <c r="AD54" s="455" t="s">
        <v>609</v>
      </c>
      <c r="AV54" s="11"/>
      <c r="AW54" s="2"/>
    </row>
    <row r="55" spans="2:49" ht="32.25">
      <c r="C55" s="2">
        <v>9</v>
      </c>
      <c r="D55" s="21" t="str">
        <f t="shared" si="10"/>
        <v>e</v>
      </c>
      <c r="E55" s="5" t="str">
        <f t="shared" si="11"/>
        <v>ㄍ</v>
      </c>
      <c r="F55" s="5" t="str">
        <f t="shared" si="12"/>
        <v>k</v>
      </c>
      <c r="G55" s="5"/>
      <c r="I55" s="2"/>
      <c r="J55" s="2"/>
      <c r="R55" s="2"/>
      <c r="Y55" s="24"/>
      <c r="Z55" s="98">
        <f t="shared" si="7"/>
        <v>53</v>
      </c>
      <c r="AA55" s="71" t="str">
        <f xml:space="preserve"> IFERROR( INDEX(表格1_33411[鍵盤按鍵], MATCH($AB55, 表格1_33411[注音符號], 0)), "")</f>
        <v/>
      </c>
      <c r="AB55" s="32" t="s">
        <v>128</v>
      </c>
      <c r="AC55" s="379" t="str">
        <f xml:space="preserve"> IFERROR( INDEX(表格1_33411[注音編碼], MATCH($AB55, 表格1_33411[注音符號], 0)), "")</f>
        <v/>
      </c>
      <c r="AD55" s="458" t="s">
        <v>645</v>
      </c>
      <c r="AV55" s="11"/>
      <c r="AW55" s="2"/>
    </row>
    <row r="56" spans="2:49" ht="32.25">
      <c r="C56" s="2">
        <v>10</v>
      </c>
      <c r="D56" s="21" t="str">
        <f t="shared" si="10"/>
        <v>d</v>
      </c>
      <c r="E56" s="5" t="str">
        <f t="shared" si="11"/>
        <v>ㄎ</v>
      </c>
      <c r="F56" s="5" t="str">
        <f t="shared" si="12"/>
        <v>K</v>
      </c>
      <c r="G56" s="5"/>
      <c r="I56" s="2"/>
      <c r="J56" s="2"/>
      <c r="R56" s="2"/>
      <c r="Y56" s="24"/>
      <c r="Z56" s="98">
        <f t="shared" si="7"/>
        <v>54</v>
      </c>
      <c r="AA56" s="71" t="str">
        <f xml:space="preserve"> IFERROR( INDEX(表格1_33411[鍵盤按鍵], MATCH($AB56, 表格1_33411[注音符號], 0)), "")</f>
        <v/>
      </c>
      <c r="AB56" s="32" t="s">
        <v>130</v>
      </c>
      <c r="AC56" s="379" t="str">
        <f xml:space="preserve"> IFERROR( INDEX(表格1_33411[注音編碼], MATCH($AB56, 表格1_33411[注音符號], 0)), "")</f>
        <v/>
      </c>
      <c r="AD56" s="458" t="s">
        <v>646</v>
      </c>
      <c r="AV56" s="11"/>
      <c r="AW56" s="2"/>
    </row>
    <row r="57" spans="2:49" ht="32.25">
      <c r="C57" s="2">
        <v>11</v>
      </c>
      <c r="D57" s="21" t="str">
        <f t="shared" si="10"/>
        <v>c</v>
      </c>
      <c r="E57" s="5" t="str">
        <f t="shared" si="11"/>
        <v>ㄏ</v>
      </c>
      <c r="F57" s="5" t="str">
        <f t="shared" si="12"/>
        <v>h</v>
      </c>
      <c r="G57" s="5"/>
      <c r="I57" s="2"/>
      <c r="J57" s="2"/>
      <c r="R57" s="2"/>
      <c r="Y57" s="24"/>
      <c r="Z57" s="98">
        <f t="shared" si="7"/>
        <v>55</v>
      </c>
      <c r="AA57" s="71" t="str">
        <f xml:space="preserve"> IFERROR( INDEX(表格1_33411[鍵盤按鍵], MATCH($AB57, 表格1_33411[注音符號], 0)), "")</f>
        <v/>
      </c>
      <c r="AB57" s="32" t="s">
        <v>132</v>
      </c>
      <c r="AC57" s="379" t="str">
        <f xml:space="preserve"> IFERROR( INDEX(表格1_33411[注音編碼], MATCH($AB57, 表格1_33411[注音符號], 0)), "")</f>
        <v/>
      </c>
      <c r="AD57" s="458" t="s">
        <v>647</v>
      </c>
      <c r="AV57" s="11"/>
      <c r="AW57" s="2"/>
    </row>
    <row r="58" spans="2:49" ht="32.25">
      <c r="C58" s="2">
        <v>12</v>
      </c>
      <c r="D58" s="21" t="str">
        <f t="shared" si="10"/>
        <v>r</v>
      </c>
      <c r="E58" s="5" t="str">
        <f t="shared" si="11"/>
        <v/>
      </c>
      <c r="F58" s="5" t="str">
        <f t="shared" si="12"/>
        <v/>
      </c>
      <c r="G58" s="5"/>
      <c r="I58" s="2"/>
      <c r="J58" s="2"/>
      <c r="R58" s="2"/>
      <c r="Y58" s="24"/>
      <c r="Z58" s="98">
        <f t="shared" si="7"/>
        <v>56</v>
      </c>
      <c r="AA58" s="71" t="str">
        <f xml:space="preserve"> IFERROR( INDEX(表格1_33411[鍵盤按鍵], MATCH($AB58, 表格1_33411[注音符號], 0)), "")</f>
        <v/>
      </c>
      <c r="AB58" s="32" t="s">
        <v>134</v>
      </c>
      <c r="AC58" s="379" t="str">
        <f xml:space="preserve"> IFERROR( INDEX(表格1_33411[注音編碼], MATCH($AB58, 表格1_33411[注音符號], 0)), "")</f>
        <v/>
      </c>
      <c r="AD58" s="458" t="s">
        <v>648</v>
      </c>
      <c r="AV58" s="11"/>
      <c r="AW58" s="2"/>
    </row>
    <row r="59" spans="2:49">
      <c r="C59" s="2">
        <v>13</v>
      </c>
      <c r="D59" s="21" t="str">
        <f t="shared" si="10"/>
        <v>f</v>
      </c>
      <c r="E59" s="5" t="str">
        <f t="shared" si="11"/>
        <v/>
      </c>
      <c r="F59" s="5" t="str">
        <f t="shared" si="12"/>
        <v/>
      </c>
      <c r="G59" s="5"/>
      <c r="I59" s="2"/>
      <c r="J59" s="2"/>
      <c r="R59" s="2"/>
      <c r="Y59" s="24"/>
      <c r="AV59" s="11"/>
      <c r="AW59" s="2"/>
    </row>
    <row r="60" spans="2:49">
      <c r="C60" s="2">
        <v>14</v>
      </c>
      <c r="D60" s="21" t="str">
        <f t="shared" si="10"/>
        <v>v</v>
      </c>
      <c r="E60" s="5" t="str">
        <f t="shared" si="11"/>
        <v/>
      </c>
      <c r="F60" s="5" t="str">
        <f t="shared" si="12"/>
        <v/>
      </c>
      <c r="G60" s="5"/>
      <c r="I60" s="2"/>
      <c r="J60" s="2"/>
      <c r="R60" s="2"/>
      <c r="Y60" s="24"/>
      <c r="AB60" s="453" t="s">
        <v>649</v>
      </c>
      <c r="AC60" s="453" t="s">
        <v>650</v>
      </c>
      <c r="AD60" s="454" t="s">
        <v>650</v>
      </c>
      <c r="AV60" s="11"/>
      <c r="AW60" s="2"/>
    </row>
    <row r="61" spans="2:49">
      <c r="C61" s="2">
        <v>15</v>
      </c>
      <c r="D61" s="21" t="str">
        <f t="shared" si="10"/>
        <v>t</v>
      </c>
      <c r="E61" s="5" t="str">
        <f t="shared" si="11"/>
        <v/>
      </c>
      <c r="F61" s="5" t="str">
        <f t="shared" si="12"/>
        <v/>
      </c>
      <c r="G61" s="5"/>
      <c r="I61" s="2"/>
      <c r="J61" s="2"/>
      <c r="R61" s="2"/>
      <c r="Y61" s="24"/>
      <c r="AV61" s="11"/>
      <c r="AW61" s="2"/>
    </row>
    <row r="62" spans="2:49">
      <c r="C62" s="2">
        <v>16</v>
      </c>
      <c r="D62" s="21" t="str">
        <f t="shared" si="10"/>
        <v>g</v>
      </c>
      <c r="E62" s="5" t="str">
        <f t="shared" si="11"/>
        <v/>
      </c>
      <c r="F62" s="5" t="str">
        <f t="shared" si="12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0"/>
        <v>b</v>
      </c>
      <c r="E63" s="5" t="str">
        <f t="shared" si="11"/>
        <v>ㆡ</v>
      </c>
      <c r="F63" s="5" t="str">
        <f t="shared" si="12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0"/>
        <v>y</v>
      </c>
      <c r="E64" s="5" t="str">
        <f t="shared" si="11"/>
        <v>ㄗ</v>
      </c>
      <c r="F64" s="5" t="str">
        <f t="shared" si="12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0"/>
        <v>h</v>
      </c>
      <c r="E65" s="5" t="str">
        <f t="shared" si="11"/>
        <v>ㄘ</v>
      </c>
      <c r="F65" s="5" t="str">
        <f t="shared" si="12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0"/>
        <v>n</v>
      </c>
      <c r="E66" s="5" t="str">
        <f t="shared" si="11"/>
        <v>ㄙ</v>
      </c>
      <c r="F66" s="5" t="str">
        <f t="shared" si="12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0"/>
        <v>u</v>
      </c>
      <c r="E67" s="5" t="str">
        <f t="shared" si="11"/>
        <v>ㄧ</v>
      </c>
      <c r="F67" s="5" t="str">
        <f t="shared" si="12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0"/>
        <v>j</v>
      </c>
      <c r="E68" s="5" t="str">
        <f t="shared" si="11"/>
        <v>ㄨ</v>
      </c>
      <c r="F68" s="5" t="str">
        <f t="shared" si="12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0"/>
        <v>m</v>
      </c>
      <c r="E69" s="5" t="str">
        <f t="shared" si="11"/>
        <v>ㄇ</v>
      </c>
      <c r="F69" s="5" t="str">
        <f t="shared" si="12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0"/>
        <v>8</v>
      </c>
      <c r="E70" s="5" t="str">
        <f t="shared" si="11"/>
        <v>ㄚ</v>
      </c>
      <c r="F70" s="5" t="str">
        <f t="shared" si="12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0"/>
        <v>i</v>
      </c>
      <c r="E71" s="5" t="str">
        <f t="shared" si="11"/>
        <v>ㄛ</v>
      </c>
      <c r="F71" s="5" t="str">
        <f t="shared" si="12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0"/>
        <v>k</v>
      </c>
      <c r="E72" s="5" t="str">
        <f t="shared" si="11"/>
        <v>ㄜ</v>
      </c>
      <c r="F72" s="5" t="str">
        <f t="shared" si="12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0"/>
        <v>,</v>
      </c>
      <c r="E73" s="5" t="str">
        <f t="shared" si="11"/>
        <v>ㄝ</v>
      </c>
      <c r="F73" s="5" t="str">
        <f t="shared" si="12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0"/>
        <v>9</v>
      </c>
      <c r="E74" s="5" t="str">
        <f t="shared" si="11"/>
        <v>ㄞ</v>
      </c>
      <c r="F74" s="5" t="str">
        <f t="shared" si="12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0"/>
        <v>o</v>
      </c>
      <c r="E75" s="5" t="str">
        <f t="shared" si="11"/>
        <v/>
      </c>
      <c r="F75" s="5" t="str">
        <f t="shared" si="12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0"/>
        <v>l</v>
      </c>
      <c r="E76" s="5" t="str">
        <f t="shared" si="11"/>
        <v>ㄠ</v>
      </c>
      <c r="F76" s="5" t="str">
        <f t="shared" si="12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0"/>
        <v>.</v>
      </c>
      <c r="E77" s="5" t="str">
        <f t="shared" si="11"/>
        <v>ｎ</v>
      </c>
      <c r="F77" s="5" t="str">
        <f t="shared" si="12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0"/>
        <v>0</v>
      </c>
      <c r="E78" s="5" t="str">
        <f t="shared" si="11"/>
        <v>ㄢ</v>
      </c>
      <c r="F78" s="5" t="str">
        <f t="shared" si="12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0"/>
        <v>p</v>
      </c>
      <c r="E79" s="5" t="str">
        <f t="shared" si="11"/>
        <v>ㄣ</v>
      </c>
      <c r="F79" s="5" t="str">
        <f t="shared" si="12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0"/>
        <v>;</v>
      </c>
      <c r="E80" s="5" t="str">
        <f t="shared" si="11"/>
        <v>ㄤ</v>
      </c>
      <c r="F80" s="5" t="str">
        <f t="shared" si="12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0"/>
        <v>/</v>
      </c>
      <c r="E81" s="5" t="str">
        <f t="shared" si="11"/>
        <v>ㄥ</v>
      </c>
      <c r="F81" s="5" t="str">
        <f t="shared" si="12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0"/>
        <v>-</v>
      </c>
      <c r="E82" s="5" t="str">
        <f t="shared" si="11"/>
        <v>ㄦ</v>
      </c>
      <c r="F82" s="5" t="str">
        <f t="shared" si="12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0"/>
        <v xml:space="preserve"> </v>
      </c>
      <c r="E83" s="5" t="str">
        <f t="shared" si="11"/>
        <v/>
      </c>
      <c r="F83" s="5" t="str">
        <f t="shared" si="12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0"/>
        <v>4</v>
      </c>
      <c r="E84" s="5" t="str">
        <f t="shared" si="11"/>
        <v/>
      </c>
      <c r="F84" s="5" t="str">
        <f t="shared" si="12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0"/>
        <v>3</v>
      </c>
      <c r="E85" s="5" t="str">
        <f t="shared" si="11"/>
        <v/>
      </c>
      <c r="F85" s="5" t="str">
        <f t="shared" si="12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0"/>
        <v>6</v>
      </c>
      <c r="E86" s="5" t="str">
        <f t="shared" si="11"/>
        <v/>
      </c>
      <c r="F86" s="5" t="str">
        <f t="shared" si="12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0"/>
        <v>5</v>
      </c>
      <c r="E87" s="5" t="str">
        <f t="shared" si="11"/>
        <v/>
      </c>
      <c r="F87" s="5" t="str">
        <f t="shared" si="12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0"/>
        <v>7</v>
      </c>
      <c r="E88" s="5" t="str">
        <f t="shared" si="11"/>
        <v/>
      </c>
      <c r="F88" s="5" t="str">
        <f t="shared" si="12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3:AA58">
    <cfRule type="cellIs" dxfId="1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26" workbookViewId="0">
      <selection activeCell="D30" sqref="D30:D34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21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21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21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21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21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21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21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21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21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21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21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21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21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22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22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22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22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23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23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23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23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21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21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21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21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21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21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21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21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21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21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21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21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21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21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21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21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21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21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21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21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21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21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21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21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21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21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21" t="s">
        <v>104</v>
      </c>
      <c r="E50" s="379" t="s">
        <v>347</v>
      </c>
      <c r="F50" s="33">
        <v>2</v>
      </c>
      <c r="K50" s="424" t="str">
        <f xml:space="preserve"> _xlfn.CONCAT(K49:O49)</f>
        <v>ˋ˪ˊ˫．</v>
      </c>
      <c r="L50" s="425"/>
      <c r="M50" s="425"/>
      <c r="N50" s="425"/>
      <c r="O50" s="425"/>
    </row>
    <row r="51" spans="2:15" ht="39">
      <c r="B51" s="391">
        <f t="shared" si="0"/>
        <v>49</v>
      </c>
      <c r="C51" s="71" t="s">
        <v>191</v>
      </c>
      <c r="D51" s="421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21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21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21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21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21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21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21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28" workbookViewId="0">
      <selection activeCell="L45" sqref="L45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06" t="s">
        <v>539</v>
      </c>
      <c r="C2" s="407"/>
      <c r="D2" s="408"/>
      <c r="E2" s="406" t="s">
        <v>540</v>
      </c>
      <c r="F2" s="407"/>
      <c r="G2" s="408"/>
      <c r="H2" s="415" t="s">
        <v>541</v>
      </c>
      <c r="I2" s="416"/>
      <c r="J2" s="417"/>
      <c r="K2" s="415" t="s">
        <v>542</v>
      </c>
      <c r="L2" s="416"/>
      <c r="M2" s="417"/>
      <c r="N2" s="418">
        <v>0.05</v>
      </c>
      <c r="O2" s="419"/>
      <c r="P2" s="420"/>
      <c r="Q2" s="415" t="s">
        <v>543</v>
      </c>
      <c r="R2" s="416"/>
      <c r="S2" s="417"/>
      <c r="T2" s="415" t="s">
        <v>544</v>
      </c>
      <c r="U2" s="416"/>
      <c r="V2" s="417"/>
      <c r="W2" s="400" t="s">
        <v>545</v>
      </c>
      <c r="X2" s="401"/>
      <c r="Y2" s="402"/>
      <c r="Z2" s="400" t="s">
        <v>546</v>
      </c>
      <c r="AA2" s="401"/>
      <c r="AB2" s="402"/>
      <c r="AC2" s="400" t="s">
        <v>547</v>
      </c>
      <c r="AD2" s="401"/>
      <c r="AE2" s="402"/>
      <c r="AF2" s="403" t="s">
        <v>548</v>
      </c>
      <c r="AG2" s="404"/>
      <c r="AH2" s="405"/>
      <c r="AI2" s="403" t="s">
        <v>549</v>
      </c>
      <c r="AJ2" s="404"/>
      <c r="AK2" s="405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11" t="s">
        <v>105</v>
      </c>
      <c r="I4" s="412"/>
      <c r="J4" s="272" t="s">
        <v>552</v>
      </c>
      <c r="K4" s="413" t="s">
        <v>104</v>
      </c>
      <c r="L4" s="414"/>
      <c r="M4" s="272" t="s">
        <v>553</v>
      </c>
      <c r="N4" s="411" t="s">
        <v>107</v>
      </c>
      <c r="O4" s="412"/>
      <c r="P4" s="272" t="s">
        <v>554</v>
      </c>
      <c r="Q4" s="413" t="s">
        <v>106</v>
      </c>
      <c r="R4" s="414"/>
      <c r="S4" s="272" t="s">
        <v>555</v>
      </c>
      <c r="T4" s="411" t="s">
        <v>556</v>
      </c>
      <c r="U4" s="412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09"/>
      <c r="AJ4" s="410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06" t="s">
        <v>558</v>
      </c>
      <c r="D5" s="407"/>
      <c r="E5" s="408"/>
      <c r="F5" s="406" t="s">
        <v>559</v>
      </c>
      <c r="G5" s="407"/>
      <c r="H5" s="408"/>
      <c r="I5" s="406" t="s">
        <v>322</v>
      </c>
      <c r="J5" s="407"/>
      <c r="K5" s="408"/>
      <c r="L5" s="406" t="s">
        <v>560</v>
      </c>
      <c r="M5" s="407"/>
      <c r="N5" s="408"/>
      <c r="O5" s="406" t="s">
        <v>408</v>
      </c>
      <c r="P5" s="407"/>
      <c r="Q5" s="408"/>
      <c r="R5" s="406" t="s">
        <v>447</v>
      </c>
      <c r="S5" s="407"/>
      <c r="T5" s="408"/>
      <c r="U5" s="400" t="s">
        <v>259</v>
      </c>
      <c r="V5" s="401"/>
      <c r="W5" s="402"/>
      <c r="X5" s="400" t="s">
        <v>275</v>
      </c>
      <c r="Y5" s="401"/>
      <c r="Z5" s="402"/>
      <c r="AA5" s="400" t="s">
        <v>267</v>
      </c>
      <c r="AB5" s="401"/>
      <c r="AC5" s="402"/>
      <c r="AD5" s="400" t="s">
        <v>400</v>
      </c>
      <c r="AE5" s="401"/>
      <c r="AF5" s="402"/>
      <c r="AG5" s="400" t="s">
        <v>561</v>
      </c>
      <c r="AH5" s="401"/>
      <c r="AI5" s="402"/>
      <c r="AJ5" s="400" t="s">
        <v>562</v>
      </c>
      <c r="AK5" s="401"/>
      <c r="AL5" s="402"/>
      <c r="AM5" s="403" t="s">
        <v>563</v>
      </c>
      <c r="AN5" s="404"/>
      <c r="AO5" s="405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09"/>
      <c r="AH7" s="410"/>
      <c r="AI7" s="279"/>
      <c r="AJ7" s="409"/>
      <c r="AK7" s="410"/>
      <c r="AL7" s="279"/>
      <c r="AM7" s="409"/>
      <c r="AN7" s="410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06" t="s">
        <v>401</v>
      </c>
      <c r="E8" s="407"/>
      <c r="F8" s="408"/>
      <c r="G8" s="406" t="s">
        <v>460</v>
      </c>
      <c r="H8" s="407"/>
      <c r="I8" s="408"/>
      <c r="J8" s="406" t="s">
        <v>189</v>
      </c>
      <c r="K8" s="407"/>
      <c r="L8" s="408"/>
      <c r="M8" s="406" t="s">
        <v>566</v>
      </c>
      <c r="N8" s="407"/>
      <c r="O8" s="408"/>
      <c r="P8" s="406" t="s">
        <v>141</v>
      </c>
      <c r="Q8" s="407"/>
      <c r="R8" s="408"/>
      <c r="S8" s="406" t="s">
        <v>454</v>
      </c>
      <c r="T8" s="407"/>
      <c r="U8" s="408"/>
      <c r="V8" s="400" t="s">
        <v>249</v>
      </c>
      <c r="W8" s="401"/>
      <c r="X8" s="402"/>
      <c r="Y8" s="400" t="s">
        <v>425</v>
      </c>
      <c r="Z8" s="401"/>
      <c r="AA8" s="402"/>
      <c r="AB8" s="400" t="s">
        <v>231</v>
      </c>
      <c r="AC8" s="401"/>
      <c r="AD8" s="402"/>
      <c r="AE8" s="400" t="s">
        <v>567</v>
      </c>
      <c r="AF8" s="401"/>
      <c r="AG8" s="402"/>
      <c r="AH8" s="403" t="s">
        <v>568</v>
      </c>
      <c r="AI8" s="404"/>
      <c r="AJ8" s="405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09"/>
      <c r="AI10" s="410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06" t="s">
        <v>449</v>
      </c>
      <c r="F11" s="407"/>
      <c r="G11" s="408"/>
      <c r="H11" s="406" t="s">
        <v>569</v>
      </c>
      <c r="I11" s="407"/>
      <c r="J11" s="408"/>
      <c r="K11" s="406" t="s">
        <v>456</v>
      </c>
      <c r="L11" s="407"/>
      <c r="M11" s="408"/>
      <c r="N11" s="406" t="s">
        <v>570</v>
      </c>
      <c r="O11" s="407"/>
      <c r="P11" s="408"/>
      <c r="Q11" s="406" t="s">
        <v>144</v>
      </c>
      <c r="R11" s="407"/>
      <c r="S11" s="408"/>
      <c r="T11" s="406" t="s">
        <v>571</v>
      </c>
      <c r="U11" s="407"/>
      <c r="V11" s="408"/>
      <c r="W11" s="400" t="s">
        <v>525</v>
      </c>
      <c r="X11" s="401"/>
      <c r="Y11" s="402"/>
      <c r="Z11" s="400" t="s">
        <v>572</v>
      </c>
      <c r="AA11" s="401"/>
      <c r="AB11" s="402"/>
      <c r="AC11" s="400" t="s">
        <v>573</v>
      </c>
      <c r="AD11" s="401"/>
      <c r="AE11" s="402"/>
      <c r="AF11" s="403" t="s">
        <v>574</v>
      </c>
      <c r="AG11" s="404"/>
      <c r="AH11" s="405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I3" sqref="I3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12</vt:i4>
      </vt:variant>
    </vt:vector>
  </HeadingPairs>
  <TitlesOfParts>
    <vt:vector size="21" baseType="lpstr">
      <vt:lpstr>使用按鍵解析</vt:lpstr>
      <vt:lpstr>RIME設定解析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'RIME對映編碼 (台語方音)'!方音符號</vt:lpstr>
      <vt:lpstr>RIME設定解析!注音符號</vt:lpstr>
      <vt:lpstr>RIME設定解析!注音編碼</vt:lpstr>
      <vt:lpstr>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2024-09-20T14:59:16Z</dcterms:modified>
</cp:coreProperties>
</file>